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scottishepa.sharepoint.com/sites/Permitting510/Change  Improvement/Para 7 Reform Trial/Working Documents/"/>
    </mc:Choice>
  </mc:AlternateContent>
  <xr:revisionPtr revIDLastSave="0" documentId="8_{B52BB8D0-5E57-473C-9A0A-0FFB534691E5}" xr6:coauthVersionLast="47" xr6:coauthVersionMax="47" xr10:uidLastSave="{00000000-0000-0000-0000-000000000000}"/>
  <bookViews>
    <workbookView xWindow="28680" yWindow="-120" windowWidth="25440" windowHeight="15390" tabRatio="793" xr2:uid="{27CEE5CF-F047-49E4-B910-5AF9644827B2}"/>
  </bookViews>
  <sheets>
    <sheet name="Summary" sheetId="10" r:id="rId1"/>
    <sheet name="Field information 1" sheetId="1" r:id="rId2"/>
    <sheet name="Field information 2" sheetId="5" r:id="rId3"/>
    <sheet name="Soil results" sheetId="3" r:id="rId4"/>
    <sheet name="Waste results" sheetId="4" r:id="rId5"/>
    <sheet name="additional info" sheetId="11" r:id="rId6"/>
    <sheet name="Assessment" sheetId="2" r:id="rId7"/>
    <sheet name="Fertiliser recommendations" sheetId="8" r:id="rId8"/>
    <sheet name="Version control" sheetId="12" state="hidden" r:id="rId9"/>
    <sheet name="Calc" sheetId="6" state="hidden"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10" l="1"/>
  <c r="F38" i="10"/>
  <c r="E38" i="10"/>
  <c r="G37" i="10"/>
  <c r="F37" i="10"/>
  <c r="E37" i="10"/>
  <c r="E31" i="10"/>
  <c r="E30" i="10"/>
  <c r="G53" i="10"/>
  <c r="F53" i="10"/>
  <c r="G43" i="10" a="1"/>
  <c r="G43" i="10" s="1"/>
  <c r="F43" i="10" a="1"/>
  <c r="F43" i="10" s="1"/>
  <c r="E24" i="10"/>
  <c r="G40" i="10"/>
  <c r="F40" i="10"/>
  <c r="C17" i="10" l="1"/>
  <c r="AD14" i="8" l="1"/>
  <c r="E39" i="10" l="1"/>
  <c r="G36" i="10"/>
  <c r="F36" i="10"/>
  <c r="E36" i="10"/>
  <c r="E70" i="10"/>
  <c r="G39" i="10" l="1"/>
  <c r="G41" i="10"/>
  <c r="F52" i="10"/>
  <c r="G52" i="10"/>
  <c r="G42" i="10"/>
  <c r="F39" i="10"/>
  <c r="E46" i="10"/>
  <c r="O33" i="4"/>
  <c r="N33" i="4"/>
  <c r="M33" i="4"/>
  <c r="L33" i="4"/>
  <c r="K33" i="4"/>
  <c r="P33" i="4" s="1"/>
  <c r="E27" i="10" l="1"/>
  <c r="E26" i="10"/>
  <c r="E20" i="10"/>
  <c r="E16" i="10" l="1"/>
  <c r="E14" i="10"/>
  <c r="K69" i="4"/>
  <c r="AV54" i="6" l="1"/>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L17" i="4"/>
  <c r="M17" i="4"/>
  <c r="N17" i="4"/>
  <c r="O17" i="4"/>
  <c r="L19" i="4"/>
  <c r="M19" i="4"/>
  <c r="N19" i="4"/>
  <c r="O19" i="4"/>
  <c r="L21" i="4"/>
  <c r="M21" i="4"/>
  <c r="N21" i="4"/>
  <c r="O21" i="4"/>
  <c r="K21" i="4"/>
  <c r="K19" i="4"/>
  <c r="K17" i="4"/>
  <c r="L14" i="4"/>
  <c r="M14" i="4"/>
  <c r="N14" i="4"/>
  <c r="O14" i="4"/>
  <c r="K14" i="4"/>
  <c r="L13" i="4"/>
  <c r="M13" i="4"/>
  <c r="N13" i="4"/>
  <c r="O13" i="4"/>
  <c r="K13" i="4"/>
  <c r="L12" i="4"/>
  <c r="M12" i="4"/>
  <c r="N12" i="4"/>
  <c r="O12" i="4"/>
  <c r="K12" i="4"/>
  <c r="L10" i="4"/>
  <c r="M10" i="4"/>
  <c r="N10" i="4"/>
  <c r="O10" i="4"/>
  <c r="K10" i="4"/>
  <c r="K26" i="4"/>
  <c r="L26" i="4"/>
  <c r="M26" i="4"/>
  <c r="N26" i="4"/>
  <c r="O26" i="4"/>
  <c r="K27" i="4"/>
  <c r="L27" i="4"/>
  <c r="M27" i="4"/>
  <c r="N27" i="4"/>
  <c r="O27" i="4"/>
  <c r="K28" i="4"/>
  <c r="L28" i="4"/>
  <c r="M28" i="4"/>
  <c r="N28" i="4"/>
  <c r="O28" i="4"/>
  <c r="K29" i="4"/>
  <c r="L29" i="4"/>
  <c r="M29" i="4"/>
  <c r="N29" i="4"/>
  <c r="O29" i="4"/>
  <c r="K30" i="4"/>
  <c r="L30" i="4"/>
  <c r="M30" i="4"/>
  <c r="N30" i="4"/>
  <c r="O30" i="4"/>
  <c r="K31" i="4"/>
  <c r="L31" i="4"/>
  <c r="M31" i="4"/>
  <c r="N31" i="4"/>
  <c r="O31" i="4"/>
  <c r="L25" i="4"/>
  <c r="M25" i="4"/>
  <c r="N25" i="4"/>
  <c r="O25" i="4"/>
  <c r="K25" i="4"/>
  <c r="L23" i="4"/>
  <c r="M23" i="4"/>
  <c r="N23" i="4"/>
  <c r="O23" i="4"/>
  <c r="K23" i="4"/>
  <c r="L9" i="4"/>
  <c r="M9" i="4"/>
  <c r="N9" i="4"/>
  <c r="O9" i="4"/>
  <c r="K9" i="4"/>
  <c r="L8" i="4"/>
  <c r="M8" i="4"/>
  <c r="N8" i="4"/>
  <c r="O8" i="4"/>
  <c r="K8" i="4"/>
  <c r="A5" i="6" l="1"/>
  <c r="A6" i="6"/>
  <c r="B6" i="6"/>
  <c r="C6" i="6"/>
  <c r="A7" i="6"/>
  <c r="B7" i="6"/>
  <c r="C7" i="6"/>
  <c r="A8" i="6"/>
  <c r="B8" i="6"/>
  <c r="C8" i="6"/>
  <c r="A9" i="6"/>
  <c r="B9" i="6"/>
  <c r="C9" i="6"/>
  <c r="A10" i="6"/>
  <c r="B10" i="6"/>
  <c r="C10" i="6"/>
  <c r="A11" i="6"/>
  <c r="B11" i="6"/>
  <c r="C11" i="6"/>
  <c r="A12" i="6"/>
  <c r="B12" i="6"/>
  <c r="C12" i="6"/>
  <c r="A13" i="6"/>
  <c r="B13" i="6"/>
  <c r="C13" i="6"/>
  <c r="A14" i="6"/>
  <c r="B14" i="6"/>
  <c r="C14" i="6"/>
  <c r="A15" i="6"/>
  <c r="B15" i="6"/>
  <c r="C15" i="6"/>
  <c r="A16" i="6"/>
  <c r="B16" i="6"/>
  <c r="C16" i="6"/>
  <c r="A17" i="6"/>
  <c r="B17" i="6"/>
  <c r="C17" i="6"/>
  <c r="A18" i="6"/>
  <c r="B18" i="6"/>
  <c r="C18" i="6"/>
  <c r="A19" i="6"/>
  <c r="B19" i="6"/>
  <c r="C19" i="6"/>
  <c r="A20" i="6"/>
  <c r="B20" i="6"/>
  <c r="C20" i="6"/>
  <c r="A21" i="6"/>
  <c r="B21" i="6"/>
  <c r="C21" i="6"/>
  <c r="A22" i="6"/>
  <c r="B22" i="6"/>
  <c r="C22" i="6"/>
  <c r="A23" i="6"/>
  <c r="B23" i="6"/>
  <c r="C23" i="6"/>
  <c r="A24" i="6"/>
  <c r="B24" i="6"/>
  <c r="C24" i="6"/>
  <c r="A25" i="6"/>
  <c r="B25" i="6"/>
  <c r="C25" i="6"/>
  <c r="A26" i="6"/>
  <c r="B26" i="6"/>
  <c r="C26" i="6"/>
  <c r="A27" i="6"/>
  <c r="B27" i="6"/>
  <c r="C27" i="6"/>
  <c r="A28" i="6"/>
  <c r="B28" i="6"/>
  <c r="C28" i="6"/>
  <c r="A29" i="6"/>
  <c r="B29" i="6"/>
  <c r="C29" i="6"/>
  <c r="A30" i="6"/>
  <c r="B30" i="6"/>
  <c r="C30" i="6"/>
  <c r="A31" i="6"/>
  <c r="B31" i="6"/>
  <c r="C31" i="6"/>
  <c r="A32" i="6"/>
  <c r="B32" i="6"/>
  <c r="C32" i="6"/>
  <c r="A33" i="6"/>
  <c r="B33" i="6"/>
  <c r="C33" i="6"/>
  <c r="A34" i="6"/>
  <c r="B34" i="6"/>
  <c r="C34" i="6"/>
  <c r="A35" i="6"/>
  <c r="B35" i="6"/>
  <c r="C35" i="6"/>
  <c r="A36" i="6"/>
  <c r="B36" i="6"/>
  <c r="C36" i="6"/>
  <c r="A37" i="6"/>
  <c r="B37" i="6"/>
  <c r="C37" i="6"/>
  <c r="A38" i="6"/>
  <c r="B38" i="6"/>
  <c r="C38" i="6"/>
  <c r="A39" i="6"/>
  <c r="B39" i="6"/>
  <c r="C39" i="6"/>
  <c r="A40" i="6"/>
  <c r="B40" i="6"/>
  <c r="C40" i="6"/>
  <c r="A41" i="6"/>
  <c r="B41" i="6"/>
  <c r="C41" i="6"/>
  <c r="A42" i="6"/>
  <c r="B42" i="6"/>
  <c r="C42" i="6"/>
  <c r="A43" i="6"/>
  <c r="B43" i="6"/>
  <c r="C43" i="6"/>
  <c r="A44" i="6"/>
  <c r="B44" i="6"/>
  <c r="C44" i="6"/>
  <c r="A45" i="6"/>
  <c r="B45" i="6"/>
  <c r="C45" i="6"/>
  <c r="A46" i="6"/>
  <c r="B46" i="6"/>
  <c r="C46" i="6"/>
  <c r="A47" i="6"/>
  <c r="B47" i="6"/>
  <c r="C47" i="6"/>
  <c r="A48" i="6"/>
  <c r="B48" i="6"/>
  <c r="C48" i="6"/>
  <c r="A49" i="6"/>
  <c r="B49" i="6"/>
  <c r="C49" i="6"/>
  <c r="A50" i="6"/>
  <c r="B50" i="6"/>
  <c r="C50" i="6"/>
  <c r="A51" i="6"/>
  <c r="B51" i="6"/>
  <c r="C51" i="6"/>
  <c r="A52" i="6"/>
  <c r="B52" i="6"/>
  <c r="C52" i="6"/>
  <c r="A53" i="6"/>
  <c r="B53" i="6"/>
  <c r="C53" i="6"/>
  <c r="A54" i="6"/>
  <c r="B54" i="6"/>
  <c r="C54" i="6"/>
  <c r="A55" i="6"/>
  <c r="B55" i="6"/>
  <c r="C55" i="6"/>
  <c r="A56" i="6"/>
  <c r="B56" i="6"/>
  <c r="C56" i="6"/>
  <c r="A57" i="6"/>
  <c r="B57" i="6"/>
  <c r="C57" i="6"/>
  <c r="A58" i="6"/>
  <c r="B58" i="6"/>
  <c r="C58" i="6"/>
  <c r="A59" i="6"/>
  <c r="B59" i="6"/>
  <c r="C59" i="6"/>
  <c r="A60" i="6"/>
  <c r="B60" i="6"/>
  <c r="C60" i="6"/>
  <c r="A61" i="6"/>
  <c r="B61" i="6"/>
  <c r="C61" i="6"/>
  <c r="A62" i="6"/>
  <c r="B62" i="6"/>
  <c r="C62" i="6"/>
  <c r="A63" i="6"/>
  <c r="B63" i="6"/>
  <c r="C63" i="6"/>
  <c r="A64" i="6"/>
  <c r="B64" i="6"/>
  <c r="C64" i="6"/>
  <c r="A65" i="6"/>
  <c r="B65" i="6"/>
  <c r="C65" i="6"/>
  <c r="A66" i="6"/>
  <c r="B66" i="6"/>
  <c r="C66" i="6"/>
  <c r="A67" i="6"/>
  <c r="B67" i="6"/>
  <c r="C67" i="6"/>
  <c r="A68" i="6"/>
  <c r="B68" i="6"/>
  <c r="C68" i="6"/>
  <c r="A69" i="6"/>
  <c r="B69" i="6"/>
  <c r="C69" i="6"/>
  <c r="A70" i="6"/>
  <c r="B70" i="6"/>
  <c r="C70" i="6"/>
  <c r="A71" i="6"/>
  <c r="B71" i="6"/>
  <c r="C71" i="6"/>
  <c r="A72" i="6"/>
  <c r="B72" i="6"/>
  <c r="C72" i="6"/>
  <c r="A73" i="6"/>
  <c r="B73" i="6"/>
  <c r="C73" i="6"/>
  <c r="A74" i="6"/>
  <c r="B74" i="6"/>
  <c r="C74" i="6"/>
  <c r="A75" i="6"/>
  <c r="B75" i="6"/>
  <c r="C75" i="6"/>
  <c r="A76" i="6"/>
  <c r="B76" i="6"/>
  <c r="C76" i="6"/>
  <c r="A77" i="6"/>
  <c r="B77" i="6"/>
  <c r="C77" i="6"/>
  <c r="A78" i="6"/>
  <c r="B78" i="6"/>
  <c r="C78" i="6"/>
  <c r="A79" i="6"/>
  <c r="B79" i="6"/>
  <c r="C79" i="6"/>
  <c r="A80" i="6"/>
  <c r="B80" i="6"/>
  <c r="C80" i="6"/>
  <c r="A81" i="6"/>
  <c r="B81" i="6"/>
  <c r="C81" i="6"/>
  <c r="A82" i="6"/>
  <c r="B82" i="6"/>
  <c r="C82" i="6"/>
  <c r="A83" i="6"/>
  <c r="B83" i="6"/>
  <c r="C83" i="6"/>
  <c r="A84" i="6"/>
  <c r="B84" i="6"/>
  <c r="C84" i="6"/>
  <c r="A85" i="6"/>
  <c r="B85" i="6"/>
  <c r="C85" i="6"/>
  <c r="A86" i="6"/>
  <c r="B86" i="6"/>
  <c r="C86" i="6"/>
  <c r="A87" i="6"/>
  <c r="B87" i="6"/>
  <c r="C87" i="6"/>
  <c r="A88" i="6"/>
  <c r="B88" i="6"/>
  <c r="C88" i="6"/>
  <c r="A89" i="6"/>
  <c r="B89" i="6"/>
  <c r="C89" i="6"/>
  <c r="A90" i="6"/>
  <c r="B90" i="6"/>
  <c r="C90" i="6"/>
  <c r="A91" i="6"/>
  <c r="B91" i="6"/>
  <c r="C91" i="6"/>
  <c r="A92" i="6"/>
  <c r="B92" i="6"/>
  <c r="C92" i="6"/>
  <c r="A93" i="6"/>
  <c r="B93" i="6"/>
  <c r="C93" i="6"/>
  <c r="A94" i="6"/>
  <c r="B94" i="6"/>
  <c r="C94" i="6"/>
  <c r="A95" i="6"/>
  <c r="B95" i="6"/>
  <c r="C95" i="6"/>
  <c r="A96" i="6"/>
  <c r="B96" i="6"/>
  <c r="C96" i="6"/>
  <c r="A97" i="6"/>
  <c r="B97" i="6"/>
  <c r="C97" i="6"/>
  <c r="A98" i="6"/>
  <c r="B98" i="6"/>
  <c r="C98" i="6"/>
  <c r="A99" i="6"/>
  <c r="B99" i="6"/>
  <c r="C99" i="6"/>
  <c r="A100" i="6"/>
  <c r="B100" i="6"/>
  <c r="C100" i="6"/>
  <c r="A101" i="6"/>
  <c r="B101" i="6"/>
  <c r="C101" i="6"/>
  <c r="A102" i="6"/>
  <c r="B102" i="6"/>
  <c r="C102" i="6"/>
  <c r="A103" i="6"/>
  <c r="B103" i="6"/>
  <c r="C103" i="6"/>
  <c r="A104" i="6"/>
  <c r="B104" i="6"/>
  <c r="C104" i="6"/>
  <c r="C5" i="6"/>
  <c r="B5" i="6"/>
  <c r="F41" i="10" s="1"/>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D55" i="6"/>
  <c r="E55" i="6"/>
  <c r="G55" i="6"/>
  <c r="H55" i="6"/>
  <c r="D56" i="6"/>
  <c r="E56" i="6"/>
  <c r="G56" i="6"/>
  <c r="H56" i="6"/>
  <c r="D57" i="6"/>
  <c r="E57" i="6"/>
  <c r="G57" i="6"/>
  <c r="F57" i="6" s="1"/>
  <c r="H57" i="6"/>
  <c r="D58" i="6"/>
  <c r="E58" i="6"/>
  <c r="G58" i="6"/>
  <c r="F58" i="6" s="1"/>
  <c r="H58" i="6"/>
  <c r="D59" i="6"/>
  <c r="E59" i="6"/>
  <c r="G59" i="6"/>
  <c r="H59" i="6"/>
  <c r="D60" i="6"/>
  <c r="E60" i="6"/>
  <c r="G60" i="6"/>
  <c r="H60" i="6"/>
  <c r="D61" i="6"/>
  <c r="E61" i="6"/>
  <c r="G61" i="6"/>
  <c r="F61" i="6" s="1"/>
  <c r="H61" i="6"/>
  <c r="D62" i="6"/>
  <c r="E62" i="6"/>
  <c r="G62" i="6"/>
  <c r="F62" i="6" s="1"/>
  <c r="H62" i="6"/>
  <c r="D63" i="6"/>
  <c r="E63" i="6"/>
  <c r="G63" i="6"/>
  <c r="H63" i="6"/>
  <c r="D64" i="6"/>
  <c r="E64" i="6"/>
  <c r="G64" i="6"/>
  <c r="H64" i="6"/>
  <c r="D65" i="6"/>
  <c r="E65" i="6"/>
  <c r="G65" i="6"/>
  <c r="F65" i="6" s="1"/>
  <c r="H65" i="6"/>
  <c r="D66" i="6"/>
  <c r="E66" i="6"/>
  <c r="G66" i="6"/>
  <c r="F66" i="6" s="1"/>
  <c r="H66" i="6"/>
  <c r="D67" i="6"/>
  <c r="E67" i="6"/>
  <c r="G67" i="6"/>
  <c r="H67" i="6"/>
  <c r="D68" i="6"/>
  <c r="E68" i="6"/>
  <c r="G68" i="6"/>
  <c r="H68" i="6"/>
  <c r="D69" i="6"/>
  <c r="E69" i="6"/>
  <c r="G69" i="6"/>
  <c r="F69" i="6" s="1"/>
  <c r="H69" i="6"/>
  <c r="D70" i="6"/>
  <c r="E70" i="6"/>
  <c r="G70" i="6"/>
  <c r="F70" i="6" s="1"/>
  <c r="H70" i="6"/>
  <c r="D71" i="6"/>
  <c r="E71" i="6"/>
  <c r="G71" i="6"/>
  <c r="H71" i="6"/>
  <c r="D72" i="6"/>
  <c r="E72" i="6"/>
  <c r="G72" i="6"/>
  <c r="H72" i="6"/>
  <c r="D73" i="6"/>
  <c r="E73" i="6"/>
  <c r="G73" i="6"/>
  <c r="F73" i="6" s="1"/>
  <c r="H73" i="6"/>
  <c r="D74" i="6"/>
  <c r="E74" i="6"/>
  <c r="G74" i="6"/>
  <c r="F74" i="6" s="1"/>
  <c r="H74" i="6"/>
  <c r="D75" i="6"/>
  <c r="E75" i="6"/>
  <c r="G75" i="6"/>
  <c r="H75" i="6"/>
  <c r="D76" i="6"/>
  <c r="E76" i="6"/>
  <c r="G76" i="6"/>
  <c r="H76" i="6"/>
  <c r="D77" i="6"/>
  <c r="E77" i="6"/>
  <c r="G77" i="6"/>
  <c r="F77" i="6" s="1"/>
  <c r="H77" i="6"/>
  <c r="D78" i="6"/>
  <c r="E78" i="6"/>
  <c r="G78" i="6"/>
  <c r="F78" i="6" s="1"/>
  <c r="H78" i="6"/>
  <c r="D79" i="6"/>
  <c r="E79" i="6"/>
  <c r="G79" i="6"/>
  <c r="H79" i="6"/>
  <c r="D80" i="6"/>
  <c r="E80" i="6"/>
  <c r="G80" i="6"/>
  <c r="H80" i="6"/>
  <c r="D81" i="6"/>
  <c r="E81" i="6"/>
  <c r="G81" i="6"/>
  <c r="F81" i="6" s="1"/>
  <c r="H81" i="6"/>
  <c r="D82" i="6"/>
  <c r="E82" i="6"/>
  <c r="G82" i="6"/>
  <c r="F82" i="6" s="1"/>
  <c r="H82" i="6"/>
  <c r="D83" i="6"/>
  <c r="E83" i="6"/>
  <c r="G83" i="6"/>
  <c r="H83" i="6"/>
  <c r="D84" i="6"/>
  <c r="E84" i="6"/>
  <c r="G84" i="6"/>
  <c r="H84" i="6"/>
  <c r="D85" i="6"/>
  <c r="E85" i="6"/>
  <c r="G85" i="6"/>
  <c r="F85" i="6" s="1"/>
  <c r="H85" i="6"/>
  <c r="D86" i="6"/>
  <c r="E86" i="6"/>
  <c r="G86" i="6"/>
  <c r="F86" i="6" s="1"/>
  <c r="H86" i="6"/>
  <c r="D87" i="6"/>
  <c r="E87" i="6"/>
  <c r="G87" i="6"/>
  <c r="H87" i="6"/>
  <c r="D88" i="6"/>
  <c r="E88" i="6"/>
  <c r="G88" i="6"/>
  <c r="H88" i="6"/>
  <c r="D89" i="6"/>
  <c r="E89" i="6"/>
  <c r="G89" i="6"/>
  <c r="F89" i="6" s="1"/>
  <c r="H89" i="6"/>
  <c r="D90" i="6"/>
  <c r="E90" i="6"/>
  <c r="G90" i="6"/>
  <c r="F90" i="6" s="1"/>
  <c r="H90" i="6"/>
  <c r="D91" i="6"/>
  <c r="E91" i="6"/>
  <c r="G91" i="6"/>
  <c r="H91" i="6"/>
  <c r="D92" i="6"/>
  <c r="E92" i="6"/>
  <c r="G92" i="6"/>
  <c r="H92" i="6"/>
  <c r="D93" i="6"/>
  <c r="E93" i="6"/>
  <c r="G93" i="6"/>
  <c r="F93" i="6" s="1"/>
  <c r="H93" i="6"/>
  <c r="D94" i="6"/>
  <c r="E94" i="6"/>
  <c r="G94" i="6"/>
  <c r="F94" i="6" s="1"/>
  <c r="H94" i="6"/>
  <c r="D95" i="6"/>
  <c r="E95" i="6"/>
  <c r="G95" i="6"/>
  <c r="H95" i="6"/>
  <c r="D96" i="6"/>
  <c r="E96" i="6"/>
  <c r="G96" i="6"/>
  <c r="H96" i="6"/>
  <c r="D97" i="6"/>
  <c r="E97" i="6"/>
  <c r="G97" i="6"/>
  <c r="F97" i="6" s="1"/>
  <c r="H97" i="6"/>
  <c r="D98" i="6"/>
  <c r="E98" i="6"/>
  <c r="G98" i="6"/>
  <c r="F98" i="6" s="1"/>
  <c r="H98" i="6"/>
  <c r="D99" i="6"/>
  <c r="E99" i="6"/>
  <c r="G99" i="6"/>
  <c r="F99" i="6" s="1"/>
  <c r="H99" i="6"/>
  <c r="D100" i="6"/>
  <c r="E100" i="6"/>
  <c r="G100" i="6"/>
  <c r="F100" i="6" s="1"/>
  <c r="H100" i="6"/>
  <c r="D101" i="6"/>
  <c r="E101" i="6"/>
  <c r="G101" i="6"/>
  <c r="F101" i="6" s="1"/>
  <c r="H101" i="6"/>
  <c r="D102" i="6"/>
  <c r="E102" i="6"/>
  <c r="G102" i="6"/>
  <c r="F102" i="6" s="1"/>
  <c r="H102" i="6"/>
  <c r="D103" i="6"/>
  <c r="E103" i="6"/>
  <c r="G103" i="6"/>
  <c r="F103" i="6" s="1"/>
  <c r="H103" i="6"/>
  <c r="D104" i="6"/>
  <c r="E104" i="6"/>
  <c r="G104" i="6"/>
  <c r="H104" i="6"/>
  <c r="G5" i="6"/>
  <c r="B61" i="5"/>
  <c r="C61" i="5"/>
  <c r="D61" i="5"/>
  <c r="E61" i="5"/>
  <c r="B62" i="5"/>
  <c r="C62" i="5"/>
  <c r="D62" i="5"/>
  <c r="E62" i="5"/>
  <c r="B63" i="5"/>
  <c r="C63" i="5"/>
  <c r="D63" i="5"/>
  <c r="E63" i="5"/>
  <c r="B64" i="5"/>
  <c r="C64" i="5"/>
  <c r="D64" i="5"/>
  <c r="E64" i="5"/>
  <c r="B65" i="5"/>
  <c r="C65" i="5"/>
  <c r="D65" i="5"/>
  <c r="E65" i="5"/>
  <c r="B66" i="5"/>
  <c r="C66" i="5"/>
  <c r="D66" i="5"/>
  <c r="E66" i="5"/>
  <c r="B67" i="5"/>
  <c r="C67" i="5"/>
  <c r="D67" i="5"/>
  <c r="E67" i="5"/>
  <c r="B68" i="5"/>
  <c r="C68" i="5"/>
  <c r="D68" i="5"/>
  <c r="E68" i="5"/>
  <c r="B69" i="5"/>
  <c r="C69" i="5"/>
  <c r="D69" i="5"/>
  <c r="E69" i="5"/>
  <c r="B70" i="5"/>
  <c r="C70" i="5"/>
  <c r="D70" i="5"/>
  <c r="E70" i="5"/>
  <c r="B71" i="5"/>
  <c r="C71" i="5"/>
  <c r="D71" i="5"/>
  <c r="E71" i="5"/>
  <c r="B72" i="5"/>
  <c r="C72" i="5"/>
  <c r="D72" i="5"/>
  <c r="E72" i="5"/>
  <c r="B73" i="5"/>
  <c r="C73" i="5"/>
  <c r="D73" i="5"/>
  <c r="E73" i="5"/>
  <c r="B74" i="5"/>
  <c r="C74" i="5"/>
  <c r="D74" i="5"/>
  <c r="E74" i="5"/>
  <c r="B75" i="5"/>
  <c r="C75" i="5"/>
  <c r="D75" i="5"/>
  <c r="E75" i="5"/>
  <c r="B76" i="5"/>
  <c r="C76" i="5"/>
  <c r="D76" i="5"/>
  <c r="E76" i="5"/>
  <c r="B77" i="5"/>
  <c r="C77" i="5"/>
  <c r="D77" i="5"/>
  <c r="E77" i="5"/>
  <c r="B78" i="5"/>
  <c r="C78" i="5"/>
  <c r="D78" i="5"/>
  <c r="E78" i="5"/>
  <c r="B79" i="5"/>
  <c r="C79" i="5"/>
  <c r="D79" i="5"/>
  <c r="E79" i="5"/>
  <c r="B80" i="5"/>
  <c r="C80" i="5"/>
  <c r="D80" i="5"/>
  <c r="E80" i="5"/>
  <c r="B81" i="5"/>
  <c r="C81" i="5"/>
  <c r="D81" i="5"/>
  <c r="E81" i="5"/>
  <c r="B82" i="5"/>
  <c r="C82" i="5"/>
  <c r="D82" i="5"/>
  <c r="E82" i="5"/>
  <c r="B83" i="5"/>
  <c r="C83" i="5"/>
  <c r="D83" i="5"/>
  <c r="E83" i="5"/>
  <c r="B84" i="5"/>
  <c r="C84" i="5"/>
  <c r="D84" i="5"/>
  <c r="E84" i="5"/>
  <c r="B85" i="5"/>
  <c r="C85" i="5"/>
  <c r="D85" i="5"/>
  <c r="E85" i="5"/>
  <c r="B86" i="5"/>
  <c r="C86" i="5"/>
  <c r="D86" i="5"/>
  <c r="E86" i="5"/>
  <c r="B87" i="5"/>
  <c r="C87" i="5"/>
  <c r="D87" i="5"/>
  <c r="E87" i="5"/>
  <c r="B88" i="5"/>
  <c r="C88" i="5"/>
  <c r="D88" i="5"/>
  <c r="E88" i="5"/>
  <c r="B89" i="5"/>
  <c r="C89" i="5"/>
  <c r="D89" i="5"/>
  <c r="E89" i="5"/>
  <c r="B90" i="5"/>
  <c r="C90" i="5"/>
  <c r="D90" i="5"/>
  <c r="E90" i="5"/>
  <c r="B91" i="5"/>
  <c r="C91" i="5"/>
  <c r="D91" i="5"/>
  <c r="E91" i="5"/>
  <c r="B92" i="5"/>
  <c r="C92" i="5"/>
  <c r="D92" i="5"/>
  <c r="E92" i="5"/>
  <c r="B93" i="5"/>
  <c r="C93" i="5"/>
  <c r="D93" i="5"/>
  <c r="E93" i="5"/>
  <c r="B94" i="5"/>
  <c r="C94" i="5"/>
  <c r="D94" i="5"/>
  <c r="E94" i="5"/>
  <c r="B95" i="5"/>
  <c r="C95" i="5"/>
  <c r="D95" i="5"/>
  <c r="E95" i="5"/>
  <c r="B96" i="5"/>
  <c r="C96" i="5"/>
  <c r="D96" i="5"/>
  <c r="E96" i="5"/>
  <c r="B97" i="5"/>
  <c r="C97" i="5"/>
  <c r="D97" i="5"/>
  <c r="E97" i="5"/>
  <c r="B98" i="5"/>
  <c r="C98" i="5"/>
  <c r="D98" i="5"/>
  <c r="E98" i="5"/>
  <c r="B99" i="5"/>
  <c r="C99" i="5"/>
  <c r="D99" i="5"/>
  <c r="E99" i="5"/>
  <c r="B100" i="5"/>
  <c r="C100" i="5"/>
  <c r="D100" i="5"/>
  <c r="E100" i="5"/>
  <c r="B101" i="5"/>
  <c r="C101" i="5"/>
  <c r="D101" i="5"/>
  <c r="E101" i="5"/>
  <c r="B102" i="5"/>
  <c r="C102" i="5"/>
  <c r="D102" i="5"/>
  <c r="E102" i="5"/>
  <c r="B103" i="5"/>
  <c r="C103" i="5"/>
  <c r="D103" i="5"/>
  <c r="E103" i="5"/>
  <c r="B104" i="5"/>
  <c r="C104" i="5"/>
  <c r="D104" i="5"/>
  <c r="E104" i="5"/>
  <c r="B105" i="5"/>
  <c r="C105" i="5"/>
  <c r="D105" i="5"/>
  <c r="E105" i="5"/>
  <c r="B106" i="5"/>
  <c r="C106" i="5"/>
  <c r="D106" i="5"/>
  <c r="E106" i="5"/>
  <c r="B107" i="5"/>
  <c r="C107" i="5"/>
  <c r="D107" i="5"/>
  <c r="E107" i="5"/>
  <c r="B108" i="5"/>
  <c r="C108" i="5"/>
  <c r="D108" i="5"/>
  <c r="E108" i="5"/>
  <c r="B109" i="5"/>
  <c r="C109" i="5"/>
  <c r="D109" i="5"/>
  <c r="E109" i="5"/>
  <c r="B110" i="5"/>
  <c r="C110" i="5"/>
  <c r="D110" i="5"/>
  <c r="E110" i="5"/>
  <c r="B111" i="5"/>
  <c r="C111" i="5"/>
  <c r="D111" i="5"/>
  <c r="E111" i="5"/>
  <c r="Q98" i="4"/>
  <c r="S105" i="4"/>
  <c r="S103" i="4"/>
  <c r="S102" i="4"/>
  <c r="S101" i="4"/>
  <c r="S100" i="4"/>
  <c r="S99" i="4"/>
  <c r="S98" i="4"/>
  <c r="S97" i="4"/>
  <c r="S95" i="4"/>
  <c r="S93" i="4"/>
  <c r="S91" i="4"/>
  <c r="S89" i="4"/>
  <c r="S87" i="4"/>
  <c r="S86" i="4"/>
  <c r="S85" i="4"/>
  <c r="S84" i="4"/>
  <c r="S82" i="4"/>
  <c r="S81" i="4"/>
  <c r="S80" i="4"/>
  <c r="R105" i="4"/>
  <c r="R103" i="4"/>
  <c r="R102" i="4"/>
  <c r="R101" i="4"/>
  <c r="R100" i="4"/>
  <c r="R99" i="4"/>
  <c r="R98" i="4"/>
  <c r="R97" i="4"/>
  <c r="R95" i="4"/>
  <c r="R93" i="4"/>
  <c r="R91" i="4"/>
  <c r="R89" i="4"/>
  <c r="R87" i="4"/>
  <c r="R86" i="4"/>
  <c r="R85" i="4"/>
  <c r="R84" i="4"/>
  <c r="R82" i="4"/>
  <c r="R81" i="4"/>
  <c r="R80" i="4"/>
  <c r="Q105" i="4"/>
  <c r="Q103" i="4"/>
  <c r="Q102" i="4"/>
  <c r="Q101" i="4"/>
  <c r="Q100" i="4"/>
  <c r="Q99" i="4"/>
  <c r="Q97" i="4"/>
  <c r="Q95" i="4"/>
  <c r="Q93" i="4"/>
  <c r="Q91" i="4"/>
  <c r="Q89" i="4"/>
  <c r="Q87" i="4"/>
  <c r="Q86" i="4"/>
  <c r="Q85" i="4"/>
  <c r="Q84" i="4"/>
  <c r="Q82" i="4"/>
  <c r="Q81" i="4"/>
  <c r="Q80" i="4"/>
  <c r="P105" i="4"/>
  <c r="P103" i="4"/>
  <c r="P102" i="4"/>
  <c r="P101" i="4"/>
  <c r="P100" i="4"/>
  <c r="P99" i="4"/>
  <c r="P98" i="4"/>
  <c r="P97" i="4"/>
  <c r="P95" i="4"/>
  <c r="P93" i="4"/>
  <c r="P91" i="4"/>
  <c r="P89" i="4"/>
  <c r="P87" i="4"/>
  <c r="P86" i="4"/>
  <c r="P85" i="4"/>
  <c r="P84" i="4"/>
  <c r="P82" i="4"/>
  <c r="P81" i="4"/>
  <c r="P80" i="4"/>
  <c r="I104" i="6" l="1"/>
  <c r="Z104" i="6" s="1"/>
  <c r="F104" i="6"/>
  <c r="I92" i="6"/>
  <c r="Z92" i="6" s="1"/>
  <c r="F92" i="6"/>
  <c r="I88" i="6"/>
  <c r="Z88" i="6" s="1"/>
  <c r="F88" i="6"/>
  <c r="I84" i="6"/>
  <c r="Z84" i="6" s="1"/>
  <c r="F84" i="6"/>
  <c r="I80" i="6"/>
  <c r="Z80" i="6" s="1"/>
  <c r="F80" i="6"/>
  <c r="I76" i="6"/>
  <c r="Z76" i="6" s="1"/>
  <c r="F76" i="6"/>
  <c r="I72" i="6"/>
  <c r="Z72" i="6" s="1"/>
  <c r="F72" i="6"/>
  <c r="I68" i="6"/>
  <c r="Z68" i="6" s="1"/>
  <c r="F68" i="6"/>
  <c r="I64" i="6"/>
  <c r="F64" i="6"/>
  <c r="I60" i="6"/>
  <c r="Z60" i="6" s="1"/>
  <c r="F60" i="6"/>
  <c r="I56" i="6"/>
  <c r="Z56" i="6" s="1"/>
  <c r="F56" i="6"/>
  <c r="I96" i="6"/>
  <c r="F96" i="6"/>
  <c r="I95" i="6"/>
  <c r="Z95" i="6" s="1"/>
  <c r="F95" i="6"/>
  <c r="I91" i="6"/>
  <c r="Z91" i="6" s="1"/>
  <c r="F91" i="6"/>
  <c r="I87" i="6"/>
  <c r="Z87" i="6" s="1"/>
  <c r="F87" i="6"/>
  <c r="I83" i="6"/>
  <c r="Z83" i="6" s="1"/>
  <c r="F83" i="6"/>
  <c r="I79" i="6"/>
  <c r="Z79" i="6" s="1"/>
  <c r="F79" i="6"/>
  <c r="I75" i="6"/>
  <c r="Z75" i="6" s="1"/>
  <c r="F75" i="6"/>
  <c r="I71" i="6"/>
  <c r="Z71" i="6" s="1"/>
  <c r="F71" i="6"/>
  <c r="I67" i="6"/>
  <c r="F67" i="6"/>
  <c r="I63" i="6"/>
  <c r="Z63" i="6" s="1"/>
  <c r="F63" i="6"/>
  <c r="I59" i="6"/>
  <c r="Z59" i="6" s="1"/>
  <c r="F59" i="6"/>
  <c r="I55" i="6"/>
  <c r="Z55" i="6" s="1"/>
  <c r="F55" i="6"/>
  <c r="E41" i="10"/>
  <c r="J104" i="6"/>
  <c r="J102" i="6"/>
  <c r="J100" i="6"/>
  <c r="J98" i="6"/>
  <c r="J96" i="6"/>
  <c r="J94" i="6"/>
  <c r="J92" i="6"/>
  <c r="J90" i="6"/>
  <c r="J88" i="6"/>
  <c r="J86" i="6"/>
  <c r="J84" i="6"/>
  <c r="J82" i="6"/>
  <c r="J80" i="6"/>
  <c r="J78" i="6"/>
  <c r="J76" i="6"/>
  <c r="J74" i="6"/>
  <c r="J72" i="6"/>
  <c r="J70" i="6"/>
  <c r="J68" i="6"/>
  <c r="J66" i="6"/>
  <c r="J64" i="6"/>
  <c r="J62" i="6"/>
  <c r="J60" i="6"/>
  <c r="J58" i="6"/>
  <c r="J56" i="6"/>
  <c r="J103" i="6"/>
  <c r="J101" i="6"/>
  <c r="J97" i="6"/>
  <c r="J95" i="6"/>
  <c r="J91" i="6"/>
  <c r="J89" i="6"/>
  <c r="J87" i="6"/>
  <c r="J85" i="6"/>
  <c r="J83" i="6"/>
  <c r="J81" i="6"/>
  <c r="J79" i="6"/>
  <c r="J77" i="6"/>
  <c r="J75" i="6"/>
  <c r="J73" i="6"/>
  <c r="J71" i="6"/>
  <c r="J69" i="6"/>
  <c r="J67" i="6"/>
  <c r="J65" i="6"/>
  <c r="J63" i="6"/>
  <c r="J61" i="6"/>
  <c r="J59" i="6"/>
  <c r="J57" i="6"/>
  <c r="J55" i="6"/>
  <c r="J99" i="6"/>
  <c r="J93" i="6"/>
  <c r="I101" i="6"/>
  <c r="Z101" i="6" s="1"/>
  <c r="AK101" i="6" s="1"/>
  <c r="I99" i="6"/>
  <c r="Z99" i="6" s="1"/>
  <c r="AK87" i="6"/>
  <c r="I98" i="6"/>
  <c r="Z98" i="6" s="1"/>
  <c r="I103" i="6"/>
  <c r="Z103" i="6" s="1"/>
  <c r="I97" i="6"/>
  <c r="Z97" i="6" s="1"/>
  <c r="I102" i="6"/>
  <c r="Z102" i="6" s="1"/>
  <c r="I94" i="6"/>
  <c r="Z94" i="6" s="1"/>
  <c r="I93" i="6"/>
  <c r="Z93" i="6" s="1"/>
  <c r="I90" i="6"/>
  <c r="Z90" i="6" s="1"/>
  <c r="I89" i="6"/>
  <c r="Z89" i="6" s="1"/>
  <c r="I86" i="6"/>
  <c r="Z86" i="6" s="1"/>
  <c r="I85" i="6"/>
  <c r="Z85" i="6" s="1"/>
  <c r="I82" i="6"/>
  <c r="Z82" i="6" s="1"/>
  <c r="I81" i="6"/>
  <c r="Z81" i="6" s="1"/>
  <c r="I78" i="6"/>
  <c r="Z78" i="6" s="1"/>
  <c r="I77" i="6"/>
  <c r="Z77" i="6" s="1"/>
  <c r="I74" i="6"/>
  <c r="Z74" i="6" s="1"/>
  <c r="I73" i="6"/>
  <c r="Z73" i="6" s="1"/>
  <c r="I70" i="6"/>
  <c r="Z70" i="6" s="1"/>
  <c r="I69" i="6"/>
  <c r="Z69" i="6" s="1"/>
  <c r="I66" i="6"/>
  <c r="Z66" i="6" s="1"/>
  <c r="I65" i="6"/>
  <c r="Z65" i="6" s="1"/>
  <c r="I62" i="6"/>
  <c r="Z62" i="6" s="1"/>
  <c r="I61" i="6"/>
  <c r="Z61" i="6" s="1"/>
  <c r="I58" i="6"/>
  <c r="Z58" i="6" s="1"/>
  <c r="I57" i="6"/>
  <c r="Z57" i="6" s="1"/>
  <c r="AK98" i="6"/>
  <c r="Z67" i="6"/>
  <c r="AK67" i="6" s="1"/>
  <c r="AK68" i="6"/>
  <c r="AK56" i="6"/>
  <c r="AK72" i="6"/>
  <c r="AK76" i="6"/>
  <c r="AK84" i="6"/>
  <c r="Z64" i="6"/>
  <c r="AK64" i="6" s="1"/>
  <c r="AK88" i="6"/>
  <c r="Z96" i="6"/>
  <c r="AK95" i="6"/>
  <c r="AK91" i="6"/>
  <c r="AK80" i="6"/>
  <c r="AK92" i="6"/>
  <c r="AK104" i="6"/>
  <c r="AK85" i="6"/>
  <c r="AK83" i="6"/>
  <c r="AK75" i="6"/>
  <c r="AK69" i="6"/>
  <c r="AK73" i="6"/>
  <c r="AK71" i="6"/>
  <c r="AK57" i="6"/>
  <c r="AK63" i="6"/>
  <c r="AK59" i="6"/>
  <c r="AK55" i="6"/>
  <c r="I100" i="6"/>
  <c r="Z100" i="6" s="1"/>
  <c r="B28" i="5"/>
  <c r="C28" i="5"/>
  <c r="D28" i="5"/>
  <c r="E28" i="5"/>
  <c r="BQ5" i="6"/>
  <c r="AK97" i="6" l="1"/>
  <c r="AK79" i="6"/>
  <c r="AK99" i="6"/>
  <c r="AK60" i="6"/>
  <c r="AK58" i="6"/>
  <c r="AK103" i="6"/>
  <c r="AK61" i="6"/>
  <c r="AK65" i="6"/>
  <c r="AK100" i="6"/>
  <c r="AK102" i="6"/>
  <c r="AK86" i="6"/>
  <c r="AK78" i="6"/>
  <c r="AK81" i="6"/>
  <c r="AK93" i="6"/>
  <c r="AK90" i="6"/>
  <c r="AK62" i="6"/>
  <c r="AK89" i="6"/>
  <c r="AK82" i="6"/>
  <c r="AK66" i="6"/>
  <c r="AK70" i="6"/>
  <c r="AK74" i="6"/>
  <c r="AK77" i="6"/>
  <c r="AK94" i="6"/>
  <c r="AK96" i="6"/>
  <c r="L46" i="4"/>
  <c r="M46" i="4"/>
  <c r="N46" i="4"/>
  <c r="O46" i="4"/>
  <c r="L82" i="4"/>
  <c r="M82" i="4"/>
  <c r="N82" i="4"/>
  <c r="O82" i="4"/>
  <c r="K82" i="4"/>
  <c r="K46" i="4"/>
  <c r="P46" i="4" l="1"/>
  <c r="Q46" i="4"/>
  <c r="S46" i="4"/>
  <c r="R46" i="4"/>
  <c r="K98" i="4"/>
  <c r="L98" i="4"/>
  <c r="M98" i="4"/>
  <c r="N98" i="4"/>
  <c r="O98" i="4"/>
  <c r="K99" i="4"/>
  <c r="L99" i="4"/>
  <c r="M99" i="4"/>
  <c r="N99" i="4"/>
  <c r="O99" i="4"/>
  <c r="K100" i="4"/>
  <c r="L100" i="4"/>
  <c r="M100" i="4"/>
  <c r="N100" i="4"/>
  <c r="O100" i="4"/>
  <c r="K101" i="4"/>
  <c r="L101" i="4"/>
  <c r="M101" i="4"/>
  <c r="N101" i="4"/>
  <c r="O101" i="4"/>
  <c r="K102" i="4"/>
  <c r="L102" i="4"/>
  <c r="M102" i="4"/>
  <c r="N102" i="4"/>
  <c r="O102" i="4"/>
  <c r="K103" i="4"/>
  <c r="L103" i="4"/>
  <c r="M103" i="4"/>
  <c r="N103" i="4"/>
  <c r="O103" i="4"/>
  <c r="L97" i="4"/>
  <c r="M97" i="4"/>
  <c r="N97" i="4"/>
  <c r="O97" i="4"/>
  <c r="K97" i="4"/>
  <c r="K62" i="4"/>
  <c r="L62" i="4"/>
  <c r="M62" i="4"/>
  <c r="N62" i="4"/>
  <c r="O62" i="4"/>
  <c r="K63" i="4"/>
  <c r="L63" i="4"/>
  <c r="M63" i="4"/>
  <c r="N63" i="4"/>
  <c r="O63" i="4"/>
  <c r="K64" i="4"/>
  <c r="L64" i="4"/>
  <c r="M64" i="4"/>
  <c r="N64" i="4"/>
  <c r="O64" i="4"/>
  <c r="K65" i="4"/>
  <c r="L65" i="4"/>
  <c r="M65" i="4"/>
  <c r="N65" i="4"/>
  <c r="O65" i="4"/>
  <c r="K66" i="4"/>
  <c r="L66" i="4"/>
  <c r="M66" i="4"/>
  <c r="N66" i="4"/>
  <c r="O66" i="4"/>
  <c r="K67" i="4"/>
  <c r="L67" i="4"/>
  <c r="M67" i="4"/>
  <c r="N67" i="4"/>
  <c r="O67" i="4"/>
  <c r="L61" i="4"/>
  <c r="M61" i="4"/>
  <c r="N61" i="4"/>
  <c r="O61" i="4"/>
  <c r="K61" i="4"/>
  <c r="L85" i="4"/>
  <c r="M85" i="4"/>
  <c r="N85" i="4"/>
  <c r="O85" i="4"/>
  <c r="K85" i="4"/>
  <c r="L49" i="4"/>
  <c r="M49" i="4"/>
  <c r="N49" i="4"/>
  <c r="O49" i="4"/>
  <c r="K49" i="4"/>
  <c r="P62" i="4" l="1"/>
  <c r="S62" i="4"/>
  <c r="R62" i="4"/>
  <c r="Q62" i="4"/>
  <c r="P65" i="4"/>
  <c r="S65" i="4"/>
  <c r="R65" i="4"/>
  <c r="Q65" i="4"/>
  <c r="P63" i="4"/>
  <c r="S63" i="4"/>
  <c r="R63" i="4"/>
  <c r="Q63" i="4"/>
  <c r="S49" i="4"/>
  <c r="R49" i="4"/>
  <c r="P49" i="4"/>
  <c r="Q49" i="4"/>
  <c r="P66" i="4"/>
  <c r="Q66" i="4"/>
  <c r="S66" i="4"/>
  <c r="R66" i="4"/>
  <c r="P67" i="4"/>
  <c r="Q67" i="4"/>
  <c r="R67" i="4"/>
  <c r="S67" i="4"/>
  <c r="P61" i="4"/>
  <c r="Q61" i="4"/>
  <c r="R61" i="4"/>
  <c r="S61" i="4"/>
  <c r="P64" i="4"/>
  <c r="S64" i="4"/>
  <c r="R64" i="4"/>
  <c r="Q64" i="4"/>
  <c r="Q31" i="4"/>
  <c r="S31" i="4"/>
  <c r="P10" i="4"/>
  <c r="P13" i="4"/>
  <c r="S13" i="4"/>
  <c r="R31" i="4"/>
  <c r="S25" i="4"/>
  <c r="S30" i="4"/>
  <c r="P31" i="4"/>
  <c r="P25" i="4"/>
  <c r="R28" i="4"/>
  <c r="S26" i="4"/>
  <c r="R26" i="4"/>
  <c r="P26" i="4"/>
  <c r="S28" i="4"/>
  <c r="P29" i="4"/>
  <c r="Q26" i="4"/>
  <c r="P30" i="4"/>
  <c r="P28" i="4"/>
  <c r="P27" i="4"/>
  <c r="Q13" i="4"/>
  <c r="R13" i="4"/>
  <c r="R30" i="4"/>
  <c r="Q28" i="4"/>
  <c r="Q30" i="4"/>
  <c r="S27" i="4"/>
  <c r="R29" i="4"/>
  <c r="S29" i="4"/>
  <c r="R27" i="4"/>
  <c r="Q29" i="4"/>
  <c r="Q27" i="4"/>
  <c r="R25" i="4"/>
  <c r="Q25" i="4"/>
  <c r="R10" i="4"/>
  <c r="Q10" i="4"/>
  <c r="S10" i="4"/>
  <c r="K105" i="4"/>
  <c r="L95" i="4"/>
  <c r="M95" i="4"/>
  <c r="N95" i="4"/>
  <c r="O95" i="4"/>
  <c r="K95" i="4"/>
  <c r="L59" i="4"/>
  <c r="M59" i="4"/>
  <c r="N59" i="4"/>
  <c r="O59" i="4"/>
  <c r="K59" i="4"/>
  <c r="L86" i="4"/>
  <c r="M86" i="4"/>
  <c r="N86" i="4"/>
  <c r="O86" i="4"/>
  <c r="K86" i="4"/>
  <c r="L93" i="4"/>
  <c r="M93" i="4"/>
  <c r="N93" i="4"/>
  <c r="O93" i="4"/>
  <c r="K93" i="4"/>
  <c r="L57" i="4"/>
  <c r="M57" i="4"/>
  <c r="N57" i="4"/>
  <c r="O57" i="4"/>
  <c r="K57" i="4"/>
  <c r="L91" i="4"/>
  <c r="M91" i="4"/>
  <c r="N91" i="4"/>
  <c r="O91" i="4"/>
  <c r="K91" i="4"/>
  <c r="K55" i="4"/>
  <c r="L55" i="4"/>
  <c r="M55" i="4"/>
  <c r="N55" i="4"/>
  <c r="O55" i="4"/>
  <c r="L89" i="4"/>
  <c r="M89" i="4"/>
  <c r="N89" i="4"/>
  <c r="O89" i="4"/>
  <c r="K89" i="4"/>
  <c r="L53" i="4"/>
  <c r="M53" i="4"/>
  <c r="N53" i="4"/>
  <c r="O53" i="4"/>
  <c r="K53" i="4"/>
  <c r="L50" i="4"/>
  <c r="M50" i="4"/>
  <c r="N50" i="4"/>
  <c r="O50" i="4"/>
  <c r="K50" i="4"/>
  <c r="L48" i="4"/>
  <c r="L84" i="4"/>
  <c r="M84" i="4"/>
  <c r="N84" i="4"/>
  <c r="O84" i="4"/>
  <c r="P59" i="4" l="1"/>
  <c r="S59" i="4"/>
  <c r="R59" i="4"/>
  <c r="Q59" i="4"/>
  <c r="Q57" i="4"/>
  <c r="P57" i="4"/>
  <c r="R57" i="4"/>
  <c r="S57" i="4"/>
  <c r="P55" i="4"/>
  <c r="Q55" i="4"/>
  <c r="S55" i="4"/>
  <c r="R55" i="4"/>
  <c r="P50" i="4"/>
  <c r="S50" i="4"/>
  <c r="R50" i="4"/>
  <c r="Q50" i="4"/>
  <c r="P53" i="4"/>
  <c r="S53" i="4"/>
  <c r="R53" i="4"/>
  <c r="Q53" i="4"/>
  <c r="K84" i="4"/>
  <c r="K87" i="4" s="1"/>
  <c r="M48" i="4"/>
  <c r="N48" i="4"/>
  <c r="O48" i="4"/>
  <c r="K48" i="4"/>
  <c r="K7" i="4"/>
  <c r="BP5" i="6"/>
  <c r="E17" i="10" s="1"/>
  <c r="BR5" i="6"/>
  <c r="P48" i="4" l="1"/>
  <c r="S48" i="4"/>
  <c r="R48" i="4"/>
  <c r="Q48" i="4"/>
  <c r="S19" i="4"/>
  <c r="S17" i="4"/>
  <c r="K51" i="4"/>
  <c r="S12" i="4"/>
  <c r="R21" i="4"/>
  <c r="Q21" i="4"/>
  <c r="P21" i="4"/>
  <c r="S21" i="4"/>
  <c r="P23" i="4"/>
  <c r="Q23" i="4"/>
  <c r="S23" i="4"/>
  <c r="R23" i="4"/>
  <c r="Q14" i="4"/>
  <c r="P14" i="4"/>
  <c r="S14" i="4"/>
  <c r="R14" i="4"/>
  <c r="P19" i="4"/>
  <c r="Q19" i="4"/>
  <c r="R19" i="4"/>
  <c r="P17" i="4"/>
  <c r="Q17" i="4"/>
  <c r="R17" i="4"/>
  <c r="P12" i="4"/>
  <c r="Q12" i="4"/>
  <c r="R12" i="4"/>
  <c r="K15" i="4"/>
  <c r="AV5" i="6" l="1"/>
  <c r="I5" i="6" l="1"/>
  <c r="G6" i="6"/>
  <c r="I6" i="6" s="1"/>
  <c r="G7" i="6"/>
  <c r="I7" i="6" s="1"/>
  <c r="G8" i="6"/>
  <c r="I8" i="6" s="1"/>
  <c r="G9" i="6"/>
  <c r="G10" i="6"/>
  <c r="G11" i="6"/>
  <c r="G12" i="6"/>
  <c r="G13" i="6"/>
  <c r="F13" i="6" s="1"/>
  <c r="G14" i="6"/>
  <c r="G15" i="6"/>
  <c r="G16" i="6"/>
  <c r="G17" i="6"/>
  <c r="F17" i="6" s="1"/>
  <c r="G18" i="6"/>
  <c r="G19" i="6"/>
  <c r="G20" i="6"/>
  <c r="F20" i="6" s="1"/>
  <c r="G21" i="6"/>
  <c r="G22" i="6"/>
  <c r="F22" i="6" s="1"/>
  <c r="G23" i="6"/>
  <c r="G24" i="6"/>
  <c r="G25" i="6"/>
  <c r="F25" i="6" s="1"/>
  <c r="G26" i="6"/>
  <c r="F26" i="6" s="1"/>
  <c r="G27" i="6"/>
  <c r="F27" i="6" s="1"/>
  <c r="G28" i="6"/>
  <c r="F28" i="6" s="1"/>
  <c r="G29" i="6"/>
  <c r="F29" i="6" s="1"/>
  <c r="G30" i="6"/>
  <c r="F30" i="6" s="1"/>
  <c r="G31" i="6"/>
  <c r="F31" i="6" s="1"/>
  <c r="G32" i="6"/>
  <c r="F32" i="6" s="1"/>
  <c r="G33" i="6"/>
  <c r="F33" i="6" s="1"/>
  <c r="G34" i="6"/>
  <c r="F34" i="6" s="1"/>
  <c r="G35" i="6"/>
  <c r="F35" i="6" s="1"/>
  <c r="G36" i="6"/>
  <c r="F36" i="6" s="1"/>
  <c r="G37" i="6"/>
  <c r="F37" i="6" s="1"/>
  <c r="G38" i="6"/>
  <c r="F38" i="6" s="1"/>
  <c r="G39" i="6"/>
  <c r="F39" i="6" s="1"/>
  <c r="G40" i="6"/>
  <c r="F40" i="6" s="1"/>
  <c r="G41" i="6"/>
  <c r="F41" i="6" s="1"/>
  <c r="G42" i="6"/>
  <c r="F42" i="6" s="1"/>
  <c r="G43" i="6"/>
  <c r="F43" i="6" s="1"/>
  <c r="G44" i="6"/>
  <c r="F44" i="6" s="1"/>
  <c r="G45" i="6"/>
  <c r="F45" i="6" s="1"/>
  <c r="G46" i="6"/>
  <c r="F46" i="6" s="1"/>
  <c r="G47" i="6"/>
  <c r="F47" i="6" s="1"/>
  <c r="G48" i="6"/>
  <c r="F48" i="6" s="1"/>
  <c r="G49" i="6"/>
  <c r="F49" i="6" s="1"/>
  <c r="G50" i="6"/>
  <c r="F50" i="6" s="1"/>
  <c r="G51" i="6"/>
  <c r="F51" i="6" s="1"/>
  <c r="G52" i="6"/>
  <c r="F52" i="6" s="1"/>
  <c r="G53" i="6"/>
  <c r="F53" i="6" s="1"/>
  <c r="G54" i="6"/>
  <c r="F54" i="6" s="1"/>
  <c r="E5" i="6"/>
  <c r="D5" i="6"/>
  <c r="J5" i="6" l="1"/>
  <c r="I10" i="6"/>
  <c r="I9" i="6"/>
  <c r="I44" i="6"/>
  <c r="I51" i="6"/>
  <c r="I27" i="6"/>
  <c r="I19" i="6"/>
  <c r="I50" i="6"/>
  <c r="I42" i="6"/>
  <c r="I34" i="6"/>
  <c r="I26" i="6"/>
  <c r="I18" i="6"/>
  <c r="I52" i="6"/>
  <c r="I20" i="6"/>
  <c r="I35" i="6"/>
  <c r="I49" i="6"/>
  <c r="I41" i="6"/>
  <c r="I33" i="6"/>
  <c r="I25" i="6"/>
  <c r="I17" i="6"/>
  <c r="I40" i="6"/>
  <c r="I16" i="6"/>
  <c r="I47" i="6"/>
  <c r="I39" i="6"/>
  <c r="I31" i="6"/>
  <c r="I23" i="6"/>
  <c r="I15" i="6"/>
  <c r="I36" i="6"/>
  <c r="I43" i="6"/>
  <c r="I24" i="6"/>
  <c r="I54" i="6"/>
  <c r="I46" i="6"/>
  <c r="I38" i="6"/>
  <c r="I30" i="6"/>
  <c r="I22" i="6"/>
  <c r="I14" i="6"/>
  <c r="I28" i="6"/>
  <c r="I48" i="6"/>
  <c r="I32" i="6"/>
  <c r="I53" i="6"/>
  <c r="I45" i="6"/>
  <c r="I37" i="6"/>
  <c r="I29" i="6"/>
  <c r="I21" i="6"/>
  <c r="I13" i="6"/>
  <c r="I11" i="6"/>
  <c r="I12" i="6"/>
  <c r="Z5" i="6"/>
  <c r="AD6" i="8" l="1"/>
  <c r="C18" i="10" l="1"/>
  <c r="E18" i="10" s="1"/>
  <c r="E20" i="6"/>
  <c r="E21" i="6"/>
  <c r="E22" i="6"/>
  <c r="E23" i="6"/>
  <c r="E24" i="6"/>
  <c r="E25" i="6"/>
  <c r="E26" i="6"/>
  <c r="E27" i="6"/>
  <c r="E28" i="6"/>
  <c r="E29" i="6"/>
  <c r="E30" i="6"/>
  <c r="E31" i="6"/>
  <c r="E32" i="6"/>
  <c r="E33" i="6"/>
  <c r="E34" i="6"/>
  <c r="J34" i="6" s="1"/>
  <c r="E35" i="6"/>
  <c r="E36" i="6"/>
  <c r="E37" i="6"/>
  <c r="E38" i="6"/>
  <c r="E39" i="6"/>
  <c r="E40" i="6"/>
  <c r="E41" i="6"/>
  <c r="E42" i="6"/>
  <c r="J42" i="6" s="1"/>
  <c r="E43" i="6"/>
  <c r="E44" i="6"/>
  <c r="E45" i="6"/>
  <c r="E46" i="6"/>
  <c r="E47" i="6"/>
  <c r="E48" i="6"/>
  <c r="E49" i="6"/>
  <c r="E50" i="6"/>
  <c r="J50" i="6" s="1"/>
  <c r="E51" i="6"/>
  <c r="E52" i="6"/>
  <c r="E53" i="6"/>
  <c r="E54" i="6"/>
  <c r="J54" i="6" s="1"/>
  <c r="E6" i="6"/>
  <c r="E7" i="6"/>
  <c r="E8" i="6"/>
  <c r="E9" i="6"/>
  <c r="E10" i="6"/>
  <c r="E11" i="6"/>
  <c r="E12" i="6"/>
  <c r="E13" i="6"/>
  <c r="E14" i="6"/>
  <c r="E15" i="6"/>
  <c r="E16" i="6"/>
  <c r="E17" i="6"/>
  <c r="E18" i="6"/>
  <c r="E19" i="6"/>
  <c r="B38" i="4"/>
  <c r="B74" i="4"/>
  <c r="B2" i="4"/>
  <c r="AV6" i="6"/>
  <c r="AV7" i="6"/>
  <c r="AV8" i="6"/>
  <c r="AV9" i="6"/>
  <c r="AV10" i="6"/>
  <c r="AV11" i="6"/>
  <c r="AV12" i="6"/>
  <c r="AV13" i="6"/>
  <c r="AV14" i="6"/>
  <c r="AV15" i="6"/>
  <c r="J15" i="6" s="1"/>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B13" i="5"/>
  <c r="B14" i="5"/>
  <c r="B15" i="5"/>
  <c r="B16" i="5"/>
  <c r="B17" i="5"/>
  <c r="B18" i="5"/>
  <c r="B19" i="5"/>
  <c r="B20" i="5"/>
  <c r="B21" i="5"/>
  <c r="B22" i="5"/>
  <c r="B23" i="5"/>
  <c r="B24" i="5"/>
  <c r="B25" i="5"/>
  <c r="B26" i="5"/>
  <c r="B27"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12" i="5"/>
  <c r="AD7" i="2"/>
  <c r="J18" i="6" l="1"/>
  <c r="J16" i="6"/>
  <c r="J26" i="6"/>
  <c r="J49" i="6"/>
  <c r="J41" i="6"/>
  <c r="J33" i="6"/>
  <c r="J25" i="6"/>
  <c r="J46" i="6"/>
  <c r="J38" i="6"/>
  <c r="J30" i="6"/>
  <c r="J22" i="6"/>
  <c r="E15" i="10"/>
  <c r="J12" i="6"/>
  <c r="J10" i="6"/>
  <c r="J11" i="6"/>
  <c r="J14" i="6"/>
  <c r="J6" i="6"/>
  <c r="J48" i="6"/>
  <c r="J40" i="6"/>
  <c r="J32" i="6"/>
  <c r="J24" i="6"/>
  <c r="J47" i="6"/>
  <c r="J39" i="6"/>
  <c r="J31" i="6"/>
  <c r="J23" i="6"/>
  <c r="J53" i="6"/>
  <c r="J45" i="6"/>
  <c r="J37" i="6"/>
  <c r="J29" i="6"/>
  <c r="J21" i="6"/>
  <c r="J19" i="6"/>
  <c r="J52" i="6"/>
  <c r="J44" i="6"/>
  <c r="J36" i="6"/>
  <c r="J28" i="6"/>
  <c r="J20" i="6"/>
  <c r="J17" i="6"/>
  <c r="J51" i="6"/>
  <c r="J43" i="6"/>
  <c r="J35" i="6"/>
  <c r="J27" i="6"/>
  <c r="J7" i="6"/>
  <c r="J13" i="6"/>
  <c r="J9" i="6"/>
  <c r="J8" i="6"/>
  <c r="C19" i="10"/>
  <c r="E19" i="10" s="1"/>
  <c r="E28" i="10" l="1"/>
  <c r="O69" i="4"/>
  <c r="N69" i="4"/>
  <c r="M69" i="4"/>
  <c r="L69" i="4"/>
  <c r="O105" i="4"/>
  <c r="N105" i="4"/>
  <c r="M105" i="4"/>
  <c r="L105" i="4"/>
  <c r="I39" i="8"/>
  <c r="I40" i="8"/>
  <c r="AD7" i="8"/>
  <c r="AD8" i="8"/>
  <c r="AD9" i="8"/>
  <c r="AD10" i="8"/>
  <c r="AD11" i="8"/>
  <c r="AD12" i="8"/>
  <c r="AD13" i="8"/>
  <c r="AD15" i="8"/>
  <c r="AD16" i="8"/>
  <c r="AD5" i="8"/>
  <c r="Q69" i="4" l="1"/>
  <c r="P69" i="4"/>
  <c r="R69" i="4"/>
  <c r="S69" i="4"/>
  <c r="R33" i="4"/>
  <c r="Q33" i="4"/>
  <c r="S33" i="4"/>
  <c r="D13" i="5" l="1"/>
  <c r="D14" i="5"/>
  <c r="D15" i="5"/>
  <c r="D16" i="5"/>
  <c r="D17" i="5"/>
  <c r="D18" i="5"/>
  <c r="D19" i="5"/>
  <c r="D20" i="5"/>
  <c r="D21" i="5"/>
  <c r="D22" i="5"/>
  <c r="D23" i="5"/>
  <c r="D24" i="5"/>
  <c r="D25" i="5"/>
  <c r="D26" i="5"/>
  <c r="D27"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12" i="5"/>
  <c r="Q106" i="4"/>
  <c r="Q70" i="4"/>
  <c r="Q34" i="4"/>
  <c r="AD8" i="2" l="1"/>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E18" i="5" l="1"/>
  <c r="E19" i="5"/>
  <c r="E20" i="5"/>
  <c r="E21" i="5"/>
  <c r="E22" i="5"/>
  <c r="E23" i="5"/>
  <c r="E24" i="5"/>
  <c r="E25" i="5"/>
  <c r="E26" i="5"/>
  <c r="E27"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D6" i="6"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BA6" i="6"/>
  <c r="BA7" i="6" s="1"/>
  <c r="BA8" i="6" s="1"/>
  <c r="BA9" i="6" s="1"/>
  <c r="BA10" i="6" s="1"/>
  <c r="BA11" i="6" s="1"/>
  <c r="BA12" i="6" s="1"/>
  <c r="BA13" i="6" s="1"/>
  <c r="BA14" i="6" s="1"/>
  <c r="BA15" i="6" s="1"/>
  <c r="BA16" i="6" s="1"/>
  <c r="BA17" i="6" s="1"/>
  <c r="BA18" i="6" s="1"/>
  <c r="BA19" i="6" s="1"/>
  <c r="BA20" i="6" s="1"/>
  <c r="BA21" i="6" s="1"/>
  <c r="BA22" i="6" s="1"/>
  <c r="BA23" i="6" s="1"/>
  <c r="BA24" i="6" s="1"/>
  <c r="BA25" i="6" s="1"/>
  <c r="BA26" i="6" s="1"/>
  <c r="BA27" i="6" s="1"/>
  <c r="BA28" i="6" s="1"/>
  <c r="BA29" i="6" s="1"/>
  <c r="BA30" i="6" s="1"/>
  <c r="BA31" i="6" s="1"/>
  <c r="BA32" i="6" s="1"/>
  <c r="BA33" i="6" s="1"/>
  <c r="BA34" i="6" s="1"/>
  <c r="BA35" i="6" s="1"/>
  <c r="BA36" i="6" s="1"/>
  <c r="BA37" i="6" s="1"/>
  <c r="BA38" i="6" s="1"/>
  <c r="BA39" i="6" s="1"/>
  <c r="BA40" i="6" s="1"/>
  <c r="BA41" i="6" s="1"/>
  <c r="BA42" i="6" s="1"/>
  <c r="BA43" i="6" s="1"/>
  <c r="BA44" i="6" s="1"/>
  <c r="BA45" i="6" s="1"/>
  <c r="BA46" i="6" s="1"/>
  <c r="BA47" i="6" s="1"/>
  <c r="BA48" i="6" s="1"/>
  <c r="BA49" i="6" s="1"/>
  <c r="BA50" i="6" s="1"/>
  <c r="BA51" i="6" s="1"/>
  <c r="BA52" i="6" s="1"/>
  <c r="BA53" i="6" s="1"/>
  <c r="BA54" i="6" s="1"/>
  <c r="BA55" i="6" s="1"/>
  <c r="BA56" i="6" s="1"/>
  <c r="BA57" i="6" s="1"/>
  <c r="BA58" i="6" s="1"/>
  <c r="BA59" i="6" s="1"/>
  <c r="BA60" i="6" s="1"/>
  <c r="BA61" i="6" s="1"/>
  <c r="BA62" i="6" s="1"/>
  <c r="BA63" i="6" s="1"/>
  <c r="BA64" i="6" s="1"/>
  <c r="BA65" i="6" s="1"/>
  <c r="BA66" i="6" s="1"/>
  <c r="BA67" i="6" s="1"/>
  <c r="BA68" i="6" s="1"/>
  <c r="BA69" i="6" s="1"/>
  <c r="BA70" i="6" s="1"/>
  <c r="BA71" i="6" s="1"/>
  <c r="BA72" i="6" s="1"/>
  <c r="BA73" i="6" s="1"/>
  <c r="BA74" i="6" s="1"/>
  <c r="BA75" i="6" s="1"/>
  <c r="BA76" i="6" s="1"/>
  <c r="BA77" i="6" s="1"/>
  <c r="BA78" i="6" s="1"/>
  <c r="BA79" i="6" s="1"/>
  <c r="BA80" i="6" s="1"/>
  <c r="BA81" i="6" s="1"/>
  <c r="BA82" i="6" s="1"/>
  <c r="BA83" i="6" s="1"/>
  <c r="BA84" i="6" s="1"/>
  <c r="BA85" i="6" s="1"/>
  <c r="BA86" i="6" s="1"/>
  <c r="BA87" i="6" s="1"/>
  <c r="BA88" i="6" s="1"/>
  <c r="BA89" i="6" s="1"/>
  <c r="BA90" i="6" s="1"/>
  <c r="BA91" i="6" s="1"/>
  <c r="BA92" i="6" s="1"/>
  <c r="BA93" i="6" s="1"/>
  <c r="BA94" i="6" s="1"/>
  <c r="BA95" i="6" s="1"/>
  <c r="BA96" i="6" s="1"/>
  <c r="BA97" i="6" s="1"/>
  <c r="BA98" i="6" s="1"/>
  <c r="BA99" i="6" s="1"/>
  <c r="BA100" i="6" s="1"/>
  <c r="BA101" i="6" s="1"/>
  <c r="BA102" i="6" s="1"/>
  <c r="BA103" i="6" s="1"/>
  <c r="BA104" i="6" s="1"/>
  <c r="BA105" i="6" s="1"/>
  <c r="BA106" i="6" s="1"/>
  <c r="BA107" i="6" s="1"/>
  <c r="BA108" i="6" s="1"/>
  <c r="BA109" i="6" s="1"/>
  <c r="BA110" i="6" s="1"/>
  <c r="BA111" i="6" s="1"/>
  <c r="BA112" i="6" s="1"/>
  <c r="BA113" i="6" s="1"/>
  <c r="BA114" i="6" s="1"/>
  <c r="BA115" i="6" s="1"/>
  <c r="BA116" i="6" s="1"/>
  <c r="BA117" i="6" s="1"/>
  <c r="BA118" i="6" s="1"/>
  <c r="BA119" i="6" s="1"/>
  <c r="BA120" i="6" s="1"/>
  <c r="BA121" i="6" s="1"/>
  <c r="BA122" i="6" s="1"/>
  <c r="BA123" i="6" s="1"/>
  <c r="BA124" i="6" s="1"/>
  <c r="BA125" i="6" s="1"/>
  <c r="BA126" i="6" s="1"/>
  <c r="BA127" i="6" s="1"/>
  <c r="BA128" i="6" s="1"/>
  <c r="BA129" i="6" s="1"/>
  <c r="BA130" i="6" s="1"/>
  <c r="BA131" i="6" s="1"/>
  <c r="BA132" i="6" s="1"/>
  <c r="BA133" i="6" s="1"/>
  <c r="BA134" i="6" s="1"/>
  <c r="BA135" i="6" s="1"/>
  <c r="BA136" i="6" s="1"/>
  <c r="BA137" i="6" s="1"/>
  <c r="BA138" i="6" s="1"/>
  <c r="BA139" i="6" s="1"/>
  <c r="BA140" i="6" s="1"/>
  <c r="BA141" i="6" s="1"/>
  <c r="BA142" i="6" s="1"/>
  <c r="BA143" i="6" s="1"/>
  <c r="BA144" i="6" s="1"/>
  <c r="BA145" i="6" s="1"/>
  <c r="BA146" i="6" s="1"/>
  <c r="BA147" i="6" s="1"/>
  <c r="BA148" i="6" s="1"/>
  <c r="BA149" i="6" s="1"/>
  <c r="BA150" i="6" s="1"/>
  <c r="BA151" i="6" s="1"/>
  <c r="BA152" i="6" s="1"/>
  <c r="BA153" i="6" s="1"/>
  <c r="BA154" i="6" s="1"/>
  <c r="H6" i="6" l="1"/>
  <c r="H7" i="6"/>
  <c r="H8" i="6"/>
  <c r="Z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AL4" i="6"/>
  <c r="H5" i="6"/>
  <c r="O87" i="4"/>
  <c r="N87" i="4"/>
  <c r="M87" i="4"/>
  <c r="L87" i="4"/>
  <c r="O51" i="4"/>
  <c r="L45" i="4"/>
  <c r="K44" i="4"/>
  <c r="K43" i="4"/>
  <c r="O81" i="4"/>
  <c r="N81" i="4"/>
  <c r="M81" i="4"/>
  <c r="L81" i="4"/>
  <c r="K81" i="4"/>
  <c r="O80" i="4"/>
  <c r="N80" i="4"/>
  <c r="M80" i="4"/>
  <c r="L80" i="4"/>
  <c r="K80" i="4"/>
  <c r="O79" i="4"/>
  <c r="N79" i="4"/>
  <c r="M79" i="4"/>
  <c r="L79" i="4"/>
  <c r="K79" i="4"/>
  <c r="O78" i="4"/>
  <c r="N78" i="4"/>
  <c r="M78" i="4"/>
  <c r="L78" i="4"/>
  <c r="K78" i="4"/>
  <c r="O45" i="4"/>
  <c r="N45" i="4"/>
  <c r="M45" i="4"/>
  <c r="K45" i="4"/>
  <c r="O44" i="4"/>
  <c r="N44" i="4"/>
  <c r="M44" i="4"/>
  <c r="L44" i="4"/>
  <c r="O43" i="4"/>
  <c r="N43" i="4"/>
  <c r="M43" i="4"/>
  <c r="L43" i="4"/>
  <c r="O42" i="4"/>
  <c r="N42" i="4"/>
  <c r="M42" i="4"/>
  <c r="L42" i="4"/>
  <c r="K42" i="4"/>
  <c r="Q45" i="4" l="1"/>
  <c r="S45" i="4"/>
  <c r="P45" i="4"/>
  <c r="R45" i="4"/>
  <c r="S44" i="4"/>
  <c r="P44" i="4"/>
  <c r="Q44" i="4"/>
  <c r="R44" i="4"/>
  <c r="N51" i="4"/>
  <c r="L51" i="4"/>
  <c r="M51" i="4"/>
  <c r="L15" i="4"/>
  <c r="M15" i="4"/>
  <c r="O15" i="4"/>
  <c r="N15" i="4"/>
  <c r="AM4" i="6"/>
  <c r="F42" i="10" l="1"/>
  <c r="R51" i="4"/>
  <c r="S51" i="4"/>
  <c r="Q51" i="4"/>
  <c r="P51" i="4"/>
  <c r="R15" i="4"/>
  <c r="P15" i="4"/>
  <c r="Q15" i="4"/>
  <c r="S15" i="4"/>
  <c r="E53" i="10" s="1"/>
  <c r="AN4" i="6"/>
  <c r="AO4" i="6" l="1"/>
  <c r="AP4" i="6" l="1"/>
  <c r="AQ4" i="6" l="1"/>
  <c r="AR4" i="6" l="1"/>
  <c r="AS4" i="6" l="1"/>
  <c r="AT4" i="6" l="1"/>
  <c r="AA4" i="6" l="1"/>
  <c r="AB4" i="6" l="1"/>
  <c r="AA92" i="6"/>
  <c r="AA76" i="6"/>
  <c r="AA72" i="6"/>
  <c r="AA55" i="6"/>
  <c r="AA99" i="6"/>
  <c r="AA83" i="6"/>
  <c r="AL83" i="6" s="1"/>
  <c r="AA104" i="6"/>
  <c r="AA71" i="6"/>
  <c r="AL71" i="6" s="1"/>
  <c r="AA98" i="6"/>
  <c r="AL98" i="6" s="1"/>
  <c r="AA95" i="6"/>
  <c r="AA103" i="6"/>
  <c r="AL103" i="6" s="1"/>
  <c r="AA56" i="6"/>
  <c r="AA97" i="6"/>
  <c r="AA91" i="6"/>
  <c r="AA89" i="6"/>
  <c r="AL89" i="6" s="1"/>
  <c r="AA79" i="6"/>
  <c r="AL79" i="6" s="1"/>
  <c r="AA81" i="6"/>
  <c r="AL81" i="6" s="1"/>
  <c r="AA88" i="6"/>
  <c r="AL88" i="6" s="1"/>
  <c r="AA60" i="6"/>
  <c r="AA75" i="6"/>
  <c r="AL75" i="6" s="1"/>
  <c r="AA87" i="6"/>
  <c r="AL87" i="6" s="1"/>
  <c r="AA68" i="6"/>
  <c r="AL68" i="6" s="1"/>
  <c r="AA90" i="6"/>
  <c r="AA82" i="6"/>
  <c r="AL82" i="6" s="1"/>
  <c r="AA84" i="6"/>
  <c r="AL84" i="6" s="1"/>
  <c r="AA80" i="6"/>
  <c r="AA63" i="6"/>
  <c r="AA61" i="6"/>
  <c r="AL61" i="6" s="1"/>
  <c r="AA59" i="6"/>
  <c r="AL59" i="6" s="1"/>
  <c r="AA70" i="6"/>
  <c r="AL70" i="6" s="1"/>
  <c r="AA57" i="6"/>
  <c r="AL57" i="6" s="1"/>
  <c r="AA77" i="6"/>
  <c r="AA73" i="6"/>
  <c r="AA58" i="6"/>
  <c r="AA66" i="6"/>
  <c r="AA67" i="6"/>
  <c r="AL67" i="6" s="1"/>
  <c r="AA85" i="6"/>
  <c r="AL85" i="6" s="1"/>
  <c r="AA102" i="6"/>
  <c r="AL102" i="6" s="1"/>
  <c r="AA100" i="6"/>
  <c r="AA94" i="6"/>
  <c r="AL94" i="6" s="1"/>
  <c r="AA69" i="6"/>
  <c r="AL69" i="6" s="1"/>
  <c r="AA96" i="6"/>
  <c r="AA78" i="6"/>
  <c r="AA86" i="6"/>
  <c r="AL86" i="6" s="1"/>
  <c r="AA101" i="6"/>
  <c r="AL101" i="6" s="1"/>
  <c r="AA62" i="6"/>
  <c r="AL62" i="6" s="1"/>
  <c r="AA74" i="6"/>
  <c r="AA93" i="6"/>
  <c r="AL93" i="6" s="1"/>
  <c r="AA65" i="6"/>
  <c r="AL65" i="6" s="1"/>
  <c r="AA64" i="6"/>
  <c r="AK5" i="6"/>
  <c r="Z53" i="6"/>
  <c r="AK53" i="6" s="1"/>
  <c r="Z45" i="6"/>
  <c r="AK45" i="6" s="1"/>
  <c r="Z29" i="6"/>
  <c r="AK29" i="6" s="1"/>
  <c r="Z21" i="6"/>
  <c r="AK21" i="6" s="1"/>
  <c r="Z37" i="6"/>
  <c r="AK37" i="6" s="1"/>
  <c r="Z49" i="6"/>
  <c r="AK49" i="6" s="1"/>
  <c r="Z33" i="6"/>
  <c r="AK33" i="6" s="1"/>
  <c r="Z41" i="6"/>
  <c r="AK41" i="6" s="1"/>
  <c r="Z13" i="6"/>
  <c r="AK13" i="6" s="1"/>
  <c r="Z40" i="6"/>
  <c r="AK40" i="6" s="1"/>
  <c r="Z32" i="6"/>
  <c r="AK32" i="6" s="1"/>
  <c r="Z16" i="6"/>
  <c r="AK16" i="6" s="1"/>
  <c r="AK8" i="6"/>
  <c r="Z48" i="6"/>
  <c r="AK48" i="6" s="1"/>
  <c r="Z24" i="6"/>
  <c r="AK24" i="6" s="1"/>
  <c r="Z12" i="6"/>
  <c r="AK12" i="6" s="1"/>
  <c r="Z54" i="6"/>
  <c r="AK54" i="6" s="1"/>
  <c r="Z46" i="6"/>
  <c r="AK46" i="6" s="1"/>
  <c r="Z38" i="6"/>
  <c r="AK38" i="6" s="1"/>
  <c r="Z30" i="6"/>
  <c r="AK30" i="6" s="1"/>
  <c r="Z22" i="6"/>
  <c r="AK22" i="6" s="1"/>
  <c r="Z14" i="6"/>
  <c r="AK14" i="6" s="1"/>
  <c r="Z6" i="6"/>
  <c r="AK6" i="6" s="1"/>
  <c r="Z52" i="6"/>
  <c r="AK52" i="6" s="1"/>
  <c r="Z36" i="6"/>
  <c r="AK36" i="6" s="1"/>
  <c r="Z20" i="6"/>
  <c r="AK20" i="6" s="1"/>
  <c r="Z28" i="6"/>
  <c r="AK28" i="6" s="1"/>
  <c r="Z50" i="6"/>
  <c r="AK50" i="6" s="1"/>
  <c r="Z42" i="6"/>
  <c r="AK42" i="6" s="1"/>
  <c r="Z34" i="6"/>
  <c r="AK34" i="6" s="1"/>
  <c r="Z26" i="6"/>
  <c r="AK26" i="6" s="1"/>
  <c r="Z18" i="6"/>
  <c r="AK18" i="6" s="1"/>
  <c r="Z51" i="6"/>
  <c r="AK51" i="6" s="1"/>
  <c r="Z43" i="6"/>
  <c r="AK43" i="6" s="1"/>
  <c r="Z35" i="6"/>
  <c r="AK35" i="6" s="1"/>
  <c r="Z19" i="6"/>
  <c r="AK19" i="6" s="1"/>
  <c r="Z11" i="6"/>
  <c r="AK11" i="6" s="1"/>
  <c r="Z44" i="6"/>
  <c r="AK44" i="6" s="1"/>
  <c r="Z25" i="6"/>
  <c r="AK25" i="6" s="1"/>
  <c r="Z17" i="6"/>
  <c r="AK17" i="6" s="1"/>
  <c r="Z9" i="6"/>
  <c r="AK9" i="6" s="1"/>
  <c r="Z39" i="6"/>
  <c r="AK39" i="6" s="1"/>
  <c r="Z23" i="6"/>
  <c r="AK23" i="6" s="1"/>
  <c r="Z15" i="6"/>
  <c r="AK15" i="6" s="1"/>
  <c r="Z10" i="6"/>
  <c r="AK10" i="6" s="1"/>
  <c r="Z47" i="6"/>
  <c r="AK47" i="6" s="1"/>
  <c r="Z31" i="6"/>
  <c r="AK31" i="6" s="1"/>
  <c r="Z7" i="6"/>
  <c r="AK7" i="6" s="1"/>
  <c r="Z27" i="6"/>
  <c r="AK27" i="6" s="1"/>
  <c r="AB100" i="6" l="1"/>
  <c r="AM100" i="6" s="1"/>
  <c r="AL100" i="6"/>
  <c r="AB104" i="6"/>
  <c r="AM104" i="6" s="1"/>
  <c r="AL104" i="6"/>
  <c r="AB91" i="6"/>
  <c r="AM91" i="6" s="1"/>
  <c r="AL91" i="6"/>
  <c r="AB97" i="6"/>
  <c r="AM97" i="6" s="1"/>
  <c r="AL97" i="6"/>
  <c r="AB99" i="6"/>
  <c r="AM99" i="6" s="1"/>
  <c r="AL99" i="6"/>
  <c r="AB74" i="6"/>
  <c r="AM74" i="6" s="1"/>
  <c r="AL74" i="6"/>
  <c r="AB56" i="6"/>
  <c r="AL56" i="6"/>
  <c r="AB55" i="6"/>
  <c r="AM55" i="6" s="1"/>
  <c r="AL55" i="6"/>
  <c r="AB78" i="6"/>
  <c r="AM78" i="6" s="1"/>
  <c r="AL78" i="6"/>
  <c r="AB66" i="6"/>
  <c r="AM66" i="6" s="1"/>
  <c r="AL66" i="6"/>
  <c r="AB63" i="6"/>
  <c r="AM63" i="6" s="1"/>
  <c r="AL63" i="6"/>
  <c r="AB60" i="6"/>
  <c r="AL60" i="6"/>
  <c r="AB72" i="6"/>
  <c r="AL72" i="6"/>
  <c r="AB64" i="6"/>
  <c r="AM64" i="6" s="1"/>
  <c r="AL64" i="6"/>
  <c r="AB96" i="6"/>
  <c r="AL96" i="6"/>
  <c r="AB58" i="6"/>
  <c r="AM58" i="6" s="1"/>
  <c r="AL58" i="6"/>
  <c r="AB80" i="6"/>
  <c r="AM80" i="6" s="1"/>
  <c r="AL80" i="6"/>
  <c r="AB95" i="6"/>
  <c r="AL95" i="6"/>
  <c r="AB76" i="6"/>
  <c r="AM76" i="6" s="1"/>
  <c r="AL76" i="6"/>
  <c r="AB73" i="6"/>
  <c r="AM73" i="6" s="1"/>
  <c r="AL73" i="6"/>
  <c r="AB92" i="6"/>
  <c r="AM92" i="6" s="1"/>
  <c r="AL92" i="6"/>
  <c r="AB90" i="6"/>
  <c r="AL90" i="6"/>
  <c r="AB77" i="6"/>
  <c r="AM77" i="6" s="1"/>
  <c r="AL77" i="6"/>
  <c r="AC4" i="6"/>
  <c r="AB103" i="6"/>
  <c r="AM103" i="6" s="1"/>
  <c r="AB59" i="6"/>
  <c r="AM59" i="6" s="1"/>
  <c r="AB102" i="6"/>
  <c r="AM102" i="6" s="1"/>
  <c r="AB86" i="6"/>
  <c r="AB88" i="6"/>
  <c r="AB71" i="6"/>
  <c r="AM71" i="6" s="1"/>
  <c r="AB84" i="6"/>
  <c r="AM84" i="6" s="1"/>
  <c r="AB70" i="6"/>
  <c r="AB81" i="6"/>
  <c r="AM81" i="6" s="1"/>
  <c r="AB61" i="6"/>
  <c r="AM61" i="6" s="1"/>
  <c r="AB57" i="6"/>
  <c r="AB69" i="6"/>
  <c r="AM69" i="6" s="1"/>
  <c r="AB79" i="6"/>
  <c r="AM79" i="6" s="1"/>
  <c r="AB65" i="6"/>
  <c r="AM65" i="6" s="1"/>
  <c r="AB83" i="6"/>
  <c r="AM83" i="6" s="1"/>
  <c r="AB89" i="6"/>
  <c r="AM89" i="6" s="1"/>
  <c r="AB68" i="6"/>
  <c r="AM68" i="6" s="1"/>
  <c r="AB94" i="6"/>
  <c r="AM94" i="6" s="1"/>
  <c r="AB98" i="6"/>
  <c r="AM98" i="6" s="1"/>
  <c r="AB93" i="6"/>
  <c r="AM93" i="6" s="1"/>
  <c r="AB87" i="6"/>
  <c r="AM87" i="6" s="1"/>
  <c r="AB67" i="6"/>
  <c r="AM67" i="6" s="1"/>
  <c r="AB75" i="6"/>
  <c r="AM75" i="6" s="1"/>
  <c r="AB82" i="6"/>
  <c r="AM82" i="6" s="1"/>
  <c r="AB85" i="6"/>
  <c r="AM85" i="6" s="1"/>
  <c r="AB62" i="6"/>
  <c r="AM62" i="6" s="1"/>
  <c r="AB101" i="6"/>
  <c r="AM101" i="6" s="1"/>
  <c r="AA35" i="6"/>
  <c r="AL35" i="6" s="1"/>
  <c r="AA13" i="6"/>
  <c r="AL13" i="6" s="1"/>
  <c r="AA53" i="6"/>
  <c r="AL53" i="6" s="1"/>
  <c r="AA45" i="6"/>
  <c r="AL45" i="6" s="1"/>
  <c r="AA43" i="6"/>
  <c r="AL43" i="6" s="1"/>
  <c r="AA21" i="6"/>
  <c r="AL21" i="6" s="1"/>
  <c r="AA12" i="6"/>
  <c r="AL12" i="6" s="1"/>
  <c r="AA25" i="6"/>
  <c r="AL25" i="6" s="1"/>
  <c r="AA26" i="6"/>
  <c r="AL26" i="6" s="1"/>
  <c r="AA6" i="6"/>
  <c r="AL6" i="6" s="1"/>
  <c r="AA24" i="6"/>
  <c r="AL24" i="6" s="1"/>
  <c r="AA33" i="6"/>
  <c r="AL33" i="6" s="1"/>
  <c r="AA17" i="6"/>
  <c r="AL17" i="6" s="1"/>
  <c r="AA27" i="6"/>
  <c r="AL27" i="6" s="1"/>
  <c r="AA44" i="6"/>
  <c r="AL44" i="6" s="1"/>
  <c r="AA34" i="6"/>
  <c r="AL34" i="6" s="1"/>
  <c r="AA14" i="6"/>
  <c r="AL14" i="6" s="1"/>
  <c r="AA48" i="6"/>
  <c r="AL48" i="6" s="1"/>
  <c r="AA49" i="6"/>
  <c r="AL49" i="6" s="1"/>
  <c r="AA18" i="6"/>
  <c r="AL18" i="6" s="1"/>
  <c r="AA11" i="6"/>
  <c r="AL11" i="6" s="1"/>
  <c r="AA42" i="6"/>
  <c r="AL42" i="6" s="1"/>
  <c r="AA22" i="6"/>
  <c r="AL22" i="6" s="1"/>
  <c r="AA8" i="6"/>
  <c r="AA37" i="6"/>
  <c r="AL37" i="6" s="1"/>
  <c r="AA41" i="6"/>
  <c r="AL41" i="6" s="1"/>
  <c r="AA15" i="6"/>
  <c r="AL15" i="6" s="1"/>
  <c r="AA19" i="6"/>
  <c r="AL19" i="6" s="1"/>
  <c r="AA50" i="6"/>
  <c r="AL50" i="6" s="1"/>
  <c r="AA30" i="6"/>
  <c r="AL30" i="6" s="1"/>
  <c r="AA16" i="6"/>
  <c r="AL16" i="6" s="1"/>
  <c r="AA7" i="6"/>
  <c r="AL7" i="6" s="1"/>
  <c r="AA31" i="6"/>
  <c r="AL31" i="6" s="1"/>
  <c r="AA23" i="6"/>
  <c r="AL23" i="6" s="1"/>
  <c r="AA28" i="6"/>
  <c r="AL28" i="6" s="1"/>
  <c r="AA38" i="6"/>
  <c r="AL38" i="6" s="1"/>
  <c r="AA32" i="6"/>
  <c r="AL32" i="6" s="1"/>
  <c r="AA29" i="6"/>
  <c r="AL29" i="6" s="1"/>
  <c r="AA52" i="6"/>
  <c r="AL52" i="6" s="1"/>
  <c r="AA47" i="6"/>
  <c r="AL47" i="6" s="1"/>
  <c r="AA39" i="6"/>
  <c r="AL39" i="6" s="1"/>
  <c r="AA20" i="6"/>
  <c r="AL20" i="6" s="1"/>
  <c r="AA46" i="6"/>
  <c r="AL46" i="6" s="1"/>
  <c r="AA40" i="6"/>
  <c r="AL40" i="6" s="1"/>
  <c r="AA10" i="6"/>
  <c r="AL10" i="6" s="1"/>
  <c r="AA9" i="6"/>
  <c r="AL9" i="6" s="1"/>
  <c r="AA51" i="6"/>
  <c r="AL51" i="6" s="1"/>
  <c r="AA36" i="6"/>
  <c r="AL36" i="6" s="1"/>
  <c r="AA54" i="6"/>
  <c r="AL54" i="6" s="1"/>
  <c r="AA5" i="6"/>
  <c r="L7" i="4"/>
  <c r="M7" i="4"/>
  <c r="N7" i="4"/>
  <c r="O7" i="4"/>
  <c r="E13" i="5"/>
  <c r="E14" i="5"/>
  <c r="E15" i="5"/>
  <c r="E16" i="5"/>
  <c r="E17" i="5"/>
  <c r="E12" i="5"/>
  <c r="AC70" i="6" l="1"/>
  <c r="AN70" i="6" s="1"/>
  <c r="AM70" i="6"/>
  <c r="AD4" i="6"/>
  <c r="AC66" i="6"/>
  <c r="AN66" i="6" s="1"/>
  <c r="AC99" i="6"/>
  <c r="AN99" i="6" s="1"/>
  <c r="AC76" i="6"/>
  <c r="AN76" i="6" s="1"/>
  <c r="AC80" i="6"/>
  <c r="AN80" i="6" s="1"/>
  <c r="AC92" i="6"/>
  <c r="AN92" i="6" s="1"/>
  <c r="AC104" i="6"/>
  <c r="AN104" i="6" s="1"/>
  <c r="AC100" i="6"/>
  <c r="AC91" i="6"/>
  <c r="AN91" i="6" s="1"/>
  <c r="AC97" i="6"/>
  <c r="AN97" i="6" s="1"/>
  <c r="AC68" i="6"/>
  <c r="AN68" i="6" s="1"/>
  <c r="AC89" i="6"/>
  <c r="AN89" i="6" s="1"/>
  <c r="AC58" i="6"/>
  <c r="AN58" i="6" s="1"/>
  <c r="AC84" i="6"/>
  <c r="AN84" i="6" s="1"/>
  <c r="AC55" i="6"/>
  <c r="AN55" i="6" s="1"/>
  <c r="AC103" i="6"/>
  <c r="AN103" i="6" s="1"/>
  <c r="AC98" i="6"/>
  <c r="AN98" i="6" s="1"/>
  <c r="AC87" i="6"/>
  <c r="AN87" i="6" s="1"/>
  <c r="AC102" i="6"/>
  <c r="AN102" i="6" s="1"/>
  <c r="AC59" i="6"/>
  <c r="AN59" i="6" s="1"/>
  <c r="AC78" i="6"/>
  <c r="AC77" i="6"/>
  <c r="AN77" i="6" s="1"/>
  <c r="AC74" i="6"/>
  <c r="AN74" i="6" s="1"/>
  <c r="AC64" i="6"/>
  <c r="AN64" i="6" s="1"/>
  <c r="AC63" i="6"/>
  <c r="AN63" i="6" s="1"/>
  <c r="AC71" i="6"/>
  <c r="AN71" i="6" s="1"/>
  <c r="AC73" i="6"/>
  <c r="AN73" i="6" s="1"/>
  <c r="AC82" i="6"/>
  <c r="AN82" i="6" s="1"/>
  <c r="AC93" i="6"/>
  <c r="AN93" i="6" s="1"/>
  <c r="AC61" i="6"/>
  <c r="AN61" i="6" s="1"/>
  <c r="AC83" i="6"/>
  <c r="AN83" i="6" s="1"/>
  <c r="AC65" i="6"/>
  <c r="AN65" i="6" s="1"/>
  <c r="AC94" i="6"/>
  <c r="AN94" i="6" s="1"/>
  <c r="AC79" i="6"/>
  <c r="AN79" i="6" s="1"/>
  <c r="AC69" i="6"/>
  <c r="AN69" i="6" s="1"/>
  <c r="AC81" i="6"/>
  <c r="AN81" i="6" s="1"/>
  <c r="AC67" i="6"/>
  <c r="AN67" i="6" s="1"/>
  <c r="AC85" i="6"/>
  <c r="AN85" i="6" s="1"/>
  <c r="AC75" i="6"/>
  <c r="AN75" i="6" s="1"/>
  <c r="AC101" i="6"/>
  <c r="AN101" i="6" s="1"/>
  <c r="AC62" i="6"/>
  <c r="AN62" i="6" s="1"/>
  <c r="AC60" i="6"/>
  <c r="AN60" i="6" s="1"/>
  <c r="AM60" i="6"/>
  <c r="AC96" i="6"/>
  <c r="AN96" i="6" s="1"/>
  <c r="AM96" i="6"/>
  <c r="AC56" i="6"/>
  <c r="AN56" i="6" s="1"/>
  <c r="AM56" i="6"/>
  <c r="AC88" i="6"/>
  <c r="AM88" i="6"/>
  <c r="AC86" i="6"/>
  <c r="AM86" i="6"/>
  <c r="AC90" i="6"/>
  <c r="AM90" i="6"/>
  <c r="AC95" i="6"/>
  <c r="AN95" i="6" s="1"/>
  <c r="AM95" i="6"/>
  <c r="AC57" i="6"/>
  <c r="AN57" i="6" s="1"/>
  <c r="AM57" i="6"/>
  <c r="AC72" i="6"/>
  <c r="AN72" i="6" s="1"/>
  <c r="AM72" i="6"/>
  <c r="S8" i="4"/>
  <c r="Q8" i="4"/>
  <c r="R8" i="4"/>
  <c r="Q9" i="4"/>
  <c r="P9" i="4"/>
  <c r="S9" i="4"/>
  <c r="E40" i="10" s="1"/>
  <c r="R9" i="4"/>
  <c r="P8" i="4"/>
  <c r="E52" i="10" s="1"/>
  <c r="E43" i="10" s="1" a="1"/>
  <c r="E43" i="10" s="1"/>
  <c r="AL8" i="6"/>
  <c r="AL5" i="6"/>
  <c r="AB45" i="6"/>
  <c r="AM45" i="6" s="1"/>
  <c r="AB53" i="6"/>
  <c r="AM53" i="6" s="1"/>
  <c r="AB35" i="6"/>
  <c r="AM35" i="6" s="1"/>
  <c r="AB43" i="6"/>
  <c r="AM43" i="6" s="1"/>
  <c r="AB13" i="6"/>
  <c r="AM13" i="6" s="1"/>
  <c r="AB21" i="6"/>
  <c r="AM21" i="6" s="1"/>
  <c r="AB5" i="6"/>
  <c r="AB36" i="6"/>
  <c r="AM36" i="6" s="1"/>
  <c r="AB39" i="6"/>
  <c r="AM39" i="6" s="1"/>
  <c r="AB29" i="6"/>
  <c r="AM29" i="6" s="1"/>
  <c r="AB23" i="6"/>
  <c r="AM23" i="6" s="1"/>
  <c r="AB30" i="6"/>
  <c r="AM30" i="6" s="1"/>
  <c r="AB41" i="6"/>
  <c r="AM41" i="6" s="1"/>
  <c r="AB42" i="6"/>
  <c r="AM42" i="6" s="1"/>
  <c r="AB49" i="6"/>
  <c r="AM49" i="6" s="1"/>
  <c r="AB44" i="6"/>
  <c r="AM44" i="6" s="1"/>
  <c r="AB17" i="6"/>
  <c r="AM17" i="6" s="1"/>
  <c r="AB26" i="6"/>
  <c r="AM26" i="6" s="1"/>
  <c r="AB51" i="6"/>
  <c r="AM51" i="6" s="1"/>
  <c r="AB40" i="6"/>
  <c r="AM40" i="6" s="1"/>
  <c r="AB47" i="6"/>
  <c r="AM47" i="6" s="1"/>
  <c r="AB32" i="6"/>
  <c r="AM32" i="6" s="1"/>
  <c r="AB31" i="6"/>
  <c r="AM31" i="6" s="1"/>
  <c r="AB50" i="6"/>
  <c r="AM50" i="6" s="1"/>
  <c r="AB37" i="6"/>
  <c r="AM37" i="6" s="1"/>
  <c r="AB11" i="6"/>
  <c r="AM11" i="6" s="1"/>
  <c r="AB48" i="6"/>
  <c r="AM48" i="6" s="1"/>
  <c r="AB33" i="6"/>
  <c r="AM33" i="6" s="1"/>
  <c r="AB25" i="6"/>
  <c r="AM25" i="6" s="1"/>
  <c r="AB9" i="6"/>
  <c r="AM9" i="6" s="1"/>
  <c r="AB46" i="6"/>
  <c r="AM46" i="6" s="1"/>
  <c r="AB38" i="6"/>
  <c r="AM38" i="6" s="1"/>
  <c r="AB7" i="6"/>
  <c r="AM7" i="6" s="1"/>
  <c r="AB19" i="6"/>
  <c r="AM19" i="6" s="1"/>
  <c r="AB8" i="6"/>
  <c r="AB14" i="6"/>
  <c r="AM14" i="6" s="1"/>
  <c r="AB24" i="6"/>
  <c r="AM24" i="6" s="1"/>
  <c r="AB54" i="6"/>
  <c r="AM54" i="6" s="1"/>
  <c r="AB10" i="6"/>
  <c r="AM10" i="6" s="1"/>
  <c r="AB20" i="6"/>
  <c r="AM20" i="6" s="1"/>
  <c r="AB52" i="6"/>
  <c r="AM52" i="6" s="1"/>
  <c r="AB28" i="6"/>
  <c r="AM28" i="6" s="1"/>
  <c r="AB16" i="6"/>
  <c r="AM16" i="6" s="1"/>
  <c r="AB15" i="6"/>
  <c r="AM15" i="6" s="1"/>
  <c r="AB22" i="6"/>
  <c r="AM22" i="6" s="1"/>
  <c r="AB18" i="6"/>
  <c r="AM18" i="6" s="1"/>
  <c r="AB34" i="6"/>
  <c r="AM34" i="6" s="1"/>
  <c r="AB27" i="6"/>
  <c r="AM27" i="6" s="1"/>
  <c r="AB6" i="6"/>
  <c r="AM6" i="6" s="1"/>
  <c r="AB12" i="6"/>
  <c r="AM12" i="6" s="1"/>
  <c r="E42" i="10" l="1"/>
  <c r="AD78" i="6"/>
  <c r="AO78" i="6" s="1"/>
  <c r="AN78" i="6"/>
  <c r="AD86" i="6"/>
  <c r="AN86" i="6"/>
  <c r="AE4" i="6"/>
  <c r="AD66" i="6"/>
  <c r="AO66" i="6" s="1"/>
  <c r="AD95" i="6"/>
  <c r="AO95" i="6" s="1"/>
  <c r="AD77" i="6"/>
  <c r="AO77" i="6" s="1"/>
  <c r="AD92" i="6"/>
  <c r="AO92" i="6" s="1"/>
  <c r="AD104" i="6"/>
  <c r="AO104" i="6" s="1"/>
  <c r="AD56" i="6"/>
  <c r="AO56" i="6" s="1"/>
  <c r="AD80" i="6"/>
  <c r="AO80" i="6" s="1"/>
  <c r="AD76" i="6"/>
  <c r="AO76" i="6" s="1"/>
  <c r="AD99" i="6"/>
  <c r="AO99" i="6" s="1"/>
  <c r="AD96" i="6"/>
  <c r="AO96" i="6" s="1"/>
  <c r="AD72" i="6"/>
  <c r="AO72" i="6" s="1"/>
  <c r="AD60" i="6"/>
  <c r="AO60" i="6" s="1"/>
  <c r="AD64" i="6"/>
  <c r="AO64" i="6" s="1"/>
  <c r="AD58" i="6"/>
  <c r="AO58" i="6" s="1"/>
  <c r="AD102" i="6"/>
  <c r="AO102" i="6" s="1"/>
  <c r="AD71" i="6"/>
  <c r="AO71" i="6" s="1"/>
  <c r="AD97" i="6"/>
  <c r="AO97" i="6" s="1"/>
  <c r="AD74" i="6"/>
  <c r="AO74" i="6" s="1"/>
  <c r="AD63" i="6"/>
  <c r="AO63" i="6" s="1"/>
  <c r="AD68" i="6"/>
  <c r="AO68" i="6" s="1"/>
  <c r="AD89" i="6"/>
  <c r="AO89" i="6" s="1"/>
  <c r="AD98" i="6"/>
  <c r="AO98" i="6" s="1"/>
  <c r="AD59" i="6"/>
  <c r="AO59" i="6" s="1"/>
  <c r="AD91" i="6"/>
  <c r="AO91" i="6" s="1"/>
  <c r="AD70" i="6"/>
  <c r="AO70" i="6" s="1"/>
  <c r="AD55" i="6"/>
  <c r="AO55" i="6" s="1"/>
  <c r="AD103" i="6"/>
  <c r="AO103" i="6" s="1"/>
  <c r="AD57" i="6"/>
  <c r="AO57" i="6" s="1"/>
  <c r="AD87" i="6"/>
  <c r="AO87" i="6" s="1"/>
  <c r="AD84" i="6"/>
  <c r="AO84" i="6" s="1"/>
  <c r="AD93" i="6"/>
  <c r="AO93" i="6" s="1"/>
  <c r="AD79" i="6"/>
  <c r="AO79" i="6" s="1"/>
  <c r="AD75" i="6"/>
  <c r="AO75" i="6" s="1"/>
  <c r="AD69" i="6"/>
  <c r="AO69" i="6" s="1"/>
  <c r="AD81" i="6"/>
  <c r="AO81" i="6" s="1"/>
  <c r="AD85" i="6"/>
  <c r="AO85" i="6" s="1"/>
  <c r="AD82" i="6"/>
  <c r="AO82" i="6" s="1"/>
  <c r="AD65" i="6"/>
  <c r="AO65" i="6" s="1"/>
  <c r="AD73" i="6"/>
  <c r="AO73" i="6" s="1"/>
  <c r="AD83" i="6"/>
  <c r="AO83" i="6" s="1"/>
  <c r="AD94" i="6"/>
  <c r="AO94" i="6" s="1"/>
  <c r="AD67" i="6"/>
  <c r="AO67" i="6" s="1"/>
  <c r="AD61" i="6"/>
  <c r="AO61" i="6" s="1"/>
  <c r="AD101" i="6"/>
  <c r="AO101" i="6" s="1"/>
  <c r="AD62" i="6"/>
  <c r="AO62" i="6" s="1"/>
  <c r="AD88" i="6"/>
  <c r="AO88" i="6" s="1"/>
  <c r="AN88" i="6"/>
  <c r="AD100" i="6"/>
  <c r="AO100" i="6" s="1"/>
  <c r="AN100" i="6"/>
  <c r="AD90" i="6"/>
  <c r="AO90" i="6" s="1"/>
  <c r="AN90" i="6"/>
  <c r="AM8" i="6"/>
  <c r="AC45" i="6"/>
  <c r="AN45" i="6" s="1"/>
  <c r="AM5" i="6"/>
  <c r="AC35" i="6"/>
  <c r="AN35" i="6" s="1"/>
  <c r="AC53" i="6"/>
  <c r="AN53" i="6" s="1"/>
  <c r="AC21" i="6"/>
  <c r="AN21" i="6" s="1"/>
  <c r="AC43" i="6"/>
  <c r="AN43" i="6" s="1"/>
  <c r="AC5" i="6"/>
  <c r="AC13" i="6"/>
  <c r="AN13" i="6" s="1"/>
  <c r="AC6" i="6"/>
  <c r="AC22" i="6"/>
  <c r="AN22" i="6" s="1"/>
  <c r="AC52" i="6"/>
  <c r="AN52" i="6" s="1"/>
  <c r="AC38" i="6"/>
  <c r="AN38" i="6" s="1"/>
  <c r="AC25" i="6"/>
  <c r="AN25" i="6" s="1"/>
  <c r="AC11" i="6"/>
  <c r="AN11" i="6" s="1"/>
  <c r="AC32" i="6"/>
  <c r="AN32" i="6" s="1"/>
  <c r="AC26" i="6"/>
  <c r="AN26" i="6" s="1"/>
  <c r="AC42" i="6"/>
  <c r="AN42" i="6" s="1"/>
  <c r="AC29" i="6"/>
  <c r="AN29" i="6" s="1"/>
  <c r="AC24" i="6"/>
  <c r="AN24" i="6" s="1"/>
  <c r="AC33" i="6"/>
  <c r="AN33" i="6" s="1"/>
  <c r="AC37" i="6"/>
  <c r="AN37" i="6" s="1"/>
  <c r="AC47" i="6"/>
  <c r="AN47" i="6" s="1"/>
  <c r="AC17" i="6"/>
  <c r="AN17" i="6" s="1"/>
  <c r="AC41" i="6"/>
  <c r="AN41" i="6" s="1"/>
  <c r="AC39" i="6"/>
  <c r="AN39" i="6" s="1"/>
  <c r="AC15" i="6"/>
  <c r="AN15" i="6" s="1"/>
  <c r="AC20" i="6"/>
  <c r="AN20" i="6" s="1"/>
  <c r="AC34" i="6"/>
  <c r="AN34" i="6" s="1"/>
  <c r="AC16" i="6"/>
  <c r="AN16" i="6" s="1"/>
  <c r="AC10" i="6"/>
  <c r="AN10" i="6" s="1"/>
  <c r="AC19" i="6"/>
  <c r="AN19" i="6" s="1"/>
  <c r="AC46" i="6"/>
  <c r="AN46" i="6" s="1"/>
  <c r="AD45" i="6"/>
  <c r="AO45" i="6" s="1"/>
  <c r="AC50" i="6"/>
  <c r="AN50" i="6" s="1"/>
  <c r="AC40" i="6"/>
  <c r="AN40" i="6" s="1"/>
  <c r="AC44" i="6"/>
  <c r="AN44" i="6" s="1"/>
  <c r="AC30" i="6"/>
  <c r="AN30" i="6" s="1"/>
  <c r="AC8" i="6"/>
  <c r="AC27" i="6"/>
  <c r="AN27" i="6" s="1"/>
  <c r="AC12" i="6"/>
  <c r="AN12" i="6" s="1"/>
  <c r="AC18" i="6"/>
  <c r="AN18" i="6" s="1"/>
  <c r="AC28" i="6"/>
  <c r="AN28" i="6" s="1"/>
  <c r="AC54" i="6"/>
  <c r="AN54" i="6" s="1"/>
  <c r="AC14" i="6"/>
  <c r="AN14" i="6" s="1"/>
  <c r="AC7" i="6"/>
  <c r="AC9" i="6"/>
  <c r="AN9" i="6" s="1"/>
  <c r="AC48" i="6"/>
  <c r="AN48" i="6" s="1"/>
  <c r="AC31" i="6"/>
  <c r="AN31" i="6" s="1"/>
  <c r="AC51" i="6"/>
  <c r="AN51" i="6" s="1"/>
  <c r="AC49" i="6"/>
  <c r="AN49" i="6" s="1"/>
  <c r="AC23" i="6"/>
  <c r="AN23" i="6" s="1"/>
  <c r="AC36" i="6"/>
  <c r="AN36" i="6" s="1"/>
  <c r="AN7" i="6" l="1"/>
  <c r="AN6" i="6"/>
  <c r="AF4" i="6"/>
  <c r="AE88" i="6"/>
  <c r="AP88" i="6" s="1"/>
  <c r="AE66" i="6"/>
  <c r="AP66" i="6" s="1"/>
  <c r="AE90" i="6"/>
  <c r="AP90" i="6" s="1"/>
  <c r="AE96" i="6"/>
  <c r="AP96" i="6" s="1"/>
  <c r="AE92" i="6"/>
  <c r="AP92" i="6" s="1"/>
  <c r="AE56" i="6"/>
  <c r="AP56" i="6" s="1"/>
  <c r="AE77" i="6"/>
  <c r="AP77" i="6" s="1"/>
  <c r="AE104" i="6"/>
  <c r="AP104" i="6" s="1"/>
  <c r="AE100" i="6"/>
  <c r="AP100" i="6" s="1"/>
  <c r="AE76" i="6"/>
  <c r="AP76" i="6" s="1"/>
  <c r="AE60" i="6"/>
  <c r="AP60" i="6" s="1"/>
  <c r="AE80" i="6"/>
  <c r="AP80" i="6" s="1"/>
  <c r="AE64" i="6"/>
  <c r="AP64" i="6" s="1"/>
  <c r="AE99" i="6"/>
  <c r="AP99" i="6" s="1"/>
  <c r="AE95" i="6"/>
  <c r="AP95" i="6" s="1"/>
  <c r="AE72" i="6"/>
  <c r="AP72" i="6" s="1"/>
  <c r="AE78" i="6"/>
  <c r="AP78" i="6" s="1"/>
  <c r="AE63" i="6"/>
  <c r="AP63" i="6" s="1"/>
  <c r="AE98" i="6"/>
  <c r="AP98" i="6" s="1"/>
  <c r="AE89" i="6"/>
  <c r="AP89" i="6" s="1"/>
  <c r="AE103" i="6"/>
  <c r="AP103" i="6" s="1"/>
  <c r="AE68" i="6"/>
  <c r="AP68" i="6" s="1"/>
  <c r="AE102" i="6"/>
  <c r="AP102" i="6" s="1"/>
  <c r="AE87" i="6"/>
  <c r="AP87" i="6" s="1"/>
  <c r="AE70" i="6"/>
  <c r="AP70" i="6" s="1"/>
  <c r="AE59" i="6"/>
  <c r="AP59" i="6" s="1"/>
  <c r="AE71" i="6"/>
  <c r="AP71" i="6" s="1"/>
  <c r="AE97" i="6"/>
  <c r="AP97" i="6" s="1"/>
  <c r="AE91" i="6"/>
  <c r="AP91" i="6" s="1"/>
  <c r="AE57" i="6"/>
  <c r="AP57" i="6" s="1"/>
  <c r="AE58" i="6"/>
  <c r="AP58" i="6" s="1"/>
  <c r="AE55" i="6"/>
  <c r="AP55" i="6" s="1"/>
  <c r="AE84" i="6"/>
  <c r="AP84" i="6" s="1"/>
  <c r="AE74" i="6"/>
  <c r="AP74" i="6" s="1"/>
  <c r="AE81" i="6"/>
  <c r="AP81" i="6" s="1"/>
  <c r="AE79" i="6"/>
  <c r="AP79" i="6" s="1"/>
  <c r="AE83" i="6"/>
  <c r="AP83" i="6" s="1"/>
  <c r="AE61" i="6"/>
  <c r="AP61" i="6" s="1"/>
  <c r="AE73" i="6"/>
  <c r="AP73" i="6" s="1"/>
  <c r="AE69" i="6"/>
  <c r="AP69" i="6" s="1"/>
  <c r="AE65" i="6"/>
  <c r="AP65" i="6" s="1"/>
  <c r="AE67" i="6"/>
  <c r="AP67" i="6" s="1"/>
  <c r="AE85" i="6"/>
  <c r="AP85" i="6" s="1"/>
  <c r="AE75" i="6"/>
  <c r="AP75" i="6" s="1"/>
  <c r="AE94" i="6"/>
  <c r="AP94" i="6" s="1"/>
  <c r="AE93" i="6"/>
  <c r="AP93" i="6" s="1"/>
  <c r="AE82" i="6"/>
  <c r="AP82" i="6" s="1"/>
  <c r="AE62" i="6"/>
  <c r="AP62" i="6" s="1"/>
  <c r="AE101" i="6"/>
  <c r="AP101" i="6" s="1"/>
  <c r="AE86" i="6"/>
  <c r="AP86" i="6" s="1"/>
  <c r="AO86" i="6"/>
  <c r="AN8" i="6"/>
  <c r="AN5" i="6"/>
  <c r="AD35" i="6"/>
  <c r="AO35" i="6" s="1"/>
  <c r="AD43" i="6"/>
  <c r="AO43" i="6" s="1"/>
  <c r="AD21" i="6"/>
  <c r="AO21" i="6" s="1"/>
  <c r="AD53" i="6"/>
  <c r="AO53" i="6" s="1"/>
  <c r="AD5" i="6"/>
  <c r="AD13" i="6"/>
  <c r="AO13" i="6" s="1"/>
  <c r="AD54" i="6"/>
  <c r="AO54" i="6" s="1"/>
  <c r="AD27" i="6"/>
  <c r="AO27" i="6" s="1"/>
  <c r="AD44" i="6"/>
  <c r="AO44" i="6" s="1"/>
  <c r="AD46" i="6"/>
  <c r="AO46" i="6" s="1"/>
  <c r="AD16" i="6"/>
  <c r="AO16" i="6" s="1"/>
  <c r="AD39" i="6"/>
  <c r="AO39" i="6" s="1"/>
  <c r="AD37" i="6"/>
  <c r="AO37" i="6" s="1"/>
  <c r="AD29" i="6"/>
  <c r="AO29" i="6" s="1"/>
  <c r="AD11" i="6"/>
  <c r="AO11" i="6" s="1"/>
  <c r="AD9" i="6"/>
  <c r="AO9" i="6" s="1"/>
  <c r="AD28" i="6"/>
  <c r="AO28" i="6" s="1"/>
  <c r="AD8" i="6"/>
  <c r="AD40" i="6"/>
  <c r="AO40" i="6" s="1"/>
  <c r="AD19" i="6"/>
  <c r="AO19" i="6" s="1"/>
  <c r="AD34" i="6"/>
  <c r="AO34" i="6" s="1"/>
  <c r="AD41" i="6"/>
  <c r="AO41" i="6" s="1"/>
  <c r="AD33" i="6"/>
  <c r="AO33" i="6" s="1"/>
  <c r="AD42" i="6"/>
  <c r="AO42" i="6" s="1"/>
  <c r="AD25" i="6"/>
  <c r="AO25" i="6" s="1"/>
  <c r="AD52" i="6"/>
  <c r="AO52" i="6" s="1"/>
  <c r="AD48" i="6"/>
  <c r="AO48" i="6" s="1"/>
  <c r="AD49" i="6"/>
  <c r="AO49" i="6" s="1"/>
  <c r="AD51" i="6"/>
  <c r="AO51" i="6" s="1"/>
  <c r="AD7" i="6"/>
  <c r="AO7" i="6" s="1"/>
  <c r="AD18" i="6"/>
  <c r="AO18" i="6" s="1"/>
  <c r="AD50" i="6"/>
  <c r="AO50" i="6" s="1"/>
  <c r="AD20" i="6"/>
  <c r="AO20" i="6" s="1"/>
  <c r="AD17" i="6"/>
  <c r="AO17" i="6" s="1"/>
  <c r="AD26" i="6"/>
  <c r="AO26" i="6" s="1"/>
  <c r="AD38" i="6"/>
  <c r="AO38" i="6" s="1"/>
  <c r="AD22" i="6"/>
  <c r="AO22" i="6" s="1"/>
  <c r="AD23" i="6"/>
  <c r="AO23" i="6" s="1"/>
  <c r="AD36" i="6"/>
  <c r="AO36" i="6" s="1"/>
  <c r="AD31" i="6"/>
  <c r="AO31" i="6" s="1"/>
  <c r="AD14" i="6"/>
  <c r="AO14" i="6" s="1"/>
  <c r="AD12" i="6"/>
  <c r="AO12" i="6" s="1"/>
  <c r="AD30" i="6"/>
  <c r="AO30" i="6" s="1"/>
  <c r="AE45" i="6"/>
  <c r="AP45" i="6" s="1"/>
  <c r="AD10" i="6"/>
  <c r="AO10" i="6" s="1"/>
  <c r="AD15" i="6"/>
  <c r="AO15" i="6" s="1"/>
  <c r="AD47" i="6"/>
  <c r="AO47" i="6" s="1"/>
  <c r="AD24" i="6"/>
  <c r="AO24" i="6" s="1"/>
  <c r="AD32" i="6"/>
  <c r="AO32" i="6" s="1"/>
  <c r="AD6" i="6"/>
  <c r="AO6" i="6" s="1"/>
  <c r="L6" i="4"/>
  <c r="M6" i="4"/>
  <c r="N6" i="4"/>
  <c r="O6" i="4"/>
  <c r="K6" i="4"/>
  <c r="AG4" i="6" l="1"/>
  <c r="AF86" i="6"/>
  <c r="AQ86" i="6" s="1"/>
  <c r="AF90" i="6"/>
  <c r="AQ90" i="6" s="1"/>
  <c r="AF88" i="6"/>
  <c r="AQ88" i="6" s="1"/>
  <c r="AF66" i="6"/>
  <c r="AQ66" i="6" s="1"/>
  <c r="AF60" i="6"/>
  <c r="AQ60" i="6" s="1"/>
  <c r="AF99" i="6"/>
  <c r="AQ99" i="6" s="1"/>
  <c r="AF92" i="6"/>
  <c r="AQ92" i="6" s="1"/>
  <c r="AF100" i="6"/>
  <c r="AQ100" i="6" s="1"/>
  <c r="AF77" i="6"/>
  <c r="AQ77" i="6" s="1"/>
  <c r="AF80" i="6"/>
  <c r="AQ80" i="6" s="1"/>
  <c r="AF72" i="6"/>
  <c r="AQ72" i="6" s="1"/>
  <c r="AF95" i="6"/>
  <c r="AQ95" i="6" s="1"/>
  <c r="AF64" i="6"/>
  <c r="AQ64" i="6" s="1"/>
  <c r="AF78" i="6"/>
  <c r="AQ78" i="6" s="1"/>
  <c r="AF76" i="6"/>
  <c r="AQ76" i="6" s="1"/>
  <c r="AF104" i="6"/>
  <c r="AQ104" i="6" s="1"/>
  <c r="AF56" i="6"/>
  <c r="AQ56" i="6" s="1"/>
  <c r="AF96" i="6"/>
  <c r="AQ96" i="6" s="1"/>
  <c r="AF63" i="6"/>
  <c r="AQ63" i="6" s="1"/>
  <c r="AF91" i="6"/>
  <c r="AQ91" i="6" s="1"/>
  <c r="AF103" i="6"/>
  <c r="AQ103" i="6" s="1"/>
  <c r="AF98" i="6"/>
  <c r="AQ98" i="6" s="1"/>
  <c r="AF55" i="6"/>
  <c r="AQ55" i="6" s="1"/>
  <c r="AF57" i="6"/>
  <c r="AQ57" i="6" s="1"/>
  <c r="AF97" i="6"/>
  <c r="AQ97" i="6" s="1"/>
  <c r="AF71" i="6"/>
  <c r="AQ71" i="6" s="1"/>
  <c r="AF87" i="6"/>
  <c r="AQ87" i="6" s="1"/>
  <c r="AF89" i="6"/>
  <c r="AQ89" i="6" s="1"/>
  <c r="AF84" i="6"/>
  <c r="AQ84" i="6" s="1"/>
  <c r="AF68" i="6"/>
  <c r="AQ68" i="6" s="1"/>
  <c r="AF74" i="6"/>
  <c r="AQ74" i="6" s="1"/>
  <c r="AF102" i="6"/>
  <c r="AQ102" i="6" s="1"/>
  <c r="AF59" i="6"/>
  <c r="AQ59" i="6" s="1"/>
  <c r="AF58" i="6"/>
  <c r="AQ58" i="6" s="1"/>
  <c r="AF70" i="6"/>
  <c r="AQ70" i="6" s="1"/>
  <c r="AF94" i="6"/>
  <c r="AQ94" i="6" s="1"/>
  <c r="AF81" i="6"/>
  <c r="AQ81" i="6" s="1"/>
  <c r="AF69" i="6"/>
  <c r="AQ69" i="6" s="1"/>
  <c r="AF61" i="6"/>
  <c r="AQ61" i="6" s="1"/>
  <c r="AF73" i="6"/>
  <c r="AQ73" i="6" s="1"/>
  <c r="AF83" i="6"/>
  <c r="AQ83" i="6" s="1"/>
  <c r="AF85" i="6"/>
  <c r="AQ85" i="6" s="1"/>
  <c r="AF79" i="6"/>
  <c r="AQ79" i="6" s="1"/>
  <c r="AF65" i="6"/>
  <c r="AQ65" i="6" s="1"/>
  <c r="AF67" i="6"/>
  <c r="AQ67" i="6" s="1"/>
  <c r="AF75" i="6"/>
  <c r="AQ75" i="6" s="1"/>
  <c r="AF82" i="6"/>
  <c r="AQ82" i="6" s="1"/>
  <c r="AF93" i="6"/>
  <c r="AQ93" i="6" s="1"/>
  <c r="AF101" i="6"/>
  <c r="AQ101" i="6" s="1"/>
  <c r="AF62" i="6"/>
  <c r="AQ62" i="6" s="1"/>
  <c r="AE43" i="6"/>
  <c r="AP43" i="6" s="1"/>
  <c r="AO8" i="6"/>
  <c r="AO5" i="6"/>
  <c r="AE35" i="6"/>
  <c r="AP35" i="6" s="1"/>
  <c r="AE21" i="6"/>
  <c r="AP21" i="6" s="1"/>
  <c r="AE53" i="6"/>
  <c r="AP53" i="6" s="1"/>
  <c r="AE5" i="6"/>
  <c r="AE13" i="6"/>
  <c r="AP13" i="6" s="1"/>
  <c r="AE15" i="6"/>
  <c r="AP15" i="6" s="1"/>
  <c r="AE12" i="6"/>
  <c r="AP12" i="6" s="1"/>
  <c r="AE23" i="6"/>
  <c r="AP23" i="6" s="1"/>
  <c r="AF43" i="6"/>
  <c r="AQ43" i="6" s="1"/>
  <c r="AE50" i="6"/>
  <c r="AP50" i="6" s="1"/>
  <c r="AE51" i="6"/>
  <c r="AP51" i="6" s="1"/>
  <c r="AE25" i="6"/>
  <c r="AP25" i="6" s="1"/>
  <c r="AE34" i="6"/>
  <c r="AP34" i="6" s="1"/>
  <c r="AE28" i="6"/>
  <c r="AP28" i="6" s="1"/>
  <c r="AE29" i="6"/>
  <c r="AP29" i="6" s="1"/>
  <c r="AE46" i="6"/>
  <c r="AP46" i="6" s="1"/>
  <c r="AE22" i="6"/>
  <c r="AP22" i="6" s="1"/>
  <c r="AE49" i="6"/>
  <c r="AP49" i="6" s="1"/>
  <c r="AE42" i="6"/>
  <c r="AP42" i="6" s="1"/>
  <c r="AE19" i="6"/>
  <c r="AP19" i="6" s="1"/>
  <c r="AE9" i="6"/>
  <c r="AP9" i="6" s="1"/>
  <c r="AE37" i="6"/>
  <c r="AP37" i="6" s="1"/>
  <c r="AE44" i="6"/>
  <c r="AP44" i="6" s="1"/>
  <c r="AE14" i="6"/>
  <c r="AP14" i="6" s="1"/>
  <c r="AE32" i="6"/>
  <c r="AP32" i="6" s="1"/>
  <c r="AE17" i="6"/>
  <c r="AP17" i="6" s="1"/>
  <c r="AE24" i="6"/>
  <c r="AP24" i="6" s="1"/>
  <c r="AF45" i="6"/>
  <c r="AQ45" i="6" s="1"/>
  <c r="AE31" i="6"/>
  <c r="AP31" i="6" s="1"/>
  <c r="AE38" i="6"/>
  <c r="AP38" i="6" s="1"/>
  <c r="AE20" i="6"/>
  <c r="AP20" i="6" s="1"/>
  <c r="AE18" i="6"/>
  <c r="AP18" i="6" s="1"/>
  <c r="AE48" i="6"/>
  <c r="AP48" i="6" s="1"/>
  <c r="AE33" i="6"/>
  <c r="AP33" i="6" s="1"/>
  <c r="AE40" i="6"/>
  <c r="AP40" i="6" s="1"/>
  <c r="AE39" i="6"/>
  <c r="AP39" i="6" s="1"/>
  <c r="AE27" i="6"/>
  <c r="AP27" i="6" s="1"/>
  <c r="AE10" i="6"/>
  <c r="AP10" i="6" s="1"/>
  <c r="AE6" i="6"/>
  <c r="AP6" i="6" s="1"/>
  <c r="AE47" i="6"/>
  <c r="AP47" i="6" s="1"/>
  <c r="AE30" i="6"/>
  <c r="AP30" i="6" s="1"/>
  <c r="AE36" i="6"/>
  <c r="AP36" i="6" s="1"/>
  <c r="AE26" i="6"/>
  <c r="AP26" i="6" s="1"/>
  <c r="AE7" i="6"/>
  <c r="AP7" i="6" s="1"/>
  <c r="AE52" i="6"/>
  <c r="AP52" i="6" s="1"/>
  <c r="AE41" i="6"/>
  <c r="AP41" i="6" s="1"/>
  <c r="AE8" i="6"/>
  <c r="AE11" i="6"/>
  <c r="AP11" i="6" s="1"/>
  <c r="AE16" i="6"/>
  <c r="AP16" i="6" s="1"/>
  <c r="AE54" i="6"/>
  <c r="AP54" i="6" s="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C13" i="5"/>
  <c r="C14" i="5"/>
  <c r="C15" i="5"/>
  <c r="C16" i="5"/>
  <c r="C17" i="5"/>
  <c r="C18" i="5"/>
  <c r="C19" i="5"/>
  <c r="C20" i="5"/>
  <c r="C21" i="5"/>
  <c r="C22" i="5"/>
  <c r="C23" i="5"/>
  <c r="C24" i="5"/>
  <c r="C25" i="5"/>
  <c r="C26" i="5"/>
  <c r="C27"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12" i="5"/>
  <c r="AH4" i="6" l="1"/>
  <c r="AG86" i="6"/>
  <c r="AR86" i="6" s="1"/>
  <c r="AG66" i="6"/>
  <c r="AR66" i="6" s="1"/>
  <c r="AG90" i="6"/>
  <c r="AR90" i="6" s="1"/>
  <c r="AG88" i="6"/>
  <c r="AR88" i="6" s="1"/>
  <c r="AG92" i="6"/>
  <c r="AR92" i="6" s="1"/>
  <c r="AG80" i="6"/>
  <c r="AR80" i="6" s="1"/>
  <c r="AG64" i="6"/>
  <c r="AR64" i="6" s="1"/>
  <c r="AG100" i="6"/>
  <c r="AR100" i="6" s="1"/>
  <c r="AG77" i="6"/>
  <c r="AR77" i="6" s="1"/>
  <c r="AG99" i="6"/>
  <c r="AR99" i="6" s="1"/>
  <c r="AG96" i="6"/>
  <c r="AR96" i="6" s="1"/>
  <c r="AG95" i="6"/>
  <c r="AR95" i="6" s="1"/>
  <c r="AG76" i="6"/>
  <c r="AR76" i="6" s="1"/>
  <c r="AG78" i="6"/>
  <c r="AR78" i="6" s="1"/>
  <c r="AG60" i="6"/>
  <c r="AR60" i="6" s="1"/>
  <c r="AG56" i="6"/>
  <c r="AR56" i="6" s="1"/>
  <c r="AG104" i="6"/>
  <c r="AR104" i="6" s="1"/>
  <c r="AG72" i="6"/>
  <c r="AR72" i="6" s="1"/>
  <c r="AG63" i="6"/>
  <c r="AR63" i="6" s="1"/>
  <c r="AG71" i="6"/>
  <c r="AR71" i="6" s="1"/>
  <c r="AG68" i="6"/>
  <c r="AR68" i="6" s="1"/>
  <c r="AG55" i="6"/>
  <c r="AR55" i="6" s="1"/>
  <c r="AG59" i="6"/>
  <c r="AR59" i="6" s="1"/>
  <c r="AG84" i="6"/>
  <c r="AR84" i="6" s="1"/>
  <c r="AG58" i="6"/>
  <c r="AR58" i="6" s="1"/>
  <c r="AG97" i="6"/>
  <c r="AR97" i="6" s="1"/>
  <c r="AG102" i="6"/>
  <c r="AR102" i="6" s="1"/>
  <c r="AG74" i="6"/>
  <c r="AR74" i="6" s="1"/>
  <c r="AG57" i="6"/>
  <c r="AR57" i="6" s="1"/>
  <c r="AG91" i="6"/>
  <c r="AR91" i="6" s="1"/>
  <c r="AG89" i="6"/>
  <c r="AR89" i="6" s="1"/>
  <c r="AG98" i="6"/>
  <c r="AR98" i="6" s="1"/>
  <c r="AG87" i="6"/>
  <c r="AR87" i="6" s="1"/>
  <c r="AG103" i="6"/>
  <c r="AR103" i="6" s="1"/>
  <c r="AG70" i="6"/>
  <c r="AR70" i="6" s="1"/>
  <c r="AG69" i="6"/>
  <c r="AR69" i="6" s="1"/>
  <c r="AG85" i="6"/>
  <c r="AR85" i="6" s="1"/>
  <c r="AG67" i="6"/>
  <c r="AR67" i="6" s="1"/>
  <c r="AG83" i="6"/>
  <c r="AR83" i="6" s="1"/>
  <c r="AG79" i="6"/>
  <c r="AR79" i="6" s="1"/>
  <c r="AG75" i="6"/>
  <c r="AR75" i="6" s="1"/>
  <c r="AG93" i="6"/>
  <c r="AR93" i="6" s="1"/>
  <c r="AG94" i="6"/>
  <c r="AR94" i="6" s="1"/>
  <c r="AG61" i="6"/>
  <c r="AR61" i="6" s="1"/>
  <c r="AG82" i="6"/>
  <c r="AR82" i="6" s="1"/>
  <c r="AG73" i="6"/>
  <c r="AR73" i="6" s="1"/>
  <c r="AG81" i="6"/>
  <c r="AR81" i="6" s="1"/>
  <c r="AG65" i="6"/>
  <c r="AR65" i="6" s="1"/>
  <c r="AG62" i="6"/>
  <c r="AR62" i="6" s="1"/>
  <c r="AG101" i="6"/>
  <c r="AR101" i="6" s="1"/>
  <c r="AF21" i="6"/>
  <c r="AQ21" i="6" s="1"/>
  <c r="AP8" i="6"/>
  <c r="AP5" i="6"/>
  <c r="AF35" i="6"/>
  <c r="AQ35" i="6" s="1"/>
  <c r="AF5" i="6"/>
  <c r="AF53" i="6"/>
  <c r="AQ53" i="6" s="1"/>
  <c r="AF13" i="6"/>
  <c r="AQ13" i="6" s="1"/>
  <c r="AF16" i="6"/>
  <c r="AQ16" i="6" s="1"/>
  <c r="AF52" i="6"/>
  <c r="AQ52" i="6" s="1"/>
  <c r="AF36" i="6"/>
  <c r="AQ36" i="6" s="1"/>
  <c r="AF10" i="6"/>
  <c r="AQ10" i="6" s="1"/>
  <c r="AF40" i="6"/>
  <c r="AQ40" i="6" s="1"/>
  <c r="AF20" i="6"/>
  <c r="AQ20" i="6" s="1"/>
  <c r="AF24" i="6"/>
  <c r="AQ24" i="6" s="1"/>
  <c r="AF44" i="6"/>
  <c r="AQ44" i="6" s="1"/>
  <c r="AF42" i="6"/>
  <c r="AQ42" i="6" s="1"/>
  <c r="AF46" i="6"/>
  <c r="AQ46" i="6" s="1"/>
  <c r="AF25" i="6"/>
  <c r="AQ25" i="6" s="1"/>
  <c r="AF23" i="6"/>
  <c r="AQ23" i="6" s="1"/>
  <c r="AF7" i="6"/>
  <c r="AQ7" i="6" s="1"/>
  <c r="AF30" i="6"/>
  <c r="AQ30" i="6" s="1"/>
  <c r="AF27" i="6"/>
  <c r="AQ27" i="6" s="1"/>
  <c r="AF33" i="6"/>
  <c r="AQ33" i="6" s="1"/>
  <c r="AF38" i="6"/>
  <c r="AQ38" i="6" s="1"/>
  <c r="AF17" i="6"/>
  <c r="AQ17" i="6" s="1"/>
  <c r="AF37" i="6"/>
  <c r="AQ37" i="6" s="1"/>
  <c r="AF49" i="6"/>
  <c r="AQ49" i="6" s="1"/>
  <c r="AF29" i="6"/>
  <c r="AQ29" i="6" s="1"/>
  <c r="AF51" i="6"/>
  <c r="AQ51" i="6" s="1"/>
  <c r="AF12" i="6"/>
  <c r="AQ12" i="6" s="1"/>
  <c r="AF11" i="6"/>
  <c r="AQ11" i="6" s="1"/>
  <c r="AF8" i="6"/>
  <c r="AF47" i="6"/>
  <c r="AQ47" i="6" s="1"/>
  <c r="AF39" i="6"/>
  <c r="AQ39" i="6" s="1"/>
  <c r="AF48" i="6"/>
  <c r="AQ48" i="6" s="1"/>
  <c r="AF31" i="6"/>
  <c r="AQ31" i="6" s="1"/>
  <c r="AF32" i="6"/>
  <c r="AQ32" i="6" s="1"/>
  <c r="AF9" i="6"/>
  <c r="AQ9" i="6" s="1"/>
  <c r="AF28" i="6"/>
  <c r="AQ28" i="6" s="1"/>
  <c r="AF50" i="6"/>
  <c r="AQ50" i="6" s="1"/>
  <c r="AF15" i="6"/>
  <c r="AQ15" i="6" s="1"/>
  <c r="AF54" i="6"/>
  <c r="AQ54" i="6" s="1"/>
  <c r="AF41" i="6"/>
  <c r="AQ41" i="6" s="1"/>
  <c r="AF26" i="6"/>
  <c r="AQ26" i="6" s="1"/>
  <c r="AF6" i="6"/>
  <c r="AQ6" i="6" s="1"/>
  <c r="AF18" i="6"/>
  <c r="AQ18" i="6" s="1"/>
  <c r="AG45" i="6"/>
  <c r="AR45" i="6" s="1"/>
  <c r="AF14" i="6"/>
  <c r="AQ14" i="6" s="1"/>
  <c r="AF19" i="6"/>
  <c r="AQ19" i="6" s="1"/>
  <c r="AF22" i="6"/>
  <c r="AQ22" i="6" s="1"/>
  <c r="AF34" i="6"/>
  <c r="AQ34" i="6" s="1"/>
  <c r="AG43" i="6"/>
  <c r="AR43" i="6" s="1"/>
  <c r="AG53" i="6" l="1"/>
  <c r="AR53" i="6" s="1"/>
  <c r="AI4" i="6"/>
  <c r="AH86" i="6"/>
  <c r="AS86" i="6" s="1"/>
  <c r="AH90" i="6"/>
  <c r="AS90" i="6" s="1"/>
  <c r="AH66" i="6"/>
  <c r="AS66" i="6" s="1"/>
  <c r="AH88" i="6"/>
  <c r="AS88" i="6" s="1"/>
  <c r="AH92" i="6"/>
  <c r="AS92" i="6" s="1"/>
  <c r="AH100" i="6"/>
  <c r="AS100" i="6" s="1"/>
  <c r="AH56" i="6"/>
  <c r="AS56" i="6" s="1"/>
  <c r="AH95" i="6"/>
  <c r="AS95" i="6" s="1"/>
  <c r="AH64" i="6"/>
  <c r="AS64" i="6" s="1"/>
  <c r="AH78" i="6"/>
  <c r="AS78" i="6" s="1"/>
  <c r="AH60" i="6"/>
  <c r="AS60" i="6" s="1"/>
  <c r="AH76" i="6"/>
  <c r="AS76" i="6" s="1"/>
  <c r="AH77" i="6"/>
  <c r="AS77" i="6" s="1"/>
  <c r="AH72" i="6"/>
  <c r="AS72" i="6" s="1"/>
  <c r="AH99" i="6"/>
  <c r="AS99" i="6" s="1"/>
  <c r="AH104" i="6"/>
  <c r="AS104" i="6" s="1"/>
  <c r="AH96" i="6"/>
  <c r="AS96" i="6" s="1"/>
  <c r="AH80" i="6"/>
  <c r="AS80" i="6" s="1"/>
  <c r="AH63" i="6"/>
  <c r="AS63" i="6" s="1"/>
  <c r="AH91" i="6"/>
  <c r="AS91" i="6" s="1"/>
  <c r="AH68" i="6"/>
  <c r="AS68" i="6" s="1"/>
  <c r="AH84" i="6"/>
  <c r="AS84" i="6" s="1"/>
  <c r="AH98" i="6"/>
  <c r="AS98" i="6" s="1"/>
  <c r="AH97" i="6"/>
  <c r="AS97" i="6" s="1"/>
  <c r="AH103" i="6"/>
  <c r="AS103" i="6" s="1"/>
  <c r="AH70" i="6"/>
  <c r="AS70" i="6" s="1"/>
  <c r="AH87" i="6"/>
  <c r="AS87" i="6" s="1"/>
  <c r="AH71" i="6"/>
  <c r="AS71" i="6" s="1"/>
  <c r="AH57" i="6"/>
  <c r="AS57" i="6" s="1"/>
  <c r="AH74" i="6"/>
  <c r="AS74" i="6" s="1"/>
  <c r="AH59" i="6"/>
  <c r="AS59" i="6" s="1"/>
  <c r="AH58" i="6"/>
  <c r="AS58" i="6" s="1"/>
  <c r="AH89" i="6"/>
  <c r="AS89" i="6" s="1"/>
  <c r="AH102" i="6"/>
  <c r="AS102" i="6" s="1"/>
  <c r="AH55" i="6"/>
  <c r="AS55" i="6" s="1"/>
  <c r="AH75" i="6"/>
  <c r="AS75" i="6" s="1"/>
  <c r="AH65" i="6"/>
  <c r="AS65" i="6" s="1"/>
  <c r="AH83" i="6"/>
  <c r="AS83" i="6" s="1"/>
  <c r="AH82" i="6"/>
  <c r="AS82" i="6" s="1"/>
  <c r="AH85" i="6"/>
  <c r="AS85" i="6" s="1"/>
  <c r="AH79" i="6"/>
  <c r="AS79" i="6" s="1"/>
  <c r="AH94" i="6"/>
  <c r="AS94" i="6" s="1"/>
  <c r="AH73" i="6"/>
  <c r="AS73" i="6" s="1"/>
  <c r="AH67" i="6"/>
  <c r="AS67" i="6" s="1"/>
  <c r="AH61" i="6"/>
  <c r="AS61" i="6" s="1"/>
  <c r="AH93" i="6"/>
  <c r="AS93" i="6" s="1"/>
  <c r="AH81" i="6"/>
  <c r="AS81" i="6" s="1"/>
  <c r="AH69" i="6"/>
  <c r="AS69" i="6" s="1"/>
  <c r="AH101" i="6"/>
  <c r="AS101" i="6" s="1"/>
  <c r="AH62" i="6"/>
  <c r="AS62" i="6" s="1"/>
  <c r="AG21" i="6"/>
  <c r="AR21" i="6" s="1"/>
  <c r="AQ8" i="6"/>
  <c r="AQ5" i="6"/>
  <c r="AG35" i="6"/>
  <c r="AR35" i="6" s="1"/>
  <c r="AG5" i="6"/>
  <c r="AG13" i="6"/>
  <c r="AR13" i="6" s="1"/>
  <c r="AG14" i="6"/>
  <c r="AR14" i="6" s="1"/>
  <c r="AG15" i="6"/>
  <c r="AR15" i="6" s="1"/>
  <c r="AG9" i="6"/>
  <c r="AR9" i="6" s="1"/>
  <c r="AG39" i="6"/>
  <c r="AR39" i="6" s="1"/>
  <c r="AG11" i="6"/>
  <c r="AR11" i="6" s="1"/>
  <c r="AG49" i="6"/>
  <c r="AR49" i="6" s="1"/>
  <c r="AG33" i="6"/>
  <c r="AR33" i="6" s="1"/>
  <c r="AG23" i="6"/>
  <c r="AR23" i="6" s="1"/>
  <c r="AG44" i="6"/>
  <c r="AR44" i="6" s="1"/>
  <c r="AG10" i="6"/>
  <c r="AR10" i="6" s="1"/>
  <c r="AH43" i="6"/>
  <c r="AS43" i="6" s="1"/>
  <c r="AH45" i="6"/>
  <c r="AS45" i="6" s="1"/>
  <c r="AG50" i="6"/>
  <c r="AR50" i="6" s="1"/>
  <c r="AG32" i="6"/>
  <c r="AR32" i="6" s="1"/>
  <c r="AG47" i="6"/>
  <c r="AR47" i="6" s="1"/>
  <c r="AG12" i="6"/>
  <c r="AR12" i="6" s="1"/>
  <c r="AG37" i="6"/>
  <c r="AR37" i="6" s="1"/>
  <c r="AG27" i="6"/>
  <c r="AR27" i="6" s="1"/>
  <c r="AG25" i="6"/>
  <c r="AR25" i="6" s="1"/>
  <c r="AG24" i="6"/>
  <c r="AR24" i="6" s="1"/>
  <c r="AG36" i="6"/>
  <c r="AR36" i="6" s="1"/>
  <c r="AG26" i="6"/>
  <c r="AR26" i="6" s="1"/>
  <c r="AG34" i="6"/>
  <c r="AR34" i="6" s="1"/>
  <c r="AG22" i="6"/>
  <c r="AR22" i="6" s="1"/>
  <c r="AG18" i="6"/>
  <c r="AR18" i="6" s="1"/>
  <c r="AG41" i="6"/>
  <c r="AR41" i="6" s="1"/>
  <c r="AG28" i="6"/>
  <c r="AR28" i="6" s="1"/>
  <c r="AG31" i="6"/>
  <c r="AR31" i="6" s="1"/>
  <c r="AG51" i="6"/>
  <c r="AR51" i="6" s="1"/>
  <c r="AG17" i="6"/>
  <c r="AR17" i="6" s="1"/>
  <c r="AG30" i="6"/>
  <c r="AR30" i="6" s="1"/>
  <c r="AG46" i="6"/>
  <c r="AR46" i="6" s="1"/>
  <c r="AG20" i="6"/>
  <c r="AR20" i="6" s="1"/>
  <c r="AG52" i="6"/>
  <c r="AR52" i="6" s="1"/>
  <c r="AG6" i="6"/>
  <c r="AR6" i="6" s="1"/>
  <c r="AH53" i="6"/>
  <c r="AS53" i="6" s="1"/>
  <c r="AG19" i="6"/>
  <c r="AR19" i="6" s="1"/>
  <c r="AG54" i="6"/>
  <c r="AR54" i="6" s="1"/>
  <c r="AG48" i="6"/>
  <c r="AR48" i="6" s="1"/>
  <c r="AG8" i="6"/>
  <c r="AG29" i="6"/>
  <c r="AR29" i="6" s="1"/>
  <c r="AG38" i="6"/>
  <c r="AR38" i="6" s="1"/>
  <c r="AG7" i="6"/>
  <c r="AR7" i="6" s="1"/>
  <c r="AG42" i="6"/>
  <c r="AR42" i="6" s="1"/>
  <c r="AG40" i="6"/>
  <c r="AR40" i="6" s="1"/>
  <c r="AG16" i="6"/>
  <c r="AR16" i="6" s="1"/>
  <c r="AI86" i="6" l="1"/>
  <c r="AT86" i="6" s="1"/>
  <c r="AI88" i="6"/>
  <c r="AT88" i="6" s="1"/>
  <c r="AI66" i="6"/>
  <c r="AT66" i="6" s="1"/>
  <c r="AI90" i="6"/>
  <c r="AT90" i="6" s="1"/>
  <c r="AI104" i="6"/>
  <c r="AT104" i="6" s="1"/>
  <c r="AI100" i="6"/>
  <c r="AT100" i="6" s="1"/>
  <c r="AI60" i="6"/>
  <c r="AT60" i="6" s="1"/>
  <c r="AI92" i="6"/>
  <c r="AT92" i="6" s="1"/>
  <c r="AI80" i="6"/>
  <c r="AT80" i="6" s="1"/>
  <c r="AI96" i="6"/>
  <c r="AT96" i="6" s="1"/>
  <c r="AI78" i="6"/>
  <c r="AT78" i="6" s="1"/>
  <c r="AI76" i="6"/>
  <c r="AT76" i="6" s="1"/>
  <c r="AI56" i="6"/>
  <c r="AT56" i="6" s="1"/>
  <c r="AI72" i="6"/>
  <c r="AT72" i="6" s="1"/>
  <c r="AI95" i="6"/>
  <c r="AT95" i="6" s="1"/>
  <c r="AI64" i="6"/>
  <c r="AT64" i="6" s="1"/>
  <c r="AI77" i="6"/>
  <c r="AT77" i="6" s="1"/>
  <c r="AI99" i="6"/>
  <c r="AT99" i="6" s="1"/>
  <c r="AI84" i="6"/>
  <c r="AT84" i="6" s="1"/>
  <c r="AI98" i="6"/>
  <c r="AT98" i="6" s="1"/>
  <c r="AI55" i="6"/>
  <c r="AT55" i="6" s="1"/>
  <c r="AI63" i="6"/>
  <c r="AT63" i="6" s="1"/>
  <c r="AI71" i="6"/>
  <c r="AT71" i="6" s="1"/>
  <c r="AI74" i="6"/>
  <c r="AT74" i="6" s="1"/>
  <c r="AI102" i="6"/>
  <c r="AT102" i="6" s="1"/>
  <c r="AI68" i="6"/>
  <c r="AT68" i="6" s="1"/>
  <c r="AI59" i="6"/>
  <c r="AT59" i="6" s="1"/>
  <c r="AI89" i="6"/>
  <c r="AT89" i="6" s="1"/>
  <c r="AI91" i="6"/>
  <c r="AT91" i="6" s="1"/>
  <c r="AI87" i="6"/>
  <c r="AT87" i="6" s="1"/>
  <c r="AI97" i="6"/>
  <c r="AT97" i="6" s="1"/>
  <c r="AI57" i="6"/>
  <c r="AT57" i="6" s="1"/>
  <c r="AI70" i="6"/>
  <c r="AT70" i="6" s="1"/>
  <c r="AI103" i="6"/>
  <c r="AT103" i="6" s="1"/>
  <c r="AI58" i="6"/>
  <c r="AT58" i="6" s="1"/>
  <c r="AI61" i="6"/>
  <c r="AT61" i="6" s="1"/>
  <c r="AI94" i="6"/>
  <c r="AT94" i="6" s="1"/>
  <c r="AI82" i="6"/>
  <c r="AT82" i="6" s="1"/>
  <c r="AI85" i="6"/>
  <c r="AT85" i="6" s="1"/>
  <c r="AI93" i="6"/>
  <c r="AT93" i="6" s="1"/>
  <c r="AI81" i="6"/>
  <c r="AT81" i="6" s="1"/>
  <c r="AI65" i="6"/>
  <c r="AT65" i="6" s="1"/>
  <c r="AI75" i="6"/>
  <c r="AT75" i="6" s="1"/>
  <c r="AI67" i="6"/>
  <c r="AT67" i="6" s="1"/>
  <c r="AI69" i="6"/>
  <c r="AT69" i="6" s="1"/>
  <c r="AI79" i="6"/>
  <c r="AT79" i="6" s="1"/>
  <c r="AI73" i="6"/>
  <c r="AT73" i="6" s="1"/>
  <c r="AI83" i="6"/>
  <c r="AT83" i="6" s="1"/>
  <c r="AI62" i="6"/>
  <c r="AT62" i="6" s="1"/>
  <c r="AI101" i="6"/>
  <c r="AT101" i="6" s="1"/>
  <c r="AH21" i="6"/>
  <c r="AS21" i="6" s="1"/>
  <c r="AR8" i="6"/>
  <c r="AR5" i="6"/>
  <c r="AH35" i="6"/>
  <c r="AS35" i="6" s="1"/>
  <c r="AH5" i="6"/>
  <c r="AH13" i="6"/>
  <c r="AS13" i="6" s="1"/>
  <c r="AH54" i="6"/>
  <c r="AS54" i="6" s="1"/>
  <c r="AH6" i="6"/>
  <c r="AS6" i="6" s="1"/>
  <c r="AH30" i="6"/>
  <c r="AS30" i="6" s="1"/>
  <c r="AH31" i="6"/>
  <c r="AS31" i="6" s="1"/>
  <c r="AH22" i="6"/>
  <c r="AS22" i="6" s="1"/>
  <c r="AH24" i="6"/>
  <c r="AS24" i="6" s="1"/>
  <c r="AH12" i="6"/>
  <c r="AS12" i="6" s="1"/>
  <c r="AI45" i="6"/>
  <c r="AT45" i="6" s="1"/>
  <c r="AH23" i="6"/>
  <c r="AS23" i="6" s="1"/>
  <c r="AH39" i="6"/>
  <c r="AS39" i="6" s="1"/>
  <c r="AH29" i="6"/>
  <c r="AS29" i="6" s="1"/>
  <c r="AH17" i="6"/>
  <c r="AS17" i="6" s="1"/>
  <c r="AH28" i="6"/>
  <c r="AS28" i="6" s="1"/>
  <c r="AH34" i="6"/>
  <c r="AS34" i="6" s="1"/>
  <c r="AH25" i="6"/>
  <c r="AS25" i="6" s="1"/>
  <c r="AH47" i="6"/>
  <c r="AS47" i="6" s="1"/>
  <c r="AI43" i="6"/>
  <c r="AT43" i="6" s="1"/>
  <c r="AH33" i="6"/>
  <c r="AS33" i="6" s="1"/>
  <c r="AH9" i="6"/>
  <c r="AS9" i="6" s="1"/>
  <c r="AH8" i="6"/>
  <c r="AH52" i="6"/>
  <c r="AS52" i="6" s="1"/>
  <c r="AH7" i="6"/>
  <c r="AS7" i="6" s="1"/>
  <c r="AH48" i="6"/>
  <c r="AS48" i="6" s="1"/>
  <c r="AH19" i="6"/>
  <c r="AS19" i="6" s="1"/>
  <c r="AH20" i="6"/>
  <c r="AS20" i="6" s="1"/>
  <c r="AH51" i="6"/>
  <c r="AS51" i="6" s="1"/>
  <c r="AH41" i="6"/>
  <c r="AS41" i="6" s="1"/>
  <c r="AH26" i="6"/>
  <c r="AS26" i="6" s="1"/>
  <c r="AH27" i="6"/>
  <c r="AS27" i="6" s="1"/>
  <c r="AH32" i="6"/>
  <c r="AS32" i="6" s="1"/>
  <c r="AH10" i="6"/>
  <c r="AS10" i="6" s="1"/>
  <c r="AH49" i="6"/>
  <c r="AS49" i="6" s="1"/>
  <c r="AH15" i="6"/>
  <c r="AS15" i="6" s="1"/>
  <c r="AH40" i="6"/>
  <c r="AS40" i="6" s="1"/>
  <c r="AH42" i="6"/>
  <c r="AS42" i="6" s="1"/>
  <c r="AH16" i="6"/>
  <c r="AS16" i="6" s="1"/>
  <c r="AH38" i="6"/>
  <c r="AS38" i="6" s="1"/>
  <c r="AI53" i="6"/>
  <c r="AT53" i="6" s="1"/>
  <c r="AH46" i="6"/>
  <c r="AS46" i="6" s="1"/>
  <c r="AH18" i="6"/>
  <c r="AS18" i="6" s="1"/>
  <c r="AH36" i="6"/>
  <c r="AS36" i="6" s="1"/>
  <c r="AH37" i="6"/>
  <c r="AS37" i="6" s="1"/>
  <c r="AH50" i="6"/>
  <c r="AS50" i="6" s="1"/>
  <c r="AH44" i="6"/>
  <c r="AS44" i="6" s="1"/>
  <c r="AH11" i="6"/>
  <c r="AS11" i="6" s="1"/>
  <c r="AH14" i="6"/>
  <c r="AS14" i="6" s="1"/>
  <c r="AI21" i="6" l="1"/>
  <c r="AT21" i="6" s="1"/>
  <c r="AS8" i="6"/>
  <c r="AS5" i="6"/>
  <c r="AI35" i="6"/>
  <c r="AT35" i="6" s="1"/>
  <c r="AI5" i="6"/>
  <c r="AI13" i="6"/>
  <c r="AT13" i="6" s="1"/>
  <c r="AI10" i="6"/>
  <c r="AT10" i="6" s="1"/>
  <c r="AI41" i="6"/>
  <c r="AT41" i="6" s="1"/>
  <c r="AI48" i="6"/>
  <c r="AT48" i="6" s="1"/>
  <c r="AI9" i="6"/>
  <c r="AT9" i="6" s="1"/>
  <c r="AI25" i="6"/>
  <c r="AT25" i="6" s="1"/>
  <c r="AI31" i="6"/>
  <c r="AT31" i="6" s="1"/>
  <c r="AI11" i="6"/>
  <c r="AT11" i="6" s="1"/>
  <c r="AI40" i="6"/>
  <c r="AT40" i="6" s="1"/>
  <c r="AI32" i="6"/>
  <c r="AT32" i="6" s="1"/>
  <c r="AI51" i="6"/>
  <c r="AT51" i="6" s="1"/>
  <c r="AI7" i="6"/>
  <c r="AT7" i="6" s="1"/>
  <c r="AI33" i="6"/>
  <c r="AT33" i="6" s="1"/>
  <c r="AI34" i="6"/>
  <c r="AT34" i="6" s="1"/>
  <c r="AI29" i="6"/>
  <c r="AT29" i="6" s="1"/>
  <c r="AI12" i="6"/>
  <c r="AT12" i="6" s="1"/>
  <c r="AI30" i="6"/>
  <c r="AT30" i="6" s="1"/>
  <c r="AI36" i="6"/>
  <c r="AT36" i="6" s="1"/>
  <c r="AI18" i="6"/>
  <c r="AT18" i="6" s="1"/>
  <c r="AI42" i="6"/>
  <c r="AT42" i="6" s="1"/>
  <c r="AI44" i="6"/>
  <c r="AT44" i="6" s="1"/>
  <c r="AI50" i="6"/>
  <c r="AT50" i="6" s="1"/>
  <c r="AI38" i="6"/>
  <c r="AT38" i="6" s="1"/>
  <c r="AI15" i="6"/>
  <c r="AT15" i="6" s="1"/>
  <c r="AI27" i="6"/>
  <c r="AT27" i="6" s="1"/>
  <c r="AI20" i="6"/>
  <c r="AT20" i="6" s="1"/>
  <c r="AI52" i="6"/>
  <c r="AT52" i="6" s="1"/>
  <c r="AI28" i="6"/>
  <c r="AT28" i="6" s="1"/>
  <c r="AI39" i="6"/>
  <c r="AT39" i="6" s="1"/>
  <c r="AI24" i="6"/>
  <c r="AT24" i="6" s="1"/>
  <c r="AI6" i="6"/>
  <c r="AT6" i="6" s="1"/>
  <c r="AI14" i="6"/>
  <c r="AT14" i="6" s="1"/>
  <c r="AI37" i="6"/>
  <c r="AT37" i="6" s="1"/>
  <c r="AI46" i="6"/>
  <c r="AT46" i="6" s="1"/>
  <c r="AI16" i="6"/>
  <c r="AT16" i="6" s="1"/>
  <c r="AI49" i="6"/>
  <c r="AT49" i="6" s="1"/>
  <c r="AI26" i="6"/>
  <c r="AT26" i="6" s="1"/>
  <c r="AI19" i="6"/>
  <c r="AT19" i="6" s="1"/>
  <c r="AI8" i="6"/>
  <c r="AI47" i="6"/>
  <c r="AT47" i="6" s="1"/>
  <c r="AI17" i="6"/>
  <c r="AT17" i="6" s="1"/>
  <c r="AI23" i="6"/>
  <c r="AT23" i="6" s="1"/>
  <c r="AI22" i="6"/>
  <c r="AT22" i="6" s="1"/>
  <c r="AI54" i="6"/>
  <c r="AT54" i="6" s="1"/>
  <c r="AX5" i="6" a="1"/>
  <c r="AX5" i="6" l="1"/>
  <c r="BM5" i="6" s="1"/>
  <c r="AT8" i="6"/>
  <c r="AT5" i="6"/>
  <c r="AY5" i="6" a="1"/>
  <c r="BI5" i="6" l="1"/>
  <c r="BJ5" i="6" s="1"/>
  <c r="BN5" i="6"/>
  <c r="BC5" i="6"/>
  <c r="AY5" i="6"/>
  <c r="BE5" i="6"/>
  <c r="BD5" i="6"/>
  <c r="B10" i="3"/>
  <c r="B7" i="2" s="1"/>
  <c r="BG5" i="6"/>
  <c r="BH5" i="6"/>
  <c r="BL5" i="6"/>
  <c r="AE7" i="2" l="1"/>
  <c r="BK5" i="6"/>
  <c r="AF7" i="2"/>
  <c r="BK7" i="2"/>
  <c r="BF7" i="2"/>
  <c r="K5" i="6"/>
  <c r="F5" i="6" s="1"/>
  <c r="C7" i="2"/>
  <c r="BP7" i="2"/>
  <c r="Y7" i="2"/>
  <c r="AV7" i="2"/>
  <c r="BA7" i="2"/>
  <c r="AL7" i="2"/>
  <c r="AQ7" i="2"/>
  <c r="T7" i="2"/>
  <c r="H7" i="2"/>
  <c r="O7" i="2"/>
  <c r="AI7" i="2"/>
  <c r="I7" i="2"/>
  <c r="AZ5" i="6"/>
  <c r="C10" i="3" s="1"/>
  <c r="BS5" i="6"/>
  <c r="BL7" i="2"/>
  <c r="BQ7" i="2"/>
  <c r="BB7" i="2"/>
  <c r="BG7" i="2"/>
  <c r="AR7" i="2"/>
  <c r="AW7" i="2"/>
  <c r="AM7" i="2"/>
  <c r="U7" i="2"/>
  <c r="P7" i="2"/>
  <c r="J7" i="2"/>
  <c r="D7" i="2"/>
  <c r="BO5" i="6"/>
  <c r="BF5" i="6"/>
  <c r="BB5" i="6" s="1"/>
  <c r="Z7" i="2"/>
  <c r="AJ7" i="2" l="1"/>
  <c r="BC7" i="2"/>
  <c r="BD7" i="2" s="1"/>
  <c r="AX7" i="2"/>
  <c r="AY7" i="2" s="1"/>
  <c r="AS7" i="2"/>
  <c r="AT7" i="2" s="1"/>
  <c r="AN7" i="2"/>
  <c r="AO7" i="2" s="1"/>
  <c r="W7" i="2"/>
  <c r="R7" i="2"/>
  <c r="BR7" i="2"/>
  <c r="BS7" i="2" s="1"/>
  <c r="BH7" i="2"/>
  <c r="BI7" i="2" s="1"/>
  <c r="V7" i="2"/>
  <c r="Q7" i="2"/>
  <c r="L7" i="2"/>
  <c r="M7" i="2" s="1"/>
  <c r="K7" i="2"/>
  <c r="F7" i="2"/>
  <c r="E7" i="2"/>
  <c r="AB7" i="2"/>
  <c r="AA7" i="2"/>
  <c r="AG7" i="2" l="1"/>
  <c r="BT5" i="6" s="1"/>
  <c r="AX6" i="6" a="1"/>
  <c r="AY6" i="6" a="1"/>
  <c r="AY6" i="6" l="1"/>
  <c r="AX6" i="6"/>
  <c r="BM6" i="6" s="1"/>
  <c r="AY7" i="6" a="1"/>
  <c r="BN6" i="6" l="1"/>
  <c r="BS6" i="6"/>
  <c r="BE6" i="6"/>
  <c r="BL6" i="6"/>
  <c r="AY7" i="6"/>
  <c r="BD6" i="6"/>
  <c r="BH6" i="6"/>
  <c r="BI6" i="6"/>
  <c r="BJ6" i="6" s="1"/>
  <c r="B11" i="3"/>
  <c r="BC6" i="6"/>
  <c r="BG6" i="6"/>
  <c r="AY8" i="6" a="1"/>
  <c r="AX7" i="6" a="1"/>
  <c r="BK6" i="6" l="1"/>
  <c r="BO6" i="6"/>
  <c r="BF6" i="6"/>
  <c r="BB6" i="6" s="1"/>
  <c r="AX7" i="6"/>
  <c r="BM7" i="6" s="1"/>
  <c r="AY8" i="6"/>
  <c r="AY9" i="6" a="1"/>
  <c r="BN7" i="6" l="1"/>
  <c r="AY9" i="6"/>
  <c r="BG7" i="6"/>
  <c r="B12" i="3"/>
  <c r="BS7" i="6"/>
  <c r="BL7" i="6"/>
  <c r="BD7" i="6"/>
  <c r="BC7" i="6"/>
  <c r="BH7" i="6"/>
  <c r="BI7" i="6"/>
  <c r="BJ7" i="6" s="1"/>
  <c r="BE7" i="6"/>
  <c r="AX8" i="6" a="1"/>
  <c r="AY10" i="6" a="1"/>
  <c r="BK7" i="6" l="1"/>
  <c r="BO7" i="6"/>
  <c r="AX8" i="6"/>
  <c r="BM8" i="6" s="1"/>
  <c r="AY10" i="6"/>
  <c r="BF7" i="6"/>
  <c r="BB7" i="6" s="1"/>
  <c r="B8" i="2"/>
  <c r="AE8" i="2" s="1"/>
  <c r="B9" i="2"/>
  <c r="AE9" i="2" s="1"/>
  <c r="AY11" i="6" a="1"/>
  <c r="BN8" i="6" l="1"/>
  <c r="BK9" i="2"/>
  <c r="BK8" i="2"/>
  <c r="BP8" i="2"/>
  <c r="Y8" i="2"/>
  <c r="BP9" i="2"/>
  <c r="Y9" i="2"/>
  <c r="BF8" i="2"/>
  <c r="BF9" i="2"/>
  <c r="AV9" i="2"/>
  <c r="BA9" i="2"/>
  <c r="AV8" i="2"/>
  <c r="BA8" i="2"/>
  <c r="AL8" i="2"/>
  <c r="AQ8" i="2"/>
  <c r="AL9" i="2"/>
  <c r="AQ9" i="2"/>
  <c r="T9" i="2"/>
  <c r="T8" i="2"/>
  <c r="H9" i="2"/>
  <c r="O9" i="2"/>
  <c r="H8" i="2"/>
  <c r="O8" i="2"/>
  <c r="AI8" i="2"/>
  <c r="AJ8" i="2" s="1"/>
  <c r="C8" i="2"/>
  <c r="AI9" i="2"/>
  <c r="C9" i="2"/>
  <c r="I9" i="2"/>
  <c r="I8" i="2"/>
  <c r="BL8" i="2"/>
  <c r="BG9" i="2"/>
  <c r="D8" i="2"/>
  <c r="J8" i="2"/>
  <c r="BQ8" i="2"/>
  <c r="AR9" i="2"/>
  <c r="U9" i="2"/>
  <c r="P8" i="2"/>
  <c r="U8" i="2"/>
  <c r="AY11" i="6"/>
  <c r="BL9" i="2"/>
  <c r="BB9" i="2"/>
  <c r="AM9" i="2"/>
  <c r="AW9" i="2"/>
  <c r="BQ9" i="2"/>
  <c r="AM8" i="2"/>
  <c r="AW8" i="2"/>
  <c r="BG8" i="2"/>
  <c r="BB8" i="2"/>
  <c r="AR8" i="2"/>
  <c r="BG8" i="6"/>
  <c r="BS8" i="6"/>
  <c r="BD8" i="6"/>
  <c r="BH8" i="6"/>
  <c r="BI8" i="6"/>
  <c r="BJ8" i="6" s="1"/>
  <c r="BC8" i="6"/>
  <c r="BE8" i="6"/>
  <c r="B13" i="3"/>
  <c r="B10" i="2" s="1"/>
  <c r="BL8" i="6"/>
  <c r="J9" i="2"/>
  <c r="AZ6" i="6"/>
  <c r="C11" i="3" s="1"/>
  <c r="P9" i="2"/>
  <c r="AZ7" i="6"/>
  <c r="C12" i="3" s="1"/>
  <c r="D9" i="2"/>
  <c r="AF8" i="2"/>
  <c r="Z9" i="2"/>
  <c r="Z8" i="2"/>
  <c r="AX9" i="6" a="1"/>
  <c r="AE10" i="2" l="1"/>
  <c r="BK8" i="6"/>
  <c r="AG8" i="2"/>
  <c r="BK10" i="2"/>
  <c r="BP10" i="2"/>
  <c r="Y10" i="2"/>
  <c r="BF10" i="2"/>
  <c r="AV10" i="2"/>
  <c r="BA10" i="2"/>
  <c r="AL10" i="2"/>
  <c r="AQ10" i="2"/>
  <c r="O10" i="2"/>
  <c r="T10" i="2"/>
  <c r="H10" i="2"/>
  <c r="AI10" i="2"/>
  <c r="C10" i="2"/>
  <c r="I10" i="2"/>
  <c r="AN8" i="2"/>
  <c r="AO8" i="2" s="1"/>
  <c r="BC8" i="2"/>
  <c r="BD8" i="2" s="1"/>
  <c r="BH8" i="2"/>
  <c r="BI8" i="2" s="1"/>
  <c r="AX8" i="2"/>
  <c r="AY8" i="2" s="1"/>
  <c r="AS8" i="2"/>
  <c r="AT8" i="2" s="1"/>
  <c r="BR8" i="2"/>
  <c r="BS8" i="2" s="1"/>
  <c r="F8" i="2"/>
  <c r="R8" i="2"/>
  <c r="F9" i="2"/>
  <c r="W8" i="2"/>
  <c r="BO8" i="6"/>
  <c r="E8" i="2"/>
  <c r="V9" i="2"/>
  <c r="Q8" i="2"/>
  <c r="V8" i="2"/>
  <c r="K8" i="2"/>
  <c r="L8" i="2"/>
  <c r="M8" i="2" s="1"/>
  <c r="AX9" i="6"/>
  <c r="BM9" i="6" s="1"/>
  <c r="BL10" i="2"/>
  <c r="AR10" i="2"/>
  <c r="BQ10" i="2"/>
  <c r="BB10" i="2"/>
  <c r="BG10" i="2"/>
  <c r="AM10" i="2"/>
  <c r="AW10" i="2"/>
  <c r="BF8" i="6"/>
  <c r="BB8" i="6" s="1"/>
  <c r="AX9" i="2"/>
  <c r="AY9" i="2" s="1"/>
  <c r="AJ9" i="2"/>
  <c r="AB9" i="2"/>
  <c r="BC9" i="2"/>
  <c r="BD9" i="2" s="1"/>
  <c r="Q9" i="2"/>
  <c r="AB8" i="2"/>
  <c r="AS9" i="2"/>
  <c r="AT9" i="2" s="1"/>
  <c r="AA8" i="2"/>
  <c r="K9" i="2"/>
  <c r="BR9" i="2"/>
  <c r="BS9" i="2" s="1"/>
  <c r="E9" i="2"/>
  <c r="W9" i="2"/>
  <c r="R9" i="2"/>
  <c r="L9" i="2"/>
  <c r="M9" i="2" s="1"/>
  <c r="BH9" i="2"/>
  <c r="BI9" i="2" s="1"/>
  <c r="AN9" i="2"/>
  <c r="AO9" i="2" s="1"/>
  <c r="AZ8" i="6"/>
  <c r="C13" i="3" s="1"/>
  <c r="U10" i="2"/>
  <c r="AA9" i="2"/>
  <c r="AY12" i="6" a="1"/>
  <c r="AF9" i="2" l="1"/>
  <c r="AG9" i="2" s="1"/>
  <c r="BT7" i="6" s="1"/>
  <c r="BN9" i="6"/>
  <c r="AY12" i="6"/>
  <c r="BC9" i="6"/>
  <c r="BG9" i="6"/>
  <c r="BI9" i="6"/>
  <c r="BJ9" i="6" s="1"/>
  <c r="B14" i="3"/>
  <c r="B11" i="2" s="1"/>
  <c r="BS9" i="6"/>
  <c r="BH9" i="6"/>
  <c r="BE9" i="6"/>
  <c r="BD9" i="6"/>
  <c r="BL9" i="6"/>
  <c r="AJ10" i="2"/>
  <c r="Z10" i="2"/>
  <c r="BC10" i="2"/>
  <c r="W10" i="2"/>
  <c r="P10" i="2"/>
  <c r="D10" i="2"/>
  <c r="J10" i="2"/>
  <c r="BT6" i="6"/>
  <c r="AZ9" i="6"/>
  <c r="C14" i="3" s="1"/>
  <c r="AX10" i="6" a="1"/>
  <c r="AE11" i="2" l="1"/>
  <c r="BK9" i="6"/>
  <c r="AF10" i="2"/>
  <c r="AG10" i="2" s="1"/>
  <c r="BK11" i="2"/>
  <c r="BP11" i="2"/>
  <c r="Y11" i="2"/>
  <c r="BF11" i="2"/>
  <c r="AV11" i="2"/>
  <c r="BA11" i="2"/>
  <c r="AL11" i="2"/>
  <c r="AQ11" i="2"/>
  <c r="O11" i="2"/>
  <c r="T11" i="2"/>
  <c r="H11" i="2"/>
  <c r="L11" i="2" s="1"/>
  <c r="AI11" i="2"/>
  <c r="C11" i="2"/>
  <c r="BR10" i="2"/>
  <c r="BS10" i="2" s="1"/>
  <c r="I11" i="2"/>
  <c r="BD10" i="2"/>
  <c r="BH10" i="2"/>
  <c r="BI10" i="2" s="1"/>
  <c r="AS10" i="2"/>
  <c r="AT10" i="2" s="1"/>
  <c r="AX10" i="2"/>
  <c r="AY10" i="2" s="1"/>
  <c r="AN10" i="2"/>
  <c r="AO10" i="2" s="1"/>
  <c r="R10" i="2"/>
  <c r="F10" i="2"/>
  <c r="BO9" i="6"/>
  <c r="V10" i="2"/>
  <c r="Q10" i="2"/>
  <c r="AB10" i="2"/>
  <c r="AA10" i="2"/>
  <c r="K10" i="2"/>
  <c r="P11" i="2"/>
  <c r="D11" i="2"/>
  <c r="L10" i="2"/>
  <c r="M10" i="2" s="1"/>
  <c r="E10" i="2"/>
  <c r="Z11" i="2"/>
  <c r="J11" i="2"/>
  <c r="U11" i="2"/>
  <c r="AX10" i="6"/>
  <c r="BM10" i="6" s="1"/>
  <c r="BG11" i="2"/>
  <c r="AR11" i="2"/>
  <c r="BL11" i="2"/>
  <c r="BB11" i="2"/>
  <c r="BQ11" i="2"/>
  <c r="AM11" i="2"/>
  <c r="AW11" i="2"/>
  <c r="BF9" i="6"/>
  <c r="BB9" i="6" s="1"/>
  <c r="AY13" i="6" a="1"/>
  <c r="AF11" i="2" l="1"/>
  <c r="AG11" i="2" s="1"/>
  <c r="BN10" i="6"/>
  <c r="M11" i="2"/>
  <c r="BR11" i="2"/>
  <c r="BS11" i="2" s="1"/>
  <c r="BH11" i="2"/>
  <c r="BI11" i="2" s="1"/>
  <c r="AX11" i="2"/>
  <c r="AY11" i="2" s="1"/>
  <c r="AS11" i="2"/>
  <c r="AT11" i="2" s="1"/>
  <c r="AJ11" i="2"/>
  <c r="BC11" i="2"/>
  <c r="BD11" i="2" s="1"/>
  <c r="AN11" i="2"/>
  <c r="AO11" i="2" s="1"/>
  <c r="R11" i="2"/>
  <c r="F11" i="2"/>
  <c r="W11" i="2"/>
  <c r="BT8" i="6"/>
  <c r="V11" i="2"/>
  <c r="Q11" i="2"/>
  <c r="AB11" i="2"/>
  <c r="E11" i="2"/>
  <c r="AA11" i="2"/>
  <c r="K11" i="2"/>
  <c r="AY13" i="6"/>
  <c r="B15" i="3"/>
  <c r="BE10" i="6"/>
  <c r="BS10" i="6"/>
  <c r="BD10" i="6"/>
  <c r="BH10" i="6"/>
  <c r="BC10" i="6"/>
  <c r="BI10" i="6"/>
  <c r="BJ10" i="6" s="1"/>
  <c r="BL10" i="6"/>
  <c r="BG10" i="6"/>
  <c r="AZ10" i="6"/>
  <c r="C15" i="3" s="1"/>
  <c r="AX11" i="6" a="1"/>
  <c r="BK10" i="6" l="1"/>
  <c r="BT9" i="6"/>
  <c r="BO10" i="6"/>
  <c r="BF10" i="6"/>
  <c r="BB10" i="6" s="1"/>
  <c r="AX11" i="6"/>
  <c r="BM11" i="6" s="1"/>
  <c r="B12" i="2"/>
  <c r="AE12" i="2" s="1"/>
  <c r="Z12" i="2"/>
  <c r="AY14" i="6" a="1"/>
  <c r="AF12" i="2" l="1"/>
  <c r="BK12" i="2"/>
  <c r="BN11" i="6"/>
  <c r="BP12" i="2"/>
  <c r="Y12" i="2"/>
  <c r="AA12" i="2" s="1"/>
  <c r="BF12" i="2"/>
  <c r="AV12" i="2"/>
  <c r="BA12" i="2"/>
  <c r="AL12" i="2"/>
  <c r="AQ12" i="2"/>
  <c r="O12" i="2"/>
  <c r="T12" i="2"/>
  <c r="H12" i="2"/>
  <c r="L12" i="2" s="1"/>
  <c r="AI12" i="2"/>
  <c r="AJ12" i="2" s="1"/>
  <c r="C12" i="2"/>
  <c r="I12" i="2"/>
  <c r="AY14" i="6"/>
  <c r="U12" i="2"/>
  <c r="BG12" i="2"/>
  <c r="AM12" i="2"/>
  <c r="BL12" i="2"/>
  <c r="AR12" i="2"/>
  <c r="BQ12" i="2"/>
  <c r="AW12" i="2"/>
  <c r="BB12" i="2"/>
  <c r="P12" i="2"/>
  <c r="D12" i="2"/>
  <c r="J12" i="2"/>
  <c r="BD11" i="6"/>
  <c r="BI11" i="6"/>
  <c r="BJ11" i="6" s="1"/>
  <c r="BE11" i="6"/>
  <c r="BH11" i="6"/>
  <c r="BG11" i="6"/>
  <c r="BL11" i="6"/>
  <c r="BS11" i="6"/>
  <c r="BC11" i="6"/>
  <c r="B16" i="3"/>
  <c r="AZ11" i="6"/>
  <c r="C16" i="3" s="1"/>
  <c r="AX12" i="6" a="1"/>
  <c r="BK11" i="6" l="1"/>
  <c r="AG12" i="2"/>
  <c r="M12" i="2"/>
  <c r="BR12" i="2"/>
  <c r="BS12" i="2" s="1"/>
  <c r="AS12" i="2"/>
  <c r="AT12" i="2" s="1"/>
  <c r="AN12" i="2"/>
  <c r="AO12" i="2" s="1"/>
  <c r="BH12" i="2"/>
  <c r="BI12" i="2" s="1"/>
  <c r="BC12" i="2"/>
  <c r="BD12" i="2" s="1"/>
  <c r="AX12" i="2"/>
  <c r="AY12" i="2" s="1"/>
  <c r="BO11" i="6"/>
  <c r="W12" i="2"/>
  <c r="R12" i="2"/>
  <c r="F12" i="2"/>
  <c r="V12" i="2"/>
  <c r="BF11" i="6"/>
  <c r="BB11" i="6" s="1"/>
  <c r="E12" i="2"/>
  <c r="Q12" i="2"/>
  <c r="AX12" i="6"/>
  <c r="BM12" i="6" s="1"/>
  <c r="AB12" i="2"/>
  <c r="B13" i="2"/>
  <c r="AE13" i="2" s="1"/>
  <c r="Z13" i="2"/>
  <c r="K12" i="2"/>
  <c r="AY15" i="6" a="1"/>
  <c r="BN12" i="6" l="1"/>
  <c r="AF13" i="2"/>
  <c r="BK13" i="2"/>
  <c r="BP13" i="2"/>
  <c r="Y13" i="2"/>
  <c r="AA13" i="2" s="1"/>
  <c r="BF13" i="2"/>
  <c r="AV13" i="2"/>
  <c r="BA13" i="2"/>
  <c r="AL13" i="2"/>
  <c r="AQ13" i="2"/>
  <c r="O13" i="2"/>
  <c r="T13" i="2"/>
  <c r="H13" i="2"/>
  <c r="L13" i="2" s="1"/>
  <c r="AI13" i="2"/>
  <c r="AJ13" i="2" s="1"/>
  <c r="C13" i="2"/>
  <c r="I13" i="2"/>
  <c r="BT10" i="6"/>
  <c r="AY15" i="6"/>
  <c r="AW13" i="2"/>
  <c r="BG13" i="2"/>
  <c r="U13" i="2"/>
  <c r="P13" i="2"/>
  <c r="J13" i="2"/>
  <c r="BQ13" i="2"/>
  <c r="AR13" i="2"/>
  <c r="BL13" i="2"/>
  <c r="BB13" i="2"/>
  <c r="AM13" i="2"/>
  <c r="D13" i="2"/>
  <c r="B17" i="3"/>
  <c r="BD12" i="6"/>
  <c r="BG12" i="6"/>
  <c r="BL12" i="6"/>
  <c r="BE12" i="6"/>
  <c r="BH12" i="6"/>
  <c r="BS12" i="6"/>
  <c r="BI12" i="6"/>
  <c r="BJ12" i="6" s="1"/>
  <c r="BC12" i="6"/>
  <c r="AZ12" i="6"/>
  <c r="C17" i="3" s="1"/>
  <c r="AX13" i="6" a="1"/>
  <c r="BK12" i="6" l="1"/>
  <c r="AG13" i="2"/>
  <c r="M13" i="2"/>
  <c r="BC13" i="2"/>
  <c r="BD13" i="2" s="1"/>
  <c r="BR13" i="2"/>
  <c r="BS13" i="2" s="1"/>
  <c r="AS13" i="2"/>
  <c r="AT13" i="2" s="1"/>
  <c r="AX13" i="2"/>
  <c r="AY13" i="2" s="1"/>
  <c r="AN13" i="2"/>
  <c r="AO13" i="2" s="1"/>
  <c r="BH13" i="2"/>
  <c r="BI13" i="2" s="1"/>
  <c r="W13" i="2"/>
  <c r="R13" i="2"/>
  <c r="BO12" i="6"/>
  <c r="F13" i="2"/>
  <c r="AB13" i="2"/>
  <c r="Q13" i="2"/>
  <c r="AX13" i="6"/>
  <c r="BM13" i="6" s="1"/>
  <c r="V13" i="2"/>
  <c r="BF12" i="6"/>
  <c r="BB12" i="6" s="1"/>
  <c r="B14" i="2"/>
  <c r="AE14" i="2" s="1"/>
  <c r="Z14" i="2"/>
  <c r="E13" i="2"/>
  <c r="K13" i="2"/>
  <c r="AY16" i="6" a="1"/>
  <c r="BN13" i="6" l="1"/>
  <c r="AF14" i="2"/>
  <c r="BK14" i="2"/>
  <c r="BP14" i="2"/>
  <c r="Y14" i="2"/>
  <c r="AA14" i="2" s="1"/>
  <c r="BF14" i="2"/>
  <c r="AV14" i="2"/>
  <c r="BA14" i="2"/>
  <c r="AL14" i="2"/>
  <c r="AQ14" i="2"/>
  <c r="O14" i="2"/>
  <c r="T14" i="2"/>
  <c r="H14" i="2"/>
  <c r="AI14" i="2"/>
  <c r="AJ14" i="2" s="1"/>
  <c r="C14" i="2"/>
  <c r="I14" i="2"/>
  <c r="BT11" i="6"/>
  <c r="AY16" i="6"/>
  <c r="BG14" i="2"/>
  <c r="BL14" i="2"/>
  <c r="P14" i="2"/>
  <c r="J14" i="2"/>
  <c r="AM14" i="2"/>
  <c r="BB14" i="2"/>
  <c r="BQ14" i="2"/>
  <c r="AW14" i="2"/>
  <c r="U14" i="2"/>
  <c r="AR14" i="2"/>
  <c r="D14" i="2"/>
  <c r="B18" i="3"/>
  <c r="BL13" i="6"/>
  <c r="BD13" i="6"/>
  <c r="BE13" i="6"/>
  <c r="BS13" i="6"/>
  <c r="BH13" i="6"/>
  <c r="BI13" i="6"/>
  <c r="BJ13" i="6" s="1"/>
  <c r="BC13" i="6"/>
  <c r="BG13" i="6"/>
  <c r="AZ13" i="6"/>
  <c r="C18" i="3" s="1"/>
  <c r="AX14" i="6" a="1"/>
  <c r="BK13" i="6" l="1"/>
  <c r="AG14" i="2"/>
  <c r="BR14" i="2"/>
  <c r="BS14" i="2" s="1"/>
  <c r="AX14" i="2"/>
  <c r="AY14" i="2" s="1"/>
  <c r="AS14" i="2"/>
  <c r="AT14" i="2" s="1"/>
  <c r="BC14" i="2"/>
  <c r="BD14" i="2" s="1"/>
  <c r="BH14" i="2"/>
  <c r="BI14" i="2" s="1"/>
  <c r="AN14" i="2"/>
  <c r="AO14" i="2" s="1"/>
  <c r="F14" i="2"/>
  <c r="W14" i="2"/>
  <c r="R14" i="2"/>
  <c r="BO13" i="6"/>
  <c r="Q14" i="2"/>
  <c r="V14" i="2"/>
  <c r="AB14" i="2"/>
  <c r="AX14" i="6"/>
  <c r="BM14" i="6" s="1"/>
  <c r="L14" i="2"/>
  <c r="M14" i="2" s="1"/>
  <c r="K14" i="2"/>
  <c r="BF13" i="6"/>
  <c r="BB13" i="6" s="1"/>
  <c r="B15" i="2"/>
  <c r="AE15" i="2" s="1"/>
  <c r="Z15" i="2"/>
  <c r="E14" i="2"/>
  <c r="AY17" i="6" a="1"/>
  <c r="BN14" i="6" l="1"/>
  <c r="AF15" i="2"/>
  <c r="BK15" i="2"/>
  <c r="BP15" i="2"/>
  <c r="Y15" i="2"/>
  <c r="AA15" i="2" s="1"/>
  <c r="BF15" i="2"/>
  <c r="AV15" i="2"/>
  <c r="BA15" i="2"/>
  <c r="AL15" i="2"/>
  <c r="AQ15" i="2"/>
  <c r="O15" i="2"/>
  <c r="T15" i="2"/>
  <c r="H15" i="2"/>
  <c r="AI15" i="2"/>
  <c r="AJ15" i="2" s="1"/>
  <c r="C15" i="2"/>
  <c r="I15" i="2"/>
  <c r="BT12" i="6"/>
  <c r="AY17" i="6"/>
  <c r="BQ15" i="2"/>
  <c r="AR15" i="2"/>
  <c r="U15" i="2"/>
  <c r="AM15" i="2"/>
  <c r="AW15" i="2"/>
  <c r="BB15" i="2"/>
  <c r="J15" i="2"/>
  <c r="BL15" i="2"/>
  <c r="P15" i="2"/>
  <c r="BG15" i="2"/>
  <c r="D15" i="2"/>
  <c r="BE14" i="6"/>
  <c r="BH14" i="6"/>
  <c r="BS14" i="6"/>
  <c r="B19" i="3"/>
  <c r="BC14" i="6"/>
  <c r="BI14" i="6"/>
  <c r="BJ14" i="6" s="1"/>
  <c r="BD14" i="6"/>
  <c r="BG14" i="6"/>
  <c r="BL14" i="6"/>
  <c r="AZ14" i="6"/>
  <c r="C19" i="3" s="1"/>
  <c r="AX15" i="6" a="1"/>
  <c r="BK14" i="6" l="1"/>
  <c r="AG15" i="2"/>
  <c r="R15" i="2"/>
  <c r="AX15" i="2"/>
  <c r="AY15" i="2" s="1"/>
  <c r="BM15" i="2"/>
  <c r="BN15" i="2" s="1"/>
  <c r="BR15" i="2"/>
  <c r="BS15" i="2" s="1"/>
  <c r="AN15" i="2"/>
  <c r="AO15" i="2" s="1"/>
  <c r="BH15" i="2"/>
  <c r="BI15" i="2" s="1"/>
  <c r="AS15" i="2"/>
  <c r="AT15" i="2" s="1"/>
  <c r="BC15" i="2"/>
  <c r="BD15" i="2" s="1"/>
  <c r="BO14" i="6"/>
  <c r="F15" i="2"/>
  <c r="W15" i="2"/>
  <c r="K15" i="2"/>
  <c r="AX15" i="6"/>
  <c r="BM15" i="6" s="1"/>
  <c r="V15" i="2"/>
  <c r="E15" i="2"/>
  <c r="BF14" i="6"/>
  <c r="BB14" i="6" s="1"/>
  <c r="Q15" i="2"/>
  <c r="B16" i="2"/>
  <c r="AE16" i="2" s="1"/>
  <c r="Z16" i="2"/>
  <c r="L15" i="2"/>
  <c r="M15" i="2" s="1"/>
  <c r="AB15" i="2"/>
  <c r="AY18" i="6" a="1"/>
  <c r="BN15" i="6" l="1"/>
  <c r="BK15" i="6"/>
  <c r="AF16" i="2"/>
  <c r="BK16" i="2"/>
  <c r="BP16" i="2"/>
  <c r="Y16" i="2"/>
  <c r="AA16" i="2" s="1"/>
  <c r="BF16" i="2"/>
  <c r="AV16" i="2"/>
  <c r="BA16" i="2"/>
  <c r="AL16" i="2"/>
  <c r="AQ16" i="2"/>
  <c r="O16" i="2"/>
  <c r="T16" i="2"/>
  <c r="H16" i="2"/>
  <c r="AI16" i="2"/>
  <c r="AJ16" i="2" s="1"/>
  <c r="C16" i="2"/>
  <c r="I16" i="2"/>
  <c r="BT13" i="6"/>
  <c r="AY18" i="6"/>
  <c r="BQ16" i="2"/>
  <c r="AR16" i="2"/>
  <c r="AW16" i="2"/>
  <c r="J16" i="2"/>
  <c r="U16" i="2"/>
  <c r="BL16" i="2"/>
  <c r="BG16" i="2"/>
  <c r="AM16" i="2"/>
  <c r="BB16" i="2"/>
  <c r="P16" i="2"/>
  <c r="D16" i="2"/>
  <c r="B20" i="3"/>
  <c r="BH15" i="6"/>
  <c r="BS15" i="6"/>
  <c r="BL15" i="6"/>
  <c r="BC15" i="6"/>
  <c r="BG15" i="6"/>
  <c r="BD15" i="6"/>
  <c r="BI15" i="6"/>
  <c r="BJ15" i="6" s="1"/>
  <c r="BE15" i="6"/>
  <c r="AZ15" i="6"/>
  <c r="C20" i="3" s="1"/>
  <c r="AX16" i="6" a="1"/>
  <c r="AG16" i="2" l="1"/>
  <c r="F16" i="2"/>
  <c r="BC16" i="2"/>
  <c r="BD16" i="2" s="1"/>
  <c r="BM16" i="2"/>
  <c r="BN16" i="2" s="1"/>
  <c r="BR16" i="2"/>
  <c r="BS16" i="2" s="1"/>
  <c r="AN16" i="2"/>
  <c r="AO16" i="2" s="1"/>
  <c r="AX16" i="2"/>
  <c r="AY16" i="2" s="1"/>
  <c r="BH16" i="2"/>
  <c r="BI16" i="2" s="1"/>
  <c r="AS16" i="2"/>
  <c r="AT16" i="2" s="1"/>
  <c r="BO15" i="6"/>
  <c r="R16" i="2"/>
  <c r="W16" i="2"/>
  <c r="AB16" i="2"/>
  <c r="AX16" i="6"/>
  <c r="BM16" i="6" s="1"/>
  <c r="B17" i="2"/>
  <c r="AE17" i="2" s="1"/>
  <c r="Z17" i="2"/>
  <c r="Q16" i="2"/>
  <c r="V16" i="2"/>
  <c r="BF15" i="6"/>
  <c r="BB15" i="6" s="1"/>
  <c r="E16" i="2"/>
  <c r="L16" i="2"/>
  <c r="M16" i="2" s="1"/>
  <c r="K16" i="2"/>
  <c r="AY19" i="6" a="1"/>
  <c r="BN16" i="6" l="1"/>
  <c r="BK16" i="6"/>
  <c r="AF17" i="2"/>
  <c r="BK17" i="2"/>
  <c r="BP17" i="2"/>
  <c r="Y17" i="2"/>
  <c r="AA17" i="2" s="1"/>
  <c r="BF17" i="2"/>
  <c r="AV17" i="2"/>
  <c r="BA17" i="2"/>
  <c r="AL17" i="2"/>
  <c r="AQ17" i="2"/>
  <c r="O17" i="2"/>
  <c r="T17" i="2"/>
  <c r="H17" i="2"/>
  <c r="AI17" i="2"/>
  <c r="AJ17" i="2" s="1"/>
  <c r="C17" i="2"/>
  <c r="I17" i="2"/>
  <c r="BT14" i="6"/>
  <c r="AY19" i="6"/>
  <c r="U17" i="2"/>
  <c r="BL17" i="2"/>
  <c r="BG17" i="2"/>
  <c r="J17" i="2"/>
  <c r="AM17" i="2"/>
  <c r="BB17" i="2"/>
  <c r="P17" i="2"/>
  <c r="BQ17" i="2"/>
  <c r="AW17" i="2"/>
  <c r="AR17" i="2"/>
  <c r="D17" i="2"/>
  <c r="BD16" i="6"/>
  <c r="BS16" i="6"/>
  <c r="B21" i="3"/>
  <c r="BH16" i="6"/>
  <c r="BE16" i="6"/>
  <c r="BG16" i="6"/>
  <c r="BI16" i="6"/>
  <c r="BJ16" i="6" s="1"/>
  <c r="BL16" i="6"/>
  <c r="BC16" i="6"/>
  <c r="AZ16" i="6"/>
  <c r="C21" i="3" s="1"/>
  <c r="AX17" i="6" a="1"/>
  <c r="AG17" i="2" l="1"/>
  <c r="M17" i="2"/>
  <c r="BC17" i="2"/>
  <c r="BD17" i="2" s="1"/>
  <c r="BR17" i="2"/>
  <c r="BS17" i="2" s="1"/>
  <c r="AN17" i="2"/>
  <c r="AO17" i="2" s="1"/>
  <c r="BH17" i="2"/>
  <c r="BI17" i="2" s="1"/>
  <c r="BM17" i="2"/>
  <c r="BN17" i="2" s="1"/>
  <c r="AS17" i="2"/>
  <c r="AT17" i="2" s="1"/>
  <c r="AX17" i="2"/>
  <c r="AY17" i="2" s="1"/>
  <c r="R17" i="2"/>
  <c r="W17" i="2"/>
  <c r="BO16" i="6"/>
  <c r="F17" i="2"/>
  <c r="V17" i="2"/>
  <c r="BF16" i="6"/>
  <c r="BB16" i="6" s="1"/>
  <c r="E17" i="2"/>
  <c r="AB17" i="2"/>
  <c r="AX17" i="6"/>
  <c r="BM17" i="6" s="1"/>
  <c r="Q17" i="2"/>
  <c r="B18" i="2"/>
  <c r="AE18" i="2" s="1"/>
  <c r="Z18" i="2"/>
  <c r="L17" i="2"/>
  <c r="K17" i="2"/>
  <c r="AY20" i="6" a="1"/>
  <c r="BN17" i="6" l="1"/>
  <c r="BK17" i="6"/>
  <c r="AF18" i="2"/>
  <c r="BK18" i="2"/>
  <c r="AG18" i="2"/>
  <c r="BP18" i="2"/>
  <c r="Y18" i="2"/>
  <c r="AA18" i="2" s="1"/>
  <c r="BF18" i="2"/>
  <c r="AV18" i="2"/>
  <c r="BA18" i="2"/>
  <c r="AL18" i="2"/>
  <c r="AQ18" i="2"/>
  <c r="O18" i="2"/>
  <c r="T18" i="2"/>
  <c r="H18" i="2"/>
  <c r="L18" i="2" s="1"/>
  <c r="AI18" i="2"/>
  <c r="C18" i="2"/>
  <c r="I18" i="2"/>
  <c r="BT15" i="6"/>
  <c r="AY20" i="6"/>
  <c r="AM18" i="2"/>
  <c r="AJ18" i="2"/>
  <c r="U18" i="2"/>
  <c r="BG18" i="2"/>
  <c r="AR18" i="2"/>
  <c r="BQ18" i="2"/>
  <c r="J18" i="2"/>
  <c r="BB18" i="2"/>
  <c r="BL18" i="2"/>
  <c r="AW18" i="2"/>
  <c r="P18" i="2"/>
  <c r="D18" i="2"/>
  <c r="BL17" i="6"/>
  <c r="BC17" i="6"/>
  <c r="BD17" i="6"/>
  <c r="BE17" i="6"/>
  <c r="BH17" i="6"/>
  <c r="B22" i="3"/>
  <c r="BG17" i="6"/>
  <c r="BS17" i="6"/>
  <c r="BI17" i="6"/>
  <c r="BJ17" i="6" s="1"/>
  <c r="AZ17" i="6"/>
  <c r="C22" i="3" s="1"/>
  <c r="AX18" i="6" a="1"/>
  <c r="BI18" i="2" l="1"/>
  <c r="M18" i="2"/>
  <c r="BO17" i="6"/>
  <c r="AS18" i="2"/>
  <c r="AT18" i="2" s="1"/>
  <c r="BM18" i="2"/>
  <c r="BN18" i="2" s="1"/>
  <c r="BC18" i="2"/>
  <c r="BD18" i="2" s="1"/>
  <c r="AX18" i="2"/>
  <c r="AY18" i="2" s="1"/>
  <c r="AN18" i="2"/>
  <c r="AO18" i="2" s="1"/>
  <c r="BR18" i="2"/>
  <c r="BS18" i="2" s="1"/>
  <c r="BH18" i="2"/>
  <c r="F18" i="2"/>
  <c r="R18" i="2"/>
  <c r="W18" i="2"/>
  <c r="V18" i="2"/>
  <c r="AX18" i="6"/>
  <c r="BM18" i="6" s="1"/>
  <c r="BF17" i="6"/>
  <c r="BB17" i="6" s="1"/>
  <c r="K18" i="2"/>
  <c r="B19" i="2"/>
  <c r="AE19" i="2" s="1"/>
  <c r="Z19" i="2"/>
  <c r="E18" i="2"/>
  <c r="Q18" i="2"/>
  <c r="AB18" i="2"/>
  <c r="AY21" i="6" a="1"/>
  <c r="BN18" i="6" l="1"/>
  <c r="BK18" i="6"/>
  <c r="AF19" i="2"/>
  <c r="BK19" i="2"/>
  <c r="AG19" i="2"/>
  <c r="BP19" i="2"/>
  <c r="Y19" i="2"/>
  <c r="AA19" i="2" s="1"/>
  <c r="BF19" i="2"/>
  <c r="AV19" i="2"/>
  <c r="BA19" i="2"/>
  <c r="AL19" i="2"/>
  <c r="AQ19" i="2"/>
  <c r="O19" i="2"/>
  <c r="T19" i="2"/>
  <c r="H19" i="2"/>
  <c r="AI19" i="2"/>
  <c r="C19" i="2"/>
  <c r="I19" i="2"/>
  <c r="BT16" i="6"/>
  <c r="AY21" i="6"/>
  <c r="AW19" i="2"/>
  <c r="AM19" i="2"/>
  <c r="P19" i="2"/>
  <c r="BQ19" i="2"/>
  <c r="BB19" i="2"/>
  <c r="AJ19" i="2"/>
  <c r="J19" i="2"/>
  <c r="AR19" i="2"/>
  <c r="U19" i="2"/>
  <c r="BL19" i="2"/>
  <c r="BG19" i="2"/>
  <c r="D19" i="2"/>
  <c r="BG18" i="6"/>
  <c r="B23" i="3"/>
  <c r="BD18" i="6"/>
  <c r="BL18" i="6"/>
  <c r="BS18" i="6"/>
  <c r="BH18" i="6"/>
  <c r="BC18" i="6"/>
  <c r="BI18" i="6"/>
  <c r="BJ18" i="6" s="1"/>
  <c r="BE18" i="6"/>
  <c r="AZ18" i="6"/>
  <c r="C23" i="3" s="1"/>
  <c r="AX19" i="6" a="1"/>
  <c r="BI19" i="2" l="1"/>
  <c r="M19" i="2"/>
  <c r="BO18" i="6"/>
  <c r="BR19" i="2"/>
  <c r="BS19" i="2" s="1"/>
  <c r="AN19" i="2"/>
  <c r="AO19" i="2" s="1"/>
  <c r="BM19" i="2"/>
  <c r="BN19" i="2" s="1"/>
  <c r="BH19" i="2"/>
  <c r="BC19" i="2"/>
  <c r="BD19" i="2" s="1"/>
  <c r="AX19" i="2"/>
  <c r="AY19" i="2" s="1"/>
  <c r="AS19" i="2"/>
  <c r="AT19" i="2" s="1"/>
  <c r="F19" i="2"/>
  <c r="W19" i="2"/>
  <c r="R19" i="2"/>
  <c r="BF18" i="6"/>
  <c r="BB18" i="6" s="1"/>
  <c r="K19" i="2"/>
  <c r="AX19" i="6"/>
  <c r="BM19" i="6" s="1"/>
  <c r="AB19" i="2"/>
  <c r="L19" i="2"/>
  <c r="E19" i="2"/>
  <c r="Q19" i="2"/>
  <c r="B20" i="2"/>
  <c r="AE20" i="2" s="1"/>
  <c r="Z20" i="2"/>
  <c r="V19" i="2"/>
  <c r="AY22" i="6" a="1"/>
  <c r="BN19" i="6" l="1"/>
  <c r="BK19" i="6"/>
  <c r="AF20" i="2"/>
  <c r="BK20" i="2"/>
  <c r="AG20" i="2"/>
  <c r="BP20" i="2"/>
  <c r="Y20" i="2"/>
  <c r="AA20" i="2" s="1"/>
  <c r="BF20" i="2"/>
  <c r="AV20" i="2"/>
  <c r="BA20" i="2"/>
  <c r="AL20" i="2"/>
  <c r="AQ20" i="2"/>
  <c r="O20" i="2"/>
  <c r="T20" i="2"/>
  <c r="H20" i="2"/>
  <c r="AI20" i="2"/>
  <c r="C20" i="2"/>
  <c r="I20" i="2"/>
  <c r="BT17" i="6"/>
  <c r="AY22" i="6"/>
  <c r="P20" i="2"/>
  <c r="J20" i="2"/>
  <c r="AJ20" i="2"/>
  <c r="BB20" i="2"/>
  <c r="AW20" i="2"/>
  <c r="BG20" i="2"/>
  <c r="U20" i="2"/>
  <c r="BQ20" i="2"/>
  <c r="BL20" i="2"/>
  <c r="AM20" i="2"/>
  <c r="AR20" i="2"/>
  <c r="D20" i="2"/>
  <c r="B24" i="3"/>
  <c r="BI19" i="6"/>
  <c r="BJ19" i="6" s="1"/>
  <c r="BD19" i="6"/>
  <c r="BC19" i="6"/>
  <c r="BH19" i="6"/>
  <c r="BL19" i="6"/>
  <c r="BG19" i="6"/>
  <c r="BE19" i="6"/>
  <c r="BS19" i="6"/>
  <c r="AZ19" i="6"/>
  <c r="C24" i="3" s="1"/>
  <c r="AX20" i="6" a="1"/>
  <c r="BI20" i="2" l="1"/>
  <c r="BR20" i="2"/>
  <c r="BS20" i="2" s="1"/>
  <c r="BO19" i="6"/>
  <c r="BH20" i="2"/>
  <c r="BM20" i="2"/>
  <c r="BN20" i="2" s="1"/>
  <c r="BC20" i="2"/>
  <c r="BD20" i="2" s="1"/>
  <c r="AX20" i="2"/>
  <c r="AY20" i="2" s="1"/>
  <c r="AS20" i="2"/>
  <c r="AT20" i="2" s="1"/>
  <c r="AN20" i="2"/>
  <c r="AO20" i="2" s="1"/>
  <c r="F20" i="2"/>
  <c r="W20" i="2"/>
  <c r="R20" i="2"/>
  <c r="AB20" i="2"/>
  <c r="V20" i="2"/>
  <c r="K20" i="2"/>
  <c r="BF19" i="6"/>
  <c r="BB19" i="6" s="1"/>
  <c r="AX20" i="6"/>
  <c r="BM20" i="6" s="1"/>
  <c r="E20" i="2"/>
  <c r="L20" i="2"/>
  <c r="M20" i="2" s="1"/>
  <c r="Q20" i="2"/>
  <c r="B21" i="2"/>
  <c r="AE21" i="2" s="1"/>
  <c r="Z21" i="2"/>
  <c r="AY23" i="6" a="1"/>
  <c r="BN20" i="6" l="1"/>
  <c r="BK20" i="6"/>
  <c r="AF21" i="2"/>
  <c r="BK21" i="2"/>
  <c r="AG21" i="2"/>
  <c r="BP21" i="2"/>
  <c r="Y21" i="2"/>
  <c r="AA21" i="2" s="1"/>
  <c r="BF21" i="2"/>
  <c r="AV21" i="2"/>
  <c r="BA21" i="2"/>
  <c r="AL21" i="2"/>
  <c r="AQ21" i="2"/>
  <c r="O21" i="2"/>
  <c r="T21" i="2"/>
  <c r="C21" i="2"/>
  <c r="H21" i="2"/>
  <c r="AY21" i="2"/>
  <c r="AI21" i="2"/>
  <c r="BI21" i="2"/>
  <c r="BS21" i="2"/>
  <c r="I21" i="2"/>
  <c r="BT18" i="6"/>
  <c r="AY23" i="6"/>
  <c r="BQ21" i="2"/>
  <c r="AM21" i="2"/>
  <c r="AJ21" i="2"/>
  <c r="BG21" i="2"/>
  <c r="AR21" i="2"/>
  <c r="J21" i="2"/>
  <c r="P21" i="2"/>
  <c r="AW21" i="2"/>
  <c r="BL21" i="2"/>
  <c r="U21" i="2"/>
  <c r="BB21" i="2"/>
  <c r="D21" i="2"/>
  <c r="BS20" i="6"/>
  <c r="BG20" i="6"/>
  <c r="B25" i="3"/>
  <c r="BD20" i="6"/>
  <c r="BH20" i="6"/>
  <c r="BE20" i="6"/>
  <c r="BC20" i="6"/>
  <c r="BI20" i="6"/>
  <c r="BJ20" i="6" s="1"/>
  <c r="BL20" i="6"/>
  <c r="BO20" i="6"/>
  <c r="BT20" i="6"/>
  <c r="AZ20" i="6"/>
  <c r="C25" i="3" s="1"/>
  <c r="AX21" i="6" a="1"/>
  <c r="BM21" i="2" l="1"/>
  <c r="BN21" i="2" s="1"/>
  <c r="BR21" i="2"/>
  <c r="BH21" i="2"/>
  <c r="BC21" i="2"/>
  <c r="BD21" i="2" s="1"/>
  <c r="AX21" i="2"/>
  <c r="AN21" i="2"/>
  <c r="AO21" i="2" s="1"/>
  <c r="AS21" i="2"/>
  <c r="AT21" i="2" s="1"/>
  <c r="F21" i="2"/>
  <c r="R21" i="2"/>
  <c r="W21" i="2"/>
  <c r="E21" i="2"/>
  <c r="Q21" i="2"/>
  <c r="BF20" i="6"/>
  <c r="BB20" i="6" s="1"/>
  <c r="V21" i="2"/>
  <c r="AX21" i="6"/>
  <c r="BM21" i="6" s="1"/>
  <c r="K21" i="2"/>
  <c r="L21" i="2"/>
  <c r="M21" i="2" s="1"/>
  <c r="AB21" i="2"/>
  <c r="B22" i="2"/>
  <c r="AE22" i="2" s="1"/>
  <c r="Z22" i="2"/>
  <c r="AY24" i="6" a="1"/>
  <c r="BN21" i="6" l="1"/>
  <c r="BK21" i="6"/>
  <c r="AF22" i="2"/>
  <c r="BK22" i="2"/>
  <c r="AG22" i="2"/>
  <c r="BP22" i="2"/>
  <c r="Y22" i="2"/>
  <c r="AA22" i="2" s="1"/>
  <c r="BF22" i="2"/>
  <c r="AV22" i="2"/>
  <c r="BA22" i="2"/>
  <c r="AL22" i="2"/>
  <c r="AQ22" i="2"/>
  <c r="O22" i="2"/>
  <c r="T22" i="2"/>
  <c r="C22" i="2"/>
  <c r="H22" i="2"/>
  <c r="AY22" i="2"/>
  <c r="AI22" i="2"/>
  <c r="BI22" i="2"/>
  <c r="BS22" i="2"/>
  <c r="I22" i="2"/>
  <c r="M22" i="2"/>
  <c r="BT19" i="6"/>
  <c r="AY24" i="6"/>
  <c r="BN22" i="2"/>
  <c r="AT22" i="2"/>
  <c r="AJ22" i="2"/>
  <c r="U22" i="2"/>
  <c r="BQ22" i="2"/>
  <c r="BR22" i="2" s="1"/>
  <c r="BL22" i="2"/>
  <c r="BM22" i="2" s="1"/>
  <c r="P22" i="2"/>
  <c r="AO22" i="2"/>
  <c r="BB22" i="2"/>
  <c r="BC22" i="2" s="1"/>
  <c r="AM22" i="2"/>
  <c r="AN22" i="2" s="1"/>
  <c r="AW22" i="2"/>
  <c r="AX22" i="2" s="1"/>
  <c r="R22" i="2"/>
  <c r="BG22" i="2"/>
  <c r="BH22" i="2" s="1"/>
  <c r="W22" i="2"/>
  <c r="AR22" i="2"/>
  <c r="AS22" i="2" s="1"/>
  <c r="J22" i="2"/>
  <c r="BD22" i="2"/>
  <c r="F22" i="2"/>
  <c r="D22" i="2"/>
  <c r="BG21" i="6"/>
  <c r="BO21" i="6"/>
  <c r="BI21" i="6"/>
  <c r="BJ21" i="6" s="1"/>
  <c r="BH21" i="6"/>
  <c r="B26" i="3"/>
  <c r="BC21" i="6"/>
  <c r="BL21" i="6"/>
  <c r="BD21" i="6"/>
  <c r="BS21" i="6"/>
  <c r="BE21" i="6"/>
  <c r="BT21" i="6"/>
  <c r="AZ21" i="6"/>
  <c r="C26" i="3" s="1"/>
  <c r="AX22" i="6" a="1"/>
  <c r="V22" i="2" l="1"/>
  <c r="E22" i="2"/>
  <c r="BF21" i="6"/>
  <c r="BB21" i="6" s="1"/>
  <c r="Q22" i="2"/>
  <c r="AX22" i="6"/>
  <c r="BM22" i="6" s="1"/>
  <c r="L22" i="2"/>
  <c r="K22" i="2"/>
  <c r="AB22" i="2"/>
  <c r="B23" i="2"/>
  <c r="AE23" i="2" s="1"/>
  <c r="Z23" i="2"/>
  <c r="AY25" i="6" a="1"/>
  <c r="BN22" i="6" l="1"/>
  <c r="BK22" i="6"/>
  <c r="AF23" i="2"/>
  <c r="BK23" i="2"/>
  <c r="AG23" i="2"/>
  <c r="BP23" i="2"/>
  <c r="Y23" i="2"/>
  <c r="AA23" i="2" s="1"/>
  <c r="BF23" i="2"/>
  <c r="AV23" i="2"/>
  <c r="BA23" i="2"/>
  <c r="AL23" i="2"/>
  <c r="AQ23" i="2"/>
  <c r="O23" i="2"/>
  <c r="T23" i="2"/>
  <c r="C23" i="2"/>
  <c r="H23" i="2"/>
  <c r="L23" i="2" s="1"/>
  <c r="AY23" i="2"/>
  <c r="AI23" i="2"/>
  <c r="BI23" i="2"/>
  <c r="BS23" i="2"/>
  <c r="I23" i="2"/>
  <c r="M23" i="2"/>
  <c r="AY25" i="6"/>
  <c r="BG23" i="2"/>
  <c r="BH23" i="2" s="1"/>
  <c r="BB23" i="2"/>
  <c r="BC23" i="2" s="1"/>
  <c r="AR23" i="2"/>
  <c r="AS23" i="2" s="1"/>
  <c r="AW23" i="2"/>
  <c r="AX23" i="2" s="1"/>
  <c r="U23" i="2"/>
  <c r="P23" i="2"/>
  <c r="AT23" i="2"/>
  <c r="R23" i="2"/>
  <c r="BD23" i="2"/>
  <c r="BL23" i="2"/>
  <c r="BM23" i="2" s="1"/>
  <c r="BN23" i="2"/>
  <c r="AJ23" i="2"/>
  <c r="BQ23" i="2"/>
  <c r="BR23" i="2" s="1"/>
  <c r="W23" i="2"/>
  <c r="AM23" i="2"/>
  <c r="AN23" i="2" s="1"/>
  <c r="J23" i="2"/>
  <c r="AO23" i="2"/>
  <c r="F23" i="2"/>
  <c r="D23" i="2"/>
  <c r="BS22" i="6"/>
  <c r="BE22" i="6"/>
  <c r="BH22" i="6"/>
  <c r="BO22" i="6"/>
  <c r="BC22" i="6"/>
  <c r="BD22" i="6"/>
  <c r="B27" i="3"/>
  <c r="BI22" i="6"/>
  <c r="BJ22" i="6" s="1"/>
  <c r="BG22" i="6"/>
  <c r="BL22" i="6"/>
  <c r="BT22" i="6"/>
  <c r="AZ22" i="6"/>
  <c r="C27" i="3" s="1"/>
  <c r="AX23" i="6" a="1"/>
  <c r="Q23" i="2" l="1"/>
  <c r="AB23" i="2"/>
  <c r="BF22" i="6"/>
  <c r="BB22" i="6" s="1"/>
  <c r="AX23" i="6"/>
  <c r="BM23" i="6" s="1"/>
  <c r="E23" i="2"/>
  <c r="K23" i="2"/>
  <c r="B24" i="2"/>
  <c r="AE24" i="2" s="1"/>
  <c r="Z24" i="2"/>
  <c r="V23" i="2"/>
  <c r="AY26" i="6" a="1"/>
  <c r="BN23" i="6" l="1"/>
  <c r="BK23" i="6"/>
  <c r="AF24" i="2"/>
  <c r="BK24" i="2"/>
  <c r="AG24" i="2"/>
  <c r="BP24" i="2"/>
  <c r="Y24" i="2"/>
  <c r="AA24" i="2" s="1"/>
  <c r="BF24" i="2"/>
  <c r="AV24" i="2"/>
  <c r="BA24" i="2"/>
  <c r="AL24" i="2"/>
  <c r="AQ24" i="2"/>
  <c r="O24" i="2"/>
  <c r="T24" i="2"/>
  <c r="C24" i="2"/>
  <c r="H24" i="2"/>
  <c r="AY24" i="2"/>
  <c r="AI24" i="2"/>
  <c r="BI24" i="2"/>
  <c r="BS24" i="2"/>
  <c r="I24" i="2"/>
  <c r="M24" i="2"/>
  <c r="AY26" i="6"/>
  <c r="W24" i="2"/>
  <c r="BB24" i="2"/>
  <c r="BC24" i="2" s="1"/>
  <c r="AT24" i="2"/>
  <c r="U24" i="2"/>
  <c r="J24" i="2"/>
  <c r="BG24" i="2"/>
  <c r="BH24" i="2" s="1"/>
  <c r="P24" i="2"/>
  <c r="BQ24" i="2"/>
  <c r="BR24" i="2" s="1"/>
  <c r="AR24" i="2"/>
  <c r="AS24" i="2" s="1"/>
  <c r="AM24" i="2"/>
  <c r="AN24" i="2" s="1"/>
  <c r="BL24" i="2"/>
  <c r="BM24" i="2" s="1"/>
  <c r="AO24" i="2"/>
  <c r="BD24" i="2"/>
  <c r="R24" i="2"/>
  <c r="AJ24" i="2"/>
  <c r="AW24" i="2"/>
  <c r="AX24" i="2" s="1"/>
  <c r="BN24" i="2"/>
  <c r="F24" i="2"/>
  <c r="D24" i="2"/>
  <c r="B28" i="3"/>
  <c r="BL23" i="6"/>
  <c r="BE23" i="6"/>
  <c r="BI23" i="6"/>
  <c r="BJ23" i="6" s="1"/>
  <c r="BS23" i="6"/>
  <c r="BG23" i="6"/>
  <c r="BH23" i="6"/>
  <c r="BO23" i="6"/>
  <c r="BC23" i="6"/>
  <c r="BD23" i="6"/>
  <c r="BT23" i="6"/>
  <c r="AZ23" i="6"/>
  <c r="C28" i="3" s="1"/>
  <c r="AX24" i="6" a="1"/>
  <c r="K24" i="2" l="1"/>
  <c r="Q24" i="2"/>
  <c r="V24" i="2"/>
  <c r="BF23" i="6"/>
  <c r="BB23" i="6" s="1"/>
  <c r="AX24" i="6"/>
  <c r="BM24" i="6" s="1"/>
  <c r="B25" i="2"/>
  <c r="AE25" i="2" s="1"/>
  <c r="Z25" i="2"/>
  <c r="AB24" i="2"/>
  <c r="E24" i="2"/>
  <c r="L24" i="2"/>
  <c r="AY27" i="6" a="1"/>
  <c r="BN24" i="6" l="1"/>
  <c r="BK24" i="6"/>
  <c r="AF25" i="2"/>
  <c r="BK25" i="2"/>
  <c r="AG25" i="2"/>
  <c r="BP25" i="2"/>
  <c r="Y25" i="2"/>
  <c r="AA25" i="2" s="1"/>
  <c r="BF25" i="2"/>
  <c r="AV25" i="2"/>
  <c r="BA25" i="2"/>
  <c r="AL25" i="2"/>
  <c r="AQ25" i="2"/>
  <c r="O25" i="2"/>
  <c r="T25" i="2"/>
  <c r="C25" i="2"/>
  <c r="H25" i="2"/>
  <c r="AY25" i="2"/>
  <c r="AI25" i="2"/>
  <c r="BI25" i="2"/>
  <c r="BS25" i="2"/>
  <c r="I25" i="2"/>
  <c r="M25" i="2"/>
  <c r="AY27" i="6"/>
  <c r="BB25" i="2"/>
  <c r="BC25" i="2" s="1"/>
  <c r="AR25" i="2"/>
  <c r="AS25" i="2" s="1"/>
  <c r="J25" i="2"/>
  <c r="AM25" i="2"/>
  <c r="AN25" i="2" s="1"/>
  <c r="R25" i="2"/>
  <c r="BG25" i="2"/>
  <c r="BH25" i="2" s="1"/>
  <c r="BL25" i="2"/>
  <c r="BM25" i="2" s="1"/>
  <c r="AT25" i="2"/>
  <c r="U25" i="2"/>
  <c r="W25" i="2"/>
  <c r="AW25" i="2"/>
  <c r="AX25" i="2" s="1"/>
  <c r="BD25" i="2"/>
  <c r="AJ25" i="2"/>
  <c r="P25" i="2"/>
  <c r="BQ25" i="2"/>
  <c r="BR25" i="2" s="1"/>
  <c r="AO25" i="2"/>
  <c r="BN25" i="2"/>
  <c r="F25" i="2"/>
  <c r="D25" i="2"/>
  <c r="BS24" i="6"/>
  <c r="BO24" i="6"/>
  <c r="BG24" i="6"/>
  <c r="B29" i="3"/>
  <c r="BC24" i="6"/>
  <c r="BH24" i="6"/>
  <c r="BL24" i="6"/>
  <c r="BI24" i="6"/>
  <c r="BJ24" i="6" s="1"/>
  <c r="BD24" i="6"/>
  <c r="BE24" i="6"/>
  <c r="BT24" i="6"/>
  <c r="AZ24" i="6"/>
  <c r="C29" i="3" s="1"/>
  <c r="AX25" i="6" a="1"/>
  <c r="BF24" i="6" l="1"/>
  <c r="BB24" i="6" s="1"/>
  <c r="AB25" i="2"/>
  <c r="E25" i="2"/>
  <c r="AX25" i="6"/>
  <c r="BM25" i="6" s="1"/>
  <c r="B26" i="2"/>
  <c r="AE26" i="2" s="1"/>
  <c r="Z26" i="2"/>
  <c r="Q25" i="2"/>
  <c r="V25" i="2"/>
  <c r="L25" i="2"/>
  <c r="K25" i="2"/>
  <c r="AY28" i="6" a="1"/>
  <c r="BN25" i="6" l="1"/>
  <c r="BK25" i="6"/>
  <c r="AF26" i="2"/>
  <c r="BK26" i="2"/>
  <c r="AG26" i="2"/>
  <c r="BP26" i="2"/>
  <c r="Y26" i="2"/>
  <c r="AA26" i="2" s="1"/>
  <c r="BF26" i="2"/>
  <c r="AV26" i="2"/>
  <c r="BA26" i="2"/>
  <c r="AL26" i="2"/>
  <c r="AQ26" i="2"/>
  <c r="O26" i="2"/>
  <c r="T26" i="2"/>
  <c r="C26" i="2"/>
  <c r="H26" i="2"/>
  <c r="AY26" i="2"/>
  <c r="AI26" i="2"/>
  <c r="BI26" i="2"/>
  <c r="BS26" i="2"/>
  <c r="I26" i="2"/>
  <c r="M26" i="2"/>
  <c r="AY28" i="6"/>
  <c r="AW26" i="2"/>
  <c r="AX26" i="2" s="1"/>
  <c r="P26" i="2"/>
  <c r="BB26" i="2"/>
  <c r="BC26" i="2" s="1"/>
  <c r="BG26" i="2"/>
  <c r="BH26" i="2" s="1"/>
  <c r="BD26" i="2"/>
  <c r="R26" i="2"/>
  <c r="AR26" i="2"/>
  <c r="AS26" i="2" s="1"/>
  <c r="U26" i="2"/>
  <c r="BL26" i="2"/>
  <c r="BM26" i="2" s="1"/>
  <c r="AT26" i="2"/>
  <c r="BQ26" i="2"/>
  <c r="BR26" i="2" s="1"/>
  <c r="AO26" i="2"/>
  <c r="W26" i="2"/>
  <c r="J26" i="2"/>
  <c r="AM26" i="2"/>
  <c r="AN26" i="2" s="1"/>
  <c r="AJ26" i="2"/>
  <c r="BN26" i="2"/>
  <c r="F26" i="2"/>
  <c r="D26" i="2"/>
  <c r="BE25" i="6"/>
  <c r="BL25" i="6"/>
  <c r="BS25" i="6"/>
  <c r="BO25" i="6"/>
  <c r="B30" i="3"/>
  <c r="BH25" i="6"/>
  <c r="BG25" i="6"/>
  <c r="BD25" i="6"/>
  <c r="BI25" i="6"/>
  <c r="BJ25" i="6" s="1"/>
  <c r="BC25" i="6"/>
  <c r="BT25" i="6"/>
  <c r="AZ25" i="6"/>
  <c r="C30" i="3" s="1"/>
  <c r="AX26" i="6" a="1"/>
  <c r="V26" i="2" l="1"/>
  <c r="BF25" i="6"/>
  <c r="BB25" i="6" s="1"/>
  <c r="E26" i="2"/>
  <c r="AX26" i="6"/>
  <c r="BM26" i="6" s="1"/>
  <c r="L26" i="2"/>
  <c r="K26" i="2"/>
  <c r="Q26" i="2"/>
  <c r="AB26" i="2"/>
  <c r="B27" i="2"/>
  <c r="AE27" i="2" s="1"/>
  <c r="Z27" i="2"/>
  <c r="AY29" i="6" a="1"/>
  <c r="BN26" i="6" l="1"/>
  <c r="BK26" i="6"/>
  <c r="AF27" i="2"/>
  <c r="BK27" i="2"/>
  <c r="AG27" i="2"/>
  <c r="BP27" i="2"/>
  <c r="Y27" i="2"/>
  <c r="AA27" i="2" s="1"/>
  <c r="BF27" i="2"/>
  <c r="AV27" i="2"/>
  <c r="BA27" i="2"/>
  <c r="AL27" i="2"/>
  <c r="AQ27" i="2"/>
  <c r="O27" i="2"/>
  <c r="T27" i="2"/>
  <c r="C27" i="2"/>
  <c r="H27" i="2"/>
  <c r="L27" i="2" s="1"/>
  <c r="AY27" i="2"/>
  <c r="AI27" i="2"/>
  <c r="BI27" i="2"/>
  <c r="BS27" i="2"/>
  <c r="I27" i="2"/>
  <c r="M27" i="2"/>
  <c r="AY29" i="6"/>
  <c r="AM27" i="2"/>
  <c r="AN27" i="2" s="1"/>
  <c r="P27" i="2"/>
  <c r="BN27" i="2"/>
  <c r="BB27" i="2"/>
  <c r="BC27" i="2" s="1"/>
  <c r="BL27" i="2"/>
  <c r="BM27" i="2" s="1"/>
  <c r="R27" i="2"/>
  <c r="BQ27" i="2"/>
  <c r="BR27" i="2" s="1"/>
  <c r="AW27" i="2"/>
  <c r="AX27" i="2" s="1"/>
  <c r="BG27" i="2"/>
  <c r="BH27" i="2" s="1"/>
  <c r="BD27" i="2"/>
  <c r="W27" i="2"/>
  <c r="AT27" i="2"/>
  <c r="U27" i="2"/>
  <c r="J27" i="2"/>
  <c r="AJ27" i="2"/>
  <c r="AR27" i="2"/>
  <c r="AS27" i="2" s="1"/>
  <c r="AO27" i="2"/>
  <c r="F27" i="2"/>
  <c r="D27" i="2"/>
  <c r="BS26" i="6"/>
  <c r="BD26" i="6"/>
  <c r="BL26" i="6"/>
  <c r="BO26" i="6"/>
  <c r="BG26" i="6"/>
  <c r="BI26" i="6"/>
  <c r="BJ26" i="6" s="1"/>
  <c r="BH26" i="6"/>
  <c r="BC26" i="6"/>
  <c r="B31" i="3"/>
  <c r="BE26" i="6"/>
  <c r="BT26" i="6"/>
  <c r="AZ26" i="6"/>
  <c r="C31" i="3" s="1"/>
  <c r="AX27" i="6" a="1"/>
  <c r="BF26" i="6" l="1"/>
  <c r="BB26" i="6" s="1"/>
  <c r="AB27" i="2"/>
  <c r="AX27" i="6"/>
  <c r="BM27" i="6" s="1"/>
  <c r="B28" i="2"/>
  <c r="AE28" i="2" s="1"/>
  <c r="Z28" i="2"/>
  <c r="V27" i="2"/>
  <c r="E27" i="2"/>
  <c r="Q27" i="2"/>
  <c r="K27" i="2"/>
  <c r="AY30" i="6" a="1"/>
  <c r="BN27" i="6" l="1"/>
  <c r="BK27" i="6"/>
  <c r="AF28" i="2"/>
  <c r="BK28" i="2"/>
  <c r="AG28" i="2"/>
  <c r="BP28" i="2"/>
  <c r="Y28" i="2"/>
  <c r="AA28" i="2" s="1"/>
  <c r="BF28" i="2"/>
  <c r="AV28" i="2"/>
  <c r="BA28" i="2"/>
  <c r="AL28" i="2"/>
  <c r="AQ28" i="2"/>
  <c r="O28" i="2"/>
  <c r="T28" i="2"/>
  <c r="C28" i="2"/>
  <c r="H28" i="2"/>
  <c r="L28" i="2" s="1"/>
  <c r="AY28" i="2"/>
  <c r="AI28" i="2"/>
  <c r="BI28" i="2"/>
  <c r="BS28" i="2"/>
  <c r="I28" i="2"/>
  <c r="M28" i="2"/>
  <c r="AY30" i="6"/>
  <c r="BL28" i="2"/>
  <c r="BM28" i="2" s="1"/>
  <c r="P28" i="2"/>
  <c r="U28" i="2"/>
  <c r="W28" i="2"/>
  <c r="J28" i="2"/>
  <c r="AT28" i="2"/>
  <c r="AO28" i="2"/>
  <c r="AR28" i="2"/>
  <c r="AS28" i="2" s="1"/>
  <c r="R28" i="2"/>
  <c r="BQ28" i="2"/>
  <c r="BR28" i="2" s="1"/>
  <c r="BD28" i="2"/>
  <c r="AW28" i="2"/>
  <c r="AX28" i="2" s="1"/>
  <c r="BN28" i="2"/>
  <c r="AM28" i="2"/>
  <c r="AN28" i="2" s="1"/>
  <c r="BG28" i="2"/>
  <c r="BH28" i="2" s="1"/>
  <c r="BB28" i="2"/>
  <c r="BC28" i="2" s="1"/>
  <c r="AJ28" i="2"/>
  <c r="F28" i="2"/>
  <c r="D28" i="2"/>
  <c r="BL27" i="6"/>
  <c r="BH27" i="6"/>
  <c r="BE27" i="6"/>
  <c r="BD27" i="6"/>
  <c r="BS27" i="6"/>
  <c r="BG27" i="6"/>
  <c r="BO27" i="6"/>
  <c r="B32" i="3"/>
  <c r="BI27" i="6"/>
  <c r="BJ27" i="6" s="1"/>
  <c r="BC27" i="6"/>
  <c r="BT27" i="6"/>
  <c r="AZ27" i="6"/>
  <c r="C32" i="3" s="1"/>
  <c r="AX28" i="6" a="1"/>
  <c r="V28" i="2" l="1"/>
  <c r="AB28" i="2"/>
  <c r="Q28" i="2"/>
  <c r="AX28" i="6"/>
  <c r="BM28" i="6" s="1"/>
  <c r="E28" i="2"/>
  <c r="B29" i="2"/>
  <c r="AE29" i="2" s="1"/>
  <c r="Z29" i="2"/>
  <c r="K28" i="2"/>
  <c r="BF27" i="6"/>
  <c r="BB27" i="6" s="1"/>
  <c r="AY31" i="6" a="1"/>
  <c r="BN28" i="6" l="1"/>
  <c r="BK28" i="6"/>
  <c r="AF29" i="2"/>
  <c r="BK29" i="2"/>
  <c r="AG29" i="2"/>
  <c r="BP29" i="2"/>
  <c r="Y29" i="2"/>
  <c r="AA29" i="2" s="1"/>
  <c r="BF29" i="2"/>
  <c r="AV29" i="2"/>
  <c r="BA29" i="2"/>
  <c r="AL29" i="2"/>
  <c r="AQ29" i="2"/>
  <c r="O29" i="2"/>
  <c r="T29" i="2"/>
  <c r="C29" i="2"/>
  <c r="H29" i="2"/>
  <c r="AY29" i="2"/>
  <c r="AI29" i="2"/>
  <c r="BI29" i="2"/>
  <c r="BS29" i="2"/>
  <c r="I29" i="2"/>
  <c r="M29" i="2"/>
  <c r="AY31" i="6"/>
  <c r="BQ29" i="2"/>
  <c r="BR29" i="2" s="1"/>
  <c r="U29" i="2"/>
  <c r="AO29" i="2"/>
  <c r="AW29" i="2"/>
  <c r="AX29" i="2" s="1"/>
  <c r="AM29" i="2"/>
  <c r="AN29" i="2" s="1"/>
  <c r="BB29" i="2"/>
  <c r="BC29" i="2" s="1"/>
  <c r="P29" i="2"/>
  <c r="BD29" i="2"/>
  <c r="BN29" i="2"/>
  <c r="BG29" i="2"/>
  <c r="BH29" i="2" s="1"/>
  <c r="R29" i="2"/>
  <c r="W29" i="2"/>
  <c r="J29" i="2"/>
  <c r="BL29" i="2"/>
  <c r="BM29" i="2" s="1"/>
  <c r="AT29" i="2"/>
  <c r="AJ29" i="2"/>
  <c r="AR29" i="2"/>
  <c r="AS29" i="2" s="1"/>
  <c r="F29" i="2"/>
  <c r="D29" i="2"/>
  <c r="BD28" i="6"/>
  <c r="B33" i="3"/>
  <c r="BE28" i="6"/>
  <c r="BI28" i="6"/>
  <c r="BJ28" i="6" s="1"/>
  <c r="BO28" i="6"/>
  <c r="BC28" i="6"/>
  <c r="BS28" i="6"/>
  <c r="BL28" i="6"/>
  <c r="BG28" i="6"/>
  <c r="BH28" i="6"/>
  <c r="BT28" i="6"/>
  <c r="AZ28" i="6"/>
  <c r="C33" i="3" s="1"/>
  <c r="AX29" i="6" a="1"/>
  <c r="K29" i="2" l="1"/>
  <c r="V29" i="2"/>
  <c r="Q29" i="2"/>
  <c r="AX29" i="6"/>
  <c r="BM29" i="6" s="1"/>
  <c r="Z30" i="2"/>
  <c r="B30" i="2"/>
  <c r="AE30" i="2" s="1"/>
  <c r="AB29" i="2"/>
  <c r="E29" i="2"/>
  <c r="BF28" i="6"/>
  <c r="BB28" i="6" s="1"/>
  <c r="L29" i="2"/>
  <c r="AY32" i="6" a="1"/>
  <c r="BN29" i="6" l="1"/>
  <c r="BK29" i="6"/>
  <c r="AF30" i="2"/>
  <c r="BK30" i="2"/>
  <c r="AG30" i="2"/>
  <c r="BP30" i="2"/>
  <c r="Y30" i="2"/>
  <c r="AA30" i="2" s="1"/>
  <c r="BF30" i="2"/>
  <c r="AV30" i="2"/>
  <c r="BA30" i="2"/>
  <c r="AL30" i="2"/>
  <c r="AQ30" i="2"/>
  <c r="O30" i="2"/>
  <c r="T30" i="2"/>
  <c r="C30" i="2"/>
  <c r="H30" i="2"/>
  <c r="AY30" i="2"/>
  <c r="AI30" i="2"/>
  <c r="BI30" i="2"/>
  <c r="BS30" i="2"/>
  <c r="I30" i="2"/>
  <c r="M30" i="2"/>
  <c r="AY32" i="6"/>
  <c r="AM30" i="2"/>
  <c r="AN30" i="2" s="1"/>
  <c r="BN30" i="2"/>
  <c r="BB30" i="2"/>
  <c r="BC30" i="2" s="1"/>
  <c r="AT30" i="2"/>
  <c r="R30" i="2"/>
  <c r="AJ30" i="2"/>
  <c r="AR30" i="2"/>
  <c r="AS30" i="2" s="1"/>
  <c r="BG30" i="2"/>
  <c r="BH30" i="2" s="1"/>
  <c r="BQ30" i="2"/>
  <c r="BR30" i="2" s="1"/>
  <c r="AO30" i="2"/>
  <c r="P30" i="2"/>
  <c r="BD30" i="2"/>
  <c r="U30" i="2"/>
  <c r="AW30" i="2"/>
  <c r="AX30" i="2" s="1"/>
  <c r="BL30" i="2"/>
  <c r="BM30" i="2" s="1"/>
  <c r="J30" i="2"/>
  <c r="W30" i="2"/>
  <c r="F30" i="2"/>
  <c r="D30" i="2"/>
  <c r="BS29" i="6"/>
  <c r="BG29" i="6"/>
  <c r="BI29" i="6"/>
  <c r="BJ29" i="6" s="1"/>
  <c r="BH29" i="6"/>
  <c r="BC29" i="6"/>
  <c r="BE29" i="6"/>
  <c r="B34" i="3"/>
  <c r="BD29" i="6"/>
  <c r="BL29" i="6"/>
  <c r="BO29" i="6"/>
  <c r="BT29" i="6"/>
  <c r="AZ29" i="6"/>
  <c r="C34" i="3" s="1"/>
  <c r="AX30" i="6" a="1"/>
  <c r="Q30" i="2" l="1"/>
  <c r="AX30" i="6"/>
  <c r="BM30" i="6" s="1"/>
  <c r="AB30" i="2"/>
  <c r="L30" i="2"/>
  <c r="K30" i="2"/>
  <c r="E30" i="2"/>
  <c r="Z31" i="2"/>
  <c r="B31" i="2"/>
  <c r="AE31" i="2" s="1"/>
  <c r="V30" i="2"/>
  <c r="BF29" i="6"/>
  <c r="BB29" i="6" s="1"/>
  <c r="AY33" i="6" a="1"/>
  <c r="BN30" i="6" l="1"/>
  <c r="BK30" i="6"/>
  <c r="AF31" i="2"/>
  <c r="BK31" i="2"/>
  <c r="AG31" i="2"/>
  <c r="BP31" i="2"/>
  <c r="Y31" i="2"/>
  <c r="AA31" i="2" s="1"/>
  <c r="BF31" i="2"/>
  <c r="AV31" i="2"/>
  <c r="BA31" i="2"/>
  <c r="AL31" i="2"/>
  <c r="AQ31" i="2"/>
  <c r="O31" i="2"/>
  <c r="T31" i="2"/>
  <c r="C31" i="2"/>
  <c r="H31" i="2"/>
  <c r="AY31" i="2"/>
  <c r="AI31" i="2"/>
  <c r="BI31" i="2"/>
  <c r="BS31" i="2"/>
  <c r="I31" i="2"/>
  <c r="M31" i="2"/>
  <c r="AY33" i="6"/>
  <c r="AJ31" i="2"/>
  <c r="P31" i="2"/>
  <c r="R31" i="2"/>
  <c r="BQ31" i="2"/>
  <c r="BR31" i="2" s="1"/>
  <c r="BL31" i="2"/>
  <c r="BM31" i="2" s="1"/>
  <c r="AR31" i="2"/>
  <c r="AS31" i="2" s="1"/>
  <c r="AT31" i="2"/>
  <c r="AM31" i="2"/>
  <c r="AN31" i="2" s="1"/>
  <c r="J31" i="2"/>
  <c r="U31" i="2"/>
  <c r="W31" i="2"/>
  <c r="BN31" i="2"/>
  <c r="AW31" i="2"/>
  <c r="AX31" i="2" s="1"/>
  <c r="BB31" i="2"/>
  <c r="BC31" i="2" s="1"/>
  <c r="AO31" i="2"/>
  <c r="BG31" i="2"/>
  <c r="BH31" i="2" s="1"/>
  <c r="BD31" i="2"/>
  <c r="F31" i="2"/>
  <c r="D31" i="2"/>
  <c r="BC30" i="6"/>
  <c r="BH30" i="6"/>
  <c r="BO30" i="6"/>
  <c r="BS30" i="6"/>
  <c r="BD30" i="6"/>
  <c r="B35" i="3"/>
  <c r="BL30" i="6"/>
  <c r="BI30" i="6"/>
  <c r="BJ30" i="6" s="1"/>
  <c r="BE30" i="6"/>
  <c r="BG30" i="6"/>
  <c r="BT30" i="6"/>
  <c r="AZ30" i="6"/>
  <c r="C35" i="3" s="1"/>
  <c r="AX31" i="6" a="1"/>
  <c r="Q31" i="2" l="1"/>
  <c r="AX31" i="6"/>
  <c r="BM31" i="6" s="1"/>
  <c r="V31" i="2"/>
  <c r="BF30" i="6"/>
  <c r="BB30" i="6" s="1"/>
  <c r="L31" i="2"/>
  <c r="K31" i="2"/>
  <c r="AB31" i="2"/>
  <c r="B32" i="2"/>
  <c r="AE32" i="2" s="1"/>
  <c r="Z32" i="2"/>
  <c r="E31" i="2"/>
  <c r="AY34" i="6" a="1"/>
  <c r="BN31" i="6" l="1"/>
  <c r="BK31" i="6"/>
  <c r="AF32" i="2"/>
  <c r="BK32" i="2"/>
  <c r="AG32" i="2"/>
  <c r="BP32" i="2"/>
  <c r="Y32" i="2"/>
  <c r="AA32" i="2" s="1"/>
  <c r="BF32" i="2"/>
  <c r="AV32" i="2"/>
  <c r="BA32" i="2"/>
  <c r="AL32" i="2"/>
  <c r="AQ32" i="2"/>
  <c r="O32" i="2"/>
  <c r="T32" i="2"/>
  <c r="C32" i="2"/>
  <c r="H32" i="2"/>
  <c r="L32" i="2" s="1"/>
  <c r="AY32" i="2"/>
  <c r="AI32" i="2"/>
  <c r="BI32" i="2"/>
  <c r="BS32" i="2"/>
  <c r="I32" i="2"/>
  <c r="M32" i="2"/>
  <c r="AY34" i="6"/>
  <c r="AR32" i="2"/>
  <c r="AS32" i="2" s="1"/>
  <c r="J32" i="2"/>
  <c r="W32" i="2"/>
  <c r="AO32" i="2"/>
  <c r="AJ32" i="2"/>
  <c r="AM32" i="2"/>
  <c r="AN32" i="2" s="1"/>
  <c r="U32" i="2"/>
  <c r="BN32" i="2"/>
  <c r="P32" i="2"/>
  <c r="BL32" i="2"/>
  <c r="BM32" i="2" s="1"/>
  <c r="BB32" i="2"/>
  <c r="BC32" i="2" s="1"/>
  <c r="BD32" i="2"/>
  <c r="BQ32" i="2"/>
  <c r="BR32" i="2" s="1"/>
  <c r="R32" i="2"/>
  <c r="AT32" i="2"/>
  <c r="AW32" i="2"/>
  <c r="AX32" i="2" s="1"/>
  <c r="BG32" i="2"/>
  <c r="BH32" i="2" s="1"/>
  <c r="F32" i="2"/>
  <c r="D32" i="2"/>
  <c r="BE31" i="6"/>
  <c r="BH31" i="6"/>
  <c r="B36" i="3"/>
  <c r="BC31" i="6"/>
  <c r="BI31" i="6"/>
  <c r="BJ31" i="6" s="1"/>
  <c r="BG31" i="6"/>
  <c r="BL31" i="6"/>
  <c r="BO31" i="6"/>
  <c r="BS31" i="6"/>
  <c r="BD31" i="6"/>
  <c r="BT31" i="6"/>
  <c r="AZ31" i="6"/>
  <c r="C36" i="3" s="1"/>
  <c r="AX32" i="6" a="1"/>
  <c r="AX32" i="6" l="1"/>
  <c r="BM32" i="6" s="1"/>
  <c r="B33" i="2"/>
  <c r="AE33" i="2" s="1"/>
  <c r="Z33" i="2"/>
  <c r="Q32" i="2"/>
  <c r="K32" i="2"/>
  <c r="E32" i="2"/>
  <c r="BF31" i="6"/>
  <c r="BB31" i="6" s="1"/>
  <c r="V32" i="2"/>
  <c r="AB32" i="2"/>
  <c r="AY35" i="6" a="1"/>
  <c r="BN32" i="6" l="1"/>
  <c r="BK32" i="6"/>
  <c r="AF33" i="2"/>
  <c r="BK33" i="2"/>
  <c r="AG33" i="2"/>
  <c r="BP33" i="2"/>
  <c r="Y33" i="2"/>
  <c r="AA33" i="2" s="1"/>
  <c r="BF33" i="2"/>
  <c r="AV33" i="2"/>
  <c r="BA33" i="2"/>
  <c r="AL33" i="2"/>
  <c r="AQ33" i="2"/>
  <c r="O33" i="2"/>
  <c r="T33" i="2"/>
  <c r="C33" i="2"/>
  <c r="H33" i="2"/>
  <c r="L33" i="2" s="1"/>
  <c r="AY33" i="2"/>
  <c r="AI33" i="2"/>
  <c r="BI33" i="2"/>
  <c r="BS33" i="2"/>
  <c r="I33" i="2"/>
  <c r="M33" i="2"/>
  <c r="AY35" i="6"/>
  <c r="AM33" i="2"/>
  <c r="AN33" i="2" s="1"/>
  <c r="AT33" i="2"/>
  <c r="AO33" i="2"/>
  <c r="AR33" i="2"/>
  <c r="AS33" i="2" s="1"/>
  <c r="BQ33" i="2"/>
  <c r="BR33" i="2" s="1"/>
  <c r="AJ33" i="2"/>
  <c r="R33" i="2"/>
  <c r="BG33" i="2"/>
  <c r="BH33" i="2" s="1"/>
  <c r="AW33" i="2"/>
  <c r="AX33" i="2" s="1"/>
  <c r="BB33" i="2"/>
  <c r="BC33" i="2" s="1"/>
  <c r="W33" i="2"/>
  <c r="BL33" i="2"/>
  <c r="BM33" i="2" s="1"/>
  <c r="BD33" i="2"/>
  <c r="U33" i="2"/>
  <c r="J33" i="2"/>
  <c r="BN33" i="2"/>
  <c r="P33" i="2"/>
  <c r="F33" i="2"/>
  <c r="D33" i="2"/>
  <c r="BI32" i="6"/>
  <c r="BJ32" i="6" s="1"/>
  <c r="BG32" i="6"/>
  <c r="BO32" i="6"/>
  <c r="BD32" i="6"/>
  <c r="BL32" i="6"/>
  <c r="B37" i="3"/>
  <c r="BH32" i="6"/>
  <c r="BS32" i="6"/>
  <c r="BC32" i="6"/>
  <c r="BE32" i="6"/>
  <c r="BT32" i="6"/>
  <c r="AZ32" i="6"/>
  <c r="C37" i="3" s="1"/>
  <c r="AX33" i="6" a="1"/>
  <c r="AB33" i="2" l="1"/>
  <c r="AX33" i="6"/>
  <c r="BM33" i="6" s="1"/>
  <c r="Q33" i="2"/>
  <c r="BF32" i="6"/>
  <c r="BB32" i="6" s="1"/>
  <c r="V33" i="2"/>
  <c r="Z34" i="2"/>
  <c r="B34" i="2"/>
  <c r="AE34" i="2" s="1"/>
  <c r="E33" i="2"/>
  <c r="K33" i="2"/>
  <c r="AY36" i="6" a="1"/>
  <c r="BN33" i="6" l="1"/>
  <c r="BK33" i="6"/>
  <c r="AF34" i="2"/>
  <c r="BK34" i="2"/>
  <c r="AG34" i="2"/>
  <c r="BP34" i="2"/>
  <c r="Y34" i="2"/>
  <c r="AA34" i="2" s="1"/>
  <c r="BF34" i="2"/>
  <c r="AV34" i="2"/>
  <c r="BA34" i="2"/>
  <c r="AL34" i="2"/>
  <c r="AQ34" i="2"/>
  <c r="O34" i="2"/>
  <c r="T34" i="2"/>
  <c r="C34" i="2"/>
  <c r="H34" i="2"/>
  <c r="AY34" i="2"/>
  <c r="AI34" i="2"/>
  <c r="BI34" i="2"/>
  <c r="BS34" i="2"/>
  <c r="I34" i="2"/>
  <c r="M34" i="2"/>
  <c r="AY36" i="6"/>
  <c r="BB34" i="2"/>
  <c r="BC34" i="2" s="1"/>
  <c r="BL34" i="2"/>
  <c r="BM34" i="2" s="1"/>
  <c r="AM34" i="2"/>
  <c r="AN34" i="2" s="1"/>
  <c r="R34" i="2"/>
  <c r="AO34" i="2"/>
  <c r="J34" i="2"/>
  <c r="AT34" i="2"/>
  <c r="P34" i="2"/>
  <c r="AJ34" i="2"/>
  <c r="W34" i="2"/>
  <c r="BD34" i="2"/>
  <c r="BQ34" i="2"/>
  <c r="BR34" i="2" s="1"/>
  <c r="BG34" i="2"/>
  <c r="BH34" i="2" s="1"/>
  <c r="AW34" i="2"/>
  <c r="AX34" i="2" s="1"/>
  <c r="AR34" i="2"/>
  <c r="AS34" i="2" s="1"/>
  <c r="BN34" i="2"/>
  <c r="U34" i="2"/>
  <c r="F34" i="2"/>
  <c r="D34" i="2"/>
  <c r="B38" i="3"/>
  <c r="BS33" i="6"/>
  <c r="BG33" i="6"/>
  <c r="BH33" i="6"/>
  <c r="BL33" i="6"/>
  <c r="BO33" i="6"/>
  <c r="BD33" i="6"/>
  <c r="BC33" i="6"/>
  <c r="BI33" i="6"/>
  <c r="BJ33" i="6" s="1"/>
  <c r="BE33" i="6"/>
  <c r="BT33" i="6"/>
  <c r="AZ33" i="6"/>
  <c r="C38" i="3" s="1"/>
  <c r="AX34" i="6" a="1"/>
  <c r="BF33" i="6" l="1"/>
  <c r="BB33" i="6" s="1"/>
  <c r="E34" i="2"/>
  <c r="AX34" i="6"/>
  <c r="BM34" i="6" s="1"/>
  <c r="V34" i="2"/>
  <c r="L34" i="2"/>
  <c r="K34" i="2"/>
  <c r="Q34" i="2"/>
  <c r="B35" i="2"/>
  <c r="AE35" i="2" s="1"/>
  <c r="Z35" i="2"/>
  <c r="AB34" i="2"/>
  <c r="AY37" i="6" a="1"/>
  <c r="BN34" i="6" l="1"/>
  <c r="BK34" i="6"/>
  <c r="AF35" i="2"/>
  <c r="BK35" i="2"/>
  <c r="AG35" i="2"/>
  <c r="BP35" i="2"/>
  <c r="Y35" i="2"/>
  <c r="AA35" i="2" s="1"/>
  <c r="BF35" i="2"/>
  <c r="AV35" i="2"/>
  <c r="BA35" i="2"/>
  <c r="AL35" i="2"/>
  <c r="AQ35" i="2"/>
  <c r="O35" i="2"/>
  <c r="T35" i="2"/>
  <c r="C35" i="2"/>
  <c r="H35" i="2"/>
  <c r="AY35" i="2"/>
  <c r="AI35" i="2"/>
  <c r="BI35" i="2"/>
  <c r="BS35" i="2"/>
  <c r="I35" i="2"/>
  <c r="M35" i="2"/>
  <c r="AY37" i="6"/>
  <c r="AM35" i="2"/>
  <c r="AN35" i="2" s="1"/>
  <c r="BQ35" i="2"/>
  <c r="BR35" i="2" s="1"/>
  <c r="AT35" i="2"/>
  <c r="BL35" i="2"/>
  <c r="BM35" i="2" s="1"/>
  <c r="J35" i="2"/>
  <c r="BD35" i="2"/>
  <c r="AR35" i="2"/>
  <c r="AS35" i="2" s="1"/>
  <c r="W35" i="2"/>
  <c r="BB35" i="2"/>
  <c r="BC35" i="2" s="1"/>
  <c r="P35" i="2"/>
  <c r="BN35" i="2"/>
  <c r="R35" i="2"/>
  <c r="AW35" i="2"/>
  <c r="AX35" i="2" s="1"/>
  <c r="AO35" i="2"/>
  <c r="BG35" i="2"/>
  <c r="BH35" i="2" s="1"/>
  <c r="AJ35" i="2"/>
  <c r="U35" i="2"/>
  <c r="F35" i="2"/>
  <c r="D35" i="2"/>
  <c r="BC34" i="6"/>
  <c r="BE34" i="6"/>
  <c r="BS34" i="6"/>
  <c r="BI34" i="6"/>
  <c r="BJ34" i="6" s="1"/>
  <c r="BO34" i="6"/>
  <c r="BG34" i="6"/>
  <c r="BH34" i="6"/>
  <c r="BL34" i="6"/>
  <c r="BD34" i="6"/>
  <c r="B39" i="3"/>
  <c r="BT34" i="6"/>
  <c r="AZ34" i="6"/>
  <c r="C39" i="3" s="1"/>
  <c r="AX35" i="6" a="1"/>
  <c r="Q35" i="2" l="1"/>
  <c r="E35" i="2"/>
  <c r="AB35" i="2"/>
  <c r="V35" i="2"/>
  <c r="AX35" i="6"/>
  <c r="BM35" i="6" s="1"/>
  <c r="Z36" i="2"/>
  <c r="B36" i="2"/>
  <c r="AE36" i="2" s="1"/>
  <c r="L35" i="2"/>
  <c r="K35" i="2"/>
  <c r="BF34" i="6"/>
  <c r="BB34" i="6" s="1"/>
  <c r="AY38" i="6" a="1"/>
  <c r="BN35" i="6" l="1"/>
  <c r="BK35" i="6"/>
  <c r="AF36" i="2"/>
  <c r="BK36" i="2"/>
  <c r="AG36" i="2"/>
  <c r="BP36" i="2"/>
  <c r="Y36" i="2"/>
  <c r="AA36" i="2" s="1"/>
  <c r="BF36" i="2"/>
  <c r="AV36" i="2"/>
  <c r="BA36" i="2"/>
  <c r="AL36" i="2"/>
  <c r="AQ36" i="2"/>
  <c r="O36" i="2"/>
  <c r="T36" i="2"/>
  <c r="C36" i="2"/>
  <c r="H36" i="2"/>
  <c r="AY36" i="2"/>
  <c r="AI36" i="2"/>
  <c r="BI36" i="2"/>
  <c r="BS36" i="2"/>
  <c r="I36" i="2"/>
  <c r="M36" i="2"/>
  <c r="AY38" i="6"/>
  <c r="AM36" i="2"/>
  <c r="AN36" i="2" s="1"/>
  <c r="BL36" i="2"/>
  <c r="BM36" i="2" s="1"/>
  <c r="W36" i="2"/>
  <c r="U36" i="2"/>
  <c r="J36" i="2"/>
  <c r="BQ36" i="2"/>
  <c r="BR36" i="2" s="1"/>
  <c r="BD36" i="2"/>
  <c r="AT36" i="2"/>
  <c r="AW36" i="2"/>
  <c r="AX36" i="2" s="1"/>
  <c r="P36" i="2"/>
  <c r="BB36" i="2"/>
  <c r="BC36" i="2" s="1"/>
  <c r="AJ36" i="2"/>
  <c r="BG36" i="2"/>
  <c r="BH36" i="2" s="1"/>
  <c r="AO36" i="2"/>
  <c r="R36" i="2"/>
  <c r="BN36" i="2"/>
  <c r="AR36" i="2"/>
  <c r="AS36" i="2" s="1"/>
  <c r="F36" i="2"/>
  <c r="D36" i="2"/>
  <c r="BC35" i="6"/>
  <c r="BS35" i="6"/>
  <c r="BE35" i="6"/>
  <c r="BI35" i="6"/>
  <c r="BJ35" i="6" s="1"/>
  <c r="B40" i="3"/>
  <c r="BL35" i="6"/>
  <c r="BH35" i="6"/>
  <c r="BD35" i="6"/>
  <c r="BO35" i="6"/>
  <c r="BG35" i="6"/>
  <c r="BT35" i="6"/>
  <c r="AZ35" i="6"/>
  <c r="C40" i="3" s="1"/>
  <c r="AX36" i="6" a="1"/>
  <c r="K36" i="2" l="1"/>
  <c r="AX36" i="6"/>
  <c r="BM36" i="6" s="1"/>
  <c r="Z37" i="2"/>
  <c r="B37" i="2"/>
  <c r="AE37" i="2" s="1"/>
  <c r="L36" i="2"/>
  <c r="Q36" i="2"/>
  <c r="V36" i="2"/>
  <c r="BF35" i="6"/>
  <c r="BB35" i="6" s="1"/>
  <c r="AB36" i="2"/>
  <c r="E36" i="2"/>
  <c r="AY39" i="6" a="1"/>
  <c r="BN36" i="6" l="1"/>
  <c r="BK36" i="6"/>
  <c r="AF37" i="2"/>
  <c r="BK37" i="2"/>
  <c r="AG37" i="2"/>
  <c r="BP37" i="2"/>
  <c r="Y37" i="2"/>
  <c r="AA37" i="2" s="1"/>
  <c r="BF37" i="2"/>
  <c r="AV37" i="2"/>
  <c r="BA37" i="2"/>
  <c r="AL37" i="2"/>
  <c r="AQ37" i="2"/>
  <c r="O37" i="2"/>
  <c r="T37" i="2"/>
  <c r="C37" i="2"/>
  <c r="H37" i="2"/>
  <c r="AY37" i="2"/>
  <c r="AI37" i="2"/>
  <c r="BI37" i="2"/>
  <c r="BS37" i="2"/>
  <c r="I37" i="2"/>
  <c r="M37" i="2"/>
  <c r="AY39" i="6"/>
  <c r="P37" i="2"/>
  <c r="BD37" i="2"/>
  <c r="BQ37" i="2"/>
  <c r="BR37" i="2" s="1"/>
  <c r="AR37" i="2"/>
  <c r="AS37" i="2" s="1"/>
  <c r="BG37" i="2"/>
  <c r="BH37" i="2" s="1"/>
  <c r="AW37" i="2"/>
  <c r="AX37" i="2" s="1"/>
  <c r="J37" i="2"/>
  <c r="AO37" i="2"/>
  <c r="AM37" i="2"/>
  <c r="AN37" i="2" s="1"/>
  <c r="R37" i="2"/>
  <c r="BL37" i="2"/>
  <c r="BM37" i="2" s="1"/>
  <c r="BN37" i="2"/>
  <c r="AT37" i="2"/>
  <c r="AJ37" i="2"/>
  <c r="U37" i="2"/>
  <c r="W37" i="2"/>
  <c r="BB37" i="2"/>
  <c r="BC37" i="2" s="1"/>
  <c r="F37" i="2"/>
  <c r="D37" i="2"/>
  <c r="BL36" i="6"/>
  <c r="B41" i="3"/>
  <c r="BE36" i="6"/>
  <c r="BI36" i="6"/>
  <c r="BJ36" i="6" s="1"/>
  <c r="BH36" i="6"/>
  <c r="BD36" i="6"/>
  <c r="BS36" i="6"/>
  <c r="BG36" i="6"/>
  <c r="BC36" i="6"/>
  <c r="BO36" i="6"/>
  <c r="BT36" i="6"/>
  <c r="AZ36" i="6"/>
  <c r="C41" i="3" s="1"/>
  <c r="AX37" i="6" a="1"/>
  <c r="Q37" i="2" l="1"/>
  <c r="V37" i="2"/>
  <c r="E37" i="2"/>
  <c r="AX37" i="6"/>
  <c r="BM37" i="6" s="1"/>
  <c r="Z38" i="2"/>
  <c r="B38" i="2"/>
  <c r="AE38" i="2" s="1"/>
  <c r="AB37" i="2"/>
  <c r="K37" i="2"/>
  <c r="BF36" i="6"/>
  <c r="BB36" i="6" s="1"/>
  <c r="L37" i="2"/>
  <c r="AY40" i="6" a="1"/>
  <c r="BN37" i="6" l="1"/>
  <c r="BK37" i="6"/>
  <c r="AF38" i="2"/>
  <c r="BK38" i="2"/>
  <c r="AG38" i="2"/>
  <c r="Y38" i="2"/>
  <c r="AA38" i="2" s="1"/>
  <c r="BP38" i="2"/>
  <c r="BF38" i="2"/>
  <c r="AV38" i="2"/>
  <c r="BA38" i="2"/>
  <c r="AL38" i="2"/>
  <c r="AQ38" i="2"/>
  <c r="O38" i="2"/>
  <c r="T38" i="2"/>
  <c r="C38" i="2"/>
  <c r="H38" i="2"/>
  <c r="AY38" i="2"/>
  <c r="AI38" i="2"/>
  <c r="BI38" i="2"/>
  <c r="BS38" i="2"/>
  <c r="I38" i="2"/>
  <c r="M38" i="2"/>
  <c r="AY40" i="6"/>
  <c r="J38" i="2"/>
  <c r="AR38" i="2"/>
  <c r="AS38" i="2" s="1"/>
  <c r="P38" i="2"/>
  <c r="BB38" i="2"/>
  <c r="BC38" i="2" s="1"/>
  <c r="AJ38" i="2"/>
  <c r="BL38" i="2"/>
  <c r="BM38" i="2" s="1"/>
  <c r="R38" i="2"/>
  <c r="BG38" i="2"/>
  <c r="BH38" i="2" s="1"/>
  <c r="AM38" i="2"/>
  <c r="AN38" i="2" s="1"/>
  <c r="BD38" i="2"/>
  <c r="U38" i="2"/>
  <c r="AW38" i="2"/>
  <c r="AX38" i="2" s="1"/>
  <c r="BQ38" i="2"/>
  <c r="BR38" i="2" s="1"/>
  <c r="BN38" i="2"/>
  <c r="AT38" i="2"/>
  <c r="W38" i="2"/>
  <c r="AO38" i="2"/>
  <c r="F38" i="2"/>
  <c r="D38" i="2"/>
  <c r="BO37" i="6"/>
  <c r="BE37" i="6"/>
  <c r="BH37" i="6"/>
  <c r="BS37" i="6"/>
  <c r="BD37" i="6"/>
  <c r="BG37" i="6"/>
  <c r="BC37" i="6"/>
  <c r="BL37" i="6"/>
  <c r="BI37" i="6"/>
  <c r="BJ37" i="6" s="1"/>
  <c r="B42" i="3"/>
  <c r="BT37" i="6"/>
  <c r="AZ37" i="6"/>
  <c r="C42" i="3" s="1"/>
  <c r="AX38" i="6" a="1"/>
  <c r="BM7" i="2" l="1"/>
  <c r="BN7" i="2" s="1"/>
  <c r="Q38" i="2"/>
  <c r="AB38" i="2"/>
  <c r="AX38" i="6"/>
  <c r="BM38" i="6" s="1"/>
  <c r="E38" i="2"/>
  <c r="L38" i="2"/>
  <c r="K38" i="2"/>
  <c r="B39" i="2"/>
  <c r="AE39" i="2" s="1"/>
  <c r="Z39" i="2"/>
  <c r="V38" i="2"/>
  <c r="BF37" i="6"/>
  <c r="BB37" i="6" s="1"/>
  <c r="AY41" i="6" a="1"/>
  <c r="BN38" i="6" l="1"/>
  <c r="BK38" i="6"/>
  <c r="AF39" i="2"/>
  <c r="BK39" i="2"/>
  <c r="AG39" i="2"/>
  <c r="Y39" i="2"/>
  <c r="AA39" i="2" s="1"/>
  <c r="BP39" i="2"/>
  <c r="BF39" i="2"/>
  <c r="AV39" i="2"/>
  <c r="BA39" i="2"/>
  <c r="AL39" i="2"/>
  <c r="AQ39" i="2"/>
  <c r="O39" i="2"/>
  <c r="T39" i="2"/>
  <c r="C39" i="2"/>
  <c r="H39" i="2"/>
  <c r="L39" i="2" s="1"/>
  <c r="AY39" i="2"/>
  <c r="AI39" i="2"/>
  <c r="BI39" i="2"/>
  <c r="BS39" i="2"/>
  <c r="I39" i="2"/>
  <c r="M39" i="2"/>
  <c r="AY41" i="6"/>
  <c r="BD39" i="2"/>
  <c r="R39" i="2"/>
  <c r="U39" i="2"/>
  <c r="AR39" i="2"/>
  <c r="AS39" i="2" s="1"/>
  <c r="J39" i="2"/>
  <c r="AO39" i="2"/>
  <c r="AJ39" i="2"/>
  <c r="BN39" i="2"/>
  <c r="AT39" i="2"/>
  <c r="W39" i="2"/>
  <c r="P39" i="2"/>
  <c r="AM39" i="2"/>
  <c r="AN39" i="2" s="1"/>
  <c r="BL39" i="2"/>
  <c r="BM39" i="2" s="1"/>
  <c r="BB39" i="2"/>
  <c r="BC39" i="2" s="1"/>
  <c r="BG39" i="2"/>
  <c r="BH39" i="2" s="1"/>
  <c r="AW39" i="2"/>
  <c r="AX39" i="2" s="1"/>
  <c r="BQ39" i="2"/>
  <c r="BR39" i="2" s="1"/>
  <c r="F39" i="2"/>
  <c r="D39" i="2"/>
  <c r="BI38" i="6"/>
  <c r="BJ38" i="6" s="1"/>
  <c r="BE38" i="6"/>
  <c r="B43" i="3"/>
  <c r="BG38" i="6"/>
  <c r="BS38" i="6"/>
  <c r="BD38" i="6"/>
  <c r="BH38" i="6"/>
  <c r="BO38" i="6"/>
  <c r="BL38" i="6"/>
  <c r="BC38" i="6"/>
  <c r="BT38" i="6"/>
  <c r="AZ38" i="6"/>
  <c r="C43" i="3" s="1"/>
  <c r="AX39" i="6" a="1"/>
  <c r="BM8" i="2" l="1"/>
  <c r="BN8" i="2" s="1"/>
  <c r="E39" i="2"/>
  <c r="AX39" i="6"/>
  <c r="BM39" i="6" s="1"/>
  <c r="BF38" i="6"/>
  <c r="BB38" i="6" s="1"/>
  <c r="AB39" i="2"/>
  <c r="Q39" i="2"/>
  <c r="Z40" i="2"/>
  <c r="B40" i="2"/>
  <c r="AE40" i="2" s="1"/>
  <c r="K39" i="2"/>
  <c r="V39" i="2"/>
  <c r="AY42" i="6" a="1"/>
  <c r="BN39" i="6" l="1"/>
  <c r="BK39" i="6"/>
  <c r="AF40" i="2"/>
  <c r="BK40" i="2"/>
  <c r="AG40" i="2"/>
  <c r="Y40" i="2"/>
  <c r="AA40" i="2" s="1"/>
  <c r="BP40" i="2"/>
  <c r="BF40" i="2"/>
  <c r="AV40" i="2"/>
  <c r="BA40" i="2"/>
  <c r="AL40" i="2"/>
  <c r="AQ40" i="2"/>
  <c r="O40" i="2"/>
  <c r="T40" i="2"/>
  <c r="C40" i="2"/>
  <c r="H40" i="2"/>
  <c r="AY40" i="2"/>
  <c r="AI40" i="2"/>
  <c r="BI40" i="2"/>
  <c r="BS40" i="2"/>
  <c r="I40" i="2"/>
  <c r="M40" i="2"/>
  <c r="AY42" i="6"/>
  <c r="BC39" i="6"/>
  <c r="BD39" i="6"/>
  <c r="BG39" i="6"/>
  <c r="BH39" i="6"/>
  <c r="BL39" i="6"/>
  <c r="BO39" i="6"/>
  <c r="BS39" i="6"/>
  <c r="BE39" i="6"/>
  <c r="BI39" i="6"/>
  <c r="BJ39" i="6" s="1"/>
  <c r="B44" i="3"/>
  <c r="BT39" i="6"/>
  <c r="AZ39" i="6"/>
  <c r="C44" i="3" s="1"/>
  <c r="P40" i="2"/>
  <c r="W40" i="2"/>
  <c r="AO40" i="2"/>
  <c r="J40" i="2"/>
  <c r="BL40" i="2"/>
  <c r="BM40" i="2" s="1"/>
  <c r="R40" i="2"/>
  <c r="BG40" i="2"/>
  <c r="BH40" i="2" s="1"/>
  <c r="AR40" i="2"/>
  <c r="AS40" i="2" s="1"/>
  <c r="U40" i="2"/>
  <c r="BQ40" i="2"/>
  <c r="BR40" i="2" s="1"/>
  <c r="BD40" i="2"/>
  <c r="AT40" i="2"/>
  <c r="BB40" i="2"/>
  <c r="BC40" i="2" s="1"/>
  <c r="AW40" i="2"/>
  <c r="AX40" i="2" s="1"/>
  <c r="AJ40" i="2"/>
  <c r="AM40" i="2"/>
  <c r="AN40" i="2" s="1"/>
  <c r="BN40" i="2"/>
  <c r="F40" i="2"/>
  <c r="D40" i="2"/>
  <c r="AX40" i="6" a="1"/>
  <c r="BM9" i="2" l="1"/>
  <c r="BN9" i="2" s="1"/>
  <c r="E40" i="2"/>
  <c r="K40" i="2"/>
  <c r="BF39" i="6"/>
  <c r="BB39" i="6" s="1"/>
  <c r="AX40" i="6"/>
  <c r="BM40" i="6" s="1"/>
  <c r="L40" i="2"/>
  <c r="V40" i="2"/>
  <c r="AB40" i="2"/>
  <c r="Z41" i="2"/>
  <c r="B41" i="2"/>
  <c r="AE41" i="2" s="1"/>
  <c r="Q40" i="2"/>
  <c r="AY43" i="6" a="1"/>
  <c r="BN40" i="6" l="1"/>
  <c r="BK40" i="6"/>
  <c r="AF41" i="2"/>
  <c r="BK41" i="2"/>
  <c r="AG41" i="2"/>
  <c r="Y41" i="2"/>
  <c r="AA41" i="2" s="1"/>
  <c r="BP41" i="2"/>
  <c r="BF41" i="2"/>
  <c r="AV41" i="2"/>
  <c r="BA41" i="2"/>
  <c r="AL41" i="2"/>
  <c r="AQ41" i="2"/>
  <c r="O41" i="2"/>
  <c r="T41" i="2"/>
  <c r="C41" i="2"/>
  <c r="H41" i="2"/>
  <c r="AY41" i="2"/>
  <c r="AI41" i="2"/>
  <c r="BI41" i="2"/>
  <c r="BS41" i="2"/>
  <c r="I41" i="2"/>
  <c r="M41" i="2"/>
  <c r="AY43" i="6"/>
  <c r="BH40" i="6"/>
  <c r="BD40" i="6"/>
  <c r="BC40" i="6"/>
  <c r="BS40" i="6"/>
  <c r="BG40" i="6"/>
  <c r="BI40" i="6"/>
  <c r="BJ40" i="6" s="1"/>
  <c r="BL40" i="6"/>
  <c r="B45" i="3"/>
  <c r="BE40" i="6"/>
  <c r="BO40" i="6"/>
  <c r="BT40" i="6"/>
  <c r="AZ40" i="6"/>
  <c r="C45" i="3" s="1"/>
  <c r="BL41" i="2"/>
  <c r="BM41" i="2" s="1"/>
  <c r="AR41" i="2"/>
  <c r="AS41" i="2" s="1"/>
  <c r="AM41" i="2"/>
  <c r="AN41" i="2" s="1"/>
  <c r="W41" i="2"/>
  <c r="BQ41" i="2"/>
  <c r="BR41" i="2" s="1"/>
  <c r="BD41" i="2"/>
  <c r="BB41" i="2"/>
  <c r="BC41" i="2" s="1"/>
  <c r="BG41" i="2"/>
  <c r="BH41" i="2" s="1"/>
  <c r="AW41" i="2"/>
  <c r="AX41" i="2" s="1"/>
  <c r="AJ41" i="2"/>
  <c r="R41" i="2"/>
  <c r="P41" i="2"/>
  <c r="AT41" i="2"/>
  <c r="U41" i="2"/>
  <c r="AO41" i="2"/>
  <c r="J41" i="2"/>
  <c r="BN41" i="2"/>
  <c r="F41" i="2"/>
  <c r="D41" i="2"/>
  <c r="AX41" i="6" a="1"/>
  <c r="BM10" i="2" l="1"/>
  <c r="BN10" i="2" s="1"/>
  <c r="Q41" i="2"/>
  <c r="K41" i="2"/>
  <c r="AX41" i="6"/>
  <c r="BM41" i="6" s="1"/>
  <c r="V41" i="2"/>
  <c r="L41" i="2"/>
  <c r="E41" i="2"/>
  <c r="BF40" i="6"/>
  <c r="BB40" i="6" s="1"/>
  <c r="AB41" i="2"/>
  <c r="Z42" i="2"/>
  <c r="B42" i="2"/>
  <c r="AE42" i="2" s="1"/>
  <c r="AY44" i="6" a="1"/>
  <c r="BN41" i="6" l="1"/>
  <c r="BK41" i="6"/>
  <c r="AF42" i="2"/>
  <c r="BK42" i="2"/>
  <c r="AG42" i="2"/>
  <c r="Y42" i="2"/>
  <c r="AA42" i="2" s="1"/>
  <c r="BP42" i="2"/>
  <c r="BF42" i="2"/>
  <c r="AV42" i="2"/>
  <c r="BA42" i="2"/>
  <c r="AL42" i="2"/>
  <c r="AQ42" i="2"/>
  <c r="O42" i="2"/>
  <c r="T42" i="2"/>
  <c r="C42" i="2"/>
  <c r="H42" i="2"/>
  <c r="AY42" i="2"/>
  <c r="AI42" i="2"/>
  <c r="BI42" i="2"/>
  <c r="BS42" i="2"/>
  <c r="I42" i="2"/>
  <c r="M42" i="2"/>
  <c r="AY44" i="6"/>
  <c r="AR42" i="2"/>
  <c r="AS42" i="2" s="1"/>
  <c r="P42" i="2"/>
  <c r="W42" i="2"/>
  <c r="BG42" i="2"/>
  <c r="BH42" i="2" s="1"/>
  <c r="BD42" i="2"/>
  <c r="BN42" i="2"/>
  <c r="AW42" i="2"/>
  <c r="AX42" i="2" s="1"/>
  <c r="BB42" i="2"/>
  <c r="BC42" i="2" s="1"/>
  <c r="BL42" i="2"/>
  <c r="BM42" i="2" s="1"/>
  <c r="U42" i="2"/>
  <c r="AJ42" i="2"/>
  <c r="R42" i="2"/>
  <c r="BQ42" i="2"/>
  <c r="BR42" i="2" s="1"/>
  <c r="AM42" i="2"/>
  <c r="AN42" i="2" s="1"/>
  <c r="AT42" i="2"/>
  <c r="J42" i="2"/>
  <c r="AO42" i="2"/>
  <c r="F42" i="2"/>
  <c r="D42" i="2"/>
  <c r="BL41" i="6"/>
  <c r="BG41" i="6"/>
  <c r="BC41" i="6"/>
  <c r="BI41" i="6"/>
  <c r="BJ41" i="6" s="1"/>
  <c r="B46" i="3"/>
  <c r="BD41" i="6"/>
  <c r="BS41" i="6"/>
  <c r="BE41" i="6"/>
  <c r="BO41" i="6"/>
  <c r="BH41" i="6"/>
  <c r="BT41" i="6"/>
  <c r="AZ41" i="6"/>
  <c r="C46" i="3" s="1"/>
  <c r="AX42" i="6" a="1"/>
  <c r="BM11" i="2" l="1"/>
  <c r="BN11" i="2" s="1"/>
  <c r="V42" i="2"/>
  <c r="AX42" i="6"/>
  <c r="BM42" i="6" s="1"/>
  <c r="B43" i="2"/>
  <c r="AE43" i="2" s="1"/>
  <c r="Z43" i="2"/>
  <c r="L42" i="2"/>
  <c r="K42" i="2"/>
  <c r="BF41" i="6"/>
  <c r="BB41" i="6" s="1"/>
  <c r="Q42" i="2"/>
  <c r="AB42" i="2"/>
  <c r="E42" i="2"/>
  <c r="AY45" i="6" a="1"/>
  <c r="BN42" i="6" l="1"/>
  <c r="BK42" i="6"/>
  <c r="AF43" i="2"/>
  <c r="BK43" i="2"/>
  <c r="AG43" i="2"/>
  <c r="Y43" i="2"/>
  <c r="AA43" i="2" s="1"/>
  <c r="BP43" i="2"/>
  <c r="BF43" i="2"/>
  <c r="AV43" i="2"/>
  <c r="BA43" i="2"/>
  <c r="AL43" i="2"/>
  <c r="AQ43" i="2"/>
  <c r="O43" i="2"/>
  <c r="T43" i="2"/>
  <c r="C43" i="2"/>
  <c r="H43" i="2"/>
  <c r="AY43" i="2"/>
  <c r="AI43" i="2"/>
  <c r="BI43" i="2"/>
  <c r="BS43" i="2"/>
  <c r="I43" i="2"/>
  <c r="M43" i="2"/>
  <c r="AY45" i="6"/>
  <c r="J43" i="2"/>
  <c r="U43" i="2"/>
  <c r="P43" i="2"/>
  <c r="W43" i="2"/>
  <c r="AM43" i="2"/>
  <c r="AN43" i="2" s="1"/>
  <c r="AO43" i="2"/>
  <c r="AR43" i="2"/>
  <c r="AS43" i="2" s="1"/>
  <c r="BD43" i="2"/>
  <c r="AJ43" i="2"/>
  <c r="R43" i="2"/>
  <c r="BG43" i="2"/>
  <c r="BH43" i="2" s="1"/>
  <c r="BB43" i="2"/>
  <c r="BC43" i="2" s="1"/>
  <c r="BQ43" i="2"/>
  <c r="BR43" i="2" s="1"/>
  <c r="BN43" i="2"/>
  <c r="BL43" i="2"/>
  <c r="BM43" i="2" s="1"/>
  <c r="AW43" i="2"/>
  <c r="AX43" i="2" s="1"/>
  <c r="AT43" i="2"/>
  <c r="F43" i="2"/>
  <c r="D43" i="2"/>
  <c r="BI42" i="6"/>
  <c r="BJ42" i="6" s="1"/>
  <c r="BS42" i="6"/>
  <c r="BO42" i="6"/>
  <c r="BG42" i="6"/>
  <c r="B47" i="3"/>
  <c r="BL42" i="6"/>
  <c r="BC42" i="6"/>
  <c r="BE42" i="6"/>
  <c r="BD42" i="6"/>
  <c r="BH42" i="6"/>
  <c r="BT42" i="6"/>
  <c r="AZ42" i="6"/>
  <c r="C47" i="3" s="1"/>
  <c r="AX43" i="6" a="1"/>
  <c r="BM12" i="2" l="1"/>
  <c r="BN12" i="2" s="1"/>
  <c r="E43" i="2"/>
  <c r="AX43" i="6"/>
  <c r="BM43" i="6" s="1"/>
  <c r="BF42" i="6"/>
  <c r="BB42" i="6" s="1"/>
  <c r="Q43" i="2"/>
  <c r="Z44" i="2"/>
  <c r="B44" i="2"/>
  <c r="AE44" i="2" s="1"/>
  <c r="AB43" i="2"/>
  <c r="V43" i="2"/>
  <c r="L43" i="2"/>
  <c r="K43" i="2"/>
  <c r="AY46" i="6" a="1"/>
  <c r="BN43" i="6" l="1"/>
  <c r="BK43" i="6"/>
  <c r="AF44" i="2"/>
  <c r="BK44" i="2"/>
  <c r="AG44" i="2"/>
  <c r="Y44" i="2"/>
  <c r="AA44" i="2" s="1"/>
  <c r="BP44" i="2"/>
  <c r="BF44" i="2"/>
  <c r="AV44" i="2"/>
  <c r="BA44" i="2"/>
  <c r="AL44" i="2"/>
  <c r="AQ44" i="2"/>
  <c r="O44" i="2"/>
  <c r="T44" i="2"/>
  <c r="C44" i="2"/>
  <c r="H44" i="2"/>
  <c r="L44" i="2" s="1"/>
  <c r="AY44" i="2"/>
  <c r="AI44" i="2"/>
  <c r="BI44" i="2"/>
  <c r="BS44" i="2"/>
  <c r="I44" i="2"/>
  <c r="M44" i="2"/>
  <c r="AY46" i="6"/>
  <c r="P44" i="2"/>
  <c r="AT44" i="2"/>
  <c r="BL44" i="2"/>
  <c r="BM44" i="2" s="1"/>
  <c r="AW44" i="2"/>
  <c r="AX44" i="2" s="1"/>
  <c r="R44" i="2"/>
  <c r="J44" i="2"/>
  <c r="U44" i="2"/>
  <c r="BG44" i="2"/>
  <c r="BH44" i="2" s="1"/>
  <c r="BD44" i="2"/>
  <c r="BQ44" i="2"/>
  <c r="BR44" i="2" s="1"/>
  <c r="W44" i="2"/>
  <c r="BB44" i="2"/>
  <c r="BC44" i="2" s="1"/>
  <c r="BN44" i="2"/>
  <c r="AJ44" i="2"/>
  <c r="AO44" i="2"/>
  <c r="AM44" i="2"/>
  <c r="AN44" i="2" s="1"/>
  <c r="AR44" i="2"/>
  <c r="AS44" i="2" s="1"/>
  <c r="F44" i="2"/>
  <c r="D44" i="2"/>
  <c r="BI43" i="6"/>
  <c r="BJ43" i="6" s="1"/>
  <c r="BD43" i="6"/>
  <c r="BS43" i="6"/>
  <c r="BG43" i="6"/>
  <c r="BC43" i="6"/>
  <c r="BH43" i="6"/>
  <c r="BO43" i="6"/>
  <c r="B48" i="3"/>
  <c r="BE43" i="6"/>
  <c r="BL43" i="6"/>
  <c r="BT43" i="6"/>
  <c r="AZ43" i="6"/>
  <c r="C48" i="3" s="1"/>
  <c r="AX44" i="6" a="1"/>
  <c r="BM13" i="2" l="1"/>
  <c r="BN13" i="2" s="1"/>
  <c r="E44" i="2"/>
  <c r="V44" i="2"/>
  <c r="Q44" i="2"/>
  <c r="AX44" i="6"/>
  <c r="BM44" i="6" s="1"/>
  <c r="AB44" i="2"/>
  <c r="B45" i="2"/>
  <c r="AE45" i="2" s="1"/>
  <c r="Z45" i="2"/>
  <c r="K44" i="2"/>
  <c r="BF43" i="6"/>
  <c r="BB43" i="6" s="1"/>
  <c r="AY47" i="6" a="1"/>
  <c r="BN44" i="6" l="1"/>
  <c r="BK44" i="6"/>
  <c r="AF45" i="2"/>
  <c r="BK45" i="2"/>
  <c r="AG45" i="2"/>
  <c r="Y45" i="2"/>
  <c r="AA45" i="2" s="1"/>
  <c r="BP45" i="2"/>
  <c r="BF45" i="2"/>
  <c r="AV45" i="2"/>
  <c r="BA45" i="2"/>
  <c r="AL45" i="2"/>
  <c r="AQ45" i="2"/>
  <c r="O45" i="2"/>
  <c r="T45" i="2"/>
  <c r="C45" i="2"/>
  <c r="H45" i="2"/>
  <c r="L45" i="2" s="1"/>
  <c r="AY45" i="2"/>
  <c r="AI45" i="2"/>
  <c r="BI45" i="2"/>
  <c r="BS45" i="2"/>
  <c r="I45" i="2"/>
  <c r="M45" i="2"/>
  <c r="AY47" i="6"/>
  <c r="W45" i="2"/>
  <c r="AW45" i="2"/>
  <c r="AX45" i="2" s="1"/>
  <c r="BD45" i="2"/>
  <c r="BB45" i="2"/>
  <c r="BC45" i="2" s="1"/>
  <c r="BN45" i="2"/>
  <c r="BL45" i="2"/>
  <c r="BM45" i="2" s="1"/>
  <c r="R45" i="2"/>
  <c r="AT45" i="2"/>
  <c r="AO45" i="2"/>
  <c r="BG45" i="2"/>
  <c r="BH45" i="2" s="1"/>
  <c r="AJ45" i="2"/>
  <c r="AM45" i="2"/>
  <c r="AN45" i="2" s="1"/>
  <c r="AR45" i="2"/>
  <c r="AS45" i="2" s="1"/>
  <c r="BQ45" i="2"/>
  <c r="BR45" i="2" s="1"/>
  <c r="U45" i="2"/>
  <c r="P45" i="2"/>
  <c r="J45" i="2"/>
  <c r="F45" i="2"/>
  <c r="D45" i="2"/>
  <c r="BH44" i="6"/>
  <c r="BD44" i="6"/>
  <c r="BS44" i="6"/>
  <c r="BG44" i="6"/>
  <c r="BI44" i="6"/>
  <c r="BJ44" i="6" s="1"/>
  <c r="B49" i="3"/>
  <c r="BE44" i="6"/>
  <c r="BL44" i="6"/>
  <c r="BO44" i="6"/>
  <c r="BC44" i="6"/>
  <c r="BT44" i="6"/>
  <c r="AZ44" i="6"/>
  <c r="C49" i="3" s="1"/>
  <c r="AX45" i="6" a="1"/>
  <c r="BM14" i="2" l="1"/>
  <c r="BN14" i="2" s="1"/>
  <c r="AB45" i="2"/>
  <c r="AX45" i="6"/>
  <c r="BM45" i="6" s="1"/>
  <c r="BF44" i="6"/>
  <c r="BB44" i="6" s="1"/>
  <c r="Q45" i="2"/>
  <c r="V45" i="2"/>
  <c r="Z46" i="2"/>
  <c r="B46" i="2"/>
  <c r="AE46" i="2" s="1"/>
  <c r="E45" i="2"/>
  <c r="K45" i="2"/>
  <c r="AY48" i="6" a="1"/>
  <c r="BN45" i="6" l="1"/>
  <c r="BK45" i="6"/>
  <c r="AF46" i="2"/>
  <c r="BK46" i="2"/>
  <c r="AG46" i="2"/>
  <c r="Y46" i="2"/>
  <c r="AA46" i="2" s="1"/>
  <c r="BP46" i="2"/>
  <c r="BF46" i="2"/>
  <c r="AV46" i="2"/>
  <c r="BA46" i="2"/>
  <c r="AL46" i="2"/>
  <c r="AQ46" i="2"/>
  <c r="O46" i="2"/>
  <c r="T46" i="2"/>
  <c r="C46" i="2"/>
  <c r="H46" i="2"/>
  <c r="L46" i="2" s="1"/>
  <c r="AY46" i="2"/>
  <c r="AI46" i="2"/>
  <c r="BI46" i="2"/>
  <c r="BS46" i="2"/>
  <c r="I46" i="2"/>
  <c r="M46" i="2"/>
  <c r="AY48" i="6"/>
  <c r="AT46" i="2"/>
  <c r="AR46" i="2"/>
  <c r="AS46" i="2" s="1"/>
  <c r="BG46" i="2"/>
  <c r="BH46" i="2" s="1"/>
  <c r="U46" i="2"/>
  <c r="J46" i="2"/>
  <c r="BB46" i="2"/>
  <c r="BC46" i="2" s="1"/>
  <c r="P46" i="2"/>
  <c r="BD46" i="2"/>
  <c r="BQ46" i="2"/>
  <c r="BR46" i="2" s="1"/>
  <c r="R46" i="2"/>
  <c r="BL46" i="2"/>
  <c r="BM46" i="2" s="1"/>
  <c r="BN46" i="2"/>
  <c r="AW46" i="2"/>
  <c r="AX46" i="2" s="1"/>
  <c r="AM46" i="2"/>
  <c r="AN46" i="2" s="1"/>
  <c r="AJ46" i="2"/>
  <c r="W46" i="2"/>
  <c r="AO46" i="2"/>
  <c r="F46" i="2"/>
  <c r="D46" i="2"/>
  <c r="BD45" i="6"/>
  <c r="BI45" i="6"/>
  <c r="BJ45" i="6" s="1"/>
  <c r="B50" i="3"/>
  <c r="BO45" i="6"/>
  <c r="BH45" i="6"/>
  <c r="BC45" i="6"/>
  <c r="BE45" i="6"/>
  <c r="BG45" i="6"/>
  <c r="BL45" i="6"/>
  <c r="BS45" i="6"/>
  <c r="BT45" i="6"/>
  <c r="AZ45" i="6"/>
  <c r="C50" i="3" s="1"/>
  <c r="AX46" i="6" a="1"/>
  <c r="E46" i="2" l="1"/>
  <c r="V46" i="2"/>
  <c r="BF45" i="6"/>
  <c r="BB45" i="6" s="1"/>
  <c r="K46" i="2"/>
  <c r="Q46" i="2"/>
  <c r="AX46" i="6"/>
  <c r="BM46" i="6" s="1"/>
  <c r="Z47" i="2"/>
  <c r="B47" i="2"/>
  <c r="AE47" i="2" s="1"/>
  <c r="AB46" i="2"/>
  <c r="AY49" i="6" a="1"/>
  <c r="BN46" i="6" l="1"/>
  <c r="BK46" i="6"/>
  <c r="AF47" i="2"/>
  <c r="BK47" i="2"/>
  <c r="AG47" i="2"/>
  <c r="Y47" i="2"/>
  <c r="AA47" i="2" s="1"/>
  <c r="BP47" i="2"/>
  <c r="BF47" i="2"/>
  <c r="AV47" i="2"/>
  <c r="BA47" i="2"/>
  <c r="AL47" i="2"/>
  <c r="AQ47" i="2"/>
  <c r="O47" i="2"/>
  <c r="T47" i="2"/>
  <c r="C47" i="2"/>
  <c r="H47" i="2"/>
  <c r="AY47" i="2"/>
  <c r="AI47" i="2"/>
  <c r="BI47" i="2"/>
  <c r="BS47" i="2"/>
  <c r="I47" i="2"/>
  <c r="M47" i="2"/>
  <c r="AY49" i="6"/>
  <c r="BL46" i="6"/>
  <c r="BH46" i="6"/>
  <c r="BS46" i="6"/>
  <c r="BG46" i="6"/>
  <c r="BC46" i="6"/>
  <c r="BD46" i="6"/>
  <c r="B51" i="3"/>
  <c r="BO46" i="6"/>
  <c r="BI46" i="6"/>
  <c r="BJ46" i="6" s="1"/>
  <c r="BE46" i="6"/>
  <c r="BT46" i="6"/>
  <c r="AZ46" i="6"/>
  <c r="C51" i="3" s="1"/>
  <c r="AM47" i="2"/>
  <c r="AN47" i="2" s="1"/>
  <c r="AT47" i="2"/>
  <c r="R47" i="2"/>
  <c r="P47" i="2"/>
  <c r="BB47" i="2"/>
  <c r="BC47" i="2" s="1"/>
  <c r="BL47" i="2"/>
  <c r="BM47" i="2" s="1"/>
  <c r="BG47" i="2"/>
  <c r="BH47" i="2" s="1"/>
  <c r="AO47" i="2"/>
  <c r="BQ47" i="2"/>
  <c r="BR47" i="2" s="1"/>
  <c r="U47" i="2"/>
  <c r="BN47" i="2"/>
  <c r="J47" i="2"/>
  <c r="AW47" i="2"/>
  <c r="AX47" i="2" s="1"/>
  <c r="AJ47" i="2"/>
  <c r="AR47" i="2"/>
  <c r="AS47" i="2" s="1"/>
  <c r="W47" i="2"/>
  <c r="BD47" i="2"/>
  <c r="F47" i="2"/>
  <c r="D47" i="2"/>
  <c r="AX47" i="6" a="1"/>
  <c r="Q47" i="2" l="1"/>
  <c r="AX47" i="6"/>
  <c r="BM47" i="6" s="1"/>
  <c r="BF46" i="6"/>
  <c r="BB46" i="6" s="1"/>
  <c r="V47" i="2"/>
  <c r="L47" i="2"/>
  <c r="K47" i="2"/>
  <c r="AB47" i="2"/>
  <c r="E47" i="2"/>
  <c r="B48" i="2"/>
  <c r="AE48" i="2" s="1"/>
  <c r="Z48" i="2"/>
  <c r="AY50" i="6" a="1"/>
  <c r="BN47" i="6" l="1"/>
  <c r="BK47" i="6"/>
  <c r="AF48" i="2"/>
  <c r="BK48" i="2"/>
  <c r="AG48" i="2"/>
  <c r="Y48" i="2"/>
  <c r="AA48" i="2" s="1"/>
  <c r="BP48" i="2"/>
  <c r="BF48" i="2"/>
  <c r="AV48" i="2"/>
  <c r="BA48" i="2"/>
  <c r="AL48" i="2"/>
  <c r="AQ48" i="2"/>
  <c r="O48" i="2"/>
  <c r="T48" i="2"/>
  <c r="C48" i="2"/>
  <c r="H48" i="2"/>
  <c r="L48" i="2" s="1"/>
  <c r="AY48" i="2"/>
  <c r="AI48" i="2"/>
  <c r="BI48" i="2"/>
  <c r="BS48" i="2"/>
  <c r="I48" i="2"/>
  <c r="M48" i="2"/>
  <c r="AY50" i="6"/>
  <c r="BD48" i="2"/>
  <c r="AW48" i="2"/>
  <c r="AX48" i="2" s="1"/>
  <c r="J48" i="2"/>
  <c r="R48" i="2"/>
  <c r="P48" i="2"/>
  <c r="AO48" i="2"/>
  <c r="AT48" i="2"/>
  <c r="AR48" i="2"/>
  <c r="AS48" i="2" s="1"/>
  <c r="AM48" i="2"/>
  <c r="AN48" i="2" s="1"/>
  <c r="BG48" i="2"/>
  <c r="BH48" i="2" s="1"/>
  <c r="BB48" i="2"/>
  <c r="BC48" i="2" s="1"/>
  <c r="BN48" i="2"/>
  <c r="U48" i="2"/>
  <c r="BL48" i="2"/>
  <c r="BM48" i="2" s="1"/>
  <c r="W48" i="2"/>
  <c r="BQ48" i="2"/>
  <c r="BR48" i="2" s="1"/>
  <c r="AJ48" i="2"/>
  <c r="F48" i="2"/>
  <c r="D48" i="2"/>
  <c r="B52" i="3"/>
  <c r="BG47" i="6"/>
  <c r="BH47" i="6"/>
  <c r="BO47" i="6"/>
  <c r="BS47" i="6"/>
  <c r="BE47" i="6"/>
  <c r="BC47" i="6"/>
  <c r="BI47" i="6"/>
  <c r="BJ47" i="6" s="1"/>
  <c r="BL47" i="6"/>
  <c r="BD47" i="6"/>
  <c r="BT47" i="6"/>
  <c r="AZ47" i="6"/>
  <c r="C52" i="3" s="1"/>
  <c r="AX48" i="6" a="1"/>
  <c r="BF47" i="6" l="1"/>
  <c r="BB47" i="6" s="1"/>
  <c r="V48" i="2"/>
  <c r="AB48" i="2"/>
  <c r="E48" i="2"/>
  <c r="AX48" i="6"/>
  <c r="BM48" i="6" s="1"/>
  <c r="K48" i="2"/>
  <c r="Q48" i="2"/>
  <c r="B49" i="2"/>
  <c r="AE49" i="2" s="1"/>
  <c r="Z49" i="2"/>
  <c r="AY51" i="6" a="1"/>
  <c r="BN48" i="6" l="1"/>
  <c r="BK48" i="6"/>
  <c r="AF49" i="2"/>
  <c r="BK49" i="2"/>
  <c r="AG49" i="2"/>
  <c r="Y49" i="2"/>
  <c r="AA49" i="2" s="1"/>
  <c r="BP49" i="2"/>
  <c r="BF49" i="2"/>
  <c r="AV49" i="2"/>
  <c r="BA49" i="2"/>
  <c r="AL49" i="2"/>
  <c r="AQ49" i="2"/>
  <c r="O49" i="2"/>
  <c r="T49" i="2"/>
  <c r="C49" i="2"/>
  <c r="H49" i="2"/>
  <c r="L49" i="2" s="1"/>
  <c r="AY49" i="2"/>
  <c r="AI49" i="2"/>
  <c r="BI49" i="2"/>
  <c r="BS49" i="2"/>
  <c r="I49" i="2"/>
  <c r="M49" i="2"/>
  <c r="AY51" i="6"/>
  <c r="BI48" i="6"/>
  <c r="BJ48" i="6" s="1"/>
  <c r="BC48" i="6"/>
  <c r="BO48" i="6"/>
  <c r="BG48" i="6"/>
  <c r="B53" i="3"/>
  <c r="BE48" i="6"/>
  <c r="BH48" i="6"/>
  <c r="BS48" i="6"/>
  <c r="BD48" i="6"/>
  <c r="BL48" i="6"/>
  <c r="BT48" i="6"/>
  <c r="AZ48" i="6"/>
  <c r="C53" i="3" s="1"/>
  <c r="P49" i="2"/>
  <c r="BG49" i="2"/>
  <c r="BH49" i="2" s="1"/>
  <c r="R49" i="2"/>
  <c r="AR49" i="2"/>
  <c r="AS49" i="2" s="1"/>
  <c r="J49" i="2"/>
  <c r="BD49" i="2"/>
  <c r="AW49" i="2"/>
  <c r="AX49" i="2" s="1"/>
  <c r="U49" i="2"/>
  <c r="BB49" i="2"/>
  <c r="BC49" i="2" s="1"/>
  <c r="BQ49" i="2"/>
  <c r="BR49" i="2" s="1"/>
  <c r="W49" i="2"/>
  <c r="BL49" i="2"/>
  <c r="BM49" i="2" s="1"/>
  <c r="AJ49" i="2"/>
  <c r="BN49" i="2"/>
  <c r="AT49" i="2"/>
  <c r="AM49" i="2"/>
  <c r="AN49" i="2" s="1"/>
  <c r="AO49" i="2"/>
  <c r="F49" i="2"/>
  <c r="D49" i="2"/>
  <c r="AX49" i="6" a="1"/>
  <c r="Q49" i="2" l="1"/>
  <c r="E49" i="2"/>
  <c r="AB49" i="2"/>
  <c r="AX49" i="6"/>
  <c r="BM49" i="6" s="1"/>
  <c r="B50" i="2"/>
  <c r="AE50" i="2" s="1"/>
  <c r="Z50" i="2"/>
  <c r="V49" i="2"/>
  <c r="K49" i="2"/>
  <c r="BF48" i="6"/>
  <c r="BB48" i="6" s="1"/>
  <c r="AY52" i="6" a="1"/>
  <c r="BN49" i="6" l="1"/>
  <c r="BK49" i="6"/>
  <c r="AF50" i="2"/>
  <c r="BK50" i="2"/>
  <c r="AG50" i="2"/>
  <c r="Y50" i="2"/>
  <c r="AA50" i="2" s="1"/>
  <c r="BP50" i="2"/>
  <c r="BF50" i="2"/>
  <c r="AV50" i="2"/>
  <c r="BA50" i="2"/>
  <c r="AL50" i="2"/>
  <c r="AQ50" i="2"/>
  <c r="O50" i="2"/>
  <c r="T50" i="2"/>
  <c r="C50" i="2"/>
  <c r="H50" i="2"/>
  <c r="AY50" i="2"/>
  <c r="AI50" i="2"/>
  <c r="BI50" i="2"/>
  <c r="BS50" i="2"/>
  <c r="I50" i="2"/>
  <c r="M50" i="2"/>
  <c r="AY52" i="6"/>
  <c r="BG49" i="6"/>
  <c r="BL49" i="6"/>
  <c r="BC49" i="6"/>
  <c r="BE49" i="6"/>
  <c r="BO49" i="6"/>
  <c r="BD49" i="6"/>
  <c r="B54" i="3"/>
  <c r="BH49" i="6"/>
  <c r="BI49" i="6"/>
  <c r="BJ49" i="6" s="1"/>
  <c r="BS49" i="6"/>
  <c r="BT49" i="6"/>
  <c r="AZ49" i="6"/>
  <c r="C54" i="3" s="1"/>
  <c r="AW50" i="2"/>
  <c r="AX50" i="2" s="1"/>
  <c r="AR50" i="2"/>
  <c r="AS50" i="2" s="1"/>
  <c r="BQ50" i="2"/>
  <c r="BR50" i="2" s="1"/>
  <c r="AO50" i="2"/>
  <c r="BN50" i="2"/>
  <c r="BD50" i="2"/>
  <c r="BL50" i="2"/>
  <c r="BM50" i="2" s="1"/>
  <c r="J50" i="2"/>
  <c r="BG50" i="2"/>
  <c r="BH50" i="2" s="1"/>
  <c r="U50" i="2"/>
  <c r="BB50" i="2"/>
  <c r="BC50" i="2" s="1"/>
  <c r="R50" i="2"/>
  <c r="AJ50" i="2"/>
  <c r="AM50" i="2"/>
  <c r="AN50" i="2" s="1"/>
  <c r="W50" i="2"/>
  <c r="AT50" i="2"/>
  <c r="P50" i="2"/>
  <c r="F50" i="2"/>
  <c r="D50" i="2"/>
  <c r="AX50" i="6" a="1"/>
  <c r="E50" i="2" l="1"/>
  <c r="AX50" i="6"/>
  <c r="BM50" i="6" s="1"/>
  <c r="B51" i="2"/>
  <c r="AE51" i="2" s="1"/>
  <c r="Z51" i="2"/>
  <c r="AB50" i="2"/>
  <c r="BF49" i="6"/>
  <c r="BB49" i="6" s="1"/>
  <c r="Q50" i="2"/>
  <c r="L50" i="2"/>
  <c r="K50" i="2"/>
  <c r="V50" i="2"/>
  <c r="AY53" i="6" a="1"/>
  <c r="BN50" i="6" l="1"/>
  <c r="BK50" i="6"/>
  <c r="AF51" i="2"/>
  <c r="BK51" i="2"/>
  <c r="AG51" i="2"/>
  <c r="Y51" i="2"/>
  <c r="AA51" i="2" s="1"/>
  <c r="BP51" i="2"/>
  <c r="BF51" i="2"/>
  <c r="AV51" i="2"/>
  <c r="BA51" i="2"/>
  <c r="AL51" i="2"/>
  <c r="AQ51" i="2"/>
  <c r="O51" i="2"/>
  <c r="T51" i="2"/>
  <c r="C51" i="2"/>
  <c r="H51" i="2"/>
  <c r="AY51" i="2"/>
  <c r="AI51" i="2"/>
  <c r="BI51" i="2"/>
  <c r="BS51" i="2"/>
  <c r="I51" i="2"/>
  <c r="M51" i="2"/>
  <c r="AY53" i="6"/>
  <c r="BG51" i="2"/>
  <c r="BH51" i="2" s="1"/>
  <c r="AW51" i="2"/>
  <c r="AX51" i="2" s="1"/>
  <c r="BB51" i="2"/>
  <c r="BC51" i="2" s="1"/>
  <c r="W51" i="2"/>
  <c r="AT51" i="2"/>
  <c r="AM51" i="2"/>
  <c r="AN51" i="2" s="1"/>
  <c r="AJ51" i="2"/>
  <c r="BN51" i="2"/>
  <c r="BQ51" i="2"/>
  <c r="BR51" i="2" s="1"/>
  <c r="AR51" i="2"/>
  <c r="AS51" i="2" s="1"/>
  <c r="J51" i="2"/>
  <c r="BD51" i="2"/>
  <c r="AO51" i="2"/>
  <c r="U51" i="2"/>
  <c r="P51" i="2"/>
  <c r="R51" i="2"/>
  <c r="BL51" i="2"/>
  <c r="BM51" i="2" s="1"/>
  <c r="F51" i="2"/>
  <c r="D51" i="2"/>
  <c r="BH50" i="6"/>
  <c r="BI50" i="6"/>
  <c r="BJ50" i="6" s="1"/>
  <c r="BG50" i="6"/>
  <c r="B55" i="3"/>
  <c r="BD50" i="6"/>
  <c r="BO50" i="6"/>
  <c r="BL50" i="6"/>
  <c r="BC50" i="6"/>
  <c r="BS50" i="6"/>
  <c r="BE50" i="6"/>
  <c r="BT50" i="6"/>
  <c r="AZ50" i="6"/>
  <c r="C55" i="3" s="1"/>
  <c r="AX51" i="6" a="1"/>
  <c r="AX51" i="6" l="1"/>
  <c r="BM51" i="6" s="1"/>
  <c r="AB51" i="2"/>
  <c r="L51" i="2"/>
  <c r="K51" i="2"/>
  <c r="BF50" i="6"/>
  <c r="BB50" i="6" s="1"/>
  <c r="E51" i="2"/>
  <c r="Z52" i="2"/>
  <c r="B52" i="2"/>
  <c r="AE52" i="2" s="1"/>
  <c r="Q51" i="2"/>
  <c r="V51" i="2"/>
  <c r="AY54" i="6" a="1"/>
  <c r="BN51" i="6" l="1"/>
  <c r="BK51" i="6"/>
  <c r="AF52" i="2"/>
  <c r="BK52" i="2"/>
  <c r="AG52" i="2"/>
  <c r="Y52" i="2"/>
  <c r="AA52" i="2" s="1"/>
  <c r="BP52" i="2"/>
  <c r="BF52" i="2"/>
  <c r="AV52" i="2"/>
  <c r="BA52" i="2"/>
  <c r="AL52" i="2"/>
  <c r="AQ52" i="2"/>
  <c r="O52" i="2"/>
  <c r="T52" i="2"/>
  <c r="C52" i="2"/>
  <c r="H52" i="2"/>
  <c r="AY52" i="2"/>
  <c r="AI52" i="2"/>
  <c r="BI52" i="2"/>
  <c r="BS52" i="2"/>
  <c r="I52" i="2"/>
  <c r="M52" i="2"/>
  <c r="AY54" i="6"/>
  <c r="AW52" i="2"/>
  <c r="AX52" i="2" s="1"/>
  <c r="BQ52" i="2"/>
  <c r="BR52" i="2" s="1"/>
  <c r="W52" i="2"/>
  <c r="AT52" i="2"/>
  <c r="AO52" i="2"/>
  <c r="BB52" i="2"/>
  <c r="BC52" i="2" s="1"/>
  <c r="J52" i="2"/>
  <c r="BG52" i="2"/>
  <c r="BH52" i="2" s="1"/>
  <c r="U52" i="2"/>
  <c r="R52" i="2"/>
  <c r="P52" i="2"/>
  <c r="BL52" i="2"/>
  <c r="BM52" i="2" s="1"/>
  <c r="AJ52" i="2"/>
  <c r="BN52" i="2"/>
  <c r="AM52" i="2"/>
  <c r="AN52" i="2" s="1"/>
  <c r="AR52" i="2"/>
  <c r="AS52" i="2" s="1"/>
  <c r="BD52" i="2"/>
  <c r="F52" i="2"/>
  <c r="D52" i="2"/>
  <c r="BH51" i="6"/>
  <c r="BC51" i="6"/>
  <c r="BL51" i="6"/>
  <c r="BO51" i="6"/>
  <c r="BD51" i="6"/>
  <c r="BE51" i="6"/>
  <c r="BI51" i="6"/>
  <c r="BJ51" i="6" s="1"/>
  <c r="B56" i="3"/>
  <c r="BS51" i="6"/>
  <c r="BG51" i="6"/>
  <c r="BT51" i="6"/>
  <c r="AZ51" i="6"/>
  <c r="C56" i="3" s="1"/>
  <c r="AX52" i="6" a="1"/>
  <c r="K52" i="2" l="1"/>
  <c r="V52" i="2"/>
  <c r="AX52" i="6"/>
  <c r="BM52" i="6" s="1"/>
  <c r="BF51" i="6"/>
  <c r="BB51" i="6" s="1"/>
  <c r="B53" i="2"/>
  <c r="AE53" i="2" s="1"/>
  <c r="Z53" i="2"/>
  <c r="L52" i="2"/>
  <c r="AB52" i="2"/>
  <c r="E52" i="2"/>
  <c r="Q52" i="2"/>
  <c r="AY55" i="6" a="1"/>
  <c r="BN52" i="6" l="1"/>
  <c r="BK52" i="6"/>
  <c r="AF53" i="2"/>
  <c r="BK53" i="2"/>
  <c r="AG53" i="2"/>
  <c r="Y53" i="2"/>
  <c r="AA53" i="2" s="1"/>
  <c r="BP53" i="2"/>
  <c r="BF53" i="2"/>
  <c r="AV53" i="2"/>
  <c r="BA53" i="2"/>
  <c r="AL53" i="2"/>
  <c r="AQ53" i="2"/>
  <c r="O53" i="2"/>
  <c r="T53" i="2"/>
  <c r="C53" i="2"/>
  <c r="H53" i="2"/>
  <c r="AY53" i="2"/>
  <c r="AI53" i="2"/>
  <c r="BI53" i="2"/>
  <c r="BS53" i="2"/>
  <c r="I53" i="2"/>
  <c r="M53" i="2"/>
  <c r="AY55" i="6"/>
  <c r="B57" i="3"/>
  <c r="BG52" i="6"/>
  <c r="BE52" i="6"/>
  <c r="BH52" i="6"/>
  <c r="BS52" i="6"/>
  <c r="BD52" i="6"/>
  <c r="BO52" i="6"/>
  <c r="BC52" i="6"/>
  <c r="BL52" i="6"/>
  <c r="BI52" i="6"/>
  <c r="BJ52" i="6" s="1"/>
  <c r="BT52" i="6"/>
  <c r="AZ52" i="6"/>
  <c r="C57" i="3" s="1"/>
  <c r="P53" i="2"/>
  <c r="BQ53" i="2"/>
  <c r="BR53" i="2" s="1"/>
  <c r="AR53" i="2"/>
  <c r="AS53" i="2" s="1"/>
  <c r="AJ53" i="2"/>
  <c r="BG53" i="2"/>
  <c r="BH53" i="2" s="1"/>
  <c r="AT53" i="2"/>
  <c r="BL53" i="2"/>
  <c r="BM53" i="2" s="1"/>
  <c r="U53" i="2"/>
  <c r="AO53" i="2"/>
  <c r="AM53" i="2"/>
  <c r="AN53" i="2" s="1"/>
  <c r="R53" i="2"/>
  <c r="AW53" i="2"/>
  <c r="AX53" i="2" s="1"/>
  <c r="J53" i="2"/>
  <c r="BD53" i="2"/>
  <c r="BN53" i="2"/>
  <c r="BB53" i="2"/>
  <c r="BC53" i="2" s="1"/>
  <c r="W53" i="2"/>
  <c r="F53" i="2"/>
  <c r="D53" i="2"/>
  <c r="AX53" i="6" a="1"/>
  <c r="Q53" i="2" l="1"/>
  <c r="BF52" i="6"/>
  <c r="BB52" i="6" s="1"/>
  <c r="AB53" i="2"/>
  <c r="K53" i="2"/>
  <c r="AX53" i="6"/>
  <c r="BM53" i="6" s="1"/>
  <c r="Z54" i="2"/>
  <c r="B54" i="2"/>
  <c r="AE54" i="2" s="1"/>
  <c r="V53" i="2"/>
  <c r="L53" i="2"/>
  <c r="E53" i="2"/>
  <c r="AY56" i="6" a="1"/>
  <c r="BN53" i="6" l="1"/>
  <c r="BK53" i="6"/>
  <c r="AF54" i="2"/>
  <c r="BK54" i="2"/>
  <c r="AG54" i="2"/>
  <c r="Y54" i="2"/>
  <c r="AA54" i="2" s="1"/>
  <c r="BP54" i="2"/>
  <c r="BF54" i="2"/>
  <c r="AV54" i="2"/>
  <c r="BA54" i="2"/>
  <c r="AL54" i="2"/>
  <c r="AQ54" i="2"/>
  <c r="O54" i="2"/>
  <c r="T54" i="2"/>
  <c r="C54" i="2"/>
  <c r="H54" i="2"/>
  <c r="AY54" i="2"/>
  <c r="AI54" i="2"/>
  <c r="BI54" i="2"/>
  <c r="BS54" i="2"/>
  <c r="I54" i="2"/>
  <c r="M54" i="2"/>
  <c r="AY56" i="6"/>
  <c r="BQ54" i="2"/>
  <c r="BR54" i="2" s="1"/>
  <c r="AW54" i="2"/>
  <c r="AX54" i="2" s="1"/>
  <c r="BB54" i="2"/>
  <c r="BC54" i="2" s="1"/>
  <c r="BD54" i="2"/>
  <c r="P54" i="2"/>
  <c r="U54" i="2"/>
  <c r="AR54" i="2"/>
  <c r="AS54" i="2" s="1"/>
  <c r="J54" i="2"/>
  <c r="R54" i="2"/>
  <c r="BG54" i="2"/>
  <c r="BH54" i="2" s="1"/>
  <c r="AM54" i="2"/>
  <c r="AN54" i="2" s="1"/>
  <c r="W54" i="2"/>
  <c r="AJ54" i="2"/>
  <c r="AO54" i="2"/>
  <c r="BL54" i="2"/>
  <c r="BM54" i="2" s="1"/>
  <c r="BN54" i="2"/>
  <c r="AT54" i="2"/>
  <c r="F54" i="2"/>
  <c r="D54" i="2"/>
  <c r="BL53" i="6"/>
  <c r="BI53" i="6"/>
  <c r="BJ53" i="6" s="1"/>
  <c r="BH53" i="6"/>
  <c r="BE53" i="6"/>
  <c r="BD53" i="6"/>
  <c r="BC53" i="6"/>
  <c r="BG53" i="6"/>
  <c r="B58" i="3"/>
  <c r="BO53" i="6"/>
  <c r="BS53" i="6"/>
  <c r="BT53" i="6"/>
  <c r="AZ53" i="6"/>
  <c r="C58" i="3" s="1"/>
  <c r="AX54" i="6" a="1"/>
  <c r="E54" i="2" l="1"/>
  <c r="AX54" i="6"/>
  <c r="BM54" i="6" s="1"/>
  <c r="L54" i="2"/>
  <c r="K54" i="2"/>
  <c r="Q54" i="2"/>
  <c r="BF53" i="6"/>
  <c r="BB53" i="6" s="1"/>
  <c r="V54" i="2"/>
  <c r="Z55" i="2"/>
  <c r="B55" i="2"/>
  <c r="AE55" i="2" s="1"/>
  <c r="AB54" i="2"/>
  <c r="AY57" i="6" a="1"/>
  <c r="BN54" i="6" l="1"/>
  <c r="BK54" i="6"/>
  <c r="AF55" i="2"/>
  <c r="BK55" i="2"/>
  <c r="AG55" i="2"/>
  <c r="Y55" i="2"/>
  <c r="AA55" i="2" s="1"/>
  <c r="BP55" i="2"/>
  <c r="BF55" i="2"/>
  <c r="AV55" i="2"/>
  <c r="BA55" i="2"/>
  <c r="AL55" i="2"/>
  <c r="AQ55" i="2"/>
  <c r="O55" i="2"/>
  <c r="T55" i="2"/>
  <c r="C55" i="2"/>
  <c r="H55" i="2"/>
  <c r="AY55" i="2"/>
  <c r="AI55" i="2"/>
  <c r="BI55" i="2"/>
  <c r="BS55" i="2"/>
  <c r="I55" i="2"/>
  <c r="M55" i="2"/>
  <c r="AY57" i="6"/>
  <c r="BG54" i="6"/>
  <c r="BO54" i="6"/>
  <c r="BE54" i="6"/>
  <c r="BC54" i="6"/>
  <c r="BS54" i="6"/>
  <c r="BL54" i="6"/>
  <c r="BH54" i="6"/>
  <c r="BI54" i="6"/>
  <c r="BJ54" i="6" s="1"/>
  <c r="B59" i="3"/>
  <c r="BD54" i="6"/>
  <c r="BT54" i="6"/>
  <c r="AZ54" i="6"/>
  <c r="C59" i="3" s="1"/>
  <c r="BG55" i="2"/>
  <c r="BH55" i="2" s="1"/>
  <c r="AJ55" i="2"/>
  <c r="AR55" i="2"/>
  <c r="AS55" i="2" s="1"/>
  <c r="P55" i="2"/>
  <c r="AT55" i="2"/>
  <c r="BQ55" i="2"/>
  <c r="BR55" i="2" s="1"/>
  <c r="BB55" i="2"/>
  <c r="BC55" i="2" s="1"/>
  <c r="BN55" i="2"/>
  <c r="BL55" i="2"/>
  <c r="BM55" i="2" s="1"/>
  <c r="J55" i="2"/>
  <c r="R55" i="2"/>
  <c r="AM55" i="2"/>
  <c r="AN55" i="2" s="1"/>
  <c r="AO55" i="2"/>
  <c r="U55" i="2"/>
  <c r="BD55" i="2"/>
  <c r="W55" i="2"/>
  <c r="AW55" i="2"/>
  <c r="AX55" i="2" s="1"/>
  <c r="F55" i="2"/>
  <c r="D55" i="2"/>
  <c r="AX55" i="6" a="1"/>
  <c r="AB55" i="2" l="1"/>
  <c r="AX55" i="6"/>
  <c r="BM55" i="6" s="1"/>
  <c r="K55" i="2"/>
  <c r="Q55" i="2"/>
  <c r="E55" i="2"/>
  <c r="BF54" i="6"/>
  <c r="BB54" i="6" s="1"/>
  <c r="V55" i="2"/>
  <c r="L55" i="2"/>
  <c r="B56" i="2"/>
  <c r="AE56" i="2" s="1"/>
  <c r="Z56" i="2"/>
  <c r="AY58" i="6" a="1"/>
  <c r="BN55" i="6" l="1"/>
  <c r="BK55" i="6"/>
  <c r="AF56" i="2"/>
  <c r="BK56" i="2"/>
  <c r="AG56" i="2"/>
  <c r="Y56" i="2"/>
  <c r="AA56" i="2" s="1"/>
  <c r="BP56" i="2"/>
  <c r="BF56" i="2"/>
  <c r="AV56" i="2"/>
  <c r="BA56" i="2"/>
  <c r="AL56" i="2"/>
  <c r="AQ56" i="2"/>
  <c r="O56" i="2"/>
  <c r="T56" i="2"/>
  <c r="C56" i="2"/>
  <c r="H56" i="2"/>
  <c r="L56" i="2" s="1"/>
  <c r="AY56" i="2"/>
  <c r="AI56" i="2"/>
  <c r="BI56" i="2"/>
  <c r="BS56" i="2"/>
  <c r="I56" i="2"/>
  <c r="M56" i="2"/>
  <c r="AY58" i="6"/>
  <c r="BL56" i="2"/>
  <c r="BM56" i="2" s="1"/>
  <c r="AR56" i="2"/>
  <c r="AS56" i="2" s="1"/>
  <c r="BQ56" i="2"/>
  <c r="BR56" i="2" s="1"/>
  <c r="AT56" i="2"/>
  <c r="W56" i="2"/>
  <c r="J56" i="2"/>
  <c r="BG56" i="2"/>
  <c r="BH56" i="2" s="1"/>
  <c r="P56" i="2"/>
  <c r="BD56" i="2"/>
  <c r="AJ56" i="2"/>
  <c r="AW56" i="2"/>
  <c r="AX56" i="2" s="1"/>
  <c r="BB56" i="2"/>
  <c r="BC56" i="2" s="1"/>
  <c r="R56" i="2"/>
  <c r="AM56" i="2"/>
  <c r="AN56" i="2" s="1"/>
  <c r="BN56" i="2"/>
  <c r="U56" i="2"/>
  <c r="AO56" i="2"/>
  <c r="F56" i="2"/>
  <c r="D56" i="2"/>
  <c r="BD55" i="6"/>
  <c r="BC55" i="6"/>
  <c r="BE55" i="6"/>
  <c r="BS55" i="6"/>
  <c r="BH55" i="6"/>
  <c r="BI55" i="6"/>
  <c r="BJ55" i="6" s="1"/>
  <c r="BO55" i="6"/>
  <c r="B60" i="3"/>
  <c r="BL55" i="6"/>
  <c r="BG55" i="6"/>
  <c r="BT55" i="6"/>
  <c r="AZ55" i="6"/>
  <c r="C60" i="3" s="1"/>
  <c r="AX56" i="6" a="1"/>
  <c r="Q56" i="2" l="1"/>
  <c r="V56" i="2"/>
  <c r="AX56" i="6"/>
  <c r="BM56" i="6" s="1"/>
  <c r="K56" i="2"/>
  <c r="E56" i="2"/>
  <c r="AB56" i="2"/>
  <c r="BF55" i="6"/>
  <c r="BB55" i="6" s="1"/>
  <c r="Z57" i="2"/>
  <c r="B57" i="2"/>
  <c r="AE57" i="2" s="1"/>
  <c r="AY59" i="6" a="1"/>
  <c r="BN56" i="6" l="1"/>
  <c r="BK56" i="6"/>
  <c r="AF57" i="2"/>
  <c r="BK57" i="2"/>
  <c r="AG57" i="2"/>
  <c r="Y57" i="2"/>
  <c r="AA57" i="2" s="1"/>
  <c r="BP57" i="2"/>
  <c r="BF57" i="2"/>
  <c r="AV57" i="2"/>
  <c r="BA57" i="2"/>
  <c r="AL57" i="2"/>
  <c r="AQ57" i="2"/>
  <c r="O57" i="2"/>
  <c r="T57" i="2"/>
  <c r="C57" i="2"/>
  <c r="H57" i="2"/>
  <c r="AY57" i="2"/>
  <c r="AI57" i="2"/>
  <c r="BI57" i="2"/>
  <c r="BS57" i="2"/>
  <c r="I57" i="2"/>
  <c r="M57" i="2"/>
  <c r="AY59" i="6"/>
  <c r="BL57" i="2"/>
  <c r="BM57" i="2" s="1"/>
  <c r="U57" i="2"/>
  <c r="BB57" i="2"/>
  <c r="BC57" i="2" s="1"/>
  <c r="AT57" i="2"/>
  <c r="J57" i="2"/>
  <c r="BD57" i="2"/>
  <c r="AM57" i="2"/>
  <c r="AN57" i="2" s="1"/>
  <c r="AJ57" i="2"/>
  <c r="W57" i="2"/>
  <c r="BG57" i="2"/>
  <c r="BH57" i="2" s="1"/>
  <c r="AR57" i="2"/>
  <c r="AS57" i="2" s="1"/>
  <c r="AW57" i="2"/>
  <c r="AX57" i="2" s="1"/>
  <c r="R57" i="2"/>
  <c r="P57" i="2"/>
  <c r="AO57" i="2"/>
  <c r="BQ57" i="2"/>
  <c r="BR57" i="2" s="1"/>
  <c r="BN57" i="2"/>
  <c r="F57" i="2"/>
  <c r="D57" i="2"/>
  <c r="BS56" i="6"/>
  <c r="BO56" i="6"/>
  <c r="BC56" i="6"/>
  <c r="BI56" i="6"/>
  <c r="BJ56" i="6" s="1"/>
  <c r="BG56" i="6"/>
  <c r="BH56" i="6"/>
  <c r="BD56" i="6"/>
  <c r="B61" i="3"/>
  <c r="BL56" i="6"/>
  <c r="BE56" i="6"/>
  <c r="BT56" i="6"/>
  <c r="AZ56" i="6"/>
  <c r="C61" i="3" s="1"/>
  <c r="AX57" i="6" a="1"/>
  <c r="K57" i="2" l="1"/>
  <c r="AX57" i="6"/>
  <c r="BM57" i="6" s="1"/>
  <c r="B58" i="2"/>
  <c r="AE58" i="2" s="1"/>
  <c r="Z58" i="2"/>
  <c r="L57" i="2"/>
  <c r="Q57" i="2"/>
  <c r="BF56" i="6"/>
  <c r="BB56" i="6" s="1"/>
  <c r="E57" i="2"/>
  <c r="AB57" i="2"/>
  <c r="V57" i="2"/>
  <c r="AY60" i="6" a="1"/>
  <c r="BN57" i="6" l="1"/>
  <c r="BK57" i="6"/>
  <c r="AF58" i="2"/>
  <c r="BK58" i="2"/>
  <c r="AG58" i="2"/>
  <c r="Y58" i="2"/>
  <c r="AA58" i="2" s="1"/>
  <c r="BP58" i="2"/>
  <c r="BF58" i="2"/>
  <c r="AV58" i="2"/>
  <c r="BA58" i="2"/>
  <c r="AL58" i="2"/>
  <c r="AQ58" i="2"/>
  <c r="O58" i="2"/>
  <c r="T58" i="2"/>
  <c r="C58" i="2"/>
  <c r="H58" i="2"/>
  <c r="AY58" i="2"/>
  <c r="AI58" i="2"/>
  <c r="BI58" i="2"/>
  <c r="BS58" i="2"/>
  <c r="I58" i="2"/>
  <c r="M58" i="2"/>
  <c r="AY60" i="6"/>
  <c r="BG58" i="2"/>
  <c r="BH58" i="2" s="1"/>
  <c r="P58" i="2"/>
  <c r="BD58" i="2"/>
  <c r="AJ58" i="2"/>
  <c r="BN58" i="2"/>
  <c r="AT58" i="2"/>
  <c r="BQ58" i="2"/>
  <c r="BR58" i="2" s="1"/>
  <c r="AR58" i="2"/>
  <c r="AS58" i="2" s="1"/>
  <c r="AM58" i="2"/>
  <c r="AN58" i="2" s="1"/>
  <c r="R58" i="2"/>
  <c r="BL58" i="2"/>
  <c r="BM58" i="2" s="1"/>
  <c r="AW58" i="2"/>
  <c r="AX58" i="2" s="1"/>
  <c r="W58" i="2"/>
  <c r="BB58" i="2"/>
  <c r="BC58" i="2" s="1"/>
  <c r="J58" i="2"/>
  <c r="AO58" i="2"/>
  <c r="U58" i="2"/>
  <c r="F58" i="2"/>
  <c r="D58" i="2"/>
  <c r="BE57" i="6"/>
  <c r="BI57" i="6"/>
  <c r="BJ57" i="6" s="1"/>
  <c r="BL57" i="6"/>
  <c r="BS57" i="6"/>
  <c r="BD57" i="6"/>
  <c r="BC57" i="6"/>
  <c r="BO57" i="6"/>
  <c r="BH57" i="6"/>
  <c r="B62" i="3"/>
  <c r="BG57" i="6"/>
  <c r="BT57" i="6"/>
  <c r="AZ57" i="6"/>
  <c r="C62" i="3" s="1"/>
  <c r="AX58" i="6" a="1"/>
  <c r="Q58" i="2" l="1"/>
  <c r="AX58" i="6"/>
  <c r="BM58" i="6" s="1"/>
  <c r="Z59" i="2"/>
  <c r="B59" i="2"/>
  <c r="AE59" i="2" s="1"/>
  <c r="E58" i="2"/>
  <c r="L58" i="2"/>
  <c r="K58" i="2"/>
  <c r="AB58" i="2"/>
  <c r="BF57" i="6"/>
  <c r="BB57" i="6" s="1"/>
  <c r="V58" i="2"/>
  <c r="AY61" i="6" a="1"/>
  <c r="BN58" i="6" l="1"/>
  <c r="BK58" i="6"/>
  <c r="AF59" i="2"/>
  <c r="BK59" i="2"/>
  <c r="AG59" i="2"/>
  <c r="Y59" i="2"/>
  <c r="AA59" i="2" s="1"/>
  <c r="BP59" i="2"/>
  <c r="BF59" i="2"/>
  <c r="AV59" i="2"/>
  <c r="BA59" i="2"/>
  <c r="AL59" i="2"/>
  <c r="AQ59" i="2"/>
  <c r="O59" i="2"/>
  <c r="T59" i="2"/>
  <c r="C59" i="2"/>
  <c r="H59" i="2"/>
  <c r="L59" i="2" s="1"/>
  <c r="AY59" i="2"/>
  <c r="AI59" i="2"/>
  <c r="BI59" i="2"/>
  <c r="BS59" i="2"/>
  <c r="I59" i="2"/>
  <c r="M59" i="2"/>
  <c r="AY61" i="6"/>
  <c r="BH58" i="6"/>
  <c r="B63" i="3"/>
  <c r="BC58" i="6"/>
  <c r="BS58" i="6"/>
  <c r="BL58" i="6"/>
  <c r="BE58" i="6"/>
  <c r="BI58" i="6"/>
  <c r="BJ58" i="6" s="1"/>
  <c r="BD58" i="6"/>
  <c r="BO58" i="6"/>
  <c r="BG58" i="6"/>
  <c r="BT58" i="6"/>
  <c r="AZ58" i="6"/>
  <c r="C63" i="3" s="1"/>
  <c r="AM59" i="2"/>
  <c r="AN59" i="2" s="1"/>
  <c r="BL59" i="2"/>
  <c r="BM59" i="2" s="1"/>
  <c r="BG59" i="2"/>
  <c r="BH59" i="2" s="1"/>
  <c r="W59" i="2"/>
  <c r="BQ59" i="2"/>
  <c r="BR59" i="2" s="1"/>
  <c r="AJ59" i="2"/>
  <c r="P59" i="2"/>
  <c r="BN59" i="2"/>
  <c r="J59" i="2"/>
  <c r="U59" i="2"/>
  <c r="BD59" i="2"/>
  <c r="R59" i="2"/>
  <c r="AT59" i="2"/>
  <c r="BB59" i="2"/>
  <c r="BC59" i="2" s="1"/>
  <c r="AO59" i="2"/>
  <c r="AR59" i="2"/>
  <c r="AS59" i="2" s="1"/>
  <c r="AW59" i="2"/>
  <c r="AX59" i="2" s="1"/>
  <c r="F59" i="2"/>
  <c r="D59" i="2"/>
  <c r="AX59" i="6" a="1"/>
  <c r="AB59" i="2" l="1"/>
  <c r="V59" i="2"/>
  <c r="Q59" i="2"/>
  <c r="AX59" i="6"/>
  <c r="BM59" i="6" s="1"/>
  <c r="B60" i="2"/>
  <c r="AE60" i="2" s="1"/>
  <c r="Z60" i="2"/>
  <c r="K59" i="2"/>
  <c r="E59" i="2"/>
  <c r="BF58" i="6"/>
  <c r="BB58" i="6" s="1"/>
  <c r="AY62" i="6" a="1"/>
  <c r="BN59" i="6" l="1"/>
  <c r="BK59" i="6"/>
  <c r="AF60" i="2"/>
  <c r="BK60" i="2"/>
  <c r="AG60" i="2"/>
  <c r="Y60" i="2"/>
  <c r="AA60" i="2" s="1"/>
  <c r="BP60" i="2"/>
  <c r="BF60" i="2"/>
  <c r="AV60" i="2"/>
  <c r="BA60" i="2"/>
  <c r="AL60" i="2"/>
  <c r="AQ60" i="2"/>
  <c r="O60" i="2"/>
  <c r="T60" i="2"/>
  <c r="C60" i="2"/>
  <c r="H60" i="2"/>
  <c r="L60" i="2" s="1"/>
  <c r="AY60" i="2"/>
  <c r="AI60" i="2"/>
  <c r="BI60" i="2"/>
  <c r="BS60" i="2"/>
  <c r="I60" i="2"/>
  <c r="M60" i="2"/>
  <c r="AY62" i="6"/>
  <c r="W60" i="2"/>
  <c r="AJ60" i="2"/>
  <c r="R60" i="2"/>
  <c r="U60" i="2"/>
  <c r="BN60" i="2"/>
  <c r="AM60" i="2"/>
  <c r="AN60" i="2" s="1"/>
  <c r="BB60" i="2"/>
  <c r="BC60" i="2" s="1"/>
  <c r="P60" i="2"/>
  <c r="BG60" i="2"/>
  <c r="BH60" i="2" s="1"/>
  <c r="AT60" i="2"/>
  <c r="AW60" i="2"/>
  <c r="AX60" i="2" s="1"/>
  <c r="J60" i="2"/>
  <c r="AR60" i="2"/>
  <c r="AS60" i="2" s="1"/>
  <c r="AO60" i="2"/>
  <c r="BL60" i="2"/>
  <c r="BM60" i="2" s="1"/>
  <c r="BQ60" i="2"/>
  <c r="BR60" i="2" s="1"/>
  <c r="BD60" i="2"/>
  <c r="F60" i="2"/>
  <c r="D60" i="2"/>
  <c r="B64" i="3"/>
  <c r="BE59" i="6"/>
  <c r="BS59" i="6"/>
  <c r="BO59" i="6"/>
  <c r="BL59" i="6"/>
  <c r="BC59" i="6"/>
  <c r="BH59" i="6"/>
  <c r="BD59" i="6"/>
  <c r="BI59" i="6"/>
  <c r="BJ59" i="6" s="1"/>
  <c r="BG59" i="6"/>
  <c r="BT59" i="6"/>
  <c r="AZ59" i="6"/>
  <c r="C64" i="3" s="1"/>
  <c r="AX60" i="6" a="1"/>
  <c r="V60" i="2" l="1"/>
  <c r="BF59" i="6"/>
  <c r="BB59" i="6" s="1"/>
  <c r="AB60" i="2"/>
  <c r="AX60" i="6"/>
  <c r="BM60" i="6" s="1"/>
  <c r="Q60" i="2"/>
  <c r="Z61" i="2"/>
  <c r="B61" i="2"/>
  <c r="AE61" i="2" s="1"/>
  <c r="K60" i="2"/>
  <c r="E60" i="2"/>
  <c r="AY63" i="6" a="1"/>
  <c r="BN60" i="6" l="1"/>
  <c r="BK60" i="6"/>
  <c r="AF61" i="2"/>
  <c r="BK61" i="2"/>
  <c r="AG61" i="2"/>
  <c r="Y61" i="2"/>
  <c r="AA61" i="2" s="1"/>
  <c r="BP61" i="2"/>
  <c r="BF61" i="2"/>
  <c r="AV61" i="2"/>
  <c r="BA61" i="2"/>
  <c r="AL61" i="2"/>
  <c r="AQ61" i="2"/>
  <c r="O61" i="2"/>
  <c r="T61" i="2"/>
  <c r="C61" i="2"/>
  <c r="H61" i="2"/>
  <c r="AY61" i="2"/>
  <c r="AI61" i="2"/>
  <c r="BI61" i="2"/>
  <c r="BS61" i="2"/>
  <c r="I61" i="2"/>
  <c r="M61" i="2"/>
  <c r="AY63" i="6"/>
  <c r="P61" i="2"/>
  <c r="W61" i="2"/>
  <c r="BQ61" i="2"/>
  <c r="BR61" i="2" s="1"/>
  <c r="BL61" i="2"/>
  <c r="BM61" i="2" s="1"/>
  <c r="R61" i="2"/>
  <c r="BD61" i="2"/>
  <c r="AJ61" i="2"/>
  <c r="AM61" i="2"/>
  <c r="AN61" i="2" s="1"/>
  <c r="AT61" i="2"/>
  <c r="J61" i="2"/>
  <c r="BG61" i="2"/>
  <c r="BH61" i="2" s="1"/>
  <c r="BN61" i="2"/>
  <c r="AW61" i="2"/>
  <c r="AX61" i="2" s="1"/>
  <c r="AR61" i="2"/>
  <c r="AS61" i="2" s="1"/>
  <c r="U61" i="2"/>
  <c r="BB61" i="2"/>
  <c r="BC61" i="2" s="1"/>
  <c r="AO61" i="2"/>
  <c r="F61" i="2"/>
  <c r="D61" i="2"/>
  <c r="BG60" i="6"/>
  <c r="BC60" i="6"/>
  <c r="BD60" i="6"/>
  <c r="BO60" i="6"/>
  <c r="BE60" i="6"/>
  <c r="BS60" i="6"/>
  <c r="BI60" i="6"/>
  <c r="BJ60" i="6" s="1"/>
  <c r="BH60" i="6"/>
  <c r="BL60" i="6"/>
  <c r="B65" i="3"/>
  <c r="BT60" i="6"/>
  <c r="AZ60" i="6"/>
  <c r="C65" i="3" s="1"/>
  <c r="AX61" i="6" a="1"/>
  <c r="E61" i="2" l="1"/>
  <c r="AB61" i="2"/>
  <c r="V61" i="2"/>
  <c r="AX61" i="6"/>
  <c r="BM61" i="6" s="1"/>
  <c r="K61" i="2"/>
  <c r="L61" i="2"/>
  <c r="BF60" i="6"/>
  <c r="BB60" i="6" s="1"/>
  <c r="Z62" i="2"/>
  <c r="B62" i="2"/>
  <c r="AE62" i="2" s="1"/>
  <c r="Q61" i="2"/>
  <c r="AY64" i="6" a="1"/>
  <c r="BN61" i="6" l="1"/>
  <c r="BK61" i="6"/>
  <c r="AF62" i="2"/>
  <c r="BK62" i="2"/>
  <c r="AG62" i="2"/>
  <c r="Y62" i="2"/>
  <c r="AA62" i="2" s="1"/>
  <c r="BP62" i="2"/>
  <c r="BF62" i="2"/>
  <c r="AV62" i="2"/>
  <c r="BA62" i="2"/>
  <c r="AL62" i="2"/>
  <c r="AQ62" i="2"/>
  <c r="O62" i="2"/>
  <c r="T62" i="2"/>
  <c r="C62" i="2"/>
  <c r="H62" i="2"/>
  <c r="AY62" i="2"/>
  <c r="AI62" i="2"/>
  <c r="BI62" i="2"/>
  <c r="BS62" i="2"/>
  <c r="I62" i="2"/>
  <c r="M62" i="2"/>
  <c r="AY64" i="6"/>
  <c r="BQ62" i="2"/>
  <c r="BR62" i="2" s="1"/>
  <c r="AO62" i="2"/>
  <c r="AJ62" i="2"/>
  <c r="P62" i="2"/>
  <c r="AT62" i="2"/>
  <c r="BL62" i="2"/>
  <c r="BM62" i="2" s="1"/>
  <c r="AM62" i="2"/>
  <c r="AN62" i="2" s="1"/>
  <c r="R62" i="2"/>
  <c r="BG62" i="2"/>
  <c r="BH62" i="2" s="1"/>
  <c r="BB62" i="2"/>
  <c r="BC62" i="2" s="1"/>
  <c r="AR62" i="2"/>
  <c r="AS62" i="2" s="1"/>
  <c r="W62" i="2"/>
  <c r="BD62" i="2"/>
  <c r="J62" i="2"/>
  <c r="U62" i="2"/>
  <c r="AW62" i="2"/>
  <c r="AX62" i="2" s="1"/>
  <c r="BN62" i="2"/>
  <c r="F62" i="2"/>
  <c r="D62" i="2"/>
  <c r="BH61" i="6"/>
  <c r="B66" i="3"/>
  <c r="BE61" i="6"/>
  <c r="BI61" i="6"/>
  <c r="BJ61" i="6" s="1"/>
  <c r="BC61" i="6"/>
  <c r="BL61" i="6"/>
  <c r="BS61" i="6"/>
  <c r="BG61" i="6"/>
  <c r="BD61" i="6"/>
  <c r="BO61" i="6"/>
  <c r="BT61" i="6"/>
  <c r="AZ61" i="6"/>
  <c r="C66" i="3" s="1"/>
  <c r="AX62" i="6" a="1"/>
  <c r="Q62" i="2" l="1"/>
  <c r="AX62" i="6"/>
  <c r="BM62" i="6" s="1"/>
  <c r="BF61" i="6"/>
  <c r="BB61" i="6" s="1"/>
  <c r="AB62" i="2"/>
  <c r="V62" i="2"/>
  <c r="E62" i="2"/>
  <c r="B63" i="2"/>
  <c r="AE63" i="2" s="1"/>
  <c r="Z63" i="2"/>
  <c r="L62" i="2"/>
  <c r="K62" i="2"/>
  <c r="AY65" i="6" a="1"/>
  <c r="BN62" i="6" l="1"/>
  <c r="BK62" i="6"/>
  <c r="AF63" i="2"/>
  <c r="BK63" i="2"/>
  <c r="AG63" i="2"/>
  <c r="Y63" i="2"/>
  <c r="AA63" i="2" s="1"/>
  <c r="BP63" i="2"/>
  <c r="BF63" i="2"/>
  <c r="AV63" i="2"/>
  <c r="BA63" i="2"/>
  <c r="AL63" i="2"/>
  <c r="AQ63" i="2"/>
  <c r="O63" i="2"/>
  <c r="T63" i="2"/>
  <c r="C63" i="2"/>
  <c r="H63" i="2"/>
  <c r="AY63" i="2"/>
  <c r="AI63" i="2"/>
  <c r="BI63" i="2"/>
  <c r="BS63" i="2"/>
  <c r="I63" i="2"/>
  <c r="M63" i="2"/>
  <c r="AY65" i="6"/>
  <c r="BQ63" i="2"/>
  <c r="BR63" i="2" s="1"/>
  <c r="BG63" i="2"/>
  <c r="BH63" i="2" s="1"/>
  <c r="AO63" i="2"/>
  <c r="U63" i="2"/>
  <c r="BB63" i="2"/>
  <c r="BC63" i="2" s="1"/>
  <c r="AJ63" i="2"/>
  <c r="P63" i="2"/>
  <c r="AR63" i="2"/>
  <c r="AS63" i="2" s="1"/>
  <c r="AW63" i="2"/>
  <c r="AX63" i="2" s="1"/>
  <c r="BD63" i="2"/>
  <c r="W63" i="2"/>
  <c r="AT63" i="2"/>
  <c r="J63" i="2"/>
  <c r="AM63" i="2"/>
  <c r="AN63" i="2" s="1"/>
  <c r="BL63" i="2"/>
  <c r="BM63" i="2" s="1"/>
  <c r="R63" i="2"/>
  <c r="BN63" i="2"/>
  <c r="F63" i="2"/>
  <c r="D63" i="2"/>
  <c r="B67" i="3"/>
  <c r="BC62" i="6"/>
  <c r="BG62" i="6"/>
  <c r="BO62" i="6"/>
  <c r="BE62" i="6"/>
  <c r="BS62" i="6"/>
  <c r="BD62" i="6"/>
  <c r="BI62" i="6"/>
  <c r="BJ62" i="6" s="1"/>
  <c r="BH62" i="6"/>
  <c r="BL62" i="6"/>
  <c r="BT62" i="6"/>
  <c r="AZ62" i="6"/>
  <c r="C67" i="3" s="1"/>
  <c r="AX63" i="6" a="1"/>
  <c r="AX63" i="6" l="1"/>
  <c r="BM63" i="6" s="1"/>
  <c r="AB63" i="2"/>
  <c r="BF62" i="6"/>
  <c r="BB62" i="6" s="1"/>
  <c r="L63" i="2"/>
  <c r="K63" i="2"/>
  <c r="Q63" i="2"/>
  <c r="V63" i="2"/>
  <c r="Z64" i="2"/>
  <c r="B64" i="2"/>
  <c r="AE64" i="2" s="1"/>
  <c r="E63" i="2"/>
  <c r="AY66" i="6" a="1"/>
  <c r="BN63" i="6" l="1"/>
  <c r="BK63" i="6"/>
  <c r="AF64" i="2"/>
  <c r="BK64" i="2"/>
  <c r="AG64" i="2"/>
  <c r="Y64" i="2"/>
  <c r="AA64" i="2" s="1"/>
  <c r="BP64" i="2"/>
  <c r="BF64" i="2"/>
  <c r="AV64" i="2"/>
  <c r="BA64" i="2"/>
  <c r="AL64" i="2"/>
  <c r="AQ64" i="2"/>
  <c r="O64" i="2"/>
  <c r="T64" i="2"/>
  <c r="C64" i="2"/>
  <c r="H64" i="2"/>
  <c r="L64" i="2" s="1"/>
  <c r="AY64" i="2"/>
  <c r="AI64" i="2"/>
  <c r="BI64" i="2"/>
  <c r="BS64" i="2"/>
  <c r="I64" i="2"/>
  <c r="M64" i="2"/>
  <c r="AY66" i="6"/>
  <c r="U64" i="2"/>
  <c r="BG64" i="2"/>
  <c r="BH64" i="2" s="1"/>
  <c r="AJ64" i="2"/>
  <c r="AR64" i="2"/>
  <c r="AS64" i="2" s="1"/>
  <c r="AT64" i="2"/>
  <c r="AW64" i="2"/>
  <c r="AX64" i="2" s="1"/>
  <c r="AM64" i="2"/>
  <c r="AN64" i="2" s="1"/>
  <c r="W64" i="2"/>
  <c r="BL64" i="2"/>
  <c r="BM64" i="2" s="1"/>
  <c r="BD64" i="2"/>
  <c r="BQ64" i="2"/>
  <c r="BR64" i="2" s="1"/>
  <c r="BB64" i="2"/>
  <c r="BC64" i="2" s="1"/>
  <c r="BN64" i="2"/>
  <c r="AO64" i="2"/>
  <c r="R64" i="2"/>
  <c r="J64" i="2"/>
  <c r="P64" i="2"/>
  <c r="F64" i="2"/>
  <c r="D64" i="2"/>
  <c r="BC63" i="6"/>
  <c r="BH63" i="6"/>
  <c r="BD63" i="6"/>
  <c r="BG63" i="6"/>
  <c r="BO63" i="6"/>
  <c r="B68" i="3"/>
  <c r="BS63" i="6"/>
  <c r="BE63" i="6"/>
  <c r="BI63" i="6"/>
  <c r="BJ63" i="6" s="1"/>
  <c r="BL63" i="6"/>
  <c r="BT63" i="6"/>
  <c r="AZ63" i="6"/>
  <c r="C68" i="3" s="1"/>
  <c r="AX64" i="6" a="1"/>
  <c r="Q64" i="2" l="1"/>
  <c r="AB64" i="2"/>
  <c r="E64" i="2"/>
  <c r="V64" i="2"/>
  <c r="AX64" i="6"/>
  <c r="BM64" i="6" s="1"/>
  <c r="Z65" i="2"/>
  <c r="B65" i="2"/>
  <c r="AE65" i="2" s="1"/>
  <c r="BF63" i="6"/>
  <c r="BB63" i="6" s="1"/>
  <c r="K64" i="2"/>
  <c r="AY67" i="6" a="1"/>
  <c r="BN64" i="6" l="1"/>
  <c r="BK64" i="6"/>
  <c r="AF65" i="2"/>
  <c r="BK65" i="2"/>
  <c r="AG65" i="2"/>
  <c r="Y65" i="2"/>
  <c r="AA65" i="2" s="1"/>
  <c r="BP65" i="2"/>
  <c r="BF65" i="2"/>
  <c r="AV65" i="2"/>
  <c r="BA65" i="2"/>
  <c r="AL65" i="2"/>
  <c r="AQ65" i="2"/>
  <c r="O65" i="2"/>
  <c r="T65" i="2"/>
  <c r="C65" i="2"/>
  <c r="H65" i="2"/>
  <c r="L65" i="2" s="1"/>
  <c r="AY65" i="2"/>
  <c r="AI65" i="2"/>
  <c r="BI65" i="2"/>
  <c r="BS65" i="2"/>
  <c r="I65" i="2"/>
  <c r="M65" i="2"/>
  <c r="AY67" i="6"/>
  <c r="BH64" i="6"/>
  <c r="BL64" i="6"/>
  <c r="B69" i="3"/>
  <c r="BE64" i="6"/>
  <c r="BO64" i="6"/>
  <c r="BG64" i="6"/>
  <c r="BD64" i="6"/>
  <c r="BC64" i="6"/>
  <c r="BS64" i="6"/>
  <c r="BI64" i="6"/>
  <c r="BJ64" i="6" s="1"/>
  <c r="BT64" i="6"/>
  <c r="AZ64" i="6"/>
  <c r="C69" i="3" s="1"/>
  <c r="P65" i="2"/>
  <c r="BN65" i="2"/>
  <c r="AR65" i="2"/>
  <c r="AS65" i="2" s="1"/>
  <c r="U65" i="2"/>
  <c r="BQ65" i="2"/>
  <c r="BR65" i="2" s="1"/>
  <c r="AO65" i="2"/>
  <c r="AT65" i="2"/>
  <c r="AM65" i="2"/>
  <c r="AN65" i="2" s="1"/>
  <c r="J65" i="2"/>
  <c r="AJ65" i="2"/>
  <c r="BG65" i="2"/>
  <c r="BH65" i="2" s="1"/>
  <c r="BL65" i="2"/>
  <c r="BM65" i="2" s="1"/>
  <c r="BD65" i="2"/>
  <c r="W65" i="2"/>
  <c r="AW65" i="2"/>
  <c r="AX65" i="2" s="1"/>
  <c r="BB65" i="2"/>
  <c r="BC65" i="2" s="1"/>
  <c r="R65" i="2"/>
  <c r="F65" i="2"/>
  <c r="D65" i="2"/>
  <c r="AX65" i="6" a="1"/>
  <c r="Q65" i="2" l="1"/>
  <c r="BF64" i="6"/>
  <c r="BB64" i="6" s="1"/>
  <c r="AX65" i="6"/>
  <c r="BM65" i="6" s="1"/>
  <c r="B66" i="2"/>
  <c r="AE66" i="2" s="1"/>
  <c r="Z66" i="2"/>
  <c r="E65" i="2"/>
  <c r="AB65" i="2"/>
  <c r="V65" i="2"/>
  <c r="K65" i="2"/>
  <c r="AY68" i="6" a="1"/>
  <c r="BN65" i="6" l="1"/>
  <c r="BK65" i="6"/>
  <c r="AF66" i="2"/>
  <c r="BK66" i="2"/>
  <c r="AG66" i="2"/>
  <c r="Y66" i="2"/>
  <c r="AA66" i="2" s="1"/>
  <c r="BP66" i="2"/>
  <c r="BF66" i="2"/>
  <c r="AV66" i="2"/>
  <c r="BA66" i="2"/>
  <c r="AL66" i="2"/>
  <c r="AQ66" i="2"/>
  <c r="O66" i="2"/>
  <c r="T66" i="2"/>
  <c r="C66" i="2"/>
  <c r="H66" i="2"/>
  <c r="AY66" i="2"/>
  <c r="AI66" i="2"/>
  <c r="BI66" i="2"/>
  <c r="BS66" i="2"/>
  <c r="I66" i="2"/>
  <c r="M66" i="2"/>
  <c r="AY68" i="6"/>
  <c r="BD65" i="6"/>
  <c r="BI65" i="6"/>
  <c r="BJ65" i="6" s="1"/>
  <c r="BO65" i="6"/>
  <c r="BH65" i="6"/>
  <c r="B70" i="3"/>
  <c r="BL65" i="6"/>
  <c r="BS65" i="6"/>
  <c r="BG65" i="6"/>
  <c r="BE65" i="6"/>
  <c r="BC65" i="6"/>
  <c r="BT65" i="6"/>
  <c r="AZ65" i="6"/>
  <c r="C70" i="3" s="1"/>
  <c r="BQ66" i="2"/>
  <c r="BR66" i="2" s="1"/>
  <c r="P66" i="2"/>
  <c r="BD66" i="2"/>
  <c r="AO66" i="2"/>
  <c r="BL66" i="2"/>
  <c r="BM66" i="2" s="1"/>
  <c r="AW66" i="2"/>
  <c r="AX66" i="2" s="1"/>
  <c r="AM66" i="2"/>
  <c r="AN66" i="2" s="1"/>
  <c r="R66" i="2"/>
  <c r="AJ66" i="2"/>
  <c r="U66" i="2"/>
  <c r="BB66" i="2"/>
  <c r="BC66" i="2" s="1"/>
  <c r="AR66" i="2"/>
  <c r="AS66" i="2" s="1"/>
  <c r="AT66" i="2"/>
  <c r="BG66" i="2"/>
  <c r="BH66" i="2" s="1"/>
  <c r="W66" i="2"/>
  <c r="J66" i="2"/>
  <c r="BN66" i="2"/>
  <c r="F66" i="2"/>
  <c r="D66" i="2"/>
  <c r="AX66" i="6" a="1"/>
  <c r="AB66" i="2" l="1"/>
  <c r="V66" i="2"/>
  <c r="Q66" i="2"/>
  <c r="E66" i="2"/>
  <c r="AX66" i="6"/>
  <c r="BM66" i="6" s="1"/>
  <c r="B67" i="2"/>
  <c r="AE67" i="2" s="1"/>
  <c r="Z67" i="2"/>
  <c r="BF65" i="6"/>
  <c r="BB65" i="6" s="1"/>
  <c r="L66" i="2"/>
  <c r="K66" i="2"/>
  <c r="AY69" i="6" a="1"/>
  <c r="BN66" i="6" l="1"/>
  <c r="BK66" i="6"/>
  <c r="AF67" i="2"/>
  <c r="BK67" i="2"/>
  <c r="AG67" i="2"/>
  <c r="Y67" i="2"/>
  <c r="AA67" i="2" s="1"/>
  <c r="BP67" i="2"/>
  <c r="BF67" i="2"/>
  <c r="AV67" i="2"/>
  <c r="BA67" i="2"/>
  <c r="AL67" i="2"/>
  <c r="AQ67" i="2"/>
  <c r="O67" i="2"/>
  <c r="T67" i="2"/>
  <c r="C67" i="2"/>
  <c r="H67" i="2"/>
  <c r="AY67" i="2"/>
  <c r="AI67" i="2"/>
  <c r="BI67" i="2"/>
  <c r="BS67" i="2"/>
  <c r="I67" i="2"/>
  <c r="M67" i="2"/>
  <c r="AY69" i="6"/>
  <c r="BG67" i="2"/>
  <c r="BH67" i="2" s="1"/>
  <c r="BQ67" i="2"/>
  <c r="BR67" i="2" s="1"/>
  <c r="AO67" i="2"/>
  <c r="BN67" i="2"/>
  <c r="P67" i="2"/>
  <c r="BD67" i="2"/>
  <c r="AJ67" i="2"/>
  <c r="J67" i="2"/>
  <c r="AT67" i="2"/>
  <c r="U67" i="2"/>
  <c r="AR67" i="2"/>
  <c r="AS67" i="2" s="1"/>
  <c r="AW67" i="2"/>
  <c r="AX67" i="2" s="1"/>
  <c r="W67" i="2"/>
  <c r="AM67" i="2"/>
  <c r="AN67" i="2" s="1"/>
  <c r="BB67" i="2"/>
  <c r="BC67" i="2" s="1"/>
  <c r="BL67" i="2"/>
  <c r="BM67" i="2" s="1"/>
  <c r="R67" i="2"/>
  <c r="F67" i="2"/>
  <c r="D67" i="2"/>
  <c r="BI66" i="6"/>
  <c r="BJ66" i="6" s="1"/>
  <c r="BD66" i="6"/>
  <c r="BG66" i="6"/>
  <c r="BH66" i="6"/>
  <c r="BC66" i="6"/>
  <c r="B71" i="3"/>
  <c r="BS66" i="6"/>
  <c r="BE66" i="6"/>
  <c r="BO66" i="6"/>
  <c r="BL66" i="6"/>
  <c r="BT66" i="6"/>
  <c r="AZ66" i="6"/>
  <c r="C71" i="3" s="1"/>
  <c r="AX67" i="6" a="1"/>
  <c r="Q67" i="2" l="1"/>
  <c r="AX67" i="6"/>
  <c r="BM67" i="6" s="1"/>
  <c r="V67" i="2"/>
  <c r="AB67" i="2"/>
  <c r="E67" i="2"/>
  <c r="B68" i="2"/>
  <c r="AE68" i="2" s="1"/>
  <c r="Z68" i="2"/>
  <c r="K67" i="2"/>
  <c r="L67" i="2"/>
  <c r="BF66" i="6"/>
  <c r="BB66" i="6" s="1"/>
  <c r="AY70" i="6" a="1"/>
  <c r="BN67" i="6" l="1"/>
  <c r="BK67" i="6"/>
  <c r="AF68" i="2"/>
  <c r="BK68" i="2"/>
  <c r="AG68" i="2"/>
  <c r="Y68" i="2"/>
  <c r="AA68" i="2" s="1"/>
  <c r="BP68" i="2"/>
  <c r="BF68" i="2"/>
  <c r="AV68" i="2"/>
  <c r="BA68" i="2"/>
  <c r="AL68" i="2"/>
  <c r="AQ68" i="2"/>
  <c r="O68" i="2"/>
  <c r="T68" i="2"/>
  <c r="C68" i="2"/>
  <c r="H68" i="2"/>
  <c r="L68" i="2" s="1"/>
  <c r="AY68" i="2"/>
  <c r="AI68" i="2"/>
  <c r="BI68" i="2"/>
  <c r="BS68" i="2"/>
  <c r="I68" i="2"/>
  <c r="M68" i="2"/>
  <c r="AY70" i="6"/>
  <c r="BD68" i="2"/>
  <c r="W68" i="2"/>
  <c r="AJ68" i="2"/>
  <c r="BB68" i="2"/>
  <c r="BC68" i="2" s="1"/>
  <c r="P68" i="2"/>
  <c r="R68" i="2"/>
  <c r="AT68" i="2"/>
  <c r="AM68" i="2"/>
  <c r="AN68" i="2" s="1"/>
  <c r="AO68" i="2"/>
  <c r="BG68" i="2"/>
  <c r="BH68" i="2" s="1"/>
  <c r="BQ68" i="2"/>
  <c r="BR68" i="2" s="1"/>
  <c r="AR68" i="2"/>
  <c r="AS68" i="2" s="1"/>
  <c r="J68" i="2"/>
  <c r="BN68" i="2"/>
  <c r="U68" i="2"/>
  <c r="AW68" i="2"/>
  <c r="AX68" i="2" s="1"/>
  <c r="BL68" i="2"/>
  <c r="BM68" i="2" s="1"/>
  <c r="F68" i="2"/>
  <c r="D68" i="2"/>
  <c r="BC67" i="6"/>
  <c r="BE67" i="6"/>
  <c r="BH67" i="6"/>
  <c r="BO67" i="6"/>
  <c r="BI67" i="6"/>
  <c r="BJ67" i="6" s="1"/>
  <c r="BG67" i="6"/>
  <c r="BL67" i="6"/>
  <c r="BS67" i="6"/>
  <c r="B72" i="3"/>
  <c r="BD67" i="6"/>
  <c r="BT67" i="6"/>
  <c r="AZ67" i="6"/>
  <c r="C72" i="3" s="1"/>
  <c r="AX68" i="6" a="1"/>
  <c r="BF67" i="6" l="1"/>
  <c r="BB67" i="6" s="1"/>
  <c r="V68" i="2"/>
  <c r="Q68" i="2"/>
  <c r="AB68" i="2"/>
  <c r="AX68" i="6"/>
  <c r="BM68" i="6" s="1"/>
  <c r="B69" i="2"/>
  <c r="AE69" i="2" s="1"/>
  <c r="Z69" i="2"/>
  <c r="K68" i="2"/>
  <c r="E68" i="2"/>
  <c r="AY71" i="6" a="1"/>
  <c r="BN68" i="6" l="1"/>
  <c r="BK68" i="6"/>
  <c r="AF69" i="2"/>
  <c r="BK69" i="2"/>
  <c r="AG69" i="2"/>
  <c r="Y69" i="2"/>
  <c r="AA69" i="2" s="1"/>
  <c r="BP69" i="2"/>
  <c r="BF69" i="2"/>
  <c r="AV69" i="2"/>
  <c r="BA69" i="2"/>
  <c r="AL69" i="2"/>
  <c r="AQ69" i="2"/>
  <c r="O69" i="2"/>
  <c r="T69" i="2"/>
  <c r="C69" i="2"/>
  <c r="H69" i="2"/>
  <c r="AY69" i="2"/>
  <c r="AI69" i="2"/>
  <c r="BI69" i="2"/>
  <c r="BS69" i="2"/>
  <c r="I69" i="2"/>
  <c r="M69" i="2"/>
  <c r="AY71" i="6"/>
  <c r="BQ69" i="2"/>
  <c r="BR69" i="2" s="1"/>
  <c r="P69" i="2"/>
  <c r="J69" i="2"/>
  <c r="W69" i="2"/>
  <c r="AJ69" i="2"/>
  <c r="AW69" i="2"/>
  <c r="AX69" i="2" s="1"/>
  <c r="U69" i="2"/>
  <c r="BD69" i="2"/>
  <c r="R69" i="2"/>
  <c r="AO69" i="2"/>
  <c r="BN69" i="2"/>
  <c r="BB69" i="2"/>
  <c r="BC69" i="2" s="1"/>
  <c r="AM69" i="2"/>
  <c r="AN69" i="2" s="1"/>
  <c r="BG69" i="2"/>
  <c r="BH69" i="2" s="1"/>
  <c r="AT69" i="2"/>
  <c r="BL69" i="2"/>
  <c r="BM69" i="2" s="1"/>
  <c r="AR69" i="2"/>
  <c r="AS69" i="2" s="1"/>
  <c r="F69" i="2"/>
  <c r="D69" i="2"/>
  <c r="BG68" i="6"/>
  <c r="BD68" i="6"/>
  <c r="BI68" i="6"/>
  <c r="BJ68" i="6" s="1"/>
  <c r="BO68" i="6"/>
  <c r="BE68" i="6"/>
  <c r="BC68" i="6"/>
  <c r="B73" i="3"/>
  <c r="BH68" i="6"/>
  <c r="BS68" i="6"/>
  <c r="BL68" i="6"/>
  <c r="BT68" i="6"/>
  <c r="AZ68" i="6"/>
  <c r="C73" i="3" s="1"/>
  <c r="AX69" i="6" a="1"/>
  <c r="BF68" i="6" l="1"/>
  <c r="BB68" i="6" s="1"/>
  <c r="V69" i="2"/>
  <c r="K69" i="2"/>
  <c r="AB69" i="2"/>
  <c r="AX69" i="6"/>
  <c r="BM69" i="6" s="1"/>
  <c r="L69" i="2"/>
  <c r="B70" i="2"/>
  <c r="AE70" i="2" s="1"/>
  <c r="Z70" i="2"/>
  <c r="E69" i="2"/>
  <c r="Q69" i="2"/>
  <c r="AY72" i="6" a="1"/>
  <c r="BN69" i="6" l="1"/>
  <c r="BK69" i="6"/>
  <c r="AF70" i="2"/>
  <c r="BK70" i="2"/>
  <c r="AG70" i="2"/>
  <c r="Y70" i="2"/>
  <c r="AA70" i="2" s="1"/>
  <c r="BP70" i="2"/>
  <c r="BF70" i="2"/>
  <c r="AV70" i="2"/>
  <c r="BA70" i="2"/>
  <c r="AL70" i="2"/>
  <c r="AQ70" i="2"/>
  <c r="O70" i="2"/>
  <c r="T70" i="2"/>
  <c r="C70" i="2"/>
  <c r="H70" i="2"/>
  <c r="AY70" i="2"/>
  <c r="AI70" i="2"/>
  <c r="BI70" i="2"/>
  <c r="BS70" i="2"/>
  <c r="I70" i="2"/>
  <c r="M70" i="2"/>
  <c r="AY72" i="6"/>
  <c r="AR70" i="2"/>
  <c r="AS70" i="2" s="1"/>
  <c r="P70" i="2"/>
  <c r="J70" i="2"/>
  <c r="BB70" i="2"/>
  <c r="BC70" i="2" s="1"/>
  <c r="AJ70" i="2"/>
  <c r="AO70" i="2"/>
  <c r="AT70" i="2"/>
  <c r="U70" i="2"/>
  <c r="AM70" i="2"/>
  <c r="AN70" i="2" s="1"/>
  <c r="BD70" i="2"/>
  <c r="AW70" i="2"/>
  <c r="AX70" i="2" s="1"/>
  <c r="BN70" i="2"/>
  <c r="BQ70" i="2"/>
  <c r="BR70" i="2" s="1"/>
  <c r="W70" i="2"/>
  <c r="R70" i="2"/>
  <c r="BL70" i="2"/>
  <c r="BM70" i="2" s="1"/>
  <c r="BG70" i="2"/>
  <c r="BH70" i="2" s="1"/>
  <c r="F70" i="2"/>
  <c r="D70" i="2"/>
  <c r="BL69" i="6"/>
  <c r="BI69" i="6"/>
  <c r="BJ69" i="6" s="1"/>
  <c r="BS69" i="6"/>
  <c r="BH69" i="6"/>
  <c r="BG69" i="6"/>
  <c r="BC69" i="6"/>
  <c r="B74" i="3"/>
  <c r="BO69" i="6"/>
  <c r="BE69" i="6"/>
  <c r="BD69" i="6"/>
  <c r="BT69" i="6"/>
  <c r="AZ69" i="6"/>
  <c r="C74" i="3" s="1"/>
  <c r="AX70" i="6" a="1"/>
  <c r="Q70" i="2" l="1"/>
  <c r="E70" i="2"/>
  <c r="AX70" i="6"/>
  <c r="BM70" i="6" s="1"/>
  <c r="AB70" i="2"/>
  <c r="V70" i="2"/>
  <c r="L70" i="2"/>
  <c r="K70" i="2"/>
  <c r="B71" i="2"/>
  <c r="AE71" i="2" s="1"/>
  <c r="Z71" i="2"/>
  <c r="BF69" i="6"/>
  <c r="BB69" i="6" s="1"/>
  <c r="AY73" i="6" a="1"/>
  <c r="BN70" i="6" l="1"/>
  <c r="BK70" i="6"/>
  <c r="AF71" i="2"/>
  <c r="BK71" i="2"/>
  <c r="AG71" i="2"/>
  <c r="Y71" i="2"/>
  <c r="AA71" i="2" s="1"/>
  <c r="BP71" i="2"/>
  <c r="BF71" i="2"/>
  <c r="AV71" i="2"/>
  <c r="BA71" i="2"/>
  <c r="AL71" i="2"/>
  <c r="AQ71" i="2"/>
  <c r="O71" i="2"/>
  <c r="T71" i="2"/>
  <c r="C71" i="2"/>
  <c r="H71" i="2"/>
  <c r="L71" i="2" s="1"/>
  <c r="AY71" i="2"/>
  <c r="AI71" i="2"/>
  <c r="BI71" i="2"/>
  <c r="BS71" i="2"/>
  <c r="I71" i="2"/>
  <c r="M71" i="2"/>
  <c r="AY73" i="6"/>
  <c r="AJ71" i="2"/>
  <c r="U71" i="2"/>
  <c r="AT71" i="2"/>
  <c r="BD71" i="2"/>
  <c r="P71" i="2"/>
  <c r="BB71" i="2"/>
  <c r="BC71" i="2" s="1"/>
  <c r="J71" i="2"/>
  <c r="AW71" i="2"/>
  <c r="AX71" i="2" s="1"/>
  <c r="BN71" i="2"/>
  <c r="AO71" i="2"/>
  <c r="R71" i="2"/>
  <c r="BG71" i="2"/>
  <c r="BH71" i="2" s="1"/>
  <c r="BL71" i="2"/>
  <c r="BM71" i="2" s="1"/>
  <c r="AM71" i="2"/>
  <c r="AN71" i="2" s="1"/>
  <c r="BQ71" i="2"/>
  <c r="BR71" i="2" s="1"/>
  <c r="AR71" i="2"/>
  <c r="AS71" i="2" s="1"/>
  <c r="W71" i="2"/>
  <c r="F71" i="2"/>
  <c r="D71" i="2"/>
  <c r="BE70" i="6"/>
  <c r="BI70" i="6"/>
  <c r="BJ70" i="6" s="1"/>
  <c r="BD70" i="6"/>
  <c r="BC70" i="6"/>
  <c r="B75" i="3"/>
  <c r="BS70" i="6"/>
  <c r="BH70" i="6"/>
  <c r="BL70" i="6"/>
  <c r="BG70" i="6"/>
  <c r="BO70" i="6"/>
  <c r="BT70" i="6"/>
  <c r="AZ70" i="6"/>
  <c r="C75" i="3" s="1"/>
  <c r="AX71" i="6" a="1"/>
  <c r="BF70" i="6" l="1"/>
  <c r="BB70" i="6" s="1"/>
  <c r="AX71" i="6"/>
  <c r="BM71" i="6" s="1"/>
  <c r="Z72" i="2"/>
  <c r="B72" i="2"/>
  <c r="AE72" i="2" s="1"/>
  <c r="E71" i="2"/>
  <c r="AB71" i="2"/>
  <c r="K71" i="2"/>
  <c r="Q71" i="2"/>
  <c r="V71" i="2"/>
  <c r="AY74" i="6" a="1"/>
  <c r="BN71" i="6" l="1"/>
  <c r="BK71" i="6"/>
  <c r="AF72" i="2"/>
  <c r="BK72" i="2"/>
  <c r="AG72" i="2"/>
  <c r="Y72" i="2"/>
  <c r="AA72" i="2" s="1"/>
  <c r="BP72" i="2"/>
  <c r="BF72" i="2"/>
  <c r="AV72" i="2"/>
  <c r="BA72" i="2"/>
  <c r="AL72" i="2"/>
  <c r="AQ72" i="2"/>
  <c r="O72" i="2"/>
  <c r="T72" i="2"/>
  <c r="C72" i="2"/>
  <c r="H72" i="2"/>
  <c r="L72" i="2" s="1"/>
  <c r="AY72" i="2"/>
  <c r="AI72" i="2"/>
  <c r="BI72" i="2"/>
  <c r="BS72" i="2"/>
  <c r="I72" i="2"/>
  <c r="M72" i="2"/>
  <c r="AY74" i="6"/>
  <c r="R72" i="2"/>
  <c r="BN72" i="2"/>
  <c r="AW72" i="2"/>
  <c r="AX72" i="2" s="1"/>
  <c r="AT72" i="2"/>
  <c r="AO72" i="2"/>
  <c r="J72" i="2"/>
  <c r="P72" i="2"/>
  <c r="AM72" i="2"/>
  <c r="AN72" i="2" s="1"/>
  <c r="BL72" i="2"/>
  <c r="BM72" i="2" s="1"/>
  <c r="W72" i="2"/>
  <c r="BG72" i="2"/>
  <c r="BH72" i="2" s="1"/>
  <c r="BQ72" i="2"/>
  <c r="BR72" i="2" s="1"/>
  <c r="BB72" i="2"/>
  <c r="BC72" i="2" s="1"/>
  <c r="AR72" i="2"/>
  <c r="AS72" i="2" s="1"/>
  <c r="BD72" i="2"/>
  <c r="U72" i="2"/>
  <c r="AJ72" i="2"/>
  <c r="F72" i="2"/>
  <c r="D72" i="2"/>
  <c r="BO71" i="6"/>
  <c r="BH71" i="6"/>
  <c r="BG71" i="6"/>
  <c r="BD71" i="6"/>
  <c r="BS71" i="6"/>
  <c r="B76" i="3"/>
  <c r="BE71" i="6"/>
  <c r="BL71" i="6"/>
  <c r="BC71" i="6"/>
  <c r="BI71" i="6"/>
  <c r="BJ71" i="6" s="1"/>
  <c r="BT71" i="6"/>
  <c r="AZ71" i="6"/>
  <c r="C76" i="3" s="1"/>
  <c r="AX72" i="6" a="1"/>
  <c r="AX72" i="6" l="1"/>
  <c r="BM72" i="6" s="1"/>
  <c r="K72" i="2"/>
  <c r="BF71" i="6"/>
  <c r="BB71" i="6" s="1"/>
  <c r="Q72" i="2"/>
  <c r="AB72" i="2"/>
  <c r="B73" i="2"/>
  <c r="AE73" i="2" s="1"/>
  <c r="Z73" i="2"/>
  <c r="V72" i="2"/>
  <c r="E72" i="2"/>
  <c r="AY75" i="6" a="1"/>
  <c r="BN72" i="6" l="1"/>
  <c r="BK72" i="6"/>
  <c r="AF73" i="2"/>
  <c r="BK73" i="2"/>
  <c r="AG73" i="2"/>
  <c r="Y73" i="2"/>
  <c r="AA73" i="2" s="1"/>
  <c r="BP73" i="2"/>
  <c r="BF73" i="2"/>
  <c r="AV73" i="2"/>
  <c r="BA73" i="2"/>
  <c r="AL73" i="2"/>
  <c r="AQ73" i="2"/>
  <c r="O73" i="2"/>
  <c r="T73" i="2"/>
  <c r="C73" i="2"/>
  <c r="H73" i="2"/>
  <c r="AY73" i="2"/>
  <c r="AI73" i="2"/>
  <c r="BI73" i="2"/>
  <c r="BS73" i="2"/>
  <c r="I73" i="2"/>
  <c r="M73" i="2"/>
  <c r="AY75" i="6"/>
  <c r="AW73" i="2"/>
  <c r="AX73" i="2" s="1"/>
  <c r="BQ73" i="2"/>
  <c r="BR73" i="2" s="1"/>
  <c r="J73" i="2"/>
  <c r="BB73" i="2"/>
  <c r="BC73" i="2" s="1"/>
  <c r="U73" i="2"/>
  <c r="AT73" i="2"/>
  <c r="AR73" i="2"/>
  <c r="AS73" i="2" s="1"/>
  <c r="BG73" i="2"/>
  <c r="BH73" i="2" s="1"/>
  <c r="AJ73" i="2"/>
  <c r="AO73" i="2"/>
  <c r="R73" i="2"/>
  <c r="AM73" i="2"/>
  <c r="AN73" i="2" s="1"/>
  <c r="BL73" i="2"/>
  <c r="BM73" i="2" s="1"/>
  <c r="BD73" i="2"/>
  <c r="P73" i="2"/>
  <c r="BN73" i="2"/>
  <c r="W73" i="2"/>
  <c r="F73" i="2"/>
  <c r="D73" i="2"/>
  <c r="B77" i="3"/>
  <c r="BC72" i="6"/>
  <c r="BH72" i="6"/>
  <c r="BD72" i="6"/>
  <c r="BS72" i="6"/>
  <c r="BI72" i="6"/>
  <c r="BJ72" i="6" s="1"/>
  <c r="BL72" i="6"/>
  <c r="BO72" i="6"/>
  <c r="BG72" i="6"/>
  <c r="BE72" i="6"/>
  <c r="BT72" i="6"/>
  <c r="AZ72" i="6"/>
  <c r="C77" i="3" s="1"/>
  <c r="AX73" i="6" a="1"/>
  <c r="K73" i="2" l="1"/>
  <c r="AX73" i="6"/>
  <c r="BM73" i="6" s="1"/>
  <c r="V73" i="2"/>
  <c r="AB73" i="2"/>
  <c r="E73" i="2"/>
  <c r="BF72" i="6"/>
  <c r="BB72" i="6" s="1"/>
  <c r="Z74" i="2"/>
  <c r="B74" i="2"/>
  <c r="AE74" i="2" s="1"/>
  <c r="L73" i="2"/>
  <c r="Q73" i="2"/>
  <c r="AY76" i="6" a="1"/>
  <c r="BN73" i="6" l="1"/>
  <c r="BK73" i="6"/>
  <c r="AF74" i="2"/>
  <c r="BK74" i="2"/>
  <c r="AG74" i="2"/>
  <c r="Y74" i="2"/>
  <c r="AA74" i="2" s="1"/>
  <c r="BP74" i="2"/>
  <c r="BF74" i="2"/>
  <c r="AV74" i="2"/>
  <c r="BA74" i="2"/>
  <c r="AL74" i="2"/>
  <c r="AQ74" i="2"/>
  <c r="O74" i="2"/>
  <c r="T74" i="2"/>
  <c r="C74" i="2"/>
  <c r="H74" i="2"/>
  <c r="AY74" i="2"/>
  <c r="AI74" i="2"/>
  <c r="BI74" i="2"/>
  <c r="BS74" i="2"/>
  <c r="I74" i="2"/>
  <c r="M74" i="2"/>
  <c r="AY76" i="6"/>
  <c r="J74" i="2"/>
  <c r="BL74" i="2"/>
  <c r="BM74" i="2" s="1"/>
  <c r="AR74" i="2"/>
  <c r="AS74" i="2" s="1"/>
  <c r="AJ74" i="2"/>
  <c r="BG74" i="2"/>
  <c r="BH74" i="2" s="1"/>
  <c r="AO74" i="2"/>
  <c r="BN74" i="2"/>
  <c r="BQ74" i="2"/>
  <c r="BR74" i="2" s="1"/>
  <c r="W74" i="2"/>
  <c r="R74" i="2"/>
  <c r="BD74" i="2"/>
  <c r="P74" i="2"/>
  <c r="AM74" i="2"/>
  <c r="AN74" i="2" s="1"/>
  <c r="U74" i="2"/>
  <c r="AT74" i="2"/>
  <c r="BB74" i="2"/>
  <c r="BC74" i="2" s="1"/>
  <c r="AW74" i="2"/>
  <c r="AX74" i="2" s="1"/>
  <c r="F74" i="2"/>
  <c r="D74" i="2"/>
  <c r="BH73" i="6"/>
  <c r="BE73" i="6"/>
  <c r="B78" i="3"/>
  <c r="BO73" i="6"/>
  <c r="BD73" i="6"/>
  <c r="BS73" i="6"/>
  <c r="BG73" i="6"/>
  <c r="BL73" i="6"/>
  <c r="BC73" i="6"/>
  <c r="BI73" i="6"/>
  <c r="BJ73" i="6" s="1"/>
  <c r="BT73" i="6"/>
  <c r="AZ73" i="6"/>
  <c r="C78" i="3" s="1"/>
  <c r="AX74" i="6" a="1"/>
  <c r="Q74" i="2" l="1"/>
  <c r="AB74" i="2"/>
  <c r="V74" i="2"/>
  <c r="BF73" i="6"/>
  <c r="BB73" i="6" s="1"/>
  <c r="AX74" i="6"/>
  <c r="BM74" i="6" s="1"/>
  <c r="B75" i="2"/>
  <c r="AE75" i="2" s="1"/>
  <c r="Z75" i="2"/>
  <c r="L74" i="2"/>
  <c r="K74" i="2"/>
  <c r="E74" i="2"/>
  <c r="AY77" i="6" a="1"/>
  <c r="BN74" i="6" l="1"/>
  <c r="BK74" i="6"/>
  <c r="AF75" i="2"/>
  <c r="BK75" i="2"/>
  <c r="AG75" i="2"/>
  <c r="Y75" i="2"/>
  <c r="AA75" i="2" s="1"/>
  <c r="BP75" i="2"/>
  <c r="BF75" i="2"/>
  <c r="AV75" i="2"/>
  <c r="BA75" i="2"/>
  <c r="AL75" i="2"/>
  <c r="AQ75" i="2"/>
  <c r="O75" i="2"/>
  <c r="T75" i="2"/>
  <c r="C75" i="2"/>
  <c r="H75" i="2"/>
  <c r="AY75" i="2"/>
  <c r="AI75" i="2"/>
  <c r="BI75" i="2"/>
  <c r="BS75" i="2"/>
  <c r="I75" i="2"/>
  <c r="M75" i="2"/>
  <c r="AY77" i="6"/>
  <c r="R75" i="2"/>
  <c r="J75" i="2"/>
  <c r="AJ75" i="2"/>
  <c r="AW75" i="2"/>
  <c r="AX75" i="2" s="1"/>
  <c r="AO75" i="2"/>
  <c r="AT75" i="2"/>
  <c r="P75" i="2"/>
  <c r="BD75" i="2"/>
  <c r="AM75" i="2"/>
  <c r="AN75" i="2" s="1"/>
  <c r="W75" i="2"/>
  <c r="BB75" i="2"/>
  <c r="BC75" i="2" s="1"/>
  <c r="BL75" i="2"/>
  <c r="BM75" i="2" s="1"/>
  <c r="BG75" i="2"/>
  <c r="BH75" i="2" s="1"/>
  <c r="AR75" i="2"/>
  <c r="AS75" i="2" s="1"/>
  <c r="U75" i="2"/>
  <c r="BQ75" i="2"/>
  <c r="BR75" i="2" s="1"/>
  <c r="BN75" i="2"/>
  <c r="F75" i="2"/>
  <c r="D75" i="2"/>
  <c r="BH74" i="6"/>
  <c r="BO74" i="6"/>
  <c r="B79" i="3"/>
  <c r="BG74" i="6"/>
  <c r="BI74" i="6"/>
  <c r="BJ74" i="6" s="1"/>
  <c r="BL74" i="6"/>
  <c r="BD74" i="6"/>
  <c r="BE74" i="6"/>
  <c r="BC74" i="6"/>
  <c r="BS74" i="6"/>
  <c r="BT74" i="6"/>
  <c r="AZ74" i="6"/>
  <c r="C79" i="3" s="1"/>
  <c r="AX75" i="6" a="1"/>
  <c r="AB75" i="2" l="1"/>
  <c r="Q75" i="2"/>
  <c r="BF74" i="6"/>
  <c r="BB74" i="6" s="1"/>
  <c r="V75" i="2"/>
  <c r="E75" i="2"/>
  <c r="AX75" i="6"/>
  <c r="BM75" i="6" s="1"/>
  <c r="Z76" i="2"/>
  <c r="B76" i="2"/>
  <c r="AE76" i="2" s="1"/>
  <c r="L75" i="2"/>
  <c r="K75" i="2"/>
  <c r="AY78" i="6" a="1"/>
  <c r="BN75" i="6" l="1"/>
  <c r="BK75" i="6"/>
  <c r="AF76" i="2"/>
  <c r="BK76" i="2"/>
  <c r="AG76" i="2"/>
  <c r="Y76" i="2"/>
  <c r="AA76" i="2" s="1"/>
  <c r="BP76" i="2"/>
  <c r="BF76" i="2"/>
  <c r="AV76" i="2"/>
  <c r="BA76" i="2"/>
  <c r="AL76" i="2"/>
  <c r="AQ76" i="2"/>
  <c r="O76" i="2"/>
  <c r="T76" i="2"/>
  <c r="C76" i="2"/>
  <c r="H76" i="2"/>
  <c r="AY76" i="2"/>
  <c r="AI76" i="2"/>
  <c r="BI76" i="2"/>
  <c r="BS76" i="2"/>
  <c r="I76" i="2"/>
  <c r="M76" i="2"/>
  <c r="AY78" i="6"/>
  <c r="BG75" i="6"/>
  <c r="BO75" i="6"/>
  <c r="BL75" i="6"/>
  <c r="BD75" i="6"/>
  <c r="B80" i="3"/>
  <c r="BS75" i="6"/>
  <c r="BC75" i="6"/>
  <c r="BI75" i="6"/>
  <c r="BJ75" i="6" s="1"/>
  <c r="BE75" i="6"/>
  <c r="BH75" i="6"/>
  <c r="BT75" i="6"/>
  <c r="AZ75" i="6"/>
  <c r="C80" i="3" s="1"/>
  <c r="AM76" i="2"/>
  <c r="AN76" i="2" s="1"/>
  <c r="U76" i="2"/>
  <c r="W76" i="2"/>
  <c r="BB76" i="2"/>
  <c r="BC76" i="2" s="1"/>
  <c r="BN76" i="2"/>
  <c r="AT76" i="2"/>
  <c r="BL76" i="2"/>
  <c r="BM76" i="2" s="1"/>
  <c r="R76" i="2"/>
  <c r="BG76" i="2"/>
  <c r="BH76" i="2" s="1"/>
  <c r="AJ76" i="2"/>
  <c r="AW76" i="2"/>
  <c r="AX76" i="2" s="1"/>
  <c r="AO76" i="2"/>
  <c r="J76" i="2"/>
  <c r="P76" i="2"/>
  <c r="AR76" i="2"/>
  <c r="AS76" i="2" s="1"/>
  <c r="BQ76" i="2"/>
  <c r="BR76" i="2" s="1"/>
  <c r="BD76" i="2"/>
  <c r="F76" i="2"/>
  <c r="D76" i="2"/>
  <c r="AX76" i="6" a="1"/>
  <c r="AB76" i="2" l="1"/>
  <c r="BF75" i="6"/>
  <c r="BB75" i="6" s="1"/>
  <c r="AX76" i="6"/>
  <c r="BM76" i="6" s="1"/>
  <c r="B77" i="2"/>
  <c r="AE77" i="2" s="1"/>
  <c r="Z77" i="2"/>
  <c r="E76" i="2"/>
  <c r="V76" i="2"/>
  <c r="Q76" i="2"/>
  <c r="L76" i="2"/>
  <c r="K76" i="2"/>
  <c r="AY79" i="6" a="1"/>
  <c r="BN76" i="6" l="1"/>
  <c r="BK76" i="6"/>
  <c r="AF77" i="2"/>
  <c r="BK77" i="2"/>
  <c r="AG77" i="2"/>
  <c r="Y77" i="2"/>
  <c r="AA77" i="2" s="1"/>
  <c r="BP77" i="2"/>
  <c r="BF77" i="2"/>
  <c r="AV77" i="2"/>
  <c r="BA77" i="2"/>
  <c r="AL77" i="2"/>
  <c r="AQ77" i="2"/>
  <c r="O77" i="2"/>
  <c r="T77" i="2"/>
  <c r="C77" i="2"/>
  <c r="H77" i="2"/>
  <c r="AY77" i="2"/>
  <c r="AI77" i="2"/>
  <c r="BI77" i="2"/>
  <c r="BS77" i="2"/>
  <c r="I77" i="2"/>
  <c r="M77" i="2"/>
  <c r="AY79" i="6"/>
  <c r="BL77" i="2"/>
  <c r="BM77" i="2" s="1"/>
  <c r="U77" i="2"/>
  <c r="BN77" i="2"/>
  <c r="J77" i="2"/>
  <c r="R77" i="2"/>
  <c r="BG77" i="2"/>
  <c r="BH77" i="2" s="1"/>
  <c r="AJ77" i="2"/>
  <c r="AR77" i="2"/>
  <c r="AS77" i="2" s="1"/>
  <c r="P77" i="2"/>
  <c r="AM77" i="2"/>
  <c r="AN77" i="2" s="1"/>
  <c r="AT77" i="2"/>
  <c r="BQ77" i="2"/>
  <c r="BR77" i="2" s="1"/>
  <c r="AO77" i="2"/>
  <c r="AW77" i="2"/>
  <c r="AX77" i="2" s="1"/>
  <c r="BB77" i="2"/>
  <c r="BC77" i="2" s="1"/>
  <c r="BD77" i="2"/>
  <c r="W77" i="2"/>
  <c r="F77" i="2"/>
  <c r="D77" i="2"/>
  <c r="BH76" i="6"/>
  <c r="BS76" i="6"/>
  <c r="BL76" i="6"/>
  <c r="BO76" i="6"/>
  <c r="B81" i="3"/>
  <c r="BI76" i="6"/>
  <c r="BJ76" i="6" s="1"/>
  <c r="BD76" i="6"/>
  <c r="BC76" i="6"/>
  <c r="BE76" i="6"/>
  <c r="BG76" i="6"/>
  <c r="BT76" i="6"/>
  <c r="AZ76" i="6"/>
  <c r="C81" i="3" s="1"/>
  <c r="AX77" i="6" a="1"/>
  <c r="V77" i="2" l="1"/>
  <c r="E77" i="2"/>
  <c r="BF76" i="6"/>
  <c r="BB76" i="6" s="1"/>
  <c r="Q77" i="2"/>
  <c r="AX77" i="6"/>
  <c r="BM77" i="6" s="1"/>
  <c r="B78" i="2"/>
  <c r="AE78" i="2" s="1"/>
  <c r="Z78" i="2"/>
  <c r="AB77" i="2"/>
  <c r="L77" i="2"/>
  <c r="K77" i="2"/>
  <c r="AY80" i="6" a="1"/>
  <c r="BN77" i="6" l="1"/>
  <c r="BK77" i="6"/>
  <c r="AF78" i="2"/>
  <c r="BK78" i="2"/>
  <c r="AG78" i="2"/>
  <c r="Y78" i="2"/>
  <c r="AA78" i="2" s="1"/>
  <c r="BP78" i="2"/>
  <c r="BF78" i="2"/>
  <c r="AV78" i="2"/>
  <c r="BA78" i="2"/>
  <c r="AL78" i="2"/>
  <c r="AQ78" i="2"/>
  <c r="O78" i="2"/>
  <c r="T78" i="2"/>
  <c r="C78" i="2"/>
  <c r="H78" i="2"/>
  <c r="AY78" i="2"/>
  <c r="AI78" i="2"/>
  <c r="BI78" i="2"/>
  <c r="BS78" i="2"/>
  <c r="I78" i="2"/>
  <c r="M78" i="2"/>
  <c r="AY80" i="6"/>
  <c r="U78" i="2"/>
  <c r="AR78" i="2"/>
  <c r="AS78" i="2" s="1"/>
  <c r="P78" i="2"/>
  <c r="AM78" i="2"/>
  <c r="AN78" i="2" s="1"/>
  <c r="BG78" i="2"/>
  <c r="BH78" i="2" s="1"/>
  <c r="BB78" i="2"/>
  <c r="BC78" i="2" s="1"/>
  <c r="AW78" i="2"/>
  <c r="AX78" i="2" s="1"/>
  <c r="W78" i="2"/>
  <c r="BQ78" i="2"/>
  <c r="BR78" i="2" s="1"/>
  <c r="BL78" i="2"/>
  <c r="BM78" i="2" s="1"/>
  <c r="BD78" i="2"/>
  <c r="R78" i="2"/>
  <c r="J78" i="2"/>
  <c r="BN78" i="2"/>
  <c r="AJ78" i="2"/>
  <c r="AO78" i="2"/>
  <c r="AT78" i="2"/>
  <c r="F78" i="2"/>
  <c r="D78" i="2"/>
  <c r="BH77" i="6"/>
  <c r="BE77" i="6"/>
  <c r="B82" i="3"/>
  <c r="BD77" i="6"/>
  <c r="BS77" i="6"/>
  <c r="BG77" i="6"/>
  <c r="BO77" i="6"/>
  <c r="BC77" i="6"/>
  <c r="BI77" i="6"/>
  <c r="BJ77" i="6" s="1"/>
  <c r="BL77" i="6"/>
  <c r="BT77" i="6"/>
  <c r="AZ77" i="6"/>
  <c r="C82" i="3" s="1"/>
  <c r="AX78" i="6" a="1"/>
  <c r="Q78" i="2" l="1"/>
  <c r="AB78" i="2"/>
  <c r="K78" i="2"/>
  <c r="L78" i="2"/>
  <c r="V78" i="2"/>
  <c r="BF77" i="6"/>
  <c r="BB77" i="6" s="1"/>
  <c r="AX78" i="6"/>
  <c r="BM78" i="6" s="1"/>
  <c r="Z79" i="2"/>
  <c r="B79" i="2"/>
  <c r="AE79" i="2" s="1"/>
  <c r="E78" i="2"/>
  <c r="AY81" i="6" a="1"/>
  <c r="BN78" i="6" l="1"/>
  <c r="BK78" i="6"/>
  <c r="AF79" i="2"/>
  <c r="BK79" i="2"/>
  <c r="AG79" i="2"/>
  <c r="Y79" i="2"/>
  <c r="AA79" i="2" s="1"/>
  <c r="BP79" i="2"/>
  <c r="BF79" i="2"/>
  <c r="AV79" i="2"/>
  <c r="BA79" i="2"/>
  <c r="AL79" i="2"/>
  <c r="AQ79" i="2"/>
  <c r="O79" i="2"/>
  <c r="T79" i="2"/>
  <c r="C79" i="2"/>
  <c r="H79" i="2"/>
  <c r="AY79" i="2"/>
  <c r="AI79" i="2"/>
  <c r="BI79" i="2"/>
  <c r="BS79" i="2"/>
  <c r="I79" i="2"/>
  <c r="M79" i="2"/>
  <c r="AY81" i="6"/>
  <c r="AJ79" i="2"/>
  <c r="BN79" i="2"/>
  <c r="BQ79" i="2"/>
  <c r="BR79" i="2" s="1"/>
  <c r="P79" i="2"/>
  <c r="J79" i="2"/>
  <c r="BD79" i="2"/>
  <c r="W79" i="2"/>
  <c r="AM79" i="2"/>
  <c r="AN79" i="2" s="1"/>
  <c r="AR79" i="2"/>
  <c r="AS79" i="2" s="1"/>
  <c r="BL79" i="2"/>
  <c r="BM79" i="2" s="1"/>
  <c r="AW79" i="2"/>
  <c r="AX79" i="2" s="1"/>
  <c r="U79" i="2"/>
  <c r="BB79" i="2"/>
  <c r="BC79" i="2" s="1"/>
  <c r="BG79" i="2"/>
  <c r="BH79" i="2" s="1"/>
  <c r="AO79" i="2"/>
  <c r="R79" i="2"/>
  <c r="AT79" i="2"/>
  <c r="F79" i="2"/>
  <c r="D79" i="2"/>
  <c r="BO78" i="6"/>
  <c r="BE78" i="6"/>
  <c r="BL78" i="6"/>
  <c r="B83" i="3"/>
  <c r="BD78" i="6"/>
  <c r="BH78" i="6"/>
  <c r="BI78" i="6"/>
  <c r="BJ78" i="6" s="1"/>
  <c r="BC78" i="6"/>
  <c r="BG78" i="6"/>
  <c r="BS78" i="6"/>
  <c r="BT78" i="6"/>
  <c r="AZ78" i="6"/>
  <c r="C83" i="3" s="1"/>
  <c r="AX79" i="6" a="1"/>
  <c r="Q79" i="2" l="1"/>
  <c r="BF78" i="6"/>
  <c r="BB78" i="6" s="1"/>
  <c r="K79" i="2"/>
  <c r="AX79" i="6"/>
  <c r="BM79" i="6" s="1"/>
  <c r="B80" i="2"/>
  <c r="AE80" i="2" s="1"/>
  <c r="Z80" i="2"/>
  <c r="V79" i="2"/>
  <c r="L79" i="2"/>
  <c r="E79" i="2"/>
  <c r="AB79" i="2"/>
  <c r="AY82" i="6" a="1"/>
  <c r="BN79" i="6" l="1"/>
  <c r="BK79" i="6"/>
  <c r="AF80" i="2"/>
  <c r="BK80" i="2"/>
  <c r="AG80" i="2"/>
  <c r="Y80" i="2"/>
  <c r="AA80" i="2" s="1"/>
  <c r="BP80" i="2"/>
  <c r="BF80" i="2"/>
  <c r="AV80" i="2"/>
  <c r="BA80" i="2"/>
  <c r="AL80" i="2"/>
  <c r="AQ80" i="2"/>
  <c r="O80" i="2"/>
  <c r="T80" i="2"/>
  <c r="C80" i="2"/>
  <c r="H80" i="2"/>
  <c r="AY80" i="2"/>
  <c r="AI80" i="2"/>
  <c r="BI80" i="2"/>
  <c r="BS80" i="2"/>
  <c r="I80" i="2"/>
  <c r="M80" i="2"/>
  <c r="AY82" i="6"/>
  <c r="BD80" i="2"/>
  <c r="J80" i="2"/>
  <c r="U80" i="2"/>
  <c r="AT80" i="2"/>
  <c r="BG80" i="2"/>
  <c r="BH80" i="2" s="1"/>
  <c r="AW80" i="2"/>
  <c r="AX80" i="2" s="1"/>
  <c r="AM80" i="2"/>
  <c r="AN80" i="2" s="1"/>
  <c r="BL80" i="2"/>
  <c r="BM80" i="2" s="1"/>
  <c r="BN80" i="2"/>
  <c r="BB80" i="2"/>
  <c r="BC80" i="2" s="1"/>
  <c r="BQ80" i="2"/>
  <c r="BR80" i="2" s="1"/>
  <c r="R80" i="2"/>
  <c r="AJ80" i="2"/>
  <c r="P80" i="2"/>
  <c r="AR80" i="2"/>
  <c r="AS80" i="2" s="1"/>
  <c r="W80" i="2"/>
  <c r="AO80" i="2"/>
  <c r="F80" i="2"/>
  <c r="D80" i="2"/>
  <c r="BH79" i="6"/>
  <c r="BE79" i="6"/>
  <c r="BI79" i="6"/>
  <c r="BJ79" i="6" s="1"/>
  <c r="B84" i="3"/>
  <c r="BC79" i="6"/>
  <c r="BG79" i="6"/>
  <c r="BL79" i="6"/>
  <c r="BO79" i="6"/>
  <c r="BS79" i="6"/>
  <c r="BD79" i="6"/>
  <c r="BT79" i="6"/>
  <c r="AZ79" i="6"/>
  <c r="C84" i="3" s="1"/>
  <c r="AX80" i="6" a="1"/>
  <c r="V80" i="2" l="1"/>
  <c r="Q80" i="2"/>
  <c r="BF79" i="6"/>
  <c r="BB79" i="6" s="1"/>
  <c r="AX80" i="6"/>
  <c r="BM80" i="6" s="1"/>
  <c r="Z81" i="2"/>
  <c r="B81" i="2"/>
  <c r="AE81" i="2" s="1"/>
  <c r="L80" i="2"/>
  <c r="K80" i="2"/>
  <c r="AB80" i="2"/>
  <c r="E80" i="2"/>
  <c r="AY83" i="6" a="1"/>
  <c r="BN80" i="6" l="1"/>
  <c r="BK80" i="6"/>
  <c r="AF81" i="2"/>
  <c r="BK81" i="2"/>
  <c r="AG81" i="2"/>
  <c r="Y81" i="2"/>
  <c r="AA81" i="2" s="1"/>
  <c r="BP81" i="2"/>
  <c r="BF81" i="2"/>
  <c r="AV81" i="2"/>
  <c r="BA81" i="2"/>
  <c r="AL81" i="2"/>
  <c r="AQ81" i="2"/>
  <c r="O81" i="2"/>
  <c r="T81" i="2"/>
  <c r="C81" i="2"/>
  <c r="H81" i="2"/>
  <c r="L81" i="2" s="1"/>
  <c r="AY81" i="2"/>
  <c r="AI81" i="2"/>
  <c r="BI81" i="2"/>
  <c r="BS81" i="2"/>
  <c r="I81" i="2"/>
  <c r="M81" i="2"/>
  <c r="AY83" i="6"/>
  <c r="P81" i="2"/>
  <c r="AR81" i="2"/>
  <c r="AS81" i="2" s="1"/>
  <c r="BN81" i="2"/>
  <c r="R81" i="2"/>
  <c r="BQ81" i="2"/>
  <c r="BR81" i="2" s="1"/>
  <c r="AM81" i="2"/>
  <c r="AN81" i="2" s="1"/>
  <c r="W81" i="2"/>
  <c r="J81" i="2"/>
  <c r="AJ81" i="2"/>
  <c r="BB81" i="2"/>
  <c r="BC81" i="2" s="1"/>
  <c r="AT81" i="2"/>
  <c r="AW81" i="2"/>
  <c r="AX81" i="2" s="1"/>
  <c r="AO81" i="2"/>
  <c r="BL81" i="2"/>
  <c r="BM81" i="2" s="1"/>
  <c r="U81" i="2"/>
  <c r="BG81" i="2"/>
  <c r="BH81" i="2" s="1"/>
  <c r="BD81" i="2"/>
  <c r="F81" i="2"/>
  <c r="D81" i="2"/>
  <c r="BO80" i="6"/>
  <c r="BD80" i="6"/>
  <c r="BI80" i="6"/>
  <c r="BJ80" i="6" s="1"/>
  <c r="B85" i="3"/>
  <c r="BC80" i="6"/>
  <c r="BE80" i="6"/>
  <c r="BH80" i="6"/>
  <c r="BS80" i="6"/>
  <c r="BL80" i="6"/>
  <c r="BG80" i="6"/>
  <c r="BT80" i="6"/>
  <c r="AZ80" i="6"/>
  <c r="C85" i="3" s="1"/>
  <c r="AX81" i="6" a="1"/>
  <c r="AB81" i="2" l="1"/>
  <c r="AX81" i="6"/>
  <c r="BM81" i="6" s="1"/>
  <c r="V81" i="2"/>
  <c r="K81" i="2"/>
  <c r="Q81" i="2"/>
  <c r="BF80" i="6"/>
  <c r="BB80" i="6" s="1"/>
  <c r="E81" i="2"/>
  <c r="B82" i="2"/>
  <c r="AE82" i="2" s="1"/>
  <c r="Z82" i="2"/>
  <c r="AY84" i="6" a="1"/>
  <c r="BN81" i="6" l="1"/>
  <c r="BK81" i="6"/>
  <c r="AF82" i="2"/>
  <c r="BK82" i="2"/>
  <c r="AG82" i="2"/>
  <c r="Y82" i="2"/>
  <c r="AA82" i="2" s="1"/>
  <c r="BP82" i="2"/>
  <c r="BF82" i="2"/>
  <c r="AV82" i="2"/>
  <c r="BA82" i="2"/>
  <c r="AL82" i="2"/>
  <c r="AQ82" i="2"/>
  <c r="O82" i="2"/>
  <c r="T82" i="2"/>
  <c r="C82" i="2"/>
  <c r="H82" i="2"/>
  <c r="L82" i="2" s="1"/>
  <c r="AY82" i="2"/>
  <c r="AI82" i="2"/>
  <c r="BI82" i="2"/>
  <c r="BS82" i="2"/>
  <c r="I82" i="2"/>
  <c r="M82" i="2"/>
  <c r="AY84" i="6"/>
  <c r="P82" i="2"/>
  <c r="AJ82" i="2"/>
  <c r="BQ82" i="2"/>
  <c r="BR82" i="2" s="1"/>
  <c r="AM82" i="2"/>
  <c r="AN82" i="2" s="1"/>
  <c r="W82" i="2"/>
  <c r="U82" i="2"/>
  <c r="AT82" i="2"/>
  <c r="AO82" i="2"/>
  <c r="AW82" i="2"/>
  <c r="AX82" i="2" s="1"/>
  <c r="BB82" i="2"/>
  <c r="BC82" i="2" s="1"/>
  <c r="BL82" i="2"/>
  <c r="BM82" i="2" s="1"/>
  <c r="J82" i="2"/>
  <c r="BG82" i="2"/>
  <c r="BH82" i="2" s="1"/>
  <c r="R82" i="2"/>
  <c r="AR82" i="2"/>
  <c r="AS82" i="2" s="1"/>
  <c r="BD82" i="2"/>
  <c r="BN82" i="2"/>
  <c r="F82" i="2"/>
  <c r="D82" i="2"/>
  <c r="BE81" i="6"/>
  <c r="B86" i="3"/>
  <c r="BD81" i="6"/>
  <c r="BS81" i="6"/>
  <c r="BG81" i="6"/>
  <c r="BO81" i="6"/>
  <c r="BC81" i="6"/>
  <c r="BI81" i="6"/>
  <c r="BJ81" i="6" s="1"/>
  <c r="BH81" i="6"/>
  <c r="BL81" i="6"/>
  <c r="BT81" i="6"/>
  <c r="AZ81" i="6"/>
  <c r="C86" i="3" s="1"/>
  <c r="AX82" i="6" a="1"/>
  <c r="Q82" i="2" l="1"/>
  <c r="AB82" i="2"/>
  <c r="E82" i="2"/>
  <c r="AX82" i="6"/>
  <c r="BM82" i="6" s="1"/>
  <c r="V82" i="2"/>
  <c r="Z83" i="2"/>
  <c r="B83" i="2"/>
  <c r="AE83" i="2" s="1"/>
  <c r="K82" i="2"/>
  <c r="BF81" i="6"/>
  <c r="BB81" i="6" s="1"/>
  <c r="AY85" i="6" a="1"/>
  <c r="BN82" i="6" l="1"/>
  <c r="BK82" i="6"/>
  <c r="AF83" i="2"/>
  <c r="BK83" i="2"/>
  <c r="AG83" i="2"/>
  <c r="Y83" i="2"/>
  <c r="AA83" i="2" s="1"/>
  <c r="BP83" i="2"/>
  <c r="BF83" i="2"/>
  <c r="AV83" i="2"/>
  <c r="BA83" i="2"/>
  <c r="AL83" i="2"/>
  <c r="AQ83" i="2"/>
  <c r="O83" i="2"/>
  <c r="T83" i="2"/>
  <c r="C83" i="2"/>
  <c r="H83" i="2"/>
  <c r="L83" i="2" s="1"/>
  <c r="AY83" i="2"/>
  <c r="AI83" i="2"/>
  <c r="BI83" i="2"/>
  <c r="BS83" i="2"/>
  <c r="I83" i="2"/>
  <c r="M83" i="2"/>
  <c r="AY85" i="6"/>
  <c r="AM83" i="2"/>
  <c r="AN83" i="2" s="1"/>
  <c r="BQ83" i="2"/>
  <c r="BR83" i="2" s="1"/>
  <c r="BG83" i="2"/>
  <c r="BH83" i="2" s="1"/>
  <c r="J83" i="2"/>
  <c r="AW83" i="2"/>
  <c r="AX83" i="2" s="1"/>
  <c r="AJ83" i="2"/>
  <c r="U83" i="2"/>
  <c r="P83" i="2"/>
  <c r="BD83" i="2"/>
  <c r="BB83" i="2"/>
  <c r="BC83" i="2" s="1"/>
  <c r="F83" i="2"/>
  <c r="AO83" i="2"/>
  <c r="R83" i="2"/>
  <c r="AR83" i="2"/>
  <c r="AS83" i="2" s="1"/>
  <c r="BL83" i="2"/>
  <c r="BM83" i="2" s="1"/>
  <c r="AT83" i="2"/>
  <c r="W83" i="2"/>
  <c r="D83" i="2"/>
  <c r="BN83" i="2"/>
  <c r="BG82" i="6"/>
  <c r="BS82" i="6"/>
  <c r="BE82" i="6"/>
  <c r="BL82" i="6"/>
  <c r="BH82" i="6"/>
  <c r="B87" i="3"/>
  <c r="BI82" i="6"/>
  <c r="BJ82" i="6" s="1"/>
  <c r="BO82" i="6"/>
  <c r="BD82" i="6"/>
  <c r="BC82" i="6"/>
  <c r="BT82" i="6"/>
  <c r="AZ82" i="6"/>
  <c r="C87" i="3" s="1"/>
  <c r="AX83" i="6" a="1"/>
  <c r="AB83" i="2" l="1"/>
  <c r="E83" i="2"/>
  <c r="BF82" i="6"/>
  <c r="BB82" i="6" s="1"/>
  <c r="V83" i="2"/>
  <c r="AX83" i="6"/>
  <c r="BM83" i="6" s="1"/>
  <c r="Z84" i="2"/>
  <c r="B84" i="2"/>
  <c r="AE84" i="2" s="1"/>
  <c r="K83" i="2"/>
  <c r="Q83" i="2"/>
  <c r="AY86" i="6" a="1"/>
  <c r="BN83" i="6" l="1"/>
  <c r="BK83" i="6"/>
  <c r="AF84" i="2"/>
  <c r="BK84" i="2"/>
  <c r="AG84" i="2"/>
  <c r="Y84" i="2"/>
  <c r="AA84" i="2" s="1"/>
  <c r="BP84" i="2"/>
  <c r="BF84" i="2"/>
  <c r="AV84" i="2"/>
  <c r="BA84" i="2"/>
  <c r="AL84" i="2"/>
  <c r="AQ84" i="2"/>
  <c r="O84" i="2"/>
  <c r="T84" i="2"/>
  <c r="C84" i="2"/>
  <c r="H84" i="2"/>
  <c r="AY84" i="2"/>
  <c r="AI84" i="2"/>
  <c r="BI84" i="2"/>
  <c r="BS84" i="2"/>
  <c r="I84" i="2"/>
  <c r="M84" i="2"/>
  <c r="AY86" i="6"/>
  <c r="B88" i="3"/>
  <c r="BI83" i="6"/>
  <c r="BJ83" i="6" s="1"/>
  <c r="BO83" i="6"/>
  <c r="BL83" i="6"/>
  <c r="BH83" i="6"/>
  <c r="BD83" i="6"/>
  <c r="BS83" i="6"/>
  <c r="BG83" i="6"/>
  <c r="BE83" i="6"/>
  <c r="BC83" i="6"/>
  <c r="BT83" i="6"/>
  <c r="AZ83" i="6"/>
  <c r="C88" i="3" s="1"/>
  <c r="U84" i="2"/>
  <c r="AR84" i="2"/>
  <c r="AS84" i="2" s="1"/>
  <c r="BG84" i="2"/>
  <c r="BH84" i="2" s="1"/>
  <c r="AO84" i="2"/>
  <c r="AW84" i="2"/>
  <c r="AX84" i="2" s="1"/>
  <c r="P84" i="2"/>
  <c r="AT84" i="2"/>
  <c r="R84" i="2"/>
  <c r="F84" i="2"/>
  <c r="BL84" i="2"/>
  <c r="BM84" i="2" s="1"/>
  <c r="BB84" i="2"/>
  <c r="BC84" i="2" s="1"/>
  <c r="BD84" i="2"/>
  <c r="J84" i="2"/>
  <c r="BN84" i="2"/>
  <c r="BQ84" i="2"/>
  <c r="BR84" i="2" s="1"/>
  <c r="W84" i="2"/>
  <c r="D84" i="2"/>
  <c r="AJ84" i="2"/>
  <c r="AM84" i="2"/>
  <c r="AN84" i="2" s="1"/>
  <c r="AX84" i="6" a="1"/>
  <c r="V84" i="2" l="1"/>
  <c r="K84" i="2"/>
  <c r="Q84" i="2"/>
  <c r="E84" i="2"/>
  <c r="AX84" i="6"/>
  <c r="BM84" i="6" s="1"/>
  <c r="AB84" i="2"/>
  <c r="BF83" i="6"/>
  <c r="BB83" i="6" s="1"/>
  <c r="L84" i="2"/>
  <c r="Z85" i="2"/>
  <c r="B85" i="2"/>
  <c r="AE85" i="2" s="1"/>
  <c r="AY87" i="6" a="1"/>
  <c r="BN84" i="6" l="1"/>
  <c r="BK84" i="6"/>
  <c r="AF85" i="2"/>
  <c r="BK85" i="2"/>
  <c r="AG85" i="2"/>
  <c r="Y85" i="2"/>
  <c r="AA85" i="2" s="1"/>
  <c r="BP85" i="2"/>
  <c r="BF85" i="2"/>
  <c r="AV85" i="2"/>
  <c r="BA85" i="2"/>
  <c r="AL85" i="2"/>
  <c r="AQ85" i="2"/>
  <c r="O85" i="2"/>
  <c r="T85" i="2"/>
  <c r="C85" i="2"/>
  <c r="H85" i="2"/>
  <c r="L85" i="2" s="1"/>
  <c r="AY85" i="2"/>
  <c r="AI85" i="2"/>
  <c r="BI85" i="2"/>
  <c r="BS85" i="2"/>
  <c r="I85" i="2"/>
  <c r="M85" i="2"/>
  <c r="AY87" i="6"/>
  <c r="BH84" i="6"/>
  <c r="BO84" i="6"/>
  <c r="BL84" i="6"/>
  <c r="BC84" i="6"/>
  <c r="BE84" i="6"/>
  <c r="B89" i="3"/>
  <c r="BS84" i="6"/>
  <c r="BG84" i="6"/>
  <c r="BI84" i="6"/>
  <c r="BJ84" i="6" s="1"/>
  <c r="BD84" i="6"/>
  <c r="BT84" i="6"/>
  <c r="AZ84" i="6"/>
  <c r="C89" i="3" s="1"/>
  <c r="U85" i="2"/>
  <c r="W85" i="2"/>
  <c r="D85" i="2"/>
  <c r="BB85" i="2"/>
  <c r="BC85" i="2" s="1"/>
  <c r="J85" i="2"/>
  <c r="R85" i="2"/>
  <c r="BL85" i="2"/>
  <c r="BM85" i="2" s="1"/>
  <c r="AW85" i="2"/>
  <c r="AX85" i="2" s="1"/>
  <c r="BN85" i="2"/>
  <c r="AO85" i="2"/>
  <c r="AJ85" i="2"/>
  <c r="F85" i="2"/>
  <c r="P85" i="2"/>
  <c r="AM85" i="2"/>
  <c r="AN85" i="2" s="1"/>
  <c r="AR85" i="2"/>
  <c r="AS85" i="2" s="1"/>
  <c r="BQ85" i="2"/>
  <c r="BR85" i="2" s="1"/>
  <c r="BG85" i="2"/>
  <c r="BH85" i="2" s="1"/>
  <c r="BD85" i="2"/>
  <c r="AT85" i="2"/>
  <c r="AX85" i="6" a="1"/>
  <c r="V85" i="2" l="1"/>
  <c r="E85" i="2"/>
  <c r="AX85" i="6"/>
  <c r="BM85" i="6" s="1"/>
  <c r="BF84" i="6"/>
  <c r="BB84" i="6" s="1"/>
  <c r="Z86" i="2"/>
  <c r="B86" i="2"/>
  <c r="AE86" i="2" s="1"/>
  <c r="K85" i="2"/>
  <c r="AB85" i="2"/>
  <c r="Q85" i="2"/>
  <c r="AY88" i="6" a="1"/>
  <c r="BN85" i="6" l="1"/>
  <c r="BK85" i="6"/>
  <c r="AF86" i="2"/>
  <c r="BK86" i="2"/>
  <c r="AG86" i="2"/>
  <c r="Y86" i="2"/>
  <c r="AA86" i="2" s="1"/>
  <c r="BP86" i="2"/>
  <c r="BF86" i="2"/>
  <c r="AV86" i="2"/>
  <c r="BA86" i="2"/>
  <c r="AL86" i="2"/>
  <c r="AQ86" i="2"/>
  <c r="O86" i="2"/>
  <c r="T86" i="2"/>
  <c r="C86" i="2"/>
  <c r="H86" i="2"/>
  <c r="AY86" i="2"/>
  <c r="AI86" i="2"/>
  <c r="BI86" i="2"/>
  <c r="BS86" i="2"/>
  <c r="I86" i="2"/>
  <c r="M86" i="2"/>
  <c r="AY88" i="6"/>
  <c r="BL85" i="6"/>
  <c r="BI85" i="6"/>
  <c r="BJ85" i="6" s="1"/>
  <c r="BS85" i="6"/>
  <c r="B90" i="3"/>
  <c r="BG85" i="6"/>
  <c r="BD85" i="6"/>
  <c r="BE85" i="6"/>
  <c r="BH85" i="6"/>
  <c r="BC85" i="6"/>
  <c r="BO85" i="6"/>
  <c r="BT85" i="6"/>
  <c r="AZ85" i="6"/>
  <c r="C90" i="3" s="1"/>
  <c r="AJ86" i="2"/>
  <c r="AO86" i="2"/>
  <c r="D86" i="2"/>
  <c r="BL86" i="2"/>
  <c r="BM86" i="2" s="1"/>
  <c r="P86" i="2"/>
  <c r="J86" i="2"/>
  <c r="BD86" i="2"/>
  <c r="AM86" i="2"/>
  <c r="AN86" i="2" s="1"/>
  <c r="BN86" i="2"/>
  <c r="AR86" i="2"/>
  <c r="AS86" i="2" s="1"/>
  <c r="W86" i="2"/>
  <c r="R86" i="2"/>
  <c r="AW86" i="2"/>
  <c r="AX86" i="2" s="1"/>
  <c r="F86" i="2"/>
  <c r="AT86" i="2"/>
  <c r="BB86" i="2"/>
  <c r="BC86" i="2" s="1"/>
  <c r="U86" i="2"/>
  <c r="BQ86" i="2"/>
  <c r="BR86" i="2" s="1"/>
  <c r="BG86" i="2"/>
  <c r="BH86" i="2" s="1"/>
  <c r="AX86" i="6" a="1"/>
  <c r="Q86" i="2" l="1"/>
  <c r="K86" i="2"/>
  <c r="AX86" i="6"/>
  <c r="BM86" i="6" s="1"/>
  <c r="Z87" i="2"/>
  <c r="B87" i="2"/>
  <c r="AE87" i="2" s="1"/>
  <c r="AB86" i="2"/>
  <c r="L86" i="2"/>
  <c r="E86" i="2"/>
  <c r="BF85" i="6"/>
  <c r="BB85" i="6" s="1"/>
  <c r="V86" i="2"/>
  <c r="AY89" i="6" a="1"/>
  <c r="BN86" i="6" l="1"/>
  <c r="BK86" i="6"/>
  <c r="AF87" i="2"/>
  <c r="BK87" i="2"/>
  <c r="AG87" i="2"/>
  <c r="Y87" i="2"/>
  <c r="AA87" i="2" s="1"/>
  <c r="BP87" i="2"/>
  <c r="BF87" i="2"/>
  <c r="AV87" i="2"/>
  <c r="BA87" i="2"/>
  <c r="AL87" i="2"/>
  <c r="AQ87" i="2"/>
  <c r="O87" i="2"/>
  <c r="T87" i="2"/>
  <c r="C87" i="2"/>
  <c r="H87" i="2"/>
  <c r="AY87" i="2"/>
  <c r="AI87" i="2"/>
  <c r="BI87" i="2"/>
  <c r="BS87" i="2"/>
  <c r="I87" i="2"/>
  <c r="M87" i="2"/>
  <c r="AY89" i="6"/>
  <c r="BI86" i="6"/>
  <c r="BJ86" i="6" s="1"/>
  <c r="BH86" i="6"/>
  <c r="BD86" i="6"/>
  <c r="BL86" i="6"/>
  <c r="B91" i="3"/>
  <c r="BE86" i="6"/>
  <c r="BG86" i="6"/>
  <c r="BO86" i="6"/>
  <c r="BS86" i="6"/>
  <c r="BC86" i="6"/>
  <c r="BT86" i="6"/>
  <c r="AZ86" i="6"/>
  <c r="C91" i="3" s="1"/>
  <c r="BB87" i="2"/>
  <c r="BC87" i="2" s="1"/>
  <c r="BG87" i="2"/>
  <c r="BH87" i="2" s="1"/>
  <c r="AJ87" i="2"/>
  <c r="F87" i="2"/>
  <c r="BQ87" i="2"/>
  <c r="BR87" i="2" s="1"/>
  <c r="AM87" i="2"/>
  <c r="AN87" i="2" s="1"/>
  <c r="AT87" i="2"/>
  <c r="W87" i="2"/>
  <c r="J87" i="2"/>
  <c r="D87" i="2"/>
  <c r="AW87" i="2"/>
  <c r="AX87" i="2" s="1"/>
  <c r="AO87" i="2"/>
  <c r="BL87" i="2"/>
  <c r="BM87" i="2" s="1"/>
  <c r="AR87" i="2"/>
  <c r="AS87" i="2" s="1"/>
  <c r="BN87" i="2"/>
  <c r="P87" i="2"/>
  <c r="U87" i="2"/>
  <c r="R87" i="2"/>
  <c r="BD87" i="2"/>
  <c r="AX87" i="6" a="1"/>
  <c r="K87" i="2" l="1"/>
  <c r="AB87" i="2"/>
  <c r="BF86" i="6"/>
  <c r="BB86" i="6" s="1"/>
  <c r="V87" i="2"/>
  <c r="L87" i="2"/>
  <c r="AX87" i="6"/>
  <c r="BM87" i="6" s="1"/>
  <c r="E87" i="2"/>
  <c r="Z88" i="2"/>
  <c r="B88" i="2"/>
  <c r="AE88" i="2" s="1"/>
  <c r="Q87" i="2"/>
  <c r="AY90" i="6" a="1"/>
  <c r="BN87" i="6" l="1"/>
  <c r="BK87" i="6"/>
  <c r="AF88" i="2"/>
  <c r="BK88" i="2"/>
  <c r="AG88" i="2"/>
  <c r="Y88" i="2"/>
  <c r="AA88" i="2" s="1"/>
  <c r="BP88" i="2"/>
  <c r="BF88" i="2"/>
  <c r="AV88" i="2"/>
  <c r="BA88" i="2"/>
  <c r="AL88" i="2"/>
  <c r="AQ88" i="2"/>
  <c r="O88" i="2"/>
  <c r="T88" i="2"/>
  <c r="C88" i="2"/>
  <c r="H88" i="2"/>
  <c r="L88" i="2" s="1"/>
  <c r="AY88" i="2"/>
  <c r="AI88" i="2"/>
  <c r="BI88" i="2"/>
  <c r="BS88" i="2"/>
  <c r="I88" i="2"/>
  <c r="M88" i="2"/>
  <c r="AY90" i="6"/>
  <c r="AM88" i="2"/>
  <c r="AN88" i="2" s="1"/>
  <c r="BL88" i="2"/>
  <c r="BM88" i="2" s="1"/>
  <c r="AW88" i="2"/>
  <c r="AX88" i="2" s="1"/>
  <c r="BN88" i="2"/>
  <c r="W88" i="2"/>
  <c r="AJ88" i="2"/>
  <c r="AR88" i="2"/>
  <c r="AS88" i="2" s="1"/>
  <c r="P88" i="2"/>
  <c r="BQ88" i="2"/>
  <c r="BR88" i="2" s="1"/>
  <c r="F88" i="2"/>
  <c r="BG88" i="2"/>
  <c r="BH88" i="2" s="1"/>
  <c r="U88" i="2"/>
  <c r="D88" i="2"/>
  <c r="BD88" i="2"/>
  <c r="AO88" i="2"/>
  <c r="BB88" i="2"/>
  <c r="BC88" i="2" s="1"/>
  <c r="J88" i="2"/>
  <c r="AT88" i="2"/>
  <c r="R88" i="2"/>
  <c r="BS87" i="6"/>
  <c r="BC87" i="6"/>
  <c r="BO87" i="6"/>
  <c r="BD87" i="6"/>
  <c r="BG87" i="6"/>
  <c r="BI87" i="6"/>
  <c r="BJ87" i="6" s="1"/>
  <c r="BH87" i="6"/>
  <c r="BL87" i="6"/>
  <c r="B92" i="3"/>
  <c r="BE87" i="6"/>
  <c r="BT87" i="6"/>
  <c r="AZ87" i="6"/>
  <c r="C92" i="3" s="1"/>
  <c r="AX88" i="6" a="1"/>
  <c r="AX88" i="6" l="1"/>
  <c r="BM88" i="6" s="1"/>
  <c r="V88" i="2"/>
  <c r="E88" i="2"/>
  <c r="K88" i="2"/>
  <c r="BF87" i="6"/>
  <c r="BB87" i="6" s="1"/>
  <c r="Q88" i="2"/>
  <c r="B89" i="2"/>
  <c r="AE89" i="2" s="1"/>
  <c r="Z89" i="2"/>
  <c r="AB88" i="2"/>
  <c r="AY91" i="6" a="1"/>
  <c r="BN88" i="6" l="1"/>
  <c r="BK88" i="6"/>
  <c r="AF89" i="2"/>
  <c r="BK89" i="2"/>
  <c r="AG89" i="2"/>
  <c r="Y89" i="2"/>
  <c r="AA89" i="2" s="1"/>
  <c r="BP89" i="2"/>
  <c r="BF89" i="2"/>
  <c r="AV89" i="2"/>
  <c r="BA89" i="2"/>
  <c r="AL89" i="2"/>
  <c r="AQ89" i="2"/>
  <c r="O89" i="2"/>
  <c r="T89" i="2"/>
  <c r="C89" i="2"/>
  <c r="H89" i="2"/>
  <c r="AY89" i="2"/>
  <c r="AI89" i="2"/>
  <c r="BI89" i="2"/>
  <c r="BS89" i="2"/>
  <c r="I89" i="2"/>
  <c r="M89" i="2"/>
  <c r="AY91" i="6"/>
  <c r="AW89" i="2"/>
  <c r="AX89" i="2" s="1"/>
  <c r="J89" i="2"/>
  <c r="AO89" i="2"/>
  <c r="U89" i="2"/>
  <c r="BD89" i="2"/>
  <c r="BL89" i="2"/>
  <c r="BM89" i="2" s="1"/>
  <c r="BG89" i="2"/>
  <c r="BH89" i="2" s="1"/>
  <c r="F89" i="2"/>
  <c r="D89" i="2"/>
  <c r="BQ89" i="2"/>
  <c r="BR89" i="2" s="1"/>
  <c r="AT89" i="2"/>
  <c r="AM89" i="2"/>
  <c r="AN89" i="2" s="1"/>
  <c r="AR89" i="2"/>
  <c r="AS89" i="2" s="1"/>
  <c r="W89" i="2"/>
  <c r="P89" i="2"/>
  <c r="BN89" i="2"/>
  <c r="AJ89" i="2"/>
  <c r="R89" i="2"/>
  <c r="BB89" i="2"/>
  <c r="BC89" i="2" s="1"/>
  <c r="B93" i="3"/>
  <c r="BS88" i="6"/>
  <c r="BE88" i="6"/>
  <c r="BI88" i="6"/>
  <c r="BJ88" i="6" s="1"/>
  <c r="BL88" i="6"/>
  <c r="BO88" i="6"/>
  <c r="BC88" i="6"/>
  <c r="BD88" i="6"/>
  <c r="BH88" i="6"/>
  <c r="BG88" i="6"/>
  <c r="BT88" i="6"/>
  <c r="AZ88" i="6"/>
  <c r="C93" i="3" s="1"/>
  <c r="AX89" i="6" a="1"/>
  <c r="V89" i="2" l="1"/>
  <c r="Q89" i="2"/>
  <c r="K89" i="2"/>
  <c r="L89" i="2"/>
  <c r="BF88" i="6"/>
  <c r="BB88" i="6" s="1"/>
  <c r="AX89" i="6"/>
  <c r="BM89" i="6" s="1"/>
  <c r="B90" i="2"/>
  <c r="AE90" i="2" s="1"/>
  <c r="Z90" i="2"/>
  <c r="AB89" i="2"/>
  <c r="E89" i="2"/>
  <c r="AY92" i="6" a="1"/>
  <c r="BN89" i="6" l="1"/>
  <c r="BK89" i="6"/>
  <c r="AF90" i="2"/>
  <c r="BK90" i="2"/>
  <c r="AG90" i="2"/>
  <c r="Y90" i="2"/>
  <c r="AA90" i="2" s="1"/>
  <c r="BP90" i="2"/>
  <c r="BF90" i="2"/>
  <c r="AV90" i="2"/>
  <c r="BA90" i="2"/>
  <c r="AL90" i="2"/>
  <c r="AQ90" i="2"/>
  <c r="O90" i="2"/>
  <c r="T90" i="2"/>
  <c r="C90" i="2"/>
  <c r="H90" i="2"/>
  <c r="L90" i="2" s="1"/>
  <c r="AY90" i="2"/>
  <c r="AI90" i="2"/>
  <c r="BI90" i="2"/>
  <c r="BS90" i="2"/>
  <c r="I90" i="2"/>
  <c r="M90" i="2"/>
  <c r="AY92" i="6"/>
  <c r="AR90" i="2"/>
  <c r="AS90" i="2" s="1"/>
  <c r="BL90" i="2"/>
  <c r="BM90" i="2" s="1"/>
  <c r="AM90" i="2"/>
  <c r="AN90" i="2" s="1"/>
  <c r="U90" i="2"/>
  <c r="AW90" i="2"/>
  <c r="AX90" i="2" s="1"/>
  <c r="F90" i="2"/>
  <c r="BN90" i="2"/>
  <c r="AT90" i="2"/>
  <c r="BQ90" i="2"/>
  <c r="BR90" i="2" s="1"/>
  <c r="D90" i="2"/>
  <c r="P90" i="2"/>
  <c r="W90" i="2"/>
  <c r="R90" i="2"/>
  <c r="BD90" i="2"/>
  <c r="AJ90" i="2"/>
  <c r="BB90" i="2"/>
  <c r="BC90" i="2" s="1"/>
  <c r="BG90" i="2"/>
  <c r="BH90" i="2" s="1"/>
  <c r="AO90" i="2"/>
  <c r="J90" i="2"/>
  <c r="BO89" i="6"/>
  <c r="BL89" i="6"/>
  <c r="BE89" i="6"/>
  <c r="BD89" i="6"/>
  <c r="B94" i="3"/>
  <c r="BS89" i="6"/>
  <c r="BC89" i="6"/>
  <c r="BG89" i="6"/>
  <c r="BI89" i="6"/>
  <c r="BJ89" i="6" s="1"/>
  <c r="BH89" i="6"/>
  <c r="BT89" i="6"/>
  <c r="AZ89" i="6"/>
  <c r="C94" i="3" s="1"/>
  <c r="AX90" i="6" a="1"/>
  <c r="V90" i="2" l="1"/>
  <c r="Q90" i="2"/>
  <c r="AB90" i="2"/>
  <c r="E90" i="2"/>
  <c r="K90" i="2"/>
  <c r="BF89" i="6"/>
  <c r="BB89" i="6" s="1"/>
  <c r="AX90" i="6"/>
  <c r="BM90" i="6" s="1"/>
  <c r="B91" i="2"/>
  <c r="AE91" i="2" s="1"/>
  <c r="Z91" i="2"/>
  <c r="AY93" i="6" a="1"/>
  <c r="BN90" i="6" l="1"/>
  <c r="BK90" i="6"/>
  <c r="AF91" i="2"/>
  <c r="BK91" i="2"/>
  <c r="AG91" i="2"/>
  <c r="Y91" i="2"/>
  <c r="AA91" i="2" s="1"/>
  <c r="BP91" i="2"/>
  <c r="BF91" i="2"/>
  <c r="AV91" i="2"/>
  <c r="BA91" i="2"/>
  <c r="AL91" i="2"/>
  <c r="AQ91" i="2"/>
  <c r="O91" i="2"/>
  <c r="T91" i="2"/>
  <c r="C91" i="2"/>
  <c r="H91" i="2"/>
  <c r="L91" i="2" s="1"/>
  <c r="AY91" i="2"/>
  <c r="AI91" i="2"/>
  <c r="BI91" i="2"/>
  <c r="BS91" i="2"/>
  <c r="I91" i="2"/>
  <c r="M91" i="2"/>
  <c r="AY93" i="6"/>
  <c r="BG91" i="2"/>
  <c r="BH91" i="2" s="1"/>
  <c r="AO91" i="2"/>
  <c r="BQ91" i="2"/>
  <c r="BR91" i="2" s="1"/>
  <c r="AM91" i="2"/>
  <c r="AN91" i="2" s="1"/>
  <c r="AR91" i="2"/>
  <c r="AS91" i="2" s="1"/>
  <c r="U91" i="2"/>
  <c r="AJ91" i="2"/>
  <c r="F91" i="2"/>
  <c r="AT91" i="2"/>
  <c r="BL91" i="2"/>
  <c r="BM91" i="2" s="1"/>
  <c r="BD91" i="2"/>
  <c r="AW91" i="2"/>
  <c r="AX91" i="2" s="1"/>
  <c r="W91" i="2"/>
  <c r="R91" i="2"/>
  <c r="BB91" i="2"/>
  <c r="BC91" i="2" s="1"/>
  <c r="D91" i="2"/>
  <c r="P91" i="2"/>
  <c r="J91" i="2"/>
  <c r="BN91" i="2"/>
  <c r="BS90" i="6"/>
  <c r="BD90" i="6"/>
  <c r="B95" i="3"/>
  <c r="BE90" i="6"/>
  <c r="BG90" i="6"/>
  <c r="BI90" i="6"/>
  <c r="BJ90" i="6" s="1"/>
  <c r="BC90" i="6"/>
  <c r="BL90" i="6"/>
  <c r="BH90" i="6"/>
  <c r="BO90" i="6"/>
  <c r="BT90" i="6"/>
  <c r="AZ90" i="6"/>
  <c r="C95" i="3" s="1"/>
  <c r="AX91" i="6" a="1"/>
  <c r="E91" i="2" l="1"/>
  <c r="AX91" i="6"/>
  <c r="BM91" i="6" s="1"/>
  <c r="Q91" i="2"/>
  <c r="AB91" i="2"/>
  <c r="Z92" i="2"/>
  <c r="B92" i="2"/>
  <c r="AE92" i="2" s="1"/>
  <c r="BF90" i="6"/>
  <c r="BB90" i="6" s="1"/>
  <c r="V91" i="2"/>
  <c r="K91" i="2"/>
  <c r="AY94" i="6" a="1"/>
  <c r="BN91" i="6" l="1"/>
  <c r="BK91" i="6"/>
  <c r="AF92" i="2"/>
  <c r="BK92" i="2"/>
  <c r="AG92" i="2"/>
  <c r="Y92" i="2"/>
  <c r="AA92" i="2" s="1"/>
  <c r="BP92" i="2"/>
  <c r="BF92" i="2"/>
  <c r="AV92" i="2"/>
  <c r="BA92" i="2"/>
  <c r="AL92" i="2"/>
  <c r="AQ92" i="2"/>
  <c r="O92" i="2"/>
  <c r="T92" i="2"/>
  <c r="C92" i="2"/>
  <c r="H92" i="2"/>
  <c r="L92" i="2" s="1"/>
  <c r="AY92" i="2"/>
  <c r="AI92" i="2"/>
  <c r="BI92" i="2"/>
  <c r="BS92" i="2"/>
  <c r="I92" i="2"/>
  <c r="M92" i="2"/>
  <c r="AY94" i="6"/>
  <c r="AW92" i="2"/>
  <c r="AX92" i="2" s="1"/>
  <c r="BG92" i="2"/>
  <c r="BH92" i="2" s="1"/>
  <c r="BL92" i="2"/>
  <c r="BM92" i="2" s="1"/>
  <c r="J92" i="2"/>
  <c r="AO92" i="2"/>
  <c r="BN92" i="2"/>
  <c r="AT92" i="2"/>
  <c r="BQ92" i="2"/>
  <c r="BR92" i="2" s="1"/>
  <c r="AM92" i="2"/>
  <c r="AN92" i="2" s="1"/>
  <c r="AR92" i="2"/>
  <c r="AS92" i="2" s="1"/>
  <c r="W92" i="2"/>
  <c r="P92" i="2"/>
  <c r="D92" i="2"/>
  <c r="BB92" i="2"/>
  <c r="BC92" i="2" s="1"/>
  <c r="AJ92" i="2"/>
  <c r="BD92" i="2"/>
  <c r="F92" i="2"/>
  <c r="U92" i="2"/>
  <c r="R92" i="2"/>
  <c r="BI91" i="6"/>
  <c r="BJ91" i="6" s="1"/>
  <c r="BO91" i="6"/>
  <c r="BS91" i="6"/>
  <c r="BE91" i="6"/>
  <c r="BC91" i="6"/>
  <c r="BH91" i="6"/>
  <c r="BL91" i="6"/>
  <c r="BD91" i="6"/>
  <c r="B96" i="3"/>
  <c r="BG91" i="6"/>
  <c r="BT91" i="6"/>
  <c r="AZ91" i="6"/>
  <c r="C96" i="3" s="1"/>
  <c r="AX92" i="6" a="1"/>
  <c r="E92" i="2" l="1"/>
  <c r="AB92" i="2"/>
  <c r="V92" i="2"/>
  <c r="K92" i="2"/>
  <c r="Q92" i="2"/>
  <c r="AX92" i="6"/>
  <c r="BM92" i="6" s="1"/>
  <c r="Z93" i="2"/>
  <c r="B93" i="2"/>
  <c r="AE93" i="2" s="1"/>
  <c r="BF91" i="6"/>
  <c r="BB91" i="6" s="1"/>
  <c r="AY95" i="6" a="1"/>
  <c r="BN92" i="6" l="1"/>
  <c r="BK92" i="6"/>
  <c r="AF93" i="2"/>
  <c r="BK93" i="2"/>
  <c r="AG93" i="2"/>
  <c r="Y93" i="2"/>
  <c r="AA93" i="2" s="1"/>
  <c r="BP93" i="2"/>
  <c r="BF93" i="2"/>
  <c r="AV93" i="2"/>
  <c r="BA93" i="2"/>
  <c r="AL93" i="2"/>
  <c r="AQ93" i="2"/>
  <c r="O93" i="2"/>
  <c r="T93" i="2"/>
  <c r="C93" i="2"/>
  <c r="H93" i="2"/>
  <c r="AY93" i="2"/>
  <c r="AI93" i="2"/>
  <c r="BI93" i="2"/>
  <c r="BS93" i="2"/>
  <c r="I93" i="2"/>
  <c r="M93" i="2"/>
  <c r="AY95" i="6"/>
  <c r="AM93" i="2"/>
  <c r="AN93" i="2" s="1"/>
  <c r="P93" i="2"/>
  <c r="BB93" i="2"/>
  <c r="BC93" i="2" s="1"/>
  <c r="U93" i="2"/>
  <c r="F93" i="2"/>
  <c r="AR93" i="2"/>
  <c r="AS93" i="2" s="1"/>
  <c r="BL93" i="2"/>
  <c r="BM93" i="2" s="1"/>
  <c r="R93" i="2"/>
  <c r="AO93" i="2"/>
  <c r="AJ93" i="2"/>
  <c r="BQ93" i="2"/>
  <c r="BR93" i="2" s="1"/>
  <c r="AW93" i="2"/>
  <c r="AX93" i="2" s="1"/>
  <c r="BD93" i="2"/>
  <c r="W93" i="2"/>
  <c r="BN93" i="2"/>
  <c r="D93" i="2"/>
  <c r="J93" i="2"/>
  <c r="AT93" i="2"/>
  <c r="BG93" i="2"/>
  <c r="BH93" i="2" s="1"/>
  <c r="BI92" i="6"/>
  <c r="BJ92" i="6" s="1"/>
  <c r="BH92" i="6"/>
  <c r="BE92" i="6"/>
  <c r="BO92" i="6"/>
  <c r="BC92" i="6"/>
  <c r="BL92" i="6"/>
  <c r="BD92" i="6"/>
  <c r="BS92" i="6"/>
  <c r="B97" i="3"/>
  <c r="BG92" i="6"/>
  <c r="BT92" i="6"/>
  <c r="AZ92" i="6"/>
  <c r="C97" i="3" s="1"/>
  <c r="AX93" i="6" a="1"/>
  <c r="V93" i="2" l="1"/>
  <c r="Q93" i="2"/>
  <c r="BF92" i="6"/>
  <c r="BB92" i="6" s="1"/>
  <c r="AX93" i="6"/>
  <c r="BM93" i="6" s="1"/>
  <c r="E93" i="2"/>
  <c r="B94" i="2"/>
  <c r="AE94" i="2" s="1"/>
  <c r="Z94" i="2"/>
  <c r="K93" i="2"/>
  <c r="L93" i="2"/>
  <c r="AB93" i="2"/>
  <c r="AY96" i="6" a="1"/>
  <c r="BN93" i="6" l="1"/>
  <c r="BK93" i="6"/>
  <c r="AF94" i="2"/>
  <c r="BK94" i="2"/>
  <c r="AG94" i="2"/>
  <c r="Y94" i="2"/>
  <c r="AA94" i="2" s="1"/>
  <c r="BP94" i="2"/>
  <c r="BF94" i="2"/>
  <c r="AV94" i="2"/>
  <c r="BA94" i="2"/>
  <c r="AL94" i="2"/>
  <c r="AQ94" i="2"/>
  <c r="O94" i="2"/>
  <c r="T94" i="2"/>
  <c r="C94" i="2"/>
  <c r="H94" i="2"/>
  <c r="L94" i="2" s="1"/>
  <c r="AY94" i="2"/>
  <c r="AI94" i="2"/>
  <c r="BI94" i="2"/>
  <c r="BS94" i="2"/>
  <c r="I94" i="2"/>
  <c r="M94" i="2"/>
  <c r="AY96" i="6"/>
  <c r="BG94" i="2"/>
  <c r="BH94" i="2" s="1"/>
  <c r="U94" i="2"/>
  <c r="AO94" i="2"/>
  <c r="AW94" i="2"/>
  <c r="AX94" i="2" s="1"/>
  <c r="P94" i="2"/>
  <c r="AJ94" i="2"/>
  <c r="R94" i="2"/>
  <c r="AT94" i="2"/>
  <c r="BL94" i="2"/>
  <c r="BM94" i="2" s="1"/>
  <c r="AR94" i="2"/>
  <c r="AS94" i="2" s="1"/>
  <c r="J94" i="2"/>
  <c r="BD94" i="2"/>
  <c r="F94" i="2"/>
  <c r="BB94" i="2"/>
  <c r="BC94" i="2" s="1"/>
  <c r="AM94" i="2"/>
  <c r="AN94" i="2" s="1"/>
  <c r="BN94" i="2"/>
  <c r="D94" i="2"/>
  <c r="W94" i="2"/>
  <c r="BQ94" i="2"/>
  <c r="BR94" i="2" s="1"/>
  <c r="B98" i="3"/>
  <c r="BC93" i="6"/>
  <c r="BS93" i="6"/>
  <c r="BH93" i="6"/>
  <c r="BO93" i="6"/>
  <c r="BL93" i="6"/>
  <c r="BE93" i="6"/>
  <c r="BD93" i="6"/>
  <c r="BI93" i="6"/>
  <c r="BJ93" i="6" s="1"/>
  <c r="BG93" i="6"/>
  <c r="BT93" i="6"/>
  <c r="AZ93" i="6"/>
  <c r="C98" i="3" s="1"/>
  <c r="AX94" i="6" a="1"/>
  <c r="V94" i="2" l="1"/>
  <c r="AB94" i="2"/>
  <c r="BF93" i="6"/>
  <c r="BB93" i="6" s="1"/>
  <c r="E94" i="2"/>
  <c r="AX94" i="6"/>
  <c r="BM94" i="6" s="1"/>
  <c r="K94" i="2"/>
  <c r="Z95" i="2"/>
  <c r="B95" i="2"/>
  <c r="AE95" i="2" s="1"/>
  <c r="Q94" i="2"/>
  <c r="AY97" i="6" a="1"/>
  <c r="BN94" i="6" l="1"/>
  <c r="BK94" i="6"/>
  <c r="AF95" i="2"/>
  <c r="BK95" i="2"/>
  <c r="AG95" i="2"/>
  <c r="Y95" i="2"/>
  <c r="AA95" i="2" s="1"/>
  <c r="BP95" i="2"/>
  <c r="BF95" i="2"/>
  <c r="AV95" i="2"/>
  <c r="BA95" i="2"/>
  <c r="AL95" i="2"/>
  <c r="AQ95" i="2"/>
  <c r="O95" i="2"/>
  <c r="T95" i="2"/>
  <c r="C95" i="2"/>
  <c r="H95" i="2"/>
  <c r="AY95" i="2"/>
  <c r="AI95" i="2"/>
  <c r="BI95" i="2"/>
  <c r="BS95" i="2"/>
  <c r="I95" i="2"/>
  <c r="M95" i="2"/>
  <c r="AY97" i="6"/>
  <c r="BD95" i="2"/>
  <c r="BL95" i="2"/>
  <c r="BM95" i="2" s="1"/>
  <c r="AJ95" i="2"/>
  <c r="AM95" i="2"/>
  <c r="AN95" i="2" s="1"/>
  <c r="F95" i="2"/>
  <c r="AW95" i="2"/>
  <c r="AX95" i="2" s="1"/>
  <c r="U95" i="2"/>
  <c r="R95" i="2"/>
  <c r="AR95" i="2"/>
  <c r="AS95" i="2" s="1"/>
  <c r="P95" i="2"/>
  <c r="J95" i="2"/>
  <c r="BQ95" i="2"/>
  <c r="BR95" i="2" s="1"/>
  <c r="AO95" i="2"/>
  <c r="BG95" i="2"/>
  <c r="BH95" i="2" s="1"/>
  <c r="D95" i="2"/>
  <c r="BN95" i="2"/>
  <c r="AT95" i="2"/>
  <c r="BB95" i="2"/>
  <c r="BC95" i="2" s="1"/>
  <c r="W95" i="2"/>
  <c r="BS94" i="6"/>
  <c r="BD94" i="6"/>
  <c r="BO94" i="6"/>
  <c r="BG94" i="6"/>
  <c r="BL94" i="6"/>
  <c r="BH94" i="6"/>
  <c r="BI94" i="6"/>
  <c r="BJ94" i="6" s="1"/>
  <c r="BE94" i="6"/>
  <c r="BC94" i="6"/>
  <c r="B99" i="3"/>
  <c r="BT94" i="6"/>
  <c r="AZ94" i="6"/>
  <c r="C99" i="3" s="1"/>
  <c r="AX95" i="6" a="1"/>
  <c r="AB95" i="2" l="1"/>
  <c r="E95" i="2"/>
  <c r="BF94" i="6"/>
  <c r="BB94" i="6" s="1"/>
  <c r="AX95" i="6"/>
  <c r="BM95" i="6" s="1"/>
  <c r="V95" i="2"/>
  <c r="Z96" i="2"/>
  <c r="B96" i="2"/>
  <c r="AE96" i="2" s="1"/>
  <c r="Q95" i="2"/>
  <c r="L95" i="2"/>
  <c r="K95" i="2"/>
  <c r="AY98" i="6" a="1"/>
  <c r="BN95" i="6" l="1"/>
  <c r="BK95" i="6"/>
  <c r="AF96" i="2"/>
  <c r="BK96" i="2"/>
  <c r="AG96" i="2"/>
  <c r="Y96" i="2"/>
  <c r="AA96" i="2" s="1"/>
  <c r="BP96" i="2"/>
  <c r="BF96" i="2"/>
  <c r="AV96" i="2"/>
  <c r="BA96" i="2"/>
  <c r="AL96" i="2"/>
  <c r="AQ96" i="2"/>
  <c r="O96" i="2"/>
  <c r="T96" i="2"/>
  <c r="C96" i="2"/>
  <c r="H96" i="2"/>
  <c r="AY96" i="2"/>
  <c r="AI96" i="2"/>
  <c r="BI96" i="2"/>
  <c r="BS96" i="2"/>
  <c r="I96" i="2"/>
  <c r="M96" i="2"/>
  <c r="AY98" i="6"/>
  <c r="AR96" i="2"/>
  <c r="AS96" i="2" s="1"/>
  <c r="AW96" i="2"/>
  <c r="AX96" i="2" s="1"/>
  <c r="BN96" i="2"/>
  <c r="AJ96" i="2"/>
  <c r="BG96" i="2"/>
  <c r="BH96" i="2" s="1"/>
  <c r="BB96" i="2"/>
  <c r="BC96" i="2" s="1"/>
  <c r="BQ96" i="2"/>
  <c r="BR96" i="2" s="1"/>
  <c r="J96" i="2"/>
  <c r="AT96" i="2"/>
  <c r="AO96" i="2"/>
  <c r="BL96" i="2"/>
  <c r="BM96" i="2" s="1"/>
  <c r="D96" i="2"/>
  <c r="R96" i="2"/>
  <c r="U96" i="2"/>
  <c r="F96" i="2"/>
  <c r="AM96" i="2"/>
  <c r="AN96" i="2" s="1"/>
  <c r="W96" i="2"/>
  <c r="BD96" i="2"/>
  <c r="P96" i="2"/>
  <c r="BG95" i="6"/>
  <c r="BL95" i="6"/>
  <c r="BH95" i="6"/>
  <c r="BE95" i="6"/>
  <c r="BD95" i="6"/>
  <c r="BC95" i="6"/>
  <c r="BI95" i="6"/>
  <c r="BJ95" i="6" s="1"/>
  <c r="BO95" i="6"/>
  <c r="B100" i="3"/>
  <c r="BS95" i="6"/>
  <c r="BT95" i="6"/>
  <c r="AZ95" i="6"/>
  <c r="C100" i="3" s="1"/>
  <c r="AX96" i="6" a="1"/>
  <c r="K96" i="2" l="1"/>
  <c r="V96" i="2"/>
  <c r="E96" i="2"/>
  <c r="AB96" i="2"/>
  <c r="AX96" i="6"/>
  <c r="BM96" i="6" s="1"/>
  <c r="B97" i="2"/>
  <c r="AE97" i="2" s="1"/>
  <c r="Z97" i="2"/>
  <c r="L96" i="2"/>
  <c r="BF95" i="6"/>
  <c r="BB95" i="6" s="1"/>
  <c r="Q96" i="2"/>
  <c r="AY99" i="6" a="1"/>
  <c r="BN96" i="6" l="1"/>
  <c r="BK96" i="6"/>
  <c r="AF97" i="2"/>
  <c r="BK97" i="2"/>
  <c r="AG97" i="2"/>
  <c r="Y97" i="2"/>
  <c r="AA97" i="2" s="1"/>
  <c r="BP97" i="2"/>
  <c r="BF97" i="2"/>
  <c r="AV97" i="2"/>
  <c r="BA97" i="2"/>
  <c r="AL97" i="2"/>
  <c r="AQ97" i="2"/>
  <c r="O97" i="2"/>
  <c r="T97" i="2"/>
  <c r="C97" i="2"/>
  <c r="H97" i="2"/>
  <c r="L97" i="2" s="1"/>
  <c r="AY97" i="2"/>
  <c r="AI97" i="2"/>
  <c r="BI97" i="2"/>
  <c r="BS97" i="2"/>
  <c r="I97" i="2"/>
  <c r="M97" i="2"/>
  <c r="AY99" i="6"/>
  <c r="P97" i="2"/>
  <c r="AM97" i="2"/>
  <c r="AN97" i="2" s="1"/>
  <c r="BG97" i="2"/>
  <c r="BH97" i="2" s="1"/>
  <c r="BD97" i="2"/>
  <c r="BQ97" i="2"/>
  <c r="BR97" i="2" s="1"/>
  <c r="AR97" i="2"/>
  <c r="AS97" i="2" s="1"/>
  <c r="BB97" i="2"/>
  <c r="BC97" i="2" s="1"/>
  <c r="R97" i="2"/>
  <c r="AW97" i="2"/>
  <c r="AX97" i="2" s="1"/>
  <c r="BL97" i="2"/>
  <c r="BM97" i="2" s="1"/>
  <c r="F97" i="2"/>
  <c r="U97" i="2"/>
  <c r="D97" i="2"/>
  <c r="W97" i="2"/>
  <c r="AT97" i="2"/>
  <c r="BN97" i="2"/>
  <c r="AJ97" i="2"/>
  <c r="J97" i="2"/>
  <c r="AO97" i="2"/>
  <c r="BH96" i="6"/>
  <c r="BS96" i="6"/>
  <c r="BC96" i="6"/>
  <c r="BG96" i="6"/>
  <c r="BE96" i="6"/>
  <c r="BI96" i="6"/>
  <c r="BJ96" i="6" s="1"/>
  <c r="B101" i="3"/>
  <c r="BL96" i="6"/>
  <c r="BD96" i="6"/>
  <c r="BO96" i="6"/>
  <c r="BT96" i="6"/>
  <c r="AZ96" i="6"/>
  <c r="C101" i="3" s="1"/>
  <c r="AX97" i="6" a="1"/>
  <c r="V97" i="2" l="1"/>
  <c r="Q97" i="2"/>
  <c r="AB97" i="2"/>
  <c r="AX97" i="6"/>
  <c r="BM97" i="6" s="1"/>
  <c r="B98" i="2"/>
  <c r="AE98" i="2" s="1"/>
  <c r="Z98" i="2"/>
  <c r="E97" i="2"/>
  <c r="BF96" i="6"/>
  <c r="BB96" i="6" s="1"/>
  <c r="K97" i="2"/>
  <c r="AY100" i="6" a="1"/>
  <c r="BN97" i="6" l="1"/>
  <c r="BK97" i="6"/>
  <c r="AF98" i="2"/>
  <c r="BK98" i="2"/>
  <c r="AG98" i="2"/>
  <c r="Y98" i="2"/>
  <c r="AA98" i="2" s="1"/>
  <c r="BP98" i="2"/>
  <c r="BF98" i="2"/>
  <c r="AV98" i="2"/>
  <c r="BA98" i="2"/>
  <c r="AL98" i="2"/>
  <c r="AQ98" i="2"/>
  <c r="O98" i="2"/>
  <c r="T98" i="2"/>
  <c r="C98" i="2"/>
  <c r="H98" i="2"/>
  <c r="L98" i="2" s="1"/>
  <c r="AY98" i="2"/>
  <c r="AI98" i="2"/>
  <c r="BI98" i="2"/>
  <c r="BS98" i="2"/>
  <c r="I98" i="2"/>
  <c r="M98" i="2"/>
  <c r="AY100" i="6"/>
  <c r="AM98" i="2"/>
  <c r="AN98" i="2" s="1"/>
  <c r="P98" i="2"/>
  <c r="BD98" i="2"/>
  <c r="AT98" i="2"/>
  <c r="BB98" i="2"/>
  <c r="BC98" i="2" s="1"/>
  <c r="AJ98" i="2"/>
  <c r="J98" i="2"/>
  <c r="BN98" i="2"/>
  <c r="BG98" i="2"/>
  <c r="BH98" i="2" s="1"/>
  <c r="D98" i="2"/>
  <c r="BL98" i="2"/>
  <c r="BM98" i="2" s="1"/>
  <c r="AO98" i="2"/>
  <c r="R98" i="2"/>
  <c r="F98" i="2"/>
  <c r="AW98" i="2"/>
  <c r="AX98" i="2" s="1"/>
  <c r="U98" i="2"/>
  <c r="W98" i="2"/>
  <c r="BQ98" i="2"/>
  <c r="BR98" i="2" s="1"/>
  <c r="AR98" i="2"/>
  <c r="AS98" i="2" s="1"/>
  <c r="BD97" i="6"/>
  <c r="BC97" i="6"/>
  <c r="BI97" i="6"/>
  <c r="BJ97" i="6" s="1"/>
  <c r="BS97" i="6"/>
  <c r="BL97" i="6"/>
  <c r="BO97" i="6"/>
  <c r="B102" i="3"/>
  <c r="BE97" i="6"/>
  <c r="BH97" i="6"/>
  <c r="BG97" i="6"/>
  <c r="BT97" i="6"/>
  <c r="AZ97" i="6"/>
  <c r="C102" i="3" s="1"/>
  <c r="AX98" i="6" a="1"/>
  <c r="BF97" i="6" l="1"/>
  <c r="BB97" i="6" s="1"/>
  <c r="AB98" i="2"/>
  <c r="AX98" i="6"/>
  <c r="BM98" i="6" s="1"/>
  <c r="V98" i="2"/>
  <c r="B99" i="2"/>
  <c r="AE99" i="2" s="1"/>
  <c r="Z99" i="2"/>
  <c r="E98" i="2"/>
  <c r="K98" i="2"/>
  <c r="Q98" i="2"/>
  <c r="AY101" i="6" a="1"/>
  <c r="BN98" i="6" l="1"/>
  <c r="BK98" i="6"/>
  <c r="AF99" i="2"/>
  <c r="BK99" i="2"/>
  <c r="AG99" i="2"/>
  <c r="Y99" i="2"/>
  <c r="AA99" i="2" s="1"/>
  <c r="BP99" i="2"/>
  <c r="BF99" i="2"/>
  <c r="AV99" i="2"/>
  <c r="BA99" i="2"/>
  <c r="AL99" i="2"/>
  <c r="AQ99" i="2"/>
  <c r="O99" i="2"/>
  <c r="T99" i="2"/>
  <c r="C99" i="2"/>
  <c r="H99" i="2"/>
  <c r="L99" i="2" s="1"/>
  <c r="AY99" i="2"/>
  <c r="AI99" i="2"/>
  <c r="BI99" i="2"/>
  <c r="BS99" i="2"/>
  <c r="I99" i="2"/>
  <c r="M99" i="2"/>
  <c r="AY101" i="6"/>
  <c r="BB99" i="2"/>
  <c r="BC99" i="2" s="1"/>
  <c r="U99" i="2"/>
  <c r="BN99" i="2"/>
  <c r="J99" i="2"/>
  <c r="W99" i="2"/>
  <c r="BD99" i="2"/>
  <c r="BG99" i="2"/>
  <c r="BH99" i="2" s="1"/>
  <c r="AJ99" i="2"/>
  <c r="AW99" i="2"/>
  <c r="AX99" i="2" s="1"/>
  <c r="D99" i="2"/>
  <c r="BL99" i="2"/>
  <c r="BM99" i="2" s="1"/>
  <c r="BQ99" i="2"/>
  <c r="BR99" i="2" s="1"/>
  <c r="AT99" i="2"/>
  <c r="P99" i="2"/>
  <c r="AR99" i="2"/>
  <c r="AS99" i="2" s="1"/>
  <c r="AM99" i="2"/>
  <c r="AN99" i="2" s="1"/>
  <c r="AO99" i="2"/>
  <c r="R99" i="2"/>
  <c r="F99" i="2"/>
  <c r="BG98" i="6"/>
  <c r="BH98" i="6"/>
  <c r="B103" i="3"/>
  <c r="BI98" i="6"/>
  <c r="BJ98" i="6" s="1"/>
  <c r="BE98" i="6"/>
  <c r="BS98" i="6"/>
  <c r="BL98" i="6"/>
  <c r="BC98" i="6"/>
  <c r="BD98" i="6"/>
  <c r="BO98" i="6"/>
  <c r="BT98" i="6"/>
  <c r="AZ98" i="6"/>
  <c r="C103" i="3" s="1"/>
  <c r="AX99" i="6" a="1"/>
  <c r="E99" i="2" l="1"/>
  <c r="V99" i="2"/>
  <c r="AX99" i="6"/>
  <c r="BM99" i="6" s="1"/>
  <c r="BF98" i="6"/>
  <c r="BB98" i="6" s="1"/>
  <c r="AB99" i="2"/>
  <c r="Q99" i="2"/>
  <c r="K99" i="2"/>
  <c r="Z100" i="2"/>
  <c r="B100" i="2"/>
  <c r="AE100" i="2" s="1"/>
  <c r="AY102" i="6" a="1"/>
  <c r="BN99" i="6" l="1"/>
  <c r="BK99" i="6"/>
  <c r="AF100" i="2"/>
  <c r="BK100" i="2"/>
  <c r="AG100" i="2"/>
  <c r="Y100" i="2"/>
  <c r="AA100" i="2" s="1"/>
  <c r="BP100" i="2"/>
  <c r="BF100" i="2"/>
  <c r="AV100" i="2"/>
  <c r="BA100" i="2"/>
  <c r="AL100" i="2"/>
  <c r="AQ100" i="2"/>
  <c r="O100" i="2"/>
  <c r="T100" i="2"/>
  <c r="C100" i="2"/>
  <c r="H100" i="2"/>
  <c r="L100" i="2" s="1"/>
  <c r="AY100" i="2"/>
  <c r="AI100" i="2"/>
  <c r="BI100" i="2"/>
  <c r="BS100" i="2"/>
  <c r="I100" i="2"/>
  <c r="M100" i="2"/>
  <c r="AY102" i="6"/>
  <c r="AR100" i="2"/>
  <c r="AS100" i="2" s="1"/>
  <c r="BB100" i="2"/>
  <c r="BC100" i="2" s="1"/>
  <c r="BG100" i="2"/>
  <c r="BH100" i="2" s="1"/>
  <c r="AT100" i="2"/>
  <c r="BD100" i="2"/>
  <c r="J100" i="2"/>
  <c r="AW100" i="2"/>
  <c r="AX100" i="2" s="1"/>
  <c r="BN100" i="2"/>
  <c r="AO100" i="2"/>
  <c r="R100" i="2"/>
  <c r="W100" i="2"/>
  <c r="BQ100" i="2"/>
  <c r="BR100" i="2" s="1"/>
  <c r="D100" i="2"/>
  <c r="F100" i="2"/>
  <c r="U100" i="2"/>
  <c r="AM100" i="2"/>
  <c r="AN100" i="2" s="1"/>
  <c r="AJ100" i="2"/>
  <c r="BL100" i="2"/>
  <c r="BM100" i="2" s="1"/>
  <c r="P100" i="2"/>
  <c r="BI99" i="6"/>
  <c r="BJ99" i="6" s="1"/>
  <c r="BC99" i="6"/>
  <c r="BG99" i="6"/>
  <c r="BS99" i="6"/>
  <c r="BL99" i="6"/>
  <c r="B104" i="3"/>
  <c r="BH99" i="6"/>
  <c r="BE99" i="6"/>
  <c r="BD99" i="6"/>
  <c r="BO99" i="6"/>
  <c r="BT99" i="6"/>
  <c r="AZ99" i="6"/>
  <c r="C104" i="3" s="1"/>
  <c r="AX100" i="6" a="1"/>
  <c r="E100" i="2" l="1"/>
  <c r="V100" i="2"/>
  <c r="AX100" i="6"/>
  <c r="BM100" i="6" s="1"/>
  <c r="Q100" i="2"/>
  <c r="Z101" i="2"/>
  <c r="B101" i="2"/>
  <c r="AE101" i="2" s="1"/>
  <c r="K100" i="2"/>
  <c r="AB100" i="2"/>
  <c r="BF99" i="6"/>
  <c r="BB99" i="6" s="1"/>
  <c r="AY103" i="6" a="1"/>
  <c r="BN100" i="6" l="1"/>
  <c r="BK100" i="6"/>
  <c r="AF101" i="2"/>
  <c r="BK101" i="2"/>
  <c r="AG101" i="2"/>
  <c r="Y101" i="2"/>
  <c r="AA101" i="2" s="1"/>
  <c r="BP101" i="2"/>
  <c r="BF101" i="2"/>
  <c r="AV101" i="2"/>
  <c r="BA101" i="2"/>
  <c r="AL101" i="2"/>
  <c r="AQ101" i="2"/>
  <c r="O101" i="2"/>
  <c r="T101" i="2"/>
  <c r="C101" i="2"/>
  <c r="H101" i="2"/>
  <c r="L101" i="2" s="1"/>
  <c r="AY101" i="2"/>
  <c r="AI101" i="2"/>
  <c r="BI101" i="2"/>
  <c r="BS101" i="2"/>
  <c r="I101" i="2"/>
  <c r="M101" i="2"/>
  <c r="AY103" i="6"/>
  <c r="U101" i="2"/>
  <c r="AM101" i="2"/>
  <c r="AN101" i="2" s="1"/>
  <c r="AT101" i="2"/>
  <c r="BB101" i="2"/>
  <c r="BC101" i="2" s="1"/>
  <c r="BL101" i="2"/>
  <c r="BM101" i="2" s="1"/>
  <c r="R101" i="2"/>
  <c r="AO101" i="2"/>
  <c r="AJ101" i="2"/>
  <c r="AW101" i="2"/>
  <c r="AX101" i="2" s="1"/>
  <c r="AR101" i="2"/>
  <c r="AS101" i="2" s="1"/>
  <c r="J101" i="2"/>
  <c r="F101" i="2"/>
  <c r="BQ101" i="2"/>
  <c r="BR101" i="2" s="1"/>
  <c r="BN101" i="2"/>
  <c r="BG101" i="2"/>
  <c r="BH101" i="2" s="1"/>
  <c r="P101" i="2"/>
  <c r="D101" i="2"/>
  <c r="BD101" i="2"/>
  <c r="W101" i="2"/>
  <c r="BD100" i="6"/>
  <c r="BH100" i="6"/>
  <c r="B105" i="3"/>
  <c r="BO100" i="6"/>
  <c r="BG100" i="6"/>
  <c r="BC100" i="6"/>
  <c r="BI100" i="6"/>
  <c r="BJ100" i="6" s="1"/>
  <c r="BE100" i="6"/>
  <c r="BL100" i="6"/>
  <c r="BS100" i="6"/>
  <c r="BT100" i="6"/>
  <c r="AZ100" i="6"/>
  <c r="C105" i="3" s="1"/>
  <c r="AX101" i="6" a="1"/>
  <c r="V101" i="2" l="1"/>
  <c r="Q101" i="2"/>
  <c r="AX101" i="6"/>
  <c r="BM101" i="6" s="1"/>
  <c r="BF100" i="6"/>
  <c r="BB100" i="6" s="1"/>
  <c r="K101" i="2"/>
  <c r="AB101" i="2"/>
  <c r="Z102" i="2"/>
  <c r="B102" i="2"/>
  <c r="AE102" i="2" s="1"/>
  <c r="E101" i="2"/>
  <c r="AY104" i="6" a="1"/>
  <c r="BN101" i="6" l="1"/>
  <c r="BK101" i="6"/>
  <c r="AF102" i="2"/>
  <c r="BK102" i="2"/>
  <c r="AG102" i="2"/>
  <c r="Y102" i="2"/>
  <c r="AA102" i="2" s="1"/>
  <c r="BP102" i="2"/>
  <c r="BF102" i="2"/>
  <c r="AV102" i="2"/>
  <c r="BA102" i="2"/>
  <c r="AL102" i="2"/>
  <c r="AQ102" i="2"/>
  <c r="O102" i="2"/>
  <c r="T102" i="2"/>
  <c r="C102" i="2"/>
  <c r="H102" i="2"/>
  <c r="AY102" i="2"/>
  <c r="AI102" i="2"/>
  <c r="BI102" i="2"/>
  <c r="BS102" i="2"/>
  <c r="I102" i="2"/>
  <c r="M102" i="2"/>
  <c r="AY104" i="6"/>
  <c r="D102" i="2"/>
  <c r="AJ102" i="2"/>
  <c r="BG102" i="2"/>
  <c r="BH102" i="2" s="1"/>
  <c r="BQ102" i="2"/>
  <c r="BR102" i="2" s="1"/>
  <c r="AT102" i="2"/>
  <c r="BD102" i="2"/>
  <c r="AO102" i="2"/>
  <c r="F102" i="2"/>
  <c r="R102" i="2"/>
  <c r="AW102" i="2"/>
  <c r="AX102" i="2" s="1"/>
  <c r="BL102" i="2"/>
  <c r="BM102" i="2" s="1"/>
  <c r="W102" i="2"/>
  <c r="AM102" i="2"/>
  <c r="AN102" i="2" s="1"/>
  <c r="P102" i="2"/>
  <c r="BN102" i="2"/>
  <c r="J102" i="2"/>
  <c r="AR102" i="2"/>
  <c r="AS102" i="2" s="1"/>
  <c r="BB102" i="2"/>
  <c r="BC102" i="2" s="1"/>
  <c r="U102" i="2"/>
  <c r="BD101" i="6"/>
  <c r="BL101" i="6"/>
  <c r="BC101" i="6"/>
  <c r="B106" i="3"/>
  <c r="BG101" i="6"/>
  <c r="BI101" i="6"/>
  <c r="BJ101" i="6" s="1"/>
  <c r="BE101" i="6"/>
  <c r="BH101" i="6"/>
  <c r="BS101" i="6"/>
  <c r="BO101" i="6"/>
  <c r="BT101" i="6"/>
  <c r="AZ101" i="6"/>
  <c r="C106" i="3" s="1"/>
  <c r="AX102" i="6" a="1"/>
  <c r="Q102" i="2" l="1"/>
  <c r="E102" i="2"/>
  <c r="K102" i="2"/>
  <c r="AX102" i="6"/>
  <c r="BM102" i="6" s="1"/>
  <c r="B103" i="2"/>
  <c r="AE103" i="2" s="1"/>
  <c r="Z103" i="2"/>
  <c r="AB102" i="2"/>
  <c r="BF101" i="6"/>
  <c r="BB101" i="6" s="1"/>
  <c r="V102" i="2"/>
  <c r="L102" i="2"/>
  <c r="AY105" i="6" a="1"/>
  <c r="BN102" i="6" l="1"/>
  <c r="BK102" i="6"/>
  <c r="AF103" i="2"/>
  <c r="BK103" i="2"/>
  <c r="AG103" i="2"/>
  <c r="Y103" i="2"/>
  <c r="AA103" i="2" s="1"/>
  <c r="BP103" i="2"/>
  <c r="BF103" i="2"/>
  <c r="AV103" i="2"/>
  <c r="BA103" i="2"/>
  <c r="AL103" i="2"/>
  <c r="AQ103" i="2"/>
  <c r="O103" i="2"/>
  <c r="T103" i="2"/>
  <c r="C103" i="2"/>
  <c r="H103" i="2"/>
  <c r="L103" i="2" s="1"/>
  <c r="AY103" i="2"/>
  <c r="AI103" i="2"/>
  <c r="BI103" i="2"/>
  <c r="BS103" i="2"/>
  <c r="I103" i="2"/>
  <c r="M103" i="2"/>
  <c r="AY105" i="6"/>
  <c r="J103" i="2"/>
  <c r="U103" i="2"/>
  <c r="AR103" i="2"/>
  <c r="AS103" i="2" s="1"/>
  <c r="BL103" i="2"/>
  <c r="BM103" i="2" s="1"/>
  <c r="F103" i="2"/>
  <c r="BN103" i="2"/>
  <c r="BG103" i="2"/>
  <c r="BH103" i="2" s="1"/>
  <c r="AO103" i="2"/>
  <c r="AT103" i="2"/>
  <c r="AW103" i="2"/>
  <c r="AX103" i="2" s="1"/>
  <c r="P103" i="2"/>
  <c r="AJ103" i="2"/>
  <c r="BB103" i="2"/>
  <c r="BC103" i="2" s="1"/>
  <c r="W103" i="2"/>
  <c r="R103" i="2"/>
  <c r="D103" i="2"/>
  <c r="BD103" i="2"/>
  <c r="BQ103" i="2"/>
  <c r="BR103" i="2" s="1"/>
  <c r="AM103" i="2"/>
  <c r="AN103" i="2" s="1"/>
  <c r="BL102" i="6"/>
  <c r="BS102" i="6"/>
  <c r="BC102" i="6"/>
  <c r="BH102" i="6"/>
  <c r="B107" i="3"/>
  <c r="BD102" i="6"/>
  <c r="BO102" i="6"/>
  <c r="BE102" i="6"/>
  <c r="BI102" i="6"/>
  <c r="BJ102" i="6" s="1"/>
  <c r="BG102" i="6"/>
  <c r="BT102" i="6"/>
  <c r="AZ102" i="6"/>
  <c r="C107" i="3" s="1"/>
  <c r="AX103" i="6" a="1"/>
  <c r="Q103" i="2" l="1"/>
  <c r="BF102" i="6"/>
  <c r="BB102" i="6" s="1"/>
  <c r="V103" i="2"/>
  <c r="AX103" i="6"/>
  <c r="BM103" i="6" s="1"/>
  <c r="E103" i="2"/>
  <c r="K103" i="2"/>
  <c r="B104" i="2"/>
  <c r="AE104" i="2" s="1"/>
  <c r="Z104" i="2"/>
  <c r="AB103" i="2"/>
  <c r="AY106" i="6" a="1"/>
  <c r="BN103" i="6" l="1"/>
  <c r="BK103" i="6"/>
  <c r="AF104" i="2"/>
  <c r="BK104" i="2"/>
  <c r="AG104" i="2"/>
  <c r="Y104" i="2"/>
  <c r="AA104" i="2" s="1"/>
  <c r="BP104" i="2"/>
  <c r="BF104" i="2"/>
  <c r="AV104" i="2"/>
  <c r="BA104" i="2"/>
  <c r="AL104" i="2"/>
  <c r="AQ104" i="2"/>
  <c r="O104" i="2"/>
  <c r="T104" i="2"/>
  <c r="C104" i="2"/>
  <c r="H104" i="2"/>
  <c r="AY104" i="2"/>
  <c r="AI104" i="2"/>
  <c r="BI104" i="2"/>
  <c r="BS104" i="2"/>
  <c r="I104" i="2"/>
  <c r="M104" i="2"/>
  <c r="AY106" i="6"/>
  <c r="U104" i="2"/>
  <c r="BB104" i="2"/>
  <c r="BC104" i="2" s="1"/>
  <c r="F104" i="2"/>
  <c r="BD104" i="2"/>
  <c r="AW104" i="2"/>
  <c r="AX104" i="2" s="1"/>
  <c r="J104" i="2"/>
  <c r="AO104" i="2"/>
  <c r="R104" i="2"/>
  <c r="BL104" i="2"/>
  <c r="BM104" i="2" s="1"/>
  <c r="BG104" i="2"/>
  <c r="BH104" i="2" s="1"/>
  <c r="BN104" i="2"/>
  <c r="AJ104" i="2"/>
  <c r="BQ104" i="2"/>
  <c r="BR104" i="2" s="1"/>
  <c r="AM104" i="2"/>
  <c r="AN104" i="2" s="1"/>
  <c r="W104" i="2"/>
  <c r="P104" i="2"/>
  <c r="D104" i="2"/>
  <c r="AR104" i="2"/>
  <c r="AS104" i="2" s="1"/>
  <c r="AT104" i="2"/>
  <c r="B108" i="3"/>
  <c r="BG103" i="6"/>
  <c r="BH103" i="6"/>
  <c r="BI103" i="6"/>
  <c r="BJ103" i="6" s="1"/>
  <c r="BD103" i="6"/>
  <c r="BS103" i="6"/>
  <c r="BC103" i="6"/>
  <c r="BL103" i="6"/>
  <c r="BE103" i="6"/>
  <c r="BO103" i="6"/>
  <c r="BT103" i="6"/>
  <c r="AZ103" i="6"/>
  <c r="C108" i="3" s="1"/>
  <c r="AX104" i="6" a="1"/>
  <c r="V104" i="2" l="1"/>
  <c r="E104" i="2"/>
  <c r="BF103" i="6"/>
  <c r="BB103" i="6" s="1"/>
  <c r="K104" i="2"/>
  <c r="AX104" i="6"/>
  <c r="BM104" i="6" s="1"/>
  <c r="Z105" i="2"/>
  <c r="B105" i="2"/>
  <c r="AE105" i="2" s="1"/>
  <c r="AB104" i="2"/>
  <c r="L104" i="2"/>
  <c r="Q104" i="2"/>
  <c r="AY107" i="6" a="1"/>
  <c r="BN104" i="6" l="1"/>
  <c r="BK104" i="6"/>
  <c r="AF105" i="2"/>
  <c r="BK105" i="2"/>
  <c r="AG105" i="2"/>
  <c r="Y105" i="2"/>
  <c r="AA105" i="2" s="1"/>
  <c r="BP105" i="2"/>
  <c r="BF105" i="2"/>
  <c r="AV105" i="2"/>
  <c r="BA105" i="2"/>
  <c r="AL105" i="2"/>
  <c r="AQ105" i="2"/>
  <c r="O105" i="2"/>
  <c r="T105" i="2"/>
  <c r="C105" i="2"/>
  <c r="H105" i="2"/>
  <c r="L105" i="2" s="1"/>
  <c r="AY105" i="2"/>
  <c r="AI105" i="2"/>
  <c r="BI105" i="2"/>
  <c r="BS105" i="2"/>
  <c r="I105" i="2"/>
  <c r="M105" i="2"/>
  <c r="AY107" i="6"/>
  <c r="U105" i="2"/>
  <c r="BB105" i="2"/>
  <c r="BC105" i="2" s="1"/>
  <c r="P105" i="2"/>
  <c r="D105" i="2"/>
  <c r="AM105" i="2"/>
  <c r="AN105" i="2" s="1"/>
  <c r="AW105" i="2"/>
  <c r="AX105" i="2" s="1"/>
  <c r="BD105" i="2"/>
  <c r="AR105" i="2"/>
  <c r="AS105" i="2" s="1"/>
  <c r="BL105" i="2"/>
  <c r="BM105" i="2" s="1"/>
  <c r="BQ105" i="2"/>
  <c r="BR105" i="2" s="1"/>
  <c r="BG105" i="2"/>
  <c r="BH105" i="2" s="1"/>
  <c r="AT105" i="2"/>
  <c r="F105" i="2"/>
  <c r="R105" i="2"/>
  <c r="AJ105" i="2"/>
  <c r="J105" i="2"/>
  <c r="BN105" i="2"/>
  <c r="W105" i="2"/>
  <c r="AO105" i="2"/>
  <c r="BC104" i="6"/>
  <c r="BH104" i="6"/>
  <c r="BL104" i="6"/>
  <c r="B109" i="3"/>
  <c r="BS104" i="6"/>
  <c r="BD104" i="6"/>
  <c r="BE104" i="6"/>
  <c r="BI104" i="6"/>
  <c r="BJ104" i="6" s="1"/>
  <c r="BG104" i="6"/>
  <c r="BO104" i="6"/>
  <c r="BT104" i="6"/>
  <c r="AZ104" i="6"/>
  <c r="C109" i="3" s="1"/>
  <c r="AX105" i="6" a="1"/>
  <c r="E105" i="2" l="1"/>
  <c r="Q105" i="2"/>
  <c r="V105" i="2"/>
  <c r="BF104" i="6"/>
  <c r="BB104" i="6" s="1"/>
  <c r="AX105" i="6"/>
  <c r="BM105" i="6" s="1"/>
  <c r="AB105" i="2"/>
  <c r="K105" i="2"/>
  <c r="B106" i="2"/>
  <c r="AE106" i="2" s="1"/>
  <c r="Z106" i="2"/>
  <c r="AY108" i="6" a="1"/>
  <c r="BN105" i="6" l="1"/>
  <c r="BK105" i="6"/>
  <c r="AF106" i="2"/>
  <c r="BK106" i="2"/>
  <c r="AG106" i="2"/>
  <c r="Y106" i="2"/>
  <c r="BP106" i="2"/>
  <c r="BF106" i="2"/>
  <c r="AV106" i="2"/>
  <c r="BA106" i="2"/>
  <c r="AL106" i="2"/>
  <c r="AQ106" i="2"/>
  <c r="O106" i="2"/>
  <c r="T106" i="2"/>
  <c r="C106" i="2"/>
  <c r="H106" i="2"/>
  <c r="L106" i="2" s="1"/>
  <c r="AY106" i="2"/>
  <c r="AI106" i="2"/>
  <c r="BI106" i="2"/>
  <c r="BS106" i="2"/>
  <c r="I106" i="2"/>
  <c r="M106" i="2"/>
  <c r="AY108" i="6"/>
  <c r="AM106" i="2"/>
  <c r="AN106" i="2" s="1"/>
  <c r="J106" i="2"/>
  <c r="R106" i="2"/>
  <c r="BB106" i="2"/>
  <c r="BC106" i="2" s="1"/>
  <c r="AJ106" i="2"/>
  <c r="U106" i="2"/>
  <c r="BL106" i="2"/>
  <c r="BM106" i="2" s="1"/>
  <c r="BN106" i="2"/>
  <c r="F106" i="2"/>
  <c r="BD106" i="2"/>
  <c r="BQ106" i="2"/>
  <c r="BR106" i="2" s="1"/>
  <c r="BG106" i="2"/>
  <c r="BH106" i="2" s="1"/>
  <c r="AO106" i="2"/>
  <c r="P106" i="2"/>
  <c r="AR106" i="2"/>
  <c r="AS106" i="2" s="1"/>
  <c r="AW106" i="2"/>
  <c r="AX106" i="2" s="1"/>
  <c r="W106" i="2"/>
  <c r="D106" i="2"/>
  <c r="AT106" i="2"/>
  <c r="BE105" i="6"/>
  <c r="BI105" i="6"/>
  <c r="BJ105" i="6" s="1"/>
  <c r="BG105" i="6"/>
  <c r="BO105" i="6"/>
  <c r="BC105" i="6"/>
  <c r="BL105" i="6"/>
  <c r="BD105" i="6"/>
  <c r="B110" i="3"/>
  <c r="BS105" i="6"/>
  <c r="BH105" i="6"/>
  <c r="BT105" i="6"/>
  <c r="AZ105" i="6"/>
  <c r="C110" i="3" s="1"/>
  <c r="AX106" i="6" a="1"/>
  <c r="V106" i="2" l="1"/>
  <c r="AX106" i="6"/>
  <c r="BM106" i="6" s="1"/>
  <c r="Z107" i="2"/>
  <c r="B107" i="2"/>
  <c r="AE107" i="2" s="1"/>
  <c r="K106" i="2"/>
  <c r="AB106" i="2"/>
  <c r="AA106" i="2"/>
  <c r="E106" i="2"/>
  <c r="BF105" i="6"/>
  <c r="BB105" i="6" s="1"/>
  <c r="Q106" i="2"/>
  <c r="AY109" i="6" a="1"/>
  <c r="BN106" i="6" l="1"/>
  <c r="BK106" i="6"/>
  <c r="AF107" i="2"/>
  <c r="BK107" i="2"/>
  <c r="AG107" i="2"/>
  <c r="Y107" i="2"/>
  <c r="AA107" i="2" s="1"/>
  <c r="BP107" i="2"/>
  <c r="BF107" i="2"/>
  <c r="AV107" i="2"/>
  <c r="BA107" i="2"/>
  <c r="AL107" i="2"/>
  <c r="AQ107" i="2"/>
  <c r="O107" i="2"/>
  <c r="T107" i="2"/>
  <c r="C107" i="2"/>
  <c r="H107" i="2"/>
  <c r="L107" i="2" s="1"/>
  <c r="AY107" i="2"/>
  <c r="AI107" i="2"/>
  <c r="BI107" i="2"/>
  <c r="BS107" i="2"/>
  <c r="I107" i="2"/>
  <c r="M107" i="2"/>
  <c r="AY109" i="6"/>
  <c r="J107" i="2"/>
  <c r="AM107" i="2"/>
  <c r="AN107" i="2" s="1"/>
  <c r="P107" i="2"/>
  <c r="AO107" i="2"/>
  <c r="AW107" i="2"/>
  <c r="AX107" i="2" s="1"/>
  <c r="AJ107" i="2"/>
  <c r="BB107" i="2"/>
  <c r="BC107" i="2" s="1"/>
  <c r="BL107" i="2"/>
  <c r="BM107" i="2" s="1"/>
  <c r="W107" i="2"/>
  <c r="F107" i="2"/>
  <c r="R107" i="2"/>
  <c r="D107" i="2"/>
  <c r="AR107" i="2"/>
  <c r="AS107" i="2" s="1"/>
  <c r="BQ107" i="2"/>
  <c r="BR107" i="2" s="1"/>
  <c r="BN107" i="2"/>
  <c r="AT107" i="2"/>
  <c r="BD107" i="2"/>
  <c r="BG107" i="2"/>
  <c r="BH107" i="2" s="1"/>
  <c r="U107" i="2"/>
  <c r="B111" i="3"/>
  <c r="BS106" i="6"/>
  <c r="BE106" i="6"/>
  <c r="BL106" i="6"/>
  <c r="BD106" i="6"/>
  <c r="BG106" i="6"/>
  <c r="BO106" i="6"/>
  <c r="BC106" i="6"/>
  <c r="BI106" i="6"/>
  <c r="BJ106" i="6" s="1"/>
  <c r="BH106" i="6"/>
  <c r="BT106" i="6"/>
  <c r="AZ106" i="6"/>
  <c r="C111" i="3" s="1"/>
  <c r="AX107" i="6" a="1"/>
  <c r="AB107" i="2" l="1"/>
  <c r="Q107" i="2"/>
  <c r="AX107" i="6"/>
  <c r="BM107" i="6" s="1"/>
  <c r="BF106" i="6"/>
  <c r="BB106" i="6" s="1"/>
  <c r="Z108" i="2"/>
  <c r="B108" i="2"/>
  <c r="AE108" i="2" s="1"/>
  <c r="E107" i="2"/>
  <c r="V107" i="2"/>
  <c r="K107" i="2"/>
  <c r="AY110" i="6" a="1"/>
  <c r="BN107" i="6" l="1"/>
  <c r="BK107" i="6"/>
  <c r="AF108" i="2"/>
  <c r="BK108" i="2"/>
  <c r="AG108" i="2"/>
  <c r="Y108" i="2"/>
  <c r="AA108" i="2" s="1"/>
  <c r="BP108" i="2"/>
  <c r="BF108" i="2"/>
  <c r="AV108" i="2"/>
  <c r="BA108" i="2"/>
  <c r="AL108" i="2"/>
  <c r="AQ108" i="2"/>
  <c r="O108" i="2"/>
  <c r="T108" i="2"/>
  <c r="C108" i="2"/>
  <c r="H108" i="2"/>
  <c r="AY108" i="2"/>
  <c r="AI108" i="2"/>
  <c r="BI108" i="2"/>
  <c r="BS108" i="2"/>
  <c r="I108" i="2"/>
  <c r="M108" i="2"/>
  <c r="AY110" i="6"/>
  <c r="D108" i="2"/>
  <c r="BL108" i="2"/>
  <c r="BM108" i="2" s="1"/>
  <c r="AO108" i="2"/>
  <c r="AM108" i="2"/>
  <c r="AN108" i="2" s="1"/>
  <c r="P108" i="2"/>
  <c r="AT108" i="2"/>
  <c r="AJ108" i="2"/>
  <c r="BB108" i="2"/>
  <c r="BC108" i="2" s="1"/>
  <c r="U108" i="2"/>
  <c r="BQ108" i="2"/>
  <c r="BR108" i="2" s="1"/>
  <c r="BG108" i="2"/>
  <c r="BH108" i="2" s="1"/>
  <c r="AW108" i="2"/>
  <c r="AX108" i="2" s="1"/>
  <c r="AR108" i="2"/>
  <c r="AS108" i="2" s="1"/>
  <c r="J108" i="2"/>
  <c r="F108" i="2"/>
  <c r="W108" i="2"/>
  <c r="BN108" i="2"/>
  <c r="BD108" i="2"/>
  <c r="R108" i="2"/>
  <c r="BC107" i="6"/>
  <c r="B112" i="3"/>
  <c r="BD107" i="6"/>
  <c r="BS107" i="6"/>
  <c r="BI107" i="6"/>
  <c r="BJ107" i="6" s="1"/>
  <c r="BL107" i="6"/>
  <c r="BH107" i="6"/>
  <c r="BE107" i="6"/>
  <c r="BG107" i="6"/>
  <c r="BO107" i="6"/>
  <c r="BT107" i="6"/>
  <c r="AZ107" i="6"/>
  <c r="C112" i="3" s="1"/>
  <c r="AX108" i="6" a="1"/>
  <c r="Q108" i="2" l="1"/>
  <c r="E108" i="2"/>
  <c r="V108" i="2"/>
  <c r="AB108" i="2"/>
  <c r="AX108" i="6"/>
  <c r="BM108" i="6" s="1"/>
  <c r="Z109" i="2"/>
  <c r="B109" i="2"/>
  <c r="AE109" i="2" s="1"/>
  <c r="BF107" i="6"/>
  <c r="BB107" i="6" s="1"/>
  <c r="L108" i="2"/>
  <c r="K108" i="2"/>
  <c r="AY111" i="6" a="1"/>
  <c r="BN108" i="6" l="1"/>
  <c r="BK108" i="6"/>
  <c r="AF109" i="2"/>
  <c r="BK109" i="2"/>
  <c r="AG109" i="2"/>
  <c r="Y109" i="2"/>
  <c r="AA109" i="2" s="1"/>
  <c r="BP109" i="2"/>
  <c r="BF109" i="2"/>
  <c r="AV109" i="2"/>
  <c r="BA109" i="2"/>
  <c r="AL109" i="2"/>
  <c r="AQ109" i="2"/>
  <c r="O109" i="2"/>
  <c r="T109" i="2"/>
  <c r="C109" i="2"/>
  <c r="H109" i="2"/>
  <c r="L109" i="2" s="1"/>
  <c r="AY109" i="2"/>
  <c r="AI109" i="2"/>
  <c r="BI109" i="2"/>
  <c r="BS109" i="2"/>
  <c r="I109" i="2"/>
  <c r="M109" i="2"/>
  <c r="AY111" i="6"/>
  <c r="AO109" i="2"/>
  <c r="BD109" i="2"/>
  <c r="F109" i="2"/>
  <c r="AT109" i="2"/>
  <c r="AW109" i="2"/>
  <c r="AX109" i="2" s="1"/>
  <c r="BL109" i="2"/>
  <c r="BM109" i="2" s="1"/>
  <c r="P109" i="2"/>
  <c r="D109" i="2"/>
  <c r="BQ109" i="2"/>
  <c r="BR109" i="2" s="1"/>
  <c r="J109" i="2"/>
  <c r="U109" i="2"/>
  <c r="BB109" i="2"/>
  <c r="BC109" i="2" s="1"/>
  <c r="AM109" i="2"/>
  <c r="AN109" i="2" s="1"/>
  <c r="BG109" i="2"/>
  <c r="BH109" i="2" s="1"/>
  <c r="AR109" i="2"/>
  <c r="AS109" i="2" s="1"/>
  <c r="AJ109" i="2"/>
  <c r="R109" i="2"/>
  <c r="BN109" i="2"/>
  <c r="W109" i="2"/>
  <c r="B113" i="3"/>
  <c r="BC108" i="6"/>
  <c r="BE108" i="6"/>
  <c r="BO108" i="6"/>
  <c r="BI108" i="6"/>
  <c r="BJ108" i="6" s="1"/>
  <c r="BL108" i="6"/>
  <c r="BG108" i="6"/>
  <c r="BH108" i="6"/>
  <c r="BS108" i="6"/>
  <c r="BD108" i="6"/>
  <c r="BT108" i="6"/>
  <c r="AZ108" i="6"/>
  <c r="C113" i="3" s="1"/>
  <c r="AX109" i="6" a="1"/>
  <c r="Q109" i="2" l="1"/>
  <c r="BF108" i="6"/>
  <c r="BB108" i="6" s="1"/>
  <c r="AX109" i="6"/>
  <c r="BM109" i="6" s="1"/>
  <c r="E109" i="2"/>
  <c r="Z110" i="2"/>
  <c r="B110" i="2"/>
  <c r="AE110" i="2" s="1"/>
  <c r="K109" i="2"/>
  <c r="AB109" i="2"/>
  <c r="V109" i="2"/>
  <c r="AY112" i="6" a="1"/>
  <c r="BN109" i="6" l="1"/>
  <c r="BK109" i="6"/>
  <c r="AF110" i="2"/>
  <c r="BK110" i="2"/>
  <c r="AG110" i="2"/>
  <c r="Y110" i="2"/>
  <c r="AA110" i="2" s="1"/>
  <c r="BP110" i="2"/>
  <c r="BF110" i="2"/>
  <c r="AV110" i="2"/>
  <c r="BA110" i="2"/>
  <c r="AL110" i="2"/>
  <c r="AQ110" i="2"/>
  <c r="O110" i="2"/>
  <c r="T110" i="2"/>
  <c r="C110" i="2"/>
  <c r="H110" i="2"/>
  <c r="AY110" i="2"/>
  <c r="AI110" i="2"/>
  <c r="BI110" i="2"/>
  <c r="BS110" i="2"/>
  <c r="I110" i="2"/>
  <c r="M110" i="2"/>
  <c r="AY112" i="6"/>
  <c r="AO110" i="2"/>
  <c r="BD110" i="2"/>
  <c r="AT110" i="2"/>
  <c r="F110" i="2"/>
  <c r="D110" i="2"/>
  <c r="J110" i="2"/>
  <c r="BN110" i="2"/>
  <c r="BQ110" i="2"/>
  <c r="BR110" i="2" s="1"/>
  <c r="BG110" i="2"/>
  <c r="BH110" i="2" s="1"/>
  <c r="U110" i="2"/>
  <c r="AJ110" i="2"/>
  <c r="BB110" i="2"/>
  <c r="BC110" i="2" s="1"/>
  <c r="W110" i="2"/>
  <c r="AM110" i="2"/>
  <c r="AN110" i="2" s="1"/>
  <c r="AR110" i="2"/>
  <c r="AS110" i="2" s="1"/>
  <c r="P110" i="2"/>
  <c r="R110" i="2"/>
  <c r="AW110" i="2"/>
  <c r="AX110" i="2" s="1"/>
  <c r="BL110" i="2"/>
  <c r="BM110" i="2" s="1"/>
  <c r="B114" i="3"/>
  <c r="BD109" i="6"/>
  <c r="BI109" i="6"/>
  <c r="BJ109" i="6" s="1"/>
  <c r="BC109" i="6"/>
  <c r="BG109" i="6"/>
  <c r="BL109" i="6"/>
  <c r="BE109" i="6"/>
  <c r="BO109" i="6"/>
  <c r="BS109" i="6"/>
  <c r="BH109" i="6"/>
  <c r="BT109" i="6"/>
  <c r="AZ109" i="6"/>
  <c r="C114" i="3" s="1"/>
  <c r="AX110" i="6" a="1"/>
  <c r="E110" i="2" l="1"/>
  <c r="AB110" i="2"/>
  <c r="Q110" i="2"/>
  <c r="BF109" i="6"/>
  <c r="BB109" i="6" s="1"/>
  <c r="AX110" i="6"/>
  <c r="BM110" i="6" s="1"/>
  <c r="V110" i="2"/>
  <c r="Z111" i="2"/>
  <c r="B111" i="2"/>
  <c r="AE111" i="2" s="1"/>
  <c r="L110" i="2"/>
  <c r="K110" i="2"/>
  <c r="AY113" i="6" a="1"/>
  <c r="BN110" i="6" l="1"/>
  <c r="BK110" i="6"/>
  <c r="AF111" i="2"/>
  <c r="BK111" i="2"/>
  <c r="AG111" i="2"/>
  <c r="Y111" i="2"/>
  <c r="AA111" i="2" s="1"/>
  <c r="BP111" i="2"/>
  <c r="BF111" i="2"/>
  <c r="AV111" i="2"/>
  <c r="BA111" i="2"/>
  <c r="AL111" i="2"/>
  <c r="AQ111" i="2"/>
  <c r="O111" i="2"/>
  <c r="T111" i="2"/>
  <c r="C111" i="2"/>
  <c r="H111" i="2"/>
  <c r="AY111" i="2"/>
  <c r="AI111" i="2"/>
  <c r="BI111" i="2"/>
  <c r="BS111" i="2"/>
  <c r="I111" i="2"/>
  <c r="M111" i="2"/>
  <c r="AY113" i="6"/>
  <c r="AO111" i="2"/>
  <c r="BD111" i="2"/>
  <c r="AT111" i="2"/>
  <c r="F111" i="2"/>
  <c r="D111" i="2"/>
  <c r="BB111" i="2"/>
  <c r="BC111" i="2" s="1"/>
  <c r="BG111" i="2"/>
  <c r="BH111" i="2" s="1"/>
  <c r="BN111" i="2"/>
  <c r="AR111" i="2"/>
  <c r="AS111" i="2" s="1"/>
  <c r="J111" i="2"/>
  <c r="U111" i="2"/>
  <c r="AJ111" i="2"/>
  <c r="BQ111" i="2"/>
  <c r="BR111" i="2" s="1"/>
  <c r="AM111" i="2"/>
  <c r="AN111" i="2" s="1"/>
  <c r="AW111" i="2"/>
  <c r="AX111" i="2" s="1"/>
  <c r="BL111" i="2"/>
  <c r="BM111" i="2" s="1"/>
  <c r="P111" i="2"/>
  <c r="W111" i="2"/>
  <c r="R111" i="2"/>
  <c r="BC110" i="6"/>
  <c r="BH110" i="6"/>
  <c r="BD110" i="6"/>
  <c r="BG110" i="6"/>
  <c r="BO110" i="6"/>
  <c r="BI110" i="6"/>
  <c r="BJ110" i="6" s="1"/>
  <c r="BS110" i="6"/>
  <c r="B115" i="3"/>
  <c r="BE110" i="6"/>
  <c r="BL110" i="6"/>
  <c r="BT110" i="6"/>
  <c r="AZ110" i="6"/>
  <c r="C115" i="3" s="1"/>
  <c r="AX111" i="6" a="1"/>
  <c r="AB111" i="2" l="1"/>
  <c r="E111" i="2"/>
  <c r="Q111" i="2"/>
  <c r="AX111" i="6"/>
  <c r="BM111" i="6" s="1"/>
  <c r="L111" i="2"/>
  <c r="K111" i="2"/>
  <c r="Z112" i="2"/>
  <c r="B112" i="2"/>
  <c r="AE112" i="2" s="1"/>
  <c r="BF110" i="6"/>
  <c r="BB110" i="6" s="1"/>
  <c r="V111" i="2"/>
  <c r="AY114" i="6" a="1"/>
  <c r="BN111" i="6" l="1"/>
  <c r="BK111" i="6"/>
  <c r="AF112" i="2"/>
  <c r="BK112" i="2"/>
  <c r="AG112" i="2"/>
  <c r="Y112" i="2"/>
  <c r="AA112" i="2" s="1"/>
  <c r="BP112" i="2"/>
  <c r="BF112" i="2"/>
  <c r="AV112" i="2"/>
  <c r="BA112" i="2"/>
  <c r="AL112" i="2"/>
  <c r="AQ112" i="2"/>
  <c r="O112" i="2"/>
  <c r="T112" i="2"/>
  <c r="C112" i="2"/>
  <c r="H112" i="2"/>
  <c r="AY112" i="2"/>
  <c r="AI112" i="2"/>
  <c r="BI112" i="2"/>
  <c r="BS112" i="2"/>
  <c r="I112" i="2"/>
  <c r="M112" i="2"/>
  <c r="AY114" i="6"/>
  <c r="AO112" i="2"/>
  <c r="F112" i="2"/>
  <c r="BD112" i="2"/>
  <c r="AT112" i="2"/>
  <c r="AW112" i="2"/>
  <c r="AX112" i="2" s="1"/>
  <c r="U112" i="2"/>
  <c r="BQ112" i="2"/>
  <c r="BR112" i="2" s="1"/>
  <c r="BL112" i="2"/>
  <c r="BM112" i="2" s="1"/>
  <c r="D112" i="2"/>
  <c r="AM112" i="2"/>
  <c r="AN112" i="2" s="1"/>
  <c r="BN112" i="2"/>
  <c r="AJ112" i="2"/>
  <c r="AR112" i="2"/>
  <c r="AS112" i="2" s="1"/>
  <c r="J112" i="2"/>
  <c r="W112" i="2"/>
  <c r="BB112" i="2"/>
  <c r="BC112" i="2" s="1"/>
  <c r="P112" i="2"/>
  <c r="BG112" i="2"/>
  <c r="BH112" i="2" s="1"/>
  <c r="R112" i="2"/>
  <c r="BD111" i="6"/>
  <c r="BH111" i="6"/>
  <c r="BL111" i="6"/>
  <c r="BG111" i="6"/>
  <c r="BC111" i="6"/>
  <c r="BE111" i="6"/>
  <c r="B116" i="3"/>
  <c r="BI111" i="6"/>
  <c r="BJ111" i="6" s="1"/>
  <c r="BO111" i="6"/>
  <c r="BS111" i="6"/>
  <c r="BT111" i="6"/>
  <c r="AZ111" i="6"/>
  <c r="C116" i="3" s="1"/>
  <c r="AX112" i="6" a="1"/>
  <c r="AB112" i="2" l="1"/>
  <c r="E112" i="2"/>
  <c r="Q112" i="2"/>
  <c r="AX112" i="6"/>
  <c r="BM112" i="6" s="1"/>
  <c r="Z113" i="2"/>
  <c r="B113" i="2"/>
  <c r="AE113" i="2" s="1"/>
  <c r="L112" i="2"/>
  <c r="K112" i="2"/>
  <c r="BF111" i="6"/>
  <c r="BB111" i="6" s="1"/>
  <c r="V112" i="2"/>
  <c r="AY115" i="6" a="1"/>
  <c r="BN112" i="6" l="1"/>
  <c r="BK112" i="6"/>
  <c r="AF113" i="2"/>
  <c r="BK113" i="2"/>
  <c r="AG113" i="2"/>
  <c r="Y113" i="2"/>
  <c r="AA113" i="2" s="1"/>
  <c r="BP113" i="2"/>
  <c r="BF113" i="2"/>
  <c r="AV113" i="2"/>
  <c r="BA113" i="2"/>
  <c r="AL113" i="2"/>
  <c r="AQ113" i="2"/>
  <c r="O113" i="2"/>
  <c r="T113" i="2"/>
  <c r="C113" i="2"/>
  <c r="H113" i="2"/>
  <c r="AY113" i="2"/>
  <c r="AI113" i="2"/>
  <c r="BI113" i="2"/>
  <c r="BS113" i="2"/>
  <c r="I113" i="2"/>
  <c r="M113" i="2"/>
  <c r="AY115" i="6"/>
  <c r="AO113" i="2"/>
  <c r="AT113" i="2"/>
  <c r="BD113" i="2"/>
  <c r="F113" i="2"/>
  <c r="BQ113" i="2"/>
  <c r="BR113" i="2" s="1"/>
  <c r="BL113" i="2"/>
  <c r="BM113" i="2" s="1"/>
  <c r="AR113" i="2"/>
  <c r="AS113" i="2" s="1"/>
  <c r="AW113" i="2"/>
  <c r="AX113" i="2" s="1"/>
  <c r="P113" i="2"/>
  <c r="W113" i="2"/>
  <c r="D113" i="2"/>
  <c r="BG113" i="2"/>
  <c r="BH113" i="2" s="1"/>
  <c r="AJ113" i="2"/>
  <c r="BB113" i="2"/>
  <c r="BC113" i="2" s="1"/>
  <c r="BN113" i="2"/>
  <c r="J113" i="2"/>
  <c r="AM113" i="2"/>
  <c r="AN113" i="2" s="1"/>
  <c r="R113" i="2"/>
  <c r="U113" i="2"/>
  <c r="B117" i="3"/>
  <c r="BS112" i="6"/>
  <c r="BG112" i="6"/>
  <c r="BC112" i="6"/>
  <c r="BI112" i="6"/>
  <c r="BJ112" i="6" s="1"/>
  <c r="BO112" i="6"/>
  <c r="BE112" i="6"/>
  <c r="BH112" i="6"/>
  <c r="BL112" i="6"/>
  <c r="BD112" i="6"/>
  <c r="BT112" i="6"/>
  <c r="AZ112" i="6"/>
  <c r="C117" i="3" s="1"/>
  <c r="AX113" i="6" a="1"/>
  <c r="E113" i="2" l="1"/>
  <c r="AX113" i="6"/>
  <c r="BM113" i="6" s="1"/>
  <c r="BF112" i="6"/>
  <c r="BB112" i="6" s="1"/>
  <c r="V113" i="2"/>
  <c r="L113" i="2"/>
  <c r="K113" i="2"/>
  <c r="AB113" i="2"/>
  <c r="Z114" i="2"/>
  <c r="B114" i="2"/>
  <c r="AE114" i="2" s="1"/>
  <c r="Q113" i="2"/>
  <c r="AY116" i="6" a="1"/>
  <c r="BN113" i="6" l="1"/>
  <c r="BK113" i="6"/>
  <c r="AF114" i="2"/>
  <c r="BK114" i="2"/>
  <c r="AG114" i="2"/>
  <c r="Y114" i="2"/>
  <c r="AA114" i="2" s="1"/>
  <c r="BP114" i="2"/>
  <c r="BF114" i="2"/>
  <c r="AV114" i="2"/>
  <c r="BA114" i="2"/>
  <c r="AL114" i="2"/>
  <c r="AQ114" i="2"/>
  <c r="O114" i="2"/>
  <c r="T114" i="2"/>
  <c r="C114" i="2"/>
  <c r="H114" i="2"/>
  <c r="AY114" i="2"/>
  <c r="AI114" i="2"/>
  <c r="BI114" i="2"/>
  <c r="BS114" i="2"/>
  <c r="I114" i="2"/>
  <c r="M114" i="2"/>
  <c r="AY116" i="6"/>
  <c r="BE113" i="6"/>
  <c r="B118" i="3"/>
  <c r="BL113" i="6"/>
  <c r="BH113" i="6"/>
  <c r="BC113" i="6"/>
  <c r="BG113" i="6"/>
  <c r="BS113" i="6"/>
  <c r="BD113" i="6"/>
  <c r="BO113" i="6"/>
  <c r="BI113" i="6"/>
  <c r="BJ113" i="6" s="1"/>
  <c r="BT113" i="6"/>
  <c r="AZ113" i="6"/>
  <c r="C118" i="3" s="1"/>
  <c r="AO114" i="2"/>
  <c r="AT114" i="2"/>
  <c r="BD114" i="2"/>
  <c r="F114" i="2"/>
  <c r="BB114" i="2"/>
  <c r="BC114" i="2" s="1"/>
  <c r="AR114" i="2"/>
  <c r="AS114" i="2" s="1"/>
  <c r="D114" i="2"/>
  <c r="J114" i="2"/>
  <c r="BL114" i="2"/>
  <c r="BM114" i="2" s="1"/>
  <c r="BG114" i="2"/>
  <c r="BH114" i="2" s="1"/>
  <c r="AW114" i="2"/>
  <c r="AX114" i="2" s="1"/>
  <c r="R114" i="2"/>
  <c r="U114" i="2"/>
  <c r="BQ114" i="2"/>
  <c r="BR114" i="2" s="1"/>
  <c r="P114" i="2"/>
  <c r="AM114" i="2"/>
  <c r="AN114" i="2" s="1"/>
  <c r="BN114" i="2"/>
  <c r="W114" i="2"/>
  <c r="AJ114" i="2"/>
  <c r="AX114" i="6" a="1"/>
  <c r="Q114" i="2" l="1"/>
  <c r="AX114" i="6"/>
  <c r="BM114" i="6" s="1"/>
  <c r="AB114" i="2"/>
  <c r="K114" i="2"/>
  <c r="BF113" i="6"/>
  <c r="BB113" i="6" s="1"/>
  <c r="V114" i="2"/>
  <c r="L114" i="2"/>
  <c r="E114" i="2"/>
  <c r="Z115" i="2"/>
  <c r="B115" i="2"/>
  <c r="AE115" i="2" s="1"/>
  <c r="AY117" i="6" a="1"/>
  <c r="BN114" i="6" l="1"/>
  <c r="BK114" i="6"/>
  <c r="AF115" i="2"/>
  <c r="BK115" i="2"/>
  <c r="AG115" i="2"/>
  <c r="Y115" i="2"/>
  <c r="AA115" i="2" s="1"/>
  <c r="BP115" i="2"/>
  <c r="BF115" i="2"/>
  <c r="AV115" i="2"/>
  <c r="BA115" i="2"/>
  <c r="AL115" i="2"/>
  <c r="AQ115" i="2"/>
  <c r="O115" i="2"/>
  <c r="T115" i="2"/>
  <c r="C115" i="2"/>
  <c r="H115" i="2"/>
  <c r="AY115" i="2"/>
  <c r="AI115" i="2"/>
  <c r="BI115" i="2"/>
  <c r="BS115" i="2"/>
  <c r="I115" i="2"/>
  <c r="M115" i="2"/>
  <c r="AY117" i="6"/>
  <c r="AO115" i="2"/>
  <c r="AT115" i="2"/>
  <c r="F115" i="2"/>
  <c r="BD115" i="2"/>
  <c r="BB115" i="2"/>
  <c r="BC115" i="2" s="1"/>
  <c r="AM115" i="2"/>
  <c r="AN115" i="2" s="1"/>
  <c r="BL115" i="2"/>
  <c r="BM115" i="2" s="1"/>
  <c r="R115" i="2"/>
  <c r="J115" i="2"/>
  <c r="BG115" i="2"/>
  <c r="BH115" i="2" s="1"/>
  <c r="AW115" i="2"/>
  <c r="AX115" i="2" s="1"/>
  <c r="D115" i="2"/>
  <c r="AJ115" i="2"/>
  <c r="BN115" i="2"/>
  <c r="BQ115" i="2"/>
  <c r="BR115" i="2" s="1"/>
  <c r="AR115" i="2"/>
  <c r="AS115" i="2" s="1"/>
  <c r="W115" i="2"/>
  <c r="P115" i="2"/>
  <c r="U115" i="2"/>
  <c r="BD114" i="6"/>
  <c r="BC114" i="6"/>
  <c r="BL114" i="6"/>
  <c r="BS114" i="6"/>
  <c r="BI114" i="6"/>
  <c r="BJ114" i="6" s="1"/>
  <c r="B119" i="3"/>
  <c r="BG114" i="6"/>
  <c r="BE114" i="6"/>
  <c r="BH114" i="6"/>
  <c r="BO114" i="6"/>
  <c r="BT114" i="6"/>
  <c r="AZ114" i="6"/>
  <c r="C119" i="3" s="1"/>
  <c r="AX115" i="6" a="1"/>
  <c r="E115" i="2" l="1"/>
  <c r="AX115" i="6"/>
  <c r="BM115" i="6" s="1"/>
  <c r="Z116" i="2"/>
  <c r="B116" i="2"/>
  <c r="AE116" i="2" s="1"/>
  <c r="V115" i="2"/>
  <c r="AB115" i="2"/>
  <c r="Q115" i="2"/>
  <c r="K115" i="2"/>
  <c r="L115" i="2"/>
  <c r="BF114" i="6"/>
  <c r="BB114" i="6" s="1"/>
  <c r="AY118" i="6" a="1"/>
  <c r="BN115" i="6" l="1"/>
  <c r="BK115" i="6"/>
  <c r="AF116" i="2"/>
  <c r="BK116" i="2"/>
  <c r="AG116" i="2"/>
  <c r="Y116" i="2"/>
  <c r="AA116" i="2" s="1"/>
  <c r="BP116" i="2"/>
  <c r="BF116" i="2"/>
  <c r="AV116" i="2"/>
  <c r="BA116" i="2"/>
  <c r="AL116" i="2"/>
  <c r="AQ116" i="2"/>
  <c r="O116" i="2"/>
  <c r="T116" i="2"/>
  <c r="C116" i="2"/>
  <c r="H116" i="2"/>
  <c r="L116" i="2" s="1"/>
  <c r="AY116" i="2"/>
  <c r="AI116" i="2"/>
  <c r="BI116" i="2"/>
  <c r="BS116" i="2"/>
  <c r="I116" i="2"/>
  <c r="M116" i="2"/>
  <c r="AY118" i="6"/>
  <c r="AO116" i="2"/>
  <c r="AT116" i="2"/>
  <c r="BD116" i="2"/>
  <c r="F116" i="2"/>
  <c r="J116" i="2"/>
  <c r="W116" i="2"/>
  <c r="AW116" i="2"/>
  <c r="AX116" i="2" s="1"/>
  <c r="U116" i="2"/>
  <c r="BG116" i="2"/>
  <c r="BH116" i="2" s="1"/>
  <c r="AR116" i="2"/>
  <c r="AS116" i="2" s="1"/>
  <c r="BB116" i="2"/>
  <c r="BC116" i="2" s="1"/>
  <c r="AJ116" i="2"/>
  <c r="AM116" i="2"/>
  <c r="AN116" i="2" s="1"/>
  <c r="R116" i="2"/>
  <c r="BQ116" i="2"/>
  <c r="BR116" i="2" s="1"/>
  <c r="BL116" i="2"/>
  <c r="BM116" i="2" s="1"/>
  <c r="BN116" i="2"/>
  <c r="P116" i="2"/>
  <c r="D116" i="2"/>
  <c r="BC115" i="6"/>
  <c r="BH115" i="6"/>
  <c r="BE115" i="6"/>
  <c r="B120" i="3"/>
  <c r="BD115" i="6"/>
  <c r="BI115" i="6"/>
  <c r="BJ115" i="6" s="1"/>
  <c r="BG115" i="6"/>
  <c r="BO115" i="6"/>
  <c r="BL115" i="6"/>
  <c r="BS115" i="6"/>
  <c r="BT115" i="6"/>
  <c r="AZ115" i="6"/>
  <c r="C120" i="3" s="1"/>
  <c r="AX116" i="6" a="1"/>
  <c r="AB116" i="2" l="1"/>
  <c r="Q116" i="2"/>
  <c r="K116" i="2"/>
  <c r="V116" i="2"/>
  <c r="E116" i="2"/>
  <c r="AX116" i="6"/>
  <c r="BM116" i="6" s="1"/>
  <c r="BF115" i="6"/>
  <c r="BB115" i="6" s="1"/>
  <c r="Z117" i="2"/>
  <c r="B117" i="2"/>
  <c r="AE117" i="2" s="1"/>
  <c r="AY119" i="6" a="1"/>
  <c r="BN116" i="6" l="1"/>
  <c r="BK116" i="6"/>
  <c r="AF117" i="2"/>
  <c r="BK117" i="2"/>
  <c r="AG117" i="2"/>
  <c r="Y117" i="2"/>
  <c r="AA117" i="2" s="1"/>
  <c r="BP117" i="2"/>
  <c r="BF117" i="2"/>
  <c r="AV117" i="2"/>
  <c r="BA117" i="2"/>
  <c r="AL117" i="2"/>
  <c r="AQ117" i="2"/>
  <c r="O117" i="2"/>
  <c r="T117" i="2"/>
  <c r="C117" i="2"/>
  <c r="H117" i="2"/>
  <c r="L117" i="2" s="1"/>
  <c r="AY117" i="2"/>
  <c r="AI117" i="2"/>
  <c r="BI117" i="2"/>
  <c r="BS117" i="2"/>
  <c r="I117" i="2"/>
  <c r="M117" i="2"/>
  <c r="AY119" i="6"/>
  <c r="AO117" i="2"/>
  <c r="AT117" i="2"/>
  <c r="F117" i="2"/>
  <c r="BD117" i="2"/>
  <c r="AR117" i="2"/>
  <c r="AS117" i="2" s="1"/>
  <c r="P117" i="2"/>
  <c r="AM117" i="2"/>
  <c r="AN117" i="2" s="1"/>
  <c r="BG117" i="2"/>
  <c r="BH117" i="2" s="1"/>
  <c r="U117" i="2"/>
  <c r="BL117" i="2"/>
  <c r="BM117" i="2" s="1"/>
  <c r="W117" i="2"/>
  <c r="D117" i="2"/>
  <c r="BN117" i="2"/>
  <c r="J117" i="2"/>
  <c r="R117" i="2"/>
  <c r="AW117" i="2"/>
  <c r="AX117" i="2" s="1"/>
  <c r="BB117" i="2"/>
  <c r="BC117" i="2" s="1"/>
  <c r="BQ117" i="2"/>
  <c r="BR117" i="2" s="1"/>
  <c r="AJ117" i="2"/>
  <c r="BG116" i="6"/>
  <c r="BD116" i="6"/>
  <c r="BL116" i="6"/>
  <c r="BI116" i="6"/>
  <c r="BJ116" i="6" s="1"/>
  <c r="B121" i="3"/>
  <c r="BE116" i="6"/>
  <c r="BS116" i="6"/>
  <c r="BC116" i="6"/>
  <c r="BH116" i="6"/>
  <c r="BO116" i="6"/>
  <c r="BT116" i="6"/>
  <c r="AZ116" i="6"/>
  <c r="C121" i="3" s="1"/>
  <c r="AX117" i="6" a="1"/>
  <c r="Q117" i="2" l="1"/>
  <c r="BF116" i="6"/>
  <c r="BB116" i="6" s="1"/>
  <c r="V117" i="2"/>
  <c r="AX117" i="6"/>
  <c r="BM117" i="6" s="1"/>
  <c r="Z118" i="2"/>
  <c r="B118" i="2"/>
  <c r="AE118" i="2" s="1"/>
  <c r="E117" i="2"/>
  <c r="K117" i="2"/>
  <c r="AB117" i="2"/>
  <c r="AY120" i="6" a="1"/>
  <c r="BN117" i="6" l="1"/>
  <c r="BK117" i="6"/>
  <c r="AF118" i="2"/>
  <c r="BK118" i="2"/>
  <c r="AG118" i="2"/>
  <c r="Y118" i="2"/>
  <c r="AA118" i="2" s="1"/>
  <c r="BP118" i="2"/>
  <c r="BF118" i="2"/>
  <c r="AV118" i="2"/>
  <c r="BA118" i="2"/>
  <c r="AL118" i="2"/>
  <c r="AQ118" i="2"/>
  <c r="O118" i="2"/>
  <c r="T118" i="2"/>
  <c r="C118" i="2"/>
  <c r="H118" i="2"/>
  <c r="AY118" i="2"/>
  <c r="AI118" i="2"/>
  <c r="BI118" i="2"/>
  <c r="BS118" i="2"/>
  <c r="I118" i="2"/>
  <c r="M118" i="2"/>
  <c r="AY120" i="6"/>
  <c r="AO118" i="2"/>
  <c r="BD118" i="2"/>
  <c r="AT118" i="2"/>
  <c r="F118" i="2"/>
  <c r="W118" i="2"/>
  <c r="BB118" i="2"/>
  <c r="BC118" i="2" s="1"/>
  <c r="J118" i="2"/>
  <c r="U118" i="2"/>
  <c r="P118" i="2"/>
  <c r="D118" i="2"/>
  <c r="AW118" i="2"/>
  <c r="AX118" i="2" s="1"/>
  <c r="AR118" i="2"/>
  <c r="AS118" i="2" s="1"/>
  <c r="BN118" i="2"/>
  <c r="BQ118" i="2"/>
  <c r="BR118" i="2" s="1"/>
  <c r="R118" i="2"/>
  <c r="AJ118" i="2"/>
  <c r="BG118" i="2"/>
  <c r="BH118" i="2" s="1"/>
  <c r="AM118" i="2"/>
  <c r="AN118" i="2" s="1"/>
  <c r="BL118" i="2"/>
  <c r="BM118" i="2" s="1"/>
  <c r="BC117" i="6"/>
  <c r="BO117" i="6"/>
  <c r="BS117" i="6"/>
  <c r="BE117" i="6"/>
  <c r="BH117" i="6"/>
  <c r="BI117" i="6"/>
  <c r="BJ117" i="6" s="1"/>
  <c r="BD117" i="6"/>
  <c r="BG117" i="6"/>
  <c r="B122" i="3"/>
  <c r="BL117" i="6"/>
  <c r="BT117" i="6"/>
  <c r="AZ117" i="6"/>
  <c r="C122" i="3" s="1"/>
  <c r="AX118" i="6" a="1"/>
  <c r="E118" i="2" l="1"/>
  <c r="BF117" i="6"/>
  <c r="BB117" i="6" s="1"/>
  <c r="AB118" i="2"/>
  <c r="AX118" i="6"/>
  <c r="BM118" i="6" s="1"/>
  <c r="Q118" i="2"/>
  <c r="Z119" i="2"/>
  <c r="B119" i="2"/>
  <c r="AE119" i="2" s="1"/>
  <c r="V118" i="2"/>
  <c r="K118" i="2"/>
  <c r="L118" i="2"/>
  <c r="AY121" i="6" a="1"/>
  <c r="BN118" i="6" l="1"/>
  <c r="BK118" i="6"/>
  <c r="AF119" i="2"/>
  <c r="BK119" i="2"/>
  <c r="AG119" i="2"/>
  <c r="Y119" i="2"/>
  <c r="AA119" i="2" s="1"/>
  <c r="BP119" i="2"/>
  <c r="BF119" i="2"/>
  <c r="AV119" i="2"/>
  <c r="BA119" i="2"/>
  <c r="AL119" i="2"/>
  <c r="AQ119" i="2"/>
  <c r="O119" i="2"/>
  <c r="T119" i="2"/>
  <c r="C119" i="2"/>
  <c r="H119" i="2"/>
  <c r="L119" i="2" s="1"/>
  <c r="AY119" i="2"/>
  <c r="AI119" i="2"/>
  <c r="BI119" i="2"/>
  <c r="BS119" i="2"/>
  <c r="I119" i="2"/>
  <c r="M119" i="2"/>
  <c r="AY121" i="6"/>
  <c r="AO119" i="2"/>
  <c r="BD119" i="2"/>
  <c r="AT119" i="2"/>
  <c r="F119" i="2"/>
  <c r="J119" i="2"/>
  <c r="BQ119" i="2"/>
  <c r="BR119" i="2" s="1"/>
  <c r="R119" i="2"/>
  <c r="AR119" i="2"/>
  <c r="AS119" i="2" s="1"/>
  <c r="U119" i="2"/>
  <c r="D119" i="2"/>
  <c r="BN119" i="2"/>
  <c r="AW119" i="2"/>
  <c r="AX119" i="2" s="1"/>
  <c r="AM119" i="2"/>
  <c r="AN119" i="2" s="1"/>
  <c r="BB119" i="2"/>
  <c r="BC119" i="2" s="1"/>
  <c r="BL119" i="2"/>
  <c r="BM119" i="2" s="1"/>
  <c r="P119" i="2"/>
  <c r="AJ119" i="2"/>
  <c r="BG119" i="2"/>
  <c r="BH119" i="2" s="1"/>
  <c r="W119" i="2"/>
  <c r="BD118" i="6"/>
  <c r="BC118" i="6"/>
  <c r="BI118" i="6"/>
  <c r="BJ118" i="6" s="1"/>
  <c r="BL118" i="6"/>
  <c r="BS118" i="6"/>
  <c r="BH118" i="6"/>
  <c r="B123" i="3"/>
  <c r="BG118" i="6"/>
  <c r="BO118" i="6"/>
  <c r="BE118" i="6"/>
  <c r="BT118" i="6"/>
  <c r="AZ118" i="6"/>
  <c r="C123" i="3" s="1"/>
  <c r="AX119" i="6" a="1"/>
  <c r="V119" i="2" l="1"/>
  <c r="E119" i="2"/>
  <c r="Q119" i="2"/>
  <c r="AB119" i="2"/>
  <c r="AX119" i="6"/>
  <c r="BM119" i="6" s="1"/>
  <c r="Z120" i="2"/>
  <c r="B120" i="2"/>
  <c r="AE120" i="2" s="1"/>
  <c r="K119" i="2"/>
  <c r="BF118" i="6"/>
  <c r="BB118" i="6" s="1"/>
  <c r="AY122" i="6" a="1"/>
  <c r="BN119" i="6" l="1"/>
  <c r="BK119" i="6"/>
  <c r="AF120" i="2"/>
  <c r="BK120" i="2"/>
  <c r="AG120" i="2"/>
  <c r="Y120" i="2"/>
  <c r="AA120" i="2" s="1"/>
  <c r="BP120" i="2"/>
  <c r="BF120" i="2"/>
  <c r="AV120" i="2"/>
  <c r="BA120" i="2"/>
  <c r="AL120" i="2"/>
  <c r="AQ120" i="2"/>
  <c r="O120" i="2"/>
  <c r="T120" i="2"/>
  <c r="C120" i="2"/>
  <c r="H120" i="2"/>
  <c r="AY120" i="2"/>
  <c r="AI120" i="2"/>
  <c r="BI120" i="2"/>
  <c r="BS120" i="2"/>
  <c r="I120" i="2"/>
  <c r="M120" i="2"/>
  <c r="AY122" i="6"/>
  <c r="AO120" i="2"/>
  <c r="F120" i="2"/>
  <c r="BD120" i="2"/>
  <c r="AT120" i="2"/>
  <c r="BN120" i="2"/>
  <c r="J120" i="2"/>
  <c r="BG120" i="2"/>
  <c r="BH120" i="2" s="1"/>
  <c r="BQ120" i="2"/>
  <c r="BR120" i="2" s="1"/>
  <c r="BL120" i="2"/>
  <c r="BM120" i="2" s="1"/>
  <c r="P120" i="2"/>
  <c r="BB120" i="2"/>
  <c r="BC120" i="2" s="1"/>
  <c r="D120" i="2"/>
  <c r="AR120" i="2"/>
  <c r="AS120" i="2" s="1"/>
  <c r="AJ120" i="2"/>
  <c r="U120" i="2"/>
  <c r="AM120" i="2"/>
  <c r="AN120" i="2" s="1"/>
  <c r="AW120" i="2"/>
  <c r="AX120" i="2" s="1"/>
  <c r="W120" i="2"/>
  <c r="R120" i="2"/>
  <c r="BO119" i="6"/>
  <c r="BH119" i="6"/>
  <c r="BL119" i="6"/>
  <c r="BS119" i="6"/>
  <c r="BE119" i="6"/>
  <c r="BD119" i="6"/>
  <c r="B124" i="3"/>
  <c r="BG119" i="6"/>
  <c r="BC119" i="6"/>
  <c r="BI119" i="6"/>
  <c r="BJ119" i="6" s="1"/>
  <c r="BT119" i="6"/>
  <c r="AZ119" i="6"/>
  <c r="C124" i="3" s="1"/>
  <c r="AX120" i="6" a="1"/>
  <c r="AB120" i="2" l="1"/>
  <c r="AX120" i="6"/>
  <c r="BM120" i="6" s="1"/>
  <c r="V120" i="2"/>
  <c r="BF119" i="6"/>
  <c r="BB119" i="6" s="1"/>
  <c r="B121" i="2"/>
  <c r="AE121" i="2" s="1"/>
  <c r="Z121" i="2"/>
  <c r="E120" i="2"/>
  <c r="L120" i="2"/>
  <c r="K120" i="2"/>
  <c r="Q120" i="2"/>
  <c r="AY123" i="6" a="1"/>
  <c r="BN120" i="6" l="1"/>
  <c r="BK120" i="6"/>
  <c r="AF121" i="2"/>
  <c r="BK121" i="2"/>
  <c r="AG121" i="2"/>
  <c r="Y121" i="2"/>
  <c r="AA121" i="2" s="1"/>
  <c r="BP121" i="2"/>
  <c r="BF121" i="2"/>
  <c r="AV121" i="2"/>
  <c r="BA121" i="2"/>
  <c r="AL121" i="2"/>
  <c r="AQ121" i="2"/>
  <c r="O121" i="2"/>
  <c r="T121" i="2"/>
  <c r="C121" i="2"/>
  <c r="H121" i="2"/>
  <c r="L121" i="2" s="1"/>
  <c r="AY121" i="2"/>
  <c r="AI121" i="2"/>
  <c r="BI121" i="2"/>
  <c r="BS121" i="2"/>
  <c r="I121" i="2"/>
  <c r="M121" i="2"/>
  <c r="AY123" i="6"/>
  <c r="AO121" i="2"/>
  <c r="AT121" i="2"/>
  <c r="F121" i="2"/>
  <c r="BD121" i="2"/>
  <c r="AW121" i="2"/>
  <c r="AX121" i="2" s="1"/>
  <c r="D121" i="2"/>
  <c r="P121" i="2"/>
  <c r="AR121" i="2"/>
  <c r="AS121" i="2" s="1"/>
  <c r="R121" i="2"/>
  <c r="BG121" i="2"/>
  <c r="BH121" i="2" s="1"/>
  <c r="W121" i="2"/>
  <c r="AJ121" i="2"/>
  <c r="BN121" i="2"/>
  <c r="BB121" i="2"/>
  <c r="BC121" i="2" s="1"/>
  <c r="AM121" i="2"/>
  <c r="AN121" i="2" s="1"/>
  <c r="BL121" i="2"/>
  <c r="BM121" i="2" s="1"/>
  <c r="J121" i="2"/>
  <c r="BQ121" i="2"/>
  <c r="BR121" i="2" s="1"/>
  <c r="U121" i="2"/>
  <c r="BE120" i="6"/>
  <c r="BL120" i="6"/>
  <c r="B125" i="3"/>
  <c r="BG120" i="6"/>
  <c r="BS120" i="6"/>
  <c r="BI120" i="6"/>
  <c r="BJ120" i="6" s="1"/>
  <c r="BH120" i="6"/>
  <c r="BD120" i="6"/>
  <c r="BC120" i="6"/>
  <c r="BO120" i="6"/>
  <c r="BT120" i="6"/>
  <c r="AZ120" i="6"/>
  <c r="C125" i="3" s="1"/>
  <c r="AX121" i="6" a="1"/>
  <c r="E121" i="2" l="1"/>
  <c r="Q121" i="2"/>
  <c r="BF120" i="6"/>
  <c r="BB120" i="6" s="1"/>
  <c r="AB121" i="2"/>
  <c r="AX121" i="6"/>
  <c r="BM121" i="6" s="1"/>
  <c r="V121" i="2"/>
  <c r="Z122" i="2"/>
  <c r="B122" i="2"/>
  <c r="AE122" i="2" s="1"/>
  <c r="K121" i="2"/>
  <c r="AY124" i="6" a="1"/>
  <c r="BN121" i="6" l="1"/>
  <c r="BK121" i="6"/>
  <c r="AF122" i="2"/>
  <c r="BK122" i="2"/>
  <c r="AG122" i="2"/>
  <c r="Y122" i="2"/>
  <c r="AA122" i="2" s="1"/>
  <c r="BP122" i="2"/>
  <c r="BF122" i="2"/>
  <c r="AV122" i="2"/>
  <c r="BA122" i="2"/>
  <c r="AL122" i="2"/>
  <c r="AQ122" i="2"/>
  <c r="O122" i="2"/>
  <c r="T122" i="2"/>
  <c r="C122" i="2"/>
  <c r="H122" i="2"/>
  <c r="L122" i="2" s="1"/>
  <c r="AY122" i="2"/>
  <c r="AI122" i="2"/>
  <c r="BI122" i="2"/>
  <c r="BS122" i="2"/>
  <c r="I122" i="2"/>
  <c r="M122" i="2"/>
  <c r="AY124" i="6"/>
  <c r="AO122" i="2"/>
  <c r="BD122" i="2"/>
  <c r="AT122" i="2"/>
  <c r="F122" i="2"/>
  <c r="AM122" i="2"/>
  <c r="AN122" i="2" s="1"/>
  <c r="P122" i="2"/>
  <c r="J122" i="2"/>
  <c r="R122" i="2"/>
  <c r="W122" i="2"/>
  <c r="AR122" i="2"/>
  <c r="AS122" i="2" s="1"/>
  <c r="AW122" i="2"/>
  <c r="AX122" i="2" s="1"/>
  <c r="BL122" i="2"/>
  <c r="BM122" i="2" s="1"/>
  <c r="U122" i="2"/>
  <c r="AJ122" i="2"/>
  <c r="BG122" i="2"/>
  <c r="BH122" i="2" s="1"/>
  <c r="BQ122" i="2"/>
  <c r="BR122" i="2" s="1"/>
  <c r="BN122" i="2"/>
  <c r="BB122" i="2"/>
  <c r="BC122" i="2" s="1"/>
  <c r="D122" i="2"/>
  <c r="BD121" i="6"/>
  <c r="BS121" i="6"/>
  <c r="BC121" i="6"/>
  <c r="B126" i="3"/>
  <c r="BG121" i="6"/>
  <c r="BI121" i="6"/>
  <c r="BJ121" i="6" s="1"/>
  <c r="BL121" i="6"/>
  <c r="BH121" i="6"/>
  <c r="BE121" i="6"/>
  <c r="BO121" i="6"/>
  <c r="BT121" i="6"/>
  <c r="AZ121" i="6"/>
  <c r="C126" i="3" s="1"/>
  <c r="AX122" i="6" a="1"/>
  <c r="V122" i="2" l="1"/>
  <c r="AX122" i="6"/>
  <c r="BM122" i="6" s="1"/>
  <c r="Z123" i="2"/>
  <c r="B123" i="2"/>
  <c r="AE123" i="2" s="1"/>
  <c r="AB122" i="2"/>
  <c r="BF121" i="6"/>
  <c r="BB121" i="6" s="1"/>
  <c r="Q122" i="2"/>
  <c r="K122" i="2"/>
  <c r="E122" i="2"/>
  <c r="AY125" i="6" a="1"/>
  <c r="BN122" i="6" l="1"/>
  <c r="BK122" i="6"/>
  <c r="AF123" i="2"/>
  <c r="BK123" i="2"/>
  <c r="AG123" i="2"/>
  <c r="Y123" i="2"/>
  <c r="AA123" i="2" s="1"/>
  <c r="BP123" i="2"/>
  <c r="BF123" i="2"/>
  <c r="AV123" i="2"/>
  <c r="BA123" i="2"/>
  <c r="AL123" i="2"/>
  <c r="AQ123" i="2"/>
  <c r="O123" i="2"/>
  <c r="T123" i="2"/>
  <c r="C123" i="2"/>
  <c r="H123" i="2"/>
  <c r="L123" i="2" s="1"/>
  <c r="AY123" i="2"/>
  <c r="AI123" i="2"/>
  <c r="BI123" i="2"/>
  <c r="BS123" i="2"/>
  <c r="I123" i="2"/>
  <c r="M123" i="2"/>
  <c r="AY125" i="6"/>
  <c r="AO123" i="2"/>
  <c r="AT123" i="2"/>
  <c r="BD123" i="2"/>
  <c r="F123" i="2"/>
  <c r="AR123" i="2"/>
  <c r="AS123" i="2" s="1"/>
  <c r="P123" i="2"/>
  <c r="AW123" i="2"/>
  <c r="AX123" i="2" s="1"/>
  <c r="AJ123" i="2"/>
  <c r="U123" i="2"/>
  <c r="BQ123" i="2"/>
  <c r="BR123" i="2" s="1"/>
  <c r="D123" i="2"/>
  <c r="BN123" i="2"/>
  <c r="AM123" i="2"/>
  <c r="AN123" i="2" s="1"/>
  <c r="BG123" i="2"/>
  <c r="BH123" i="2" s="1"/>
  <c r="R123" i="2"/>
  <c r="J123" i="2"/>
  <c r="BB123" i="2"/>
  <c r="BC123" i="2" s="1"/>
  <c r="BL123" i="2"/>
  <c r="BM123" i="2" s="1"/>
  <c r="W123" i="2"/>
  <c r="BO122" i="6"/>
  <c r="BS122" i="6"/>
  <c r="BH122" i="6"/>
  <c r="BG122" i="6"/>
  <c r="BI122" i="6"/>
  <c r="BJ122" i="6" s="1"/>
  <c r="B127" i="3"/>
  <c r="BD122" i="6"/>
  <c r="BC122" i="6"/>
  <c r="BL122" i="6"/>
  <c r="BE122" i="6"/>
  <c r="BT122" i="6"/>
  <c r="AZ122" i="6"/>
  <c r="C127" i="3" s="1"/>
  <c r="AX123" i="6" a="1"/>
  <c r="BF122" i="6" l="1"/>
  <c r="BB122" i="6" s="1"/>
  <c r="AX123" i="6"/>
  <c r="BM123" i="6" s="1"/>
  <c r="K123" i="2"/>
  <c r="Z124" i="2"/>
  <c r="B124" i="2"/>
  <c r="AE124" i="2" s="1"/>
  <c r="AB123" i="2"/>
  <c r="E123" i="2"/>
  <c r="Q123" i="2"/>
  <c r="V123" i="2"/>
  <c r="AY126" i="6" a="1"/>
  <c r="BN123" i="6" l="1"/>
  <c r="BK123" i="6"/>
  <c r="AF124" i="2"/>
  <c r="BK124" i="2"/>
  <c r="AG124" i="2"/>
  <c r="Y124" i="2"/>
  <c r="AA124" i="2" s="1"/>
  <c r="BP124" i="2"/>
  <c r="BF124" i="2"/>
  <c r="AV124" i="2"/>
  <c r="BA124" i="2"/>
  <c r="AL124" i="2"/>
  <c r="AQ124" i="2"/>
  <c r="O124" i="2"/>
  <c r="T124" i="2"/>
  <c r="C124" i="2"/>
  <c r="H124" i="2"/>
  <c r="AY124" i="2"/>
  <c r="AI124" i="2"/>
  <c r="BI124" i="2"/>
  <c r="BS124" i="2"/>
  <c r="I124" i="2"/>
  <c r="M124" i="2"/>
  <c r="AY126" i="6"/>
  <c r="AO124" i="2"/>
  <c r="AT124" i="2"/>
  <c r="F124" i="2"/>
  <c r="BD124" i="2"/>
  <c r="BG124" i="2"/>
  <c r="BH124" i="2" s="1"/>
  <c r="AM124" i="2"/>
  <c r="AN124" i="2" s="1"/>
  <c r="P124" i="2"/>
  <c r="BN124" i="2"/>
  <c r="AR124" i="2"/>
  <c r="AS124" i="2" s="1"/>
  <c r="U124" i="2"/>
  <c r="BQ124" i="2"/>
  <c r="BR124" i="2" s="1"/>
  <c r="J124" i="2"/>
  <c r="R124" i="2"/>
  <c r="BB124" i="2"/>
  <c r="BC124" i="2" s="1"/>
  <c r="D124" i="2"/>
  <c r="BL124" i="2"/>
  <c r="BM124" i="2" s="1"/>
  <c r="AJ124" i="2"/>
  <c r="W124" i="2"/>
  <c r="AW124" i="2"/>
  <c r="AX124" i="2" s="1"/>
  <c r="BI123" i="6"/>
  <c r="BJ123" i="6" s="1"/>
  <c r="BH123" i="6"/>
  <c r="BS123" i="6"/>
  <c r="BO123" i="6"/>
  <c r="BC123" i="6"/>
  <c r="BG123" i="6"/>
  <c r="BE123" i="6"/>
  <c r="BD123" i="6"/>
  <c r="BL123" i="6"/>
  <c r="B128" i="3"/>
  <c r="BT123" i="6"/>
  <c r="AZ123" i="6"/>
  <c r="C128" i="3" s="1"/>
  <c r="AX124" i="6" a="1"/>
  <c r="Q124" i="2" l="1"/>
  <c r="V124" i="2"/>
  <c r="AX124" i="6"/>
  <c r="BM124" i="6" s="1"/>
  <c r="K124" i="2"/>
  <c r="E124" i="2"/>
  <c r="L124" i="2"/>
  <c r="BF123" i="6"/>
  <c r="BB123" i="6" s="1"/>
  <c r="AB124" i="2"/>
  <c r="Z125" i="2"/>
  <c r="B125" i="2"/>
  <c r="AE125" i="2" s="1"/>
  <c r="AY127" i="6" a="1"/>
  <c r="BN124" i="6" l="1"/>
  <c r="BK124" i="6"/>
  <c r="AF125" i="2"/>
  <c r="BK125" i="2"/>
  <c r="AG125" i="2"/>
  <c r="Y125" i="2"/>
  <c r="AA125" i="2" s="1"/>
  <c r="BP125" i="2"/>
  <c r="BF125" i="2"/>
  <c r="AV125" i="2"/>
  <c r="BA125" i="2"/>
  <c r="AL125" i="2"/>
  <c r="AQ125" i="2"/>
  <c r="O125" i="2"/>
  <c r="T125" i="2"/>
  <c r="C125" i="2"/>
  <c r="H125" i="2"/>
  <c r="L125" i="2" s="1"/>
  <c r="AY125" i="2"/>
  <c r="AI125" i="2"/>
  <c r="BI125" i="2"/>
  <c r="BS125" i="2"/>
  <c r="I125" i="2"/>
  <c r="M125" i="2"/>
  <c r="AY127" i="6"/>
  <c r="AO125" i="2"/>
  <c r="AT125" i="2"/>
  <c r="BD125" i="2"/>
  <c r="F125" i="2"/>
  <c r="W125" i="2"/>
  <c r="U125" i="2"/>
  <c r="D125" i="2"/>
  <c r="BN125" i="2"/>
  <c r="BL125" i="2"/>
  <c r="BM125" i="2" s="1"/>
  <c r="BG125" i="2"/>
  <c r="BH125" i="2" s="1"/>
  <c r="AM125" i="2"/>
  <c r="AN125" i="2" s="1"/>
  <c r="P125" i="2"/>
  <c r="AW125" i="2"/>
  <c r="AX125" i="2" s="1"/>
  <c r="BB125" i="2"/>
  <c r="BC125" i="2" s="1"/>
  <c r="BQ125" i="2"/>
  <c r="BR125" i="2" s="1"/>
  <c r="J125" i="2"/>
  <c r="AR125" i="2"/>
  <c r="AS125" i="2" s="1"/>
  <c r="AJ125" i="2"/>
  <c r="R125" i="2"/>
  <c r="BH124" i="6"/>
  <c r="BO124" i="6"/>
  <c r="BG124" i="6"/>
  <c r="B129" i="3"/>
  <c r="BL124" i="6"/>
  <c r="BI124" i="6"/>
  <c r="BJ124" i="6" s="1"/>
  <c r="BE124" i="6"/>
  <c r="BC124" i="6"/>
  <c r="BD124" i="6"/>
  <c r="BS124" i="6"/>
  <c r="BT124" i="6"/>
  <c r="AZ124" i="6"/>
  <c r="C129" i="3" s="1"/>
  <c r="AX125" i="6" a="1"/>
  <c r="Q125" i="2" l="1"/>
  <c r="V125" i="2"/>
  <c r="AX125" i="6"/>
  <c r="BM125" i="6" s="1"/>
  <c r="Z126" i="2"/>
  <c r="B126" i="2"/>
  <c r="AE126" i="2" s="1"/>
  <c r="BF124" i="6"/>
  <c r="BB124" i="6" s="1"/>
  <c r="K125" i="2"/>
  <c r="AB125" i="2"/>
  <c r="E125" i="2"/>
  <c r="AY128" i="6" a="1"/>
  <c r="BN125" i="6" l="1"/>
  <c r="BK125" i="6"/>
  <c r="AF126" i="2"/>
  <c r="BK126" i="2"/>
  <c r="AG126" i="2"/>
  <c r="Y126" i="2"/>
  <c r="AA126" i="2" s="1"/>
  <c r="BP126" i="2"/>
  <c r="BF126" i="2"/>
  <c r="AV126" i="2"/>
  <c r="BA126" i="2"/>
  <c r="AL126" i="2"/>
  <c r="AQ126" i="2"/>
  <c r="O126" i="2"/>
  <c r="T126" i="2"/>
  <c r="C126" i="2"/>
  <c r="H126" i="2"/>
  <c r="AY126" i="2"/>
  <c r="AI126" i="2"/>
  <c r="BI126" i="2"/>
  <c r="BS126" i="2"/>
  <c r="I126" i="2"/>
  <c r="M126" i="2"/>
  <c r="AY128" i="6"/>
  <c r="BG125" i="6"/>
  <c r="BC125" i="6"/>
  <c r="BD125" i="6"/>
  <c r="BH125" i="6"/>
  <c r="BO125" i="6"/>
  <c r="B130" i="3"/>
  <c r="BL125" i="6"/>
  <c r="BS125" i="6"/>
  <c r="BE125" i="6"/>
  <c r="BI125" i="6"/>
  <c r="BJ125" i="6" s="1"/>
  <c r="BT125" i="6"/>
  <c r="AZ125" i="6"/>
  <c r="C130" i="3" s="1"/>
  <c r="AO126" i="2"/>
  <c r="BD126" i="2"/>
  <c r="F126" i="2"/>
  <c r="AT126" i="2"/>
  <c r="U126" i="2"/>
  <c r="BL126" i="2"/>
  <c r="BM126" i="2" s="1"/>
  <c r="BN126" i="2"/>
  <c r="P126" i="2"/>
  <c r="AJ126" i="2"/>
  <c r="AW126" i="2"/>
  <c r="AX126" i="2" s="1"/>
  <c r="BQ126" i="2"/>
  <c r="BR126" i="2" s="1"/>
  <c r="AR126" i="2"/>
  <c r="AS126" i="2" s="1"/>
  <c r="J126" i="2"/>
  <c r="W126" i="2"/>
  <c r="D126" i="2"/>
  <c r="BB126" i="2"/>
  <c r="BC126" i="2" s="1"/>
  <c r="R126" i="2"/>
  <c r="BG126" i="2"/>
  <c r="BH126" i="2" s="1"/>
  <c r="AM126" i="2"/>
  <c r="AN126" i="2" s="1"/>
  <c r="AX126" i="6" a="1"/>
  <c r="AB126" i="2" l="1"/>
  <c r="V126" i="2"/>
  <c r="E126" i="2"/>
  <c r="AX126" i="6"/>
  <c r="BM126" i="6" s="1"/>
  <c r="Z127" i="2"/>
  <c r="B127" i="2"/>
  <c r="AE127" i="2" s="1"/>
  <c r="K126" i="2"/>
  <c r="L126" i="2"/>
  <c r="BF125" i="6"/>
  <c r="BB125" i="6" s="1"/>
  <c r="Q126" i="2"/>
  <c r="AY129" i="6" a="1"/>
  <c r="BN126" i="6" l="1"/>
  <c r="BK126" i="6"/>
  <c r="AF127" i="2"/>
  <c r="BK127" i="2"/>
  <c r="AG127" i="2"/>
  <c r="Y127" i="2"/>
  <c r="AA127" i="2" s="1"/>
  <c r="BP127" i="2"/>
  <c r="BF127" i="2"/>
  <c r="AV127" i="2"/>
  <c r="BA127" i="2"/>
  <c r="AL127" i="2"/>
  <c r="AQ127" i="2"/>
  <c r="O127" i="2"/>
  <c r="T127" i="2"/>
  <c r="C127" i="2"/>
  <c r="H127" i="2"/>
  <c r="AY127" i="2"/>
  <c r="AI127" i="2"/>
  <c r="BI127" i="2"/>
  <c r="BS127" i="2"/>
  <c r="I127" i="2"/>
  <c r="M127" i="2"/>
  <c r="AY129" i="6"/>
  <c r="BI126" i="6"/>
  <c r="BJ126" i="6" s="1"/>
  <c r="BO126" i="6"/>
  <c r="BE126" i="6"/>
  <c r="BC126" i="6"/>
  <c r="B131" i="3"/>
  <c r="BD126" i="6"/>
  <c r="BS126" i="6"/>
  <c r="BG126" i="6"/>
  <c r="BH126" i="6"/>
  <c r="BL126" i="6"/>
  <c r="BT126" i="6"/>
  <c r="AZ126" i="6"/>
  <c r="C131" i="3" s="1"/>
  <c r="AO127" i="2"/>
  <c r="BD127" i="2"/>
  <c r="AT127" i="2"/>
  <c r="F127" i="2"/>
  <c r="BB127" i="2"/>
  <c r="BC127" i="2" s="1"/>
  <c r="J127" i="2"/>
  <c r="AJ127" i="2"/>
  <c r="BL127" i="2"/>
  <c r="BM127" i="2" s="1"/>
  <c r="W127" i="2"/>
  <c r="BN127" i="2"/>
  <c r="BG127" i="2"/>
  <c r="BH127" i="2" s="1"/>
  <c r="U127" i="2"/>
  <c r="BQ127" i="2"/>
  <c r="BR127" i="2" s="1"/>
  <c r="D127" i="2"/>
  <c r="P127" i="2"/>
  <c r="AW127" i="2"/>
  <c r="AX127" i="2" s="1"/>
  <c r="AR127" i="2"/>
  <c r="AS127" i="2" s="1"/>
  <c r="AM127" i="2"/>
  <c r="AN127" i="2" s="1"/>
  <c r="R127" i="2"/>
  <c r="AX127" i="6" a="1"/>
  <c r="K127" i="2" l="1"/>
  <c r="Q127" i="2"/>
  <c r="E127" i="2"/>
  <c r="AX127" i="6"/>
  <c r="BM127" i="6" s="1"/>
  <c r="AB127" i="2"/>
  <c r="Z128" i="2"/>
  <c r="B128" i="2"/>
  <c r="AE128" i="2" s="1"/>
  <c r="L127" i="2"/>
  <c r="V127" i="2"/>
  <c r="BF126" i="6"/>
  <c r="BB126" i="6" s="1"/>
  <c r="AY130" i="6" a="1"/>
  <c r="BN127" i="6" l="1"/>
  <c r="BK127" i="6"/>
  <c r="AF128" i="2"/>
  <c r="BK128" i="2"/>
  <c r="AG128" i="2"/>
  <c r="Y128" i="2"/>
  <c r="AA128" i="2" s="1"/>
  <c r="BP128" i="2"/>
  <c r="BF128" i="2"/>
  <c r="AV128" i="2"/>
  <c r="BA128" i="2"/>
  <c r="AL128" i="2"/>
  <c r="AQ128" i="2"/>
  <c r="O128" i="2"/>
  <c r="T128" i="2"/>
  <c r="C128" i="2"/>
  <c r="H128" i="2"/>
  <c r="L128" i="2" s="1"/>
  <c r="AY128" i="2"/>
  <c r="AI128" i="2"/>
  <c r="BI128" i="2"/>
  <c r="BS128" i="2"/>
  <c r="I128" i="2"/>
  <c r="M128" i="2"/>
  <c r="AY130" i="6"/>
  <c r="AO128" i="2"/>
  <c r="F128" i="2"/>
  <c r="BD128" i="2"/>
  <c r="AT128" i="2"/>
  <c r="BB128" i="2"/>
  <c r="BC128" i="2" s="1"/>
  <c r="AW128" i="2"/>
  <c r="AX128" i="2" s="1"/>
  <c r="J128" i="2"/>
  <c r="BG128" i="2"/>
  <c r="BH128" i="2" s="1"/>
  <c r="BL128" i="2"/>
  <c r="BM128" i="2" s="1"/>
  <c r="AM128" i="2"/>
  <c r="AN128" i="2" s="1"/>
  <c r="P128" i="2"/>
  <c r="D128" i="2"/>
  <c r="BN128" i="2"/>
  <c r="W128" i="2"/>
  <c r="BQ128" i="2"/>
  <c r="BR128" i="2" s="1"/>
  <c r="AR128" i="2"/>
  <c r="AS128" i="2" s="1"/>
  <c r="AJ128" i="2"/>
  <c r="U128" i="2"/>
  <c r="R128" i="2"/>
  <c r="BD127" i="6"/>
  <c r="BE127" i="6"/>
  <c r="BG127" i="6"/>
  <c r="BL127" i="6"/>
  <c r="B132" i="3"/>
  <c r="BC127" i="6"/>
  <c r="BI127" i="6"/>
  <c r="BJ127" i="6" s="1"/>
  <c r="BH127" i="6"/>
  <c r="BS127" i="6"/>
  <c r="BO127" i="6"/>
  <c r="BT127" i="6"/>
  <c r="AZ127" i="6"/>
  <c r="C132" i="3" s="1"/>
  <c r="AX128" i="6" a="1"/>
  <c r="V128" i="2" l="1"/>
  <c r="Q128" i="2"/>
  <c r="BF127" i="6"/>
  <c r="BB127" i="6" s="1"/>
  <c r="AX128" i="6"/>
  <c r="BM128" i="6" s="1"/>
  <c r="B129" i="2"/>
  <c r="AE129" i="2" s="1"/>
  <c r="Z129" i="2"/>
  <c r="AB128" i="2"/>
  <c r="K128" i="2"/>
  <c r="E128" i="2"/>
  <c r="AY131" i="6" a="1"/>
  <c r="BN128" i="6" l="1"/>
  <c r="BK128" i="6"/>
  <c r="AF129" i="2"/>
  <c r="BK129" i="2"/>
  <c r="AG129" i="2"/>
  <c r="Y129" i="2"/>
  <c r="AA129" i="2" s="1"/>
  <c r="BP129" i="2"/>
  <c r="BF129" i="2"/>
  <c r="AV129" i="2"/>
  <c r="BA129" i="2"/>
  <c r="AL129" i="2"/>
  <c r="AQ129" i="2"/>
  <c r="O129" i="2"/>
  <c r="T129" i="2"/>
  <c r="C129" i="2"/>
  <c r="H129" i="2"/>
  <c r="L129" i="2" s="1"/>
  <c r="AY129" i="2"/>
  <c r="AI129" i="2"/>
  <c r="BI129" i="2"/>
  <c r="BS129" i="2"/>
  <c r="I129" i="2"/>
  <c r="M129" i="2"/>
  <c r="AY131" i="6"/>
  <c r="AO129" i="2"/>
  <c r="AT129" i="2"/>
  <c r="BD129" i="2"/>
  <c r="F129" i="2"/>
  <c r="D129" i="2"/>
  <c r="AW129" i="2"/>
  <c r="AX129" i="2" s="1"/>
  <c r="U129" i="2"/>
  <c r="BQ129" i="2"/>
  <c r="BR129" i="2" s="1"/>
  <c r="AR129" i="2"/>
  <c r="AS129" i="2" s="1"/>
  <c r="BB129" i="2"/>
  <c r="BC129" i="2" s="1"/>
  <c r="BL129" i="2"/>
  <c r="BM129" i="2" s="1"/>
  <c r="AM129" i="2"/>
  <c r="AN129" i="2" s="1"/>
  <c r="P129" i="2"/>
  <c r="W129" i="2"/>
  <c r="R129" i="2"/>
  <c r="AJ129" i="2"/>
  <c r="BG129" i="2"/>
  <c r="BH129" i="2" s="1"/>
  <c r="J129" i="2"/>
  <c r="BN129" i="2"/>
  <c r="B133" i="3"/>
  <c r="BI128" i="6"/>
  <c r="BJ128" i="6" s="1"/>
  <c r="BE128" i="6"/>
  <c r="BL128" i="6"/>
  <c r="BH128" i="6"/>
  <c r="BD128" i="6"/>
  <c r="BS128" i="6"/>
  <c r="BC128" i="6"/>
  <c r="BO128" i="6"/>
  <c r="BG128" i="6"/>
  <c r="BT128" i="6"/>
  <c r="AZ128" i="6"/>
  <c r="C133" i="3" s="1"/>
  <c r="AX129" i="6" a="1"/>
  <c r="BF128" i="6" l="1"/>
  <c r="BB128" i="6" s="1"/>
  <c r="V129" i="2"/>
  <c r="AB129" i="2"/>
  <c r="AX129" i="6"/>
  <c r="BM129" i="6" s="1"/>
  <c r="Z130" i="2"/>
  <c r="B130" i="2"/>
  <c r="AE130" i="2" s="1"/>
  <c r="Q129" i="2"/>
  <c r="K129" i="2"/>
  <c r="E129" i="2"/>
  <c r="AY132" i="6" a="1"/>
  <c r="BN129" i="6" l="1"/>
  <c r="BK129" i="6"/>
  <c r="AF130" i="2"/>
  <c r="BK130" i="2"/>
  <c r="AG130" i="2"/>
  <c r="Y130" i="2"/>
  <c r="AA130" i="2" s="1"/>
  <c r="BP130" i="2"/>
  <c r="BF130" i="2"/>
  <c r="AV130" i="2"/>
  <c r="BA130" i="2"/>
  <c r="AL130" i="2"/>
  <c r="AQ130" i="2"/>
  <c r="O130" i="2"/>
  <c r="T130" i="2"/>
  <c r="C130" i="2"/>
  <c r="H130" i="2"/>
  <c r="AY130" i="2"/>
  <c r="AI130" i="2"/>
  <c r="BI130" i="2"/>
  <c r="BS130" i="2"/>
  <c r="I130" i="2"/>
  <c r="M130" i="2"/>
  <c r="AY132" i="6"/>
  <c r="BD129" i="6"/>
  <c r="BS129" i="6"/>
  <c r="BI129" i="6"/>
  <c r="BJ129" i="6" s="1"/>
  <c r="BC129" i="6"/>
  <c r="BH129" i="6"/>
  <c r="BL129" i="6"/>
  <c r="BE129" i="6"/>
  <c r="B134" i="3"/>
  <c r="BG129" i="6"/>
  <c r="BO129" i="6"/>
  <c r="BT129" i="6"/>
  <c r="AZ129" i="6"/>
  <c r="C134" i="3" s="1"/>
  <c r="AO130" i="2"/>
  <c r="BD130" i="2"/>
  <c r="F130" i="2"/>
  <c r="AT130" i="2"/>
  <c r="BL130" i="2"/>
  <c r="BM130" i="2" s="1"/>
  <c r="P130" i="2"/>
  <c r="AM130" i="2"/>
  <c r="AN130" i="2" s="1"/>
  <c r="W130" i="2"/>
  <c r="AR130" i="2"/>
  <c r="AS130" i="2" s="1"/>
  <c r="AJ130" i="2"/>
  <c r="BG130" i="2"/>
  <c r="BH130" i="2" s="1"/>
  <c r="BQ130" i="2"/>
  <c r="BR130" i="2" s="1"/>
  <c r="U130" i="2"/>
  <c r="BB130" i="2"/>
  <c r="BC130" i="2" s="1"/>
  <c r="D130" i="2"/>
  <c r="R130" i="2"/>
  <c r="AW130" i="2"/>
  <c r="AX130" i="2" s="1"/>
  <c r="J130" i="2"/>
  <c r="BN130" i="2"/>
  <c r="AX130" i="6" a="1"/>
  <c r="Q130" i="2" l="1"/>
  <c r="K130" i="2"/>
  <c r="AX130" i="6"/>
  <c r="BM130" i="6" s="1"/>
  <c r="L130" i="2"/>
  <c r="V130" i="2"/>
  <c r="B131" i="2"/>
  <c r="AE131" i="2" s="1"/>
  <c r="Z131" i="2"/>
  <c r="E130" i="2"/>
  <c r="AB130" i="2"/>
  <c r="BF129" i="6"/>
  <c r="BB129" i="6" s="1"/>
  <c r="AY133" i="6" a="1"/>
  <c r="BN130" i="6" l="1"/>
  <c r="BK130" i="6"/>
  <c r="AF131" i="2"/>
  <c r="BK131" i="2"/>
  <c r="AG131" i="2"/>
  <c r="Y131" i="2"/>
  <c r="AA131" i="2" s="1"/>
  <c r="BP131" i="2"/>
  <c r="BF131" i="2"/>
  <c r="AV131" i="2"/>
  <c r="BA131" i="2"/>
  <c r="AL131" i="2"/>
  <c r="AQ131" i="2"/>
  <c r="O131" i="2"/>
  <c r="T131" i="2"/>
  <c r="C131" i="2"/>
  <c r="H131" i="2"/>
  <c r="AY131" i="2"/>
  <c r="AI131" i="2"/>
  <c r="BI131" i="2"/>
  <c r="BS131" i="2"/>
  <c r="I131" i="2"/>
  <c r="M131" i="2"/>
  <c r="AY133" i="6"/>
  <c r="BC130" i="6"/>
  <c r="BL130" i="6"/>
  <c r="BI130" i="6"/>
  <c r="BJ130" i="6" s="1"/>
  <c r="BD130" i="6"/>
  <c r="B135" i="3"/>
  <c r="BS130" i="6"/>
  <c r="BE130" i="6"/>
  <c r="BO130" i="6"/>
  <c r="BH130" i="6"/>
  <c r="BG130" i="6"/>
  <c r="BT130" i="6"/>
  <c r="AZ130" i="6"/>
  <c r="C135" i="3" s="1"/>
  <c r="AO131" i="2"/>
  <c r="AT131" i="2"/>
  <c r="BD131" i="2"/>
  <c r="F131" i="2"/>
  <c r="BL131" i="2"/>
  <c r="BM131" i="2" s="1"/>
  <c r="BQ131" i="2"/>
  <c r="BR131" i="2" s="1"/>
  <c r="W131" i="2"/>
  <c r="BN131" i="2"/>
  <c r="P131" i="2"/>
  <c r="BB131" i="2"/>
  <c r="BC131" i="2" s="1"/>
  <c r="AM131" i="2"/>
  <c r="AN131" i="2" s="1"/>
  <c r="AJ131" i="2"/>
  <c r="AW131" i="2"/>
  <c r="AX131" i="2" s="1"/>
  <c r="D131" i="2"/>
  <c r="R131" i="2"/>
  <c r="AR131" i="2"/>
  <c r="AS131" i="2" s="1"/>
  <c r="U131" i="2"/>
  <c r="BG131" i="2"/>
  <c r="BH131" i="2" s="1"/>
  <c r="J131" i="2"/>
  <c r="AX131" i="6" a="1"/>
  <c r="E131" i="2" l="1"/>
  <c r="BF130" i="6"/>
  <c r="BB130" i="6" s="1"/>
  <c r="AX131" i="6"/>
  <c r="BM131" i="6" s="1"/>
  <c r="AB131" i="2"/>
  <c r="V131" i="2"/>
  <c r="Q131" i="2"/>
  <c r="Z132" i="2"/>
  <c r="B132" i="2"/>
  <c r="AE132" i="2" s="1"/>
  <c r="L131" i="2"/>
  <c r="K131" i="2"/>
  <c r="AY134" i="6" a="1"/>
  <c r="BN131" i="6" l="1"/>
  <c r="BK131" i="6"/>
  <c r="AF132" i="2"/>
  <c r="BK132" i="2"/>
  <c r="AG132" i="2"/>
  <c r="Y132" i="2"/>
  <c r="AA132" i="2" s="1"/>
  <c r="BP132" i="2"/>
  <c r="BF132" i="2"/>
  <c r="AV132" i="2"/>
  <c r="BA132" i="2"/>
  <c r="AL132" i="2"/>
  <c r="AQ132" i="2"/>
  <c r="O132" i="2"/>
  <c r="T132" i="2"/>
  <c r="C132" i="2"/>
  <c r="H132" i="2"/>
  <c r="L132" i="2" s="1"/>
  <c r="AY132" i="2"/>
  <c r="AI132" i="2"/>
  <c r="BI132" i="2"/>
  <c r="BS132" i="2"/>
  <c r="I132" i="2"/>
  <c r="M132" i="2"/>
  <c r="AY134" i="6"/>
  <c r="AO132" i="2"/>
  <c r="BD132" i="2"/>
  <c r="AT132" i="2"/>
  <c r="F132" i="2"/>
  <c r="U132" i="2"/>
  <c r="AW132" i="2"/>
  <c r="AX132" i="2" s="1"/>
  <c r="AM132" i="2"/>
  <c r="AN132" i="2" s="1"/>
  <c r="W132" i="2"/>
  <c r="J132" i="2"/>
  <c r="BB132" i="2"/>
  <c r="BC132" i="2" s="1"/>
  <c r="R132" i="2"/>
  <c r="P132" i="2"/>
  <c r="AJ132" i="2"/>
  <c r="D132" i="2"/>
  <c r="BL132" i="2"/>
  <c r="BM132" i="2" s="1"/>
  <c r="AR132" i="2"/>
  <c r="AS132" i="2" s="1"/>
  <c r="BQ132" i="2"/>
  <c r="BR132" i="2" s="1"/>
  <c r="BN132" i="2"/>
  <c r="BG132" i="2"/>
  <c r="BH132" i="2" s="1"/>
  <c r="B136" i="3"/>
  <c r="BI131" i="6"/>
  <c r="BJ131" i="6" s="1"/>
  <c r="BS131" i="6"/>
  <c r="BG131" i="6"/>
  <c r="BL131" i="6"/>
  <c r="BH131" i="6"/>
  <c r="BC131" i="6"/>
  <c r="BE131" i="6"/>
  <c r="BD131" i="6"/>
  <c r="BO131" i="6"/>
  <c r="BT131" i="6"/>
  <c r="AZ131" i="6"/>
  <c r="C136" i="3" s="1"/>
  <c r="AX132" i="6" a="1"/>
  <c r="E132" i="2" l="1"/>
  <c r="AB132" i="2"/>
  <c r="AX132" i="6"/>
  <c r="BM132" i="6" s="1"/>
  <c r="Q132" i="2"/>
  <c r="B133" i="2"/>
  <c r="AE133" i="2" s="1"/>
  <c r="Z133" i="2"/>
  <c r="BF131" i="6"/>
  <c r="BB131" i="6" s="1"/>
  <c r="V132" i="2"/>
  <c r="K132" i="2"/>
  <c r="AY135" i="6" a="1"/>
  <c r="BN132" i="6" l="1"/>
  <c r="BK132" i="6"/>
  <c r="AF133" i="2"/>
  <c r="BK133" i="2"/>
  <c r="AG133" i="2"/>
  <c r="Y133" i="2"/>
  <c r="AA133" i="2" s="1"/>
  <c r="BP133" i="2"/>
  <c r="BF133" i="2"/>
  <c r="AV133" i="2"/>
  <c r="BA133" i="2"/>
  <c r="AL133" i="2"/>
  <c r="AQ133" i="2"/>
  <c r="O133" i="2"/>
  <c r="T133" i="2"/>
  <c r="C133" i="2"/>
  <c r="H133" i="2"/>
  <c r="L133" i="2" s="1"/>
  <c r="AY133" i="2"/>
  <c r="AI133" i="2"/>
  <c r="BI133" i="2"/>
  <c r="BS133" i="2"/>
  <c r="I133" i="2"/>
  <c r="M133" i="2"/>
  <c r="AY135" i="6"/>
  <c r="B137" i="3"/>
  <c r="BS132" i="6"/>
  <c r="BL132" i="6"/>
  <c r="BH132" i="6"/>
  <c r="BC132" i="6"/>
  <c r="BG132" i="6"/>
  <c r="BD132" i="6"/>
  <c r="BO132" i="6"/>
  <c r="BE132" i="6"/>
  <c r="BI132" i="6"/>
  <c r="BJ132" i="6" s="1"/>
  <c r="BT132" i="6"/>
  <c r="AZ132" i="6"/>
  <c r="C137" i="3" s="1"/>
  <c r="AO133" i="2"/>
  <c r="AT133" i="2"/>
  <c r="F133" i="2"/>
  <c r="BD133" i="2"/>
  <c r="U133" i="2"/>
  <c r="AM133" i="2"/>
  <c r="AN133" i="2" s="1"/>
  <c r="BL133" i="2"/>
  <c r="BM133" i="2" s="1"/>
  <c r="D133" i="2"/>
  <c r="W133" i="2"/>
  <c r="AR133" i="2"/>
  <c r="AS133" i="2" s="1"/>
  <c r="AJ133" i="2"/>
  <c r="AW133" i="2"/>
  <c r="AX133" i="2" s="1"/>
  <c r="BB133" i="2"/>
  <c r="BC133" i="2" s="1"/>
  <c r="BN133" i="2"/>
  <c r="BG133" i="2"/>
  <c r="BH133" i="2" s="1"/>
  <c r="BQ133" i="2"/>
  <c r="BR133" i="2" s="1"/>
  <c r="R133" i="2"/>
  <c r="P133" i="2"/>
  <c r="J133" i="2"/>
  <c r="AX133" i="6" a="1"/>
  <c r="AB133" i="2" l="1"/>
  <c r="AX133" i="6"/>
  <c r="BM133" i="6" s="1"/>
  <c r="Q133" i="2"/>
  <c r="B134" i="2"/>
  <c r="AE134" i="2" s="1"/>
  <c r="Z134" i="2"/>
  <c r="K133" i="2"/>
  <c r="V133" i="2"/>
  <c r="E133" i="2"/>
  <c r="BF132" i="6"/>
  <c r="BB132" i="6" s="1"/>
  <c r="AY136" i="6" a="1"/>
  <c r="BN133" i="6" l="1"/>
  <c r="BK133" i="6"/>
  <c r="AF134" i="2"/>
  <c r="BK134" i="2"/>
  <c r="AG134" i="2"/>
  <c r="Y134" i="2"/>
  <c r="AA134" i="2" s="1"/>
  <c r="BP134" i="2"/>
  <c r="BF134" i="2"/>
  <c r="AV134" i="2"/>
  <c r="BA134" i="2"/>
  <c r="AL134" i="2"/>
  <c r="AQ134" i="2"/>
  <c r="O134" i="2"/>
  <c r="T134" i="2"/>
  <c r="C134" i="2"/>
  <c r="H134" i="2"/>
  <c r="AY134" i="2"/>
  <c r="AI134" i="2"/>
  <c r="BI134" i="2"/>
  <c r="BS134" i="2"/>
  <c r="I134" i="2"/>
  <c r="M134" i="2"/>
  <c r="AY136" i="6"/>
  <c r="AO134" i="2"/>
  <c r="AT134" i="2"/>
  <c r="BD134" i="2"/>
  <c r="F134" i="2"/>
  <c r="P134" i="2"/>
  <c r="BL134" i="2"/>
  <c r="BM134" i="2" s="1"/>
  <c r="W134" i="2"/>
  <c r="AW134" i="2"/>
  <c r="AX134" i="2" s="1"/>
  <c r="BG134" i="2"/>
  <c r="BH134" i="2" s="1"/>
  <c r="U134" i="2"/>
  <c r="D134" i="2"/>
  <c r="R134" i="2"/>
  <c r="AR134" i="2"/>
  <c r="AS134" i="2" s="1"/>
  <c r="BN134" i="2"/>
  <c r="J134" i="2"/>
  <c r="AJ134" i="2"/>
  <c r="BB134" i="2"/>
  <c r="BC134" i="2" s="1"/>
  <c r="AM134" i="2"/>
  <c r="AN134" i="2" s="1"/>
  <c r="BQ134" i="2"/>
  <c r="BR134" i="2" s="1"/>
  <c r="B138" i="3"/>
  <c r="BD133" i="6"/>
  <c r="BS133" i="6"/>
  <c r="BG133" i="6"/>
  <c r="BE133" i="6"/>
  <c r="BC133" i="6"/>
  <c r="BH133" i="6"/>
  <c r="BL133" i="6"/>
  <c r="BI133" i="6"/>
  <c r="BJ133" i="6" s="1"/>
  <c r="BT133" i="6"/>
  <c r="BO133" i="6"/>
  <c r="AZ133" i="6"/>
  <c r="C138" i="3" s="1"/>
  <c r="AX134" i="6" a="1"/>
  <c r="E134" i="2" l="1"/>
  <c r="V134" i="2"/>
  <c r="BF133" i="6"/>
  <c r="BB133" i="6" s="1"/>
  <c r="AX134" i="6"/>
  <c r="BM134" i="6" s="1"/>
  <c r="B135" i="2"/>
  <c r="AE135" i="2" s="1"/>
  <c r="Z135" i="2"/>
  <c r="AB134" i="2"/>
  <c r="L134" i="2"/>
  <c r="K134" i="2"/>
  <c r="Q134" i="2"/>
  <c r="AY137" i="6" a="1"/>
  <c r="BN134" i="6" l="1"/>
  <c r="BK134" i="6"/>
  <c r="AF135" i="2"/>
  <c r="BK135" i="2"/>
  <c r="AG135" i="2"/>
  <c r="Y135" i="2"/>
  <c r="AA135" i="2" s="1"/>
  <c r="BP135" i="2"/>
  <c r="BF135" i="2"/>
  <c r="AV135" i="2"/>
  <c r="BA135" i="2"/>
  <c r="AL135" i="2"/>
  <c r="AQ135" i="2"/>
  <c r="O135" i="2"/>
  <c r="T135" i="2"/>
  <c r="C135" i="2"/>
  <c r="H135" i="2"/>
  <c r="AY135" i="2"/>
  <c r="AI135" i="2"/>
  <c r="BI135" i="2"/>
  <c r="BS135" i="2"/>
  <c r="I135" i="2"/>
  <c r="M135" i="2"/>
  <c r="AY137" i="6"/>
  <c r="B139" i="3"/>
  <c r="BH134" i="6"/>
  <c r="BD134" i="6"/>
  <c r="BC134" i="6"/>
  <c r="BI134" i="6"/>
  <c r="BJ134" i="6" s="1"/>
  <c r="BE134" i="6"/>
  <c r="BL134" i="6"/>
  <c r="BO134" i="6"/>
  <c r="BG134" i="6"/>
  <c r="BS134" i="6"/>
  <c r="BT134" i="6"/>
  <c r="AZ134" i="6"/>
  <c r="C139" i="3" s="1"/>
  <c r="AO135" i="2"/>
  <c r="BD135" i="2"/>
  <c r="AT135" i="2"/>
  <c r="F135" i="2"/>
  <c r="AJ135" i="2"/>
  <c r="J135" i="2"/>
  <c r="BL135" i="2"/>
  <c r="BM135" i="2" s="1"/>
  <c r="R135" i="2"/>
  <c r="BG135" i="2"/>
  <c r="BH135" i="2" s="1"/>
  <c r="D135" i="2"/>
  <c r="W135" i="2"/>
  <c r="AM135" i="2"/>
  <c r="AN135" i="2" s="1"/>
  <c r="P135" i="2"/>
  <c r="U135" i="2"/>
  <c r="BB135" i="2"/>
  <c r="BC135" i="2" s="1"/>
  <c r="BQ135" i="2"/>
  <c r="BR135" i="2" s="1"/>
  <c r="BN135" i="2"/>
  <c r="AW135" i="2"/>
  <c r="AX135" i="2" s="1"/>
  <c r="AR135" i="2"/>
  <c r="AS135" i="2" s="1"/>
  <c r="AX135" i="6" a="1"/>
  <c r="BF134" i="6" l="1"/>
  <c r="BB134" i="6" s="1"/>
  <c r="Q135" i="2"/>
  <c r="K135" i="2"/>
  <c r="AX135" i="6"/>
  <c r="BM135" i="6" s="1"/>
  <c r="V135" i="2"/>
  <c r="AB135" i="2"/>
  <c r="E135" i="2"/>
  <c r="L135" i="2"/>
  <c r="B136" i="2"/>
  <c r="AE136" i="2" s="1"/>
  <c r="Z136" i="2"/>
  <c r="AY138" i="6" a="1"/>
  <c r="BN135" i="6" l="1"/>
  <c r="BK135" i="6"/>
  <c r="AF136" i="2"/>
  <c r="BK136" i="2"/>
  <c r="AG136" i="2"/>
  <c r="Y136" i="2"/>
  <c r="AA136" i="2" s="1"/>
  <c r="BP136" i="2"/>
  <c r="BF136" i="2"/>
  <c r="AV136" i="2"/>
  <c r="BA136" i="2"/>
  <c r="AL136" i="2"/>
  <c r="AQ136" i="2"/>
  <c r="O136" i="2"/>
  <c r="T136" i="2"/>
  <c r="C136" i="2"/>
  <c r="H136" i="2"/>
  <c r="L136" i="2" s="1"/>
  <c r="AY136" i="2"/>
  <c r="AI136" i="2"/>
  <c r="BI136" i="2"/>
  <c r="BS136" i="2"/>
  <c r="I136" i="2"/>
  <c r="M136" i="2"/>
  <c r="AY138" i="6"/>
  <c r="B140" i="3"/>
  <c r="BG135" i="6"/>
  <c r="BD135" i="6"/>
  <c r="BL135" i="6"/>
  <c r="BE135" i="6"/>
  <c r="BO135" i="6"/>
  <c r="BH135" i="6"/>
  <c r="BS135" i="6"/>
  <c r="BC135" i="6"/>
  <c r="BI135" i="6"/>
  <c r="BJ135" i="6" s="1"/>
  <c r="BT135" i="6"/>
  <c r="AZ135" i="6"/>
  <c r="C140" i="3" s="1"/>
  <c r="AO136" i="2"/>
  <c r="F136" i="2"/>
  <c r="AT136" i="2"/>
  <c r="BD136" i="2"/>
  <c r="R136" i="2"/>
  <c r="AW136" i="2"/>
  <c r="AX136" i="2" s="1"/>
  <c r="D136" i="2"/>
  <c r="P136" i="2"/>
  <c r="AJ136" i="2"/>
  <c r="BQ136" i="2"/>
  <c r="BR136" i="2" s="1"/>
  <c r="BL136" i="2"/>
  <c r="BM136" i="2" s="1"/>
  <c r="AR136" i="2"/>
  <c r="AS136" i="2" s="1"/>
  <c r="U136" i="2"/>
  <c r="BG136" i="2"/>
  <c r="BH136" i="2" s="1"/>
  <c r="J136" i="2"/>
  <c r="BN136" i="2"/>
  <c r="BB136" i="2"/>
  <c r="BC136" i="2" s="1"/>
  <c r="W136" i="2"/>
  <c r="AM136" i="2"/>
  <c r="AN136" i="2" s="1"/>
  <c r="AX136" i="6" a="1"/>
  <c r="E136" i="2" l="1"/>
  <c r="BF135" i="6"/>
  <c r="BB135" i="6" s="1"/>
  <c r="AX136" i="6"/>
  <c r="BM136" i="6" s="1"/>
  <c r="Q136" i="2"/>
  <c r="B137" i="2"/>
  <c r="AE137" i="2" s="1"/>
  <c r="Z137" i="2"/>
  <c r="V136" i="2"/>
  <c r="AB136" i="2"/>
  <c r="K136" i="2"/>
  <c r="AY139" i="6" a="1"/>
  <c r="BN136" i="6" l="1"/>
  <c r="BK136" i="6"/>
  <c r="AF137" i="2"/>
  <c r="BK137" i="2"/>
  <c r="AG137" i="2"/>
  <c r="Y137" i="2"/>
  <c r="AA137" i="2" s="1"/>
  <c r="BP137" i="2"/>
  <c r="BF137" i="2"/>
  <c r="AV137" i="2"/>
  <c r="BA137" i="2"/>
  <c r="AL137" i="2"/>
  <c r="AQ137" i="2"/>
  <c r="O137" i="2"/>
  <c r="T137" i="2"/>
  <c r="C137" i="2"/>
  <c r="H137" i="2"/>
  <c r="L137" i="2" s="1"/>
  <c r="AY137" i="2"/>
  <c r="AI137" i="2"/>
  <c r="BI137" i="2"/>
  <c r="BS137" i="2"/>
  <c r="I137" i="2"/>
  <c r="M137" i="2"/>
  <c r="AY139" i="6"/>
  <c r="AO137" i="2"/>
  <c r="AT137" i="2"/>
  <c r="BD137" i="2"/>
  <c r="F137" i="2"/>
  <c r="AM137" i="2"/>
  <c r="AN137" i="2" s="1"/>
  <c r="AW137" i="2"/>
  <c r="AX137" i="2" s="1"/>
  <c r="BG137" i="2"/>
  <c r="BH137" i="2" s="1"/>
  <c r="BN137" i="2"/>
  <c r="P137" i="2"/>
  <c r="BL137" i="2"/>
  <c r="BM137" i="2" s="1"/>
  <c r="BQ137" i="2"/>
  <c r="BR137" i="2" s="1"/>
  <c r="D137" i="2"/>
  <c r="U137" i="2"/>
  <c r="J137" i="2"/>
  <c r="W137" i="2"/>
  <c r="AJ137" i="2"/>
  <c r="R137" i="2"/>
  <c r="BB137" i="2"/>
  <c r="BC137" i="2" s="1"/>
  <c r="AR137" i="2"/>
  <c r="AS137" i="2" s="1"/>
  <c r="B141" i="3"/>
  <c r="BL136" i="6"/>
  <c r="BC136" i="6"/>
  <c r="BG136" i="6"/>
  <c r="BH136" i="6"/>
  <c r="BD136" i="6"/>
  <c r="BS136" i="6"/>
  <c r="BI136" i="6"/>
  <c r="BJ136" i="6" s="1"/>
  <c r="BE136" i="6"/>
  <c r="BO136" i="6"/>
  <c r="BT136" i="6"/>
  <c r="AZ136" i="6"/>
  <c r="C141" i="3" s="1"/>
  <c r="AX137" i="6" a="1"/>
  <c r="AB137" i="2" l="1"/>
  <c r="Q137" i="2"/>
  <c r="E137" i="2"/>
  <c r="AX137" i="6"/>
  <c r="BM137" i="6" s="1"/>
  <c r="BF136" i="6"/>
  <c r="BB136" i="6" s="1"/>
  <c r="V137" i="2"/>
  <c r="B138" i="2"/>
  <c r="AE138" i="2" s="1"/>
  <c r="Z138" i="2"/>
  <c r="K137" i="2"/>
  <c r="AY140" i="6" a="1"/>
  <c r="BN137" i="6" l="1"/>
  <c r="BK137" i="6"/>
  <c r="AF138" i="2"/>
  <c r="BK138" i="2"/>
  <c r="AG138" i="2"/>
  <c r="Y138" i="2"/>
  <c r="AA138" i="2" s="1"/>
  <c r="BP138" i="2"/>
  <c r="BF138" i="2"/>
  <c r="AV138" i="2"/>
  <c r="BA138" i="2"/>
  <c r="AL138" i="2"/>
  <c r="AQ138" i="2"/>
  <c r="O138" i="2"/>
  <c r="T138" i="2"/>
  <c r="C138" i="2"/>
  <c r="H138" i="2"/>
  <c r="AY138" i="2"/>
  <c r="AI138" i="2"/>
  <c r="BI138" i="2"/>
  <c r="BS138" i="2"/>
  <c r="I138" i="2"/>
  <c r="M138" i="2"/>
  <c r="AY140" i="6"/>
  <c r="AO138" i="2"/>
  <c r="BD138" i="2"/>
  <c r="AT138" i="2"/>
  <c r="F138" i="2"/>
  <c r="W138" i="2"/>
  <c r="J138" i="2"/>
  <c r="BN138" i="2"/>
  <c r="R138" i="2"/>
  <c r="BL138" i="2"/>
  <c r="BM138" i="2" s="1"/>
  <c r="BB138" i="2"/>
  <c r="BC138" i="2" s="1"/>
  <c r="AM138" i="2"/>
  <c r="AN138" i="2" s="1"/>
  <c r="AR138" i="2"/>
  <c r="AS138" i="2" s="1"/>
  <c r="BQ138" i="2"/>
  <c r="BR138" i="2" s="1"/>
  <c r="P138" i="2"/>
  <c r="U138" i="2"/>
  <c r="AW138" i="2"/>
  <c r="AX138" i="2" s="1"/>
  <c r="BG138" i="2"/>
  <c r="BH138" i="2" s="1"/>
  <c r="D138" i="2"/>
  <c r="AJ138" i="2"/>
  <c r="B142" i="3"/>
  <c r="BI137" i="6"/>
  <c r="BJ137" i="6" s="1"/>
  <c r="BG137" i="6"/>
  <c r="BD137" i="6"/>
  <c r="BH137" i="6"/>
  <c r="BS137" i="6"/>
  <c r="BT137" i="6"/>
  <c r="BL137" i="6"/>
  <c r="BO137" i="6"/>
  <c r="BC137" i="6"/>
  <c r="BE137" i="6"/>
  <c r="AZ137" i="6"/>
  <c r="C142" i="3" s="1"/>
  <c r="AX138" i="6" a="1"/>
  <c r="E138" i="2" l="1"/>
  <c r="AX138" i="6"/>
  <c r="BM138" i="6" s="1"/>
  <c r="Q138" i="2"/>
  <c r="K138" i="2"/>
  <c r="AB138" i="2"/>
  <c r="B139" i="2"/>
  <c r="AE139" i="2" s="1"/>
  <c r="Z139" i="2"/>
  <c r="L138" i="2"/>
  <c r="V138" i="2"/>
  <c r="BF137" i="6"/>
  <c r="BB137" i="6" s="1"/>
  <c r="AY141" i="6" a="1"/>
  <c r="BN138" i="6" l="1"/>
  <c r="BK138" i="6"/>
  <c r="AF139" i="2"/>
  <c r="BK139" i="2"/>
  <c r="AG139" i="2"/>
  <c r="Y139" i="2"/>
  <c r="AA139" i="2" s="1"/>
  <c r="BP139" i="2"/>
  <c r="BF139" i="2"/>
  <c r="AV139" i="2"/>
  <c r="BA139" i="2"/>
  <c r="AL139" i="2"/>
  <c r="AQ139" i="2"/>
  <c r="O139" i="2"/>
  <c r="T139" i="2"/>
  <c r="C139" i="2"/>
  <c r="H139" i="2"/>
  <c r="AY139" i="2"/>
  <c r="AI139" i="2"/>
  <c r="BI139" i="2"/>
  <c r="BS139" i="2"/>
  <c r="I139" i="2"/>
  <c r="M139" i="2"/>
  <c r="AY141" i="6"/>
  <c r="AO139" i="2"/>
  <c r="AT139" i="2"/>
  <c r="F139" i="2"/>
  <c r="BD139" i="2"/>
  <c r="R139" i="2"/>
  <c r="AM139" i="2"/>
  <c r="AN139" i="2" s="1"/>
  <c r="P139" i="2"/>
  <c r="BN139" i="2"/>
  <c r="AJ139" i="2"/>
  <c r="AW139" i="2"/>
  <c r="AX139" i="2" s="1"/>
  <c r="W139" i="2"/>
  <c r="BL139" i="2"/>
  <c r="BM139" i="2" s="1"/>
  <c r="AR139" i="2"/>
  <c r="AS139" i="2" s="1"/>
  <c r="BB139" i="2"/>
  <c r="BC139" i="2" s="1"/>
  <c r="BQ139" i="2"/>
  <c r="BR139" i="2" s="1"/>
  <c r="J139" i="2"/>
  <c r="D139" i="2"/>
  <c r="BG139" i="2"/>
  <c r="BH139" i="2" s="1"/>
  <c r="U139" i="2"/>
  <c r="B143" i="3"/>
  <c r="BG138" i="6"/>
  <c r="BS138" i="6"/>
  <c r="BE138" i="6"/>
  <c r="BD138" i="6"/>
  <c r="BC138" i="6"/>
  <c r="BO138" i="6"/>
  <c r="BI138" i="6"/>
  <c r="BJ138" i="6" s="1"/>
  <c r="BL138" i="6"/>
  <c r="BH138" i="6"/>
  <c r="BT138" i="6"/>
  <c r="AZ138" i="6"/>
  <c r="C143" i="3" s="1"/>
  <c r="AX139" i="6" a="1"/>
  <c r="AB139" i="2" l="1"/>
  <c r="Q139" i="2"/>
  <c r="BF138" i="6"/>
  <c r="BB138" i="6" s="1"/>
  <c r="AX139" i="6"/>
  <c r="BM139" i="6" s="1"/>
  <c r="L139" i="2"/>
  <c r="K139" i="2"/>
  <c r="B140" i="2"/>
  <c r="AE140" i="2" s="1"/>
  <c r="Z140" i="2"/>
  <c r="V139" i="2"/>
  <c r="E139" i="2"/>
  <c r="AY142" i="6" a="1"/>
  <c r="BN139" i="6" l="1"/>
  <c r="BK139" i="6"/>
  <c r="AF140" i="2"/>
  <c r="BK140" i="2"/>
  <c r="AG140" i="2"/>
  <c r="Y140" i="2"/>
  <c r="AA140" i="2" s="1"/>
  <c r="BP140" i="2"/>
  <c r="BF140" i="2"/>
  <c r="AV140" i="2"/>
  <c r="BA140" i="2"/>
  <c r="AL140" i="2"/>
  <c r="AQ140" i="2"/>
  <c r="O140" i="2"/>
  <c r="T140" i="2"/>
  <c r="C140" i="2"/>
  <c r="H140" i="2"/>
  <c r="AY140" i="2"/>
  <c r="AI140" i="2"/>
  <c r="BI140" i="2"/>
  <c r="BS140" i="2"/>
  <c r="I140" i="2"/>
  <c r="M140" i="2"/>
  <c r="AY142" i="6"/>
  <c r="B144" i="3"/>
  <c r="BH139" i="6"/>
  <c r="BD139" i="6"/>
  <c r="BC139" i="6"/>
  <c r="BE139" i="6"/>
  <c r="BL139" i="6"/>
  <c r="BS139" i="6"/>
  <c r="BO139" i="6"/>
  <c r="BG139" i="6"/>
  <c r="BT139" i="6"/>
  <c r="BI139" i="6"/>
  <c r="BJ139" i="6" s="1"/>
  <c r="AZ139" i="6"/>
  <c r="C144" i="3" s="1"/>
  <c r="AO140" i="2"/>
  <c r="AT140" i="2"/>
  <c r="BD140" i="2"/>
  <c r="F140" i="2"/>
  <c r="AM140" i="2"/>
  <c r="AN140" i="2" s="1"/>
  <c r="D140" i="2"/>
  <c r="W140" i="2"/>
  <c r="P140" i="2"/>
  <c r="AR140" i="2"/>
  <c r="AS140" i="2" s="1"/>
  <c r="BG140" i="2"/>
  <c r="BH140" i="2" s="1"/>
  <c r="AJ140" i="2"/>
  <c r="U140" i="2"/>
  <c r="BB140" i="2"/>
  <c r="BC140" i="2" s="1"/>
  <c r="BL140" i="2"/>
  <c r="BM140" i="2" s="1"/>
  <c r="BQ140" i="2"/>
  <c r="BR140" i="2" s="1"/>
  <c r="R140" i="2"/>
  <c r="AW140" i="2"/>
  <c r="AX140" i="2" s="1"/>
  <c r="J140" i="2"/>
  <c r="BN140" i="2"/>
  <c r="AX140" i="6" a="1"/>
  <c r="Q140" i="2" l="1"/>
  <c r="BF139" i="6"/>
  <c r="BB139" i="6" s="1"/>
  <c r="V140" i="2"/>
  <c r="AX140" i="6"/>
  <c r="BM140" i="6" s="1"/>
  <c r="E140" i="2"/>
  <c r="L140" i="2"/>
  <c r="K140" i="2"/>
  <c r="AB140" i="2"/>
  <c r="B141" i="2"/>
  <c r="AE141" i="2" s="1"/>
  <c r="Z141" i="2"/>
  <c r="AY143" i="6" a="1"/>
  <c r="BN140" i="6" l="1"/>
  <c r="BK140" i="6"/>
  <c r="AF141" i="2"/>
  <c r="BK141" i="2"/>
  <c r="AG141" i="2"/>
  <c r="Y141" i="2"/>
  <c r="AA141" i="2" s="1"/>
  <c r="BP141" i="2"/>
  <c r="BF141" i="2"/>
  <c r="AV141" i="2"/>
  <c r="BA141" i="2"/>
  <c r="AL141" i="2"/>
  <c r="AQ141" i="2"/>
  <c r="O141" i="2"/>
  <c r="T141" i="2"/>
  <c r="C141" i="2"/>
  <c r="H141" i="2"/>
  <c r="L141" i="2" s="1"/>
  <c r="AY141" i="2"/>
  <c r="AI141" i="2"/>
  <c r="BI141" i="2"/>
  <c r="BS141" i="2"/>
  <c r="I141" i="2"/>
  <c r="M141" i="2"/>
  <c r="AY143" i="6"/>
  <c r="B145" i="3"/>
  <c r="BE140" i="6"/>
  <c r="BS140" i="6"/>
  <c r="BD140" i="6"/>
  <c r="BH140" i="6"/>
  <c r="BI140" i="6"/>
  <c r="BJ140" i="6" s="1"/>
  <c r="BC140" i="6"/>
  <c r="BT140" i="6"/>
  <c r="BL140" i="6"/>
  <c r="BG140" i="6"/>
  <c r="BO140" i="6"/>
  <c r="AZ140" i="6"/>
  <c r="C145" i="3" s="1"/>
  <c r="AO141" i="2"/>
  <c r="BD141" i="2"/>
  <c r="F141" i="2"/>
  <c r="AT141" i="2"/>
  <c r="AJ141" i="2"/>
  <c r="BL141" i="2"/>
  <c r="BM141" i="2" s="1"/>
  <c r="AR141" i="2"/>
  <c r="AS141" i="2" s="1"/>
  <c r="AW141" i="2"/>
  <c r="AX141" i="2" s="1"/>
  <c r="P141" i="2"/>
  <c r="BN141" i="2"/>
  <c r="W141" i="2"/>
  <c r="D141" i="2"/>
  <c r="BQ141" i="2"/>
  <c r="BR141" i="2" s="1"/>
  <c r="R141" i="2"/>
  <c r="BG141" i="2"/>
  <c r="BH141" i="2" s="1"/>
  <c r="J141" i="2"/>
  <c r="BB141" i="2"/>
  <c r="BC141" i="2" s="1"/>
  <c r="U141" i="2"/>
  <c r="AM141" i="2"/>
  <c r="AN141" i="2" s="1"/>
  <c r="AX141" i="6" a="1"/>
  <c r="BF140" i="6" l="1"/>
  <c r="BB140" i="6" s="1"/>
  <c r="AB141" i="2"/>
  <c r="AX141" i="6"/>
  <c r="BM141" i="6" s="1"/>
  <c r="E141" i="2"/>
  <c r="Q141" i="2"/>
  <c r="V141" i="2"/>
  <c r="K141" i="2"/>
  <c r="B142" i="2"/>
  <c r="AE142" i="2" s="1"/>
  <c r="Z142" i="2"/>
  <c r="AY144" i="6" a="1"/>
  <c r="BN141" i="6" l="1"/>
  <c r="BK141" i="6"/>
  <c r="AF142" i="2"/>
  <c r="BK142" i="2"/>
  <c r="AG142" i="2"/>
  <c r="Y142" i="2"/>
  <c r="AA142" i="2" s="1"/>
  <c r="BP142" i="2"/>
  <c r="BF142" i="2"/>
  <c r="AV142" i="2"/>
  <c r="BA142" i="2"/>
  <c r="AL142" i="2"/>
  <c r="AQ142" i="2"/>
  <c r="O142" i="2"/>
  <c r="T142" i="2"/>
  <c r="C142" i="2"/>
  <c r="H142" i="2"/>
  <c r="AY142" i="2"/>
  <c r="AI142" i="2"/>
  <c r="BI142" i="2"/>
  <c r="BS142" i="2"/>
  <c r="I142" i="2"/>
  <c r="M142" i="2"/>
  <c r="AY144" i="6"/>
  <c r="B146" i="3"/>
  <c r="BD141" i="6"/>
  <c r="BC141" i="6"/>
  <c r="BH141" i="6"/>
  <c r="BL141" i="6"/>
  <c r="BO141" i="6"/>
  <c r="BG141" i="6"/>
  <c r="BI141" i="6"/>
  <c r="BJ141" i="6" s="1"/>
  <c r="BS141" i="6"/>
  <c r="BE141" i="6"/>
  <c r="BT141" i="6"/>
  <c r="AZ141" i="6"/>
  <c r="C146" i="3" s="1"/>
  <c r="AO142" i="2"/>
  <c r="AT142" i="2"/>
  <c r="F142" i="2"/>
  <c r="BD142" i="2"/>
  <c r="P142" i="2"/>
  <c r="BL142" i="2"/>
  <c r="BM142" i="2" s="1"/>
  <c r="BN142" i="2"/>
  <c r="BQ142" i="2"/>
  <c r="BR142" i="2" s="1"/>
  <c r="AM142" i="2"/>
  <c r="AN142" i="2" s="1"/>
  <c r="U142" i="2"/>
  <c r="BB142" i="2"/>
  <c r="BC142" i="2" s="1"/>
  <c r="W142" i="2"/>
  <c r="AJ142" i="2"/>
  <c r="D142" i="2"/>
  <c r="AW142" i="2"/>
  <c r="AX142" i="2" s="1"/>
  <c r="R142" i="2"/>
  <c r="BG142" i="2"/>
  <c r="BH142" i="2" s="1"/>
  <c r="J142" i="2"/>
  <c r="AR142" i="2"/>
  <c r="AS142" i="2" s="1"/>
  <c r="AX142" i="6" a="1"/>
  <c r="Q142" i="2" l="1"/>
  <c r="V142" i="2"/>
  <c r="K142" i="2"/>
  <c r="AX142" i="6"/>
  <c r="BM142" i="6" s="1"/>
  <c r="B143" i="2"/>
  <c r="AE143" i="2" s="1"/>
  <c r="Z143" i="2"/>
  <c r="L142" i="2"/>
  <c r="AB142" i="2"/>
  <c r="E142" i="2"/>
  <c r="BF141" i="6"/>
  <c r="BB141" i="6" s="1"/>
  <c r="AY145" i="6" a="1"/>
  <c r="BN142" i="6" l="1"/>
  <c r="BK142" i="6"/>
  <c r="AF143" i="2"/>
  <c r="BK143" i="2"/>
  <c r="AG143" i="2"/>
  <c r="Y143" i="2"/>
  <c r="AA143" i="2" s="1"/>
  <c r="BP143" i="2"/>
  <c r="BF143" i="2"/>
  <c r="AV143" i="2"/>
  <c r="BA143" i="2"/>
  <c r="AL143" i="2"/>
  <c r="AQ143" i="2"/>
  <c r="O143" i="2"/>
  <c r="T143" i="2"/>
  <c r="C143" i="2"/>
  <c r="H143" i="2"/>
  <c r="L143" i="2" s="1"/>
  <c r="AY143" i="2"/>
  <c r="AI143" i="2"/>
  <c r="BI143" i="2"/>
  <c r="BS143" i="2"/>
  <c r="I143" i="2"/>
  <c r="M143" i="2"/>
  <c r="AY145" i="6"/>
  <c r="B147" i="3"/>
  <c r="BI142" i="6"/>
  <c r="BJ142" i="6" s="1"/>
  <c r="BC142" i="6"/>
  <c r="BH142" i="6"/>
  <c r="BS142" i="6"/>
  <c r="BD142" i="6"/>
  <c r="BO142" i="6"/>
  <c r="BL142" i="6"/>
  <c r="BG142" i="6"/>
  <c r="BE142" i="6"/>
  <c r="BT142" i="6"/>
  <c r="AZ142" i="6"/>
  <c r="C147" i="3" s="1"/>
  <c r="AO143" i="2"/>
  <c r="BD143" i="2"/>
  <c r="AT143" i="2"/>
  <c r="F143" i="2"/>
  <c r="BB143" i="2"/>
  <c r="BC143" i="2" s="1"/>
  <c r="AR143" i="2"/>
  <c r="AS143" i="2" s="1"/>
  <c r="AW143" i="2"/>
  <c r="AX143" i="2" s="1"/>
  <c r="BL143" i="2"/>
  <c r="BM143" i="2" s="1"/>
  <c r="W143" i="2"/>
  <c r="BQ143" i="2"/>
  <c r="BR143" i="2" s="1"/>
  <c r="AJ143" i="2"/>
  <c r="D143" i="2"/>
  <c r="AM143" i="2"/>
  <c r="AN143" i="2" s="1"/>
  <c r="U143" i="2"/>
  <c r="P143" i="2"/>
  <c r="R143" i="2"/>
  <c r="BG143" i="2"/>
  <c r="BH143" i="2" s="1"/>
  <c r="J143" i="2"/>
  <c r="BN143" i="2"/>
  <c r="AX143" i="6" a="1"/>
  <c r="V143" i="2" l="1"/>
  <c r="AB143" i="2"/>
  <c r="AX143" i="6"/>
  <c r="BM143" i="6" s="1"/>
  <c r="K143" i="2"/>
  <c r="Q143" i="2"/>
  <c r="E143" i="2"/>
  <c r="BF142" i="6"/>
  <c r="BB142" i="6" s="1"/>
  <c r="B144" i="2"/>
  <c r="AE144" i="2" s="1"/>
  <c r="Z144" i="2"/>
  <c r="AY146" i="6" a="1"/>
  <c r="BN143" i="6" l="1"/>
  <c r="BK143" i="6"/>
  <c r="AF144" i="2"/>
  <c r="BK144" i="2"/>
  <c r="AG144" i="2"/>
  <c r="Y144" i="2"/>
  <c r="AA144" i="2" s="1"/>
  <c r="BP144" i="2"/>
  <c r="BF144" i="2"/>
  <c r="AV144" i="2"/>
  <c r="BA144" i="2"/>
  <c r="AL144" i="2"/>
  <c r="AQ144" i="2"/>
  <c r="O144" i="2"/>
  <c r="T144" i="2"/>
  <c r="C144" i="2"/>
  <c r="H144" i="2"/>
  <c r="AY144" i="2"/>
  <c r="AI144" i="2"/>
  <c r="BI144" i="2"/>
  <c r="BS144" i="2"/>
  <c r="I144" i="2"/>
  <c r="M144" i="2"/>
  <c r="AY146" i="6"/>
  <c r="AO144" i="2"/>
  <c r="F144" i="2"/>
  <c r="AT144" i="2"/>
  <c r="BD144" i="2"/>
  <c r="D144" i="2"/>
  <c r="BL144" i="2"/>
  <c r="BM144" i="2" s="1"/>
  <c r="BQ144" i="2"/>
  <c r="BR144" i="2" s="1"/>
  <c r="BG144" i="2"/>
  <c r="BH144" i="2" s="1"/>
  <c r="AW144" i="2"/>
  <c r="AX144" i="2" s="1"/>
  <c r="BN144" i="2"/>
  <c r="AJ144" i="2"/>
  <c r="AM144" i="2"/>
  <c r="AN144" i="2" s="1"/>
  <c r="U144" i="2"/>
  <c r="P144" i="2"/>
  <c r="J144" i="2"/>
  <c r="R144" i="2"/>
  <c r="AR144" i="2"/>
  <c r="AS144" i="2" s="1"/>
  <c r="BB144" i="2"/>
  <c r="BC144" i="2" s="1"/>
  <c r="W144" i="2"/>
  <c r="B148" i="3"/>
  <c r="BO143" i="6"/>
  <c r="BH143" i="6"/>
  <c r="BL143" i="6"/>
  <c r="BD143" i="6"/>
  <c r="BS143" i="6"/>
  <c r="BC143" i="6"/>
  <c r="BG143" i="6"/>
  <c r="BI143" i="6"/>
  <c r="BJ143" i="6" s="1"/>
  <c r="BE143" i="6"/>
  <c r="BT143" i="6"/>
  <c r="AZ143" i="6"/>
  <c r="C148" i="3" s="1"/>
  <c r="AX144" i="6" a="1"/>
  <c r="AB144" i="2" l="1"/>
  <c r="V144" i="2"/>
  <c r="E144" i="2"/>
  <c r="Q144" i="2"/>
  <c r="BF143" i="6"/>
  <c r="BB143" i="6" s="1"/>
  <c r="AX144" i="6"/>
  <c r="BM144" i="6" s="1"/>
  <c r="B145" i="2"/>
  <c r="AE145" i="2" s="1"/>
  <c r="Z145" i="2"/>
  <c r="L144" i="2"/>
  <c r="K144" i="2"/>
  <c r="AY147" i="6" a="1"/>
  <c r="BN144" i="6" l="1"/>
  <c r="BK144" i="6"/>
  <c r="AF145" i="2"/>
  <c r="BK145" i="2"/>
  <c r="AG145" i="2"/>
  <c r="Y145" i="2"/>
  <c r="AA145" i="2" s="1"/>
  <c r="BP145" i="2"/>
  <c r="BF145" i="2"/>
  <c r="AV145" i="2"/>
  <c r="BA145" i="2"/>
  <c r="AL145" i="2"/>
  <c r="AQ145" i="2"/>
  <c r="O145" i="2"/>
  <c r="T145" i="2"/>
  <c r="C145" i="2"/>
  <c r="H145" i="2"/>
  <c r="AY145" i="2"/>
  <c r="AI145" i="2"/>
  <c r="BI145" i="2"/>
  <c r="BS145" i="2"/>
  <c r="I145" i="2"/>
  <c r="M145" i="2"/>
  <c r="AY147" i="6"/>
  <c r="B149" i="3"/>
  <c r="BI144" i="6"/>
  <c r="BJ144" i="6" s="1"/>
  <c r="BS144" i="6"/>
  <c r="BC144" i="6"/>
  <c r="BE144" i="6"/>
  <c r="BG144" i="6"/>
  <c r="BH144" i="6"/>
  <c r="BO144" i="6"/>
  <c r="BL144" i="6"/>
  <c r="BD144" i="6"/>
  <c r="BT144" i="6"/>
  <c r="AZ144" i="6"/>
  <c r="C149" i="3" s="1"/>
  <c r="AO145" i="2"/>
  <c r="AT145" i="2"/>
  <c r="F145" i="2"/>
  <c r="BD145" i="2"/>
  <c r="J145" i="2"/>
  <c r="D145" i="2"/>
  <c r="AW145" i="2"/>
  <c r="AX145" i="2" s="1"/>
  <c r="AR145" i="2"/>
  <c r="AS145" i="2" s="1"/>
  <c r="BN145" i="2"/>
  <c r="BQ145" i="2"/>
  <c r="BR145" i="2" s="1"/>
  <c r="AJ145" i="2"/>
  <c r="W145" i="2"/>
  <c r="BB145" i="2"/>
  <c r="BC145" i="2" s="1"/>
  <c r="P145" i="2"/>
  <c r="BL145" i="2"/>
  <c r="BM145" i="2" s="1"/>
  <c r="AM145" i="2"/>
  <c r="AN145" i="2" s="1"/>
  <c r="BG145" i="2"/>
  <c r="BH145" i="2" s="1"/>
  <c r="U145" i="2"/>
  <c r="R145" i="2"/>
  <c r="AX145" i="6" a="1"/>
  <c r="Q145" i="2" l="1"/>
  <c r="AB145" i="2"/>
  <c r="BF144" i="6"/>
  <c r="BB144" i="6" s="1"/>
  <c r="K145" i="2"/>
  <c r="V145" i="2"/>
  <c r="E145" i="2"/>
  <c r="AX145" i="6"/>
  <c r="BM145" i="6" s="1"/>
  <c r="L145" i="2"/>
  <c r="B146" i="2"/>
  <c r="AE146" i="2" s="1"/>
  <c r="Z146" i="2"/>
  <c r="AY148" i="6" a="1"/>
  <c r="BN145" i="6" l="1"/>
  <c r="BK145" i="6"/>
  <c r="AF146" i="2"/>
  <c r="BK146" i="2"/>
  <c r="AG146" i="2"/>
  <c r="Y146" i="2"/>
  <c r="AA146" i="2" s="1"/>
  <c r="BP146" i="2"/>
  <c r="BF146" i="2"/>
  <c r="AV146" i="2"/>
  <c r="BA146" i="2"/>
  <c r="AL146" i="2"/>
  <c r="AQ146" i="2"/>
  <c r="O146" i="2"/>
  <c r="T146" i="2"/>
  <c r="C146" i="2"/>
  <c r="H146" i="2"/>
  <c r="AY146" i="2"/>
  <c r="AI146" i="2"/>
  <c r="BI146" i="2"/>
  <c r="BS146" i="2"/>
  <c r="I146" i="2"/>
  <c r="M146" i="2"/>
  <c r="AY148" i="6"/>
  <c r="B150" i="3"/>
  <c r="BG145" i="6"/>
  <c r="BE145" i="6"/>
  <c r="BI145" i="6"/>
  <c r="BJ145" i="6" s="1"/>
  <c r="BC145" i="6"/>
  <c r="BO145" i="6"/>
  <c r="BL145" i="6"/>
  <c r="BS145" i="6"/>
  <c r="BH145" i="6"/>
  <c r="BD145" i="6"/>
  <c r="BT145" i="6"/>
  <c r="AZ145" i="6"/>
  <c r="C150" i="3" s="1"/>
  <c r="AO146" i="2"/>
  <c r="BD146" i="2"/>
  <c r="AT146" i="2"/>
  <c r="F146" i="2"/>
  <c r="AW146" i="2"/>
  <c r="AX146" i="2" s="1"/>
  <c r="U146" i="2"/>
  <c r="AM146" i="2"/>
  <c r="AN146" i="2" s="1"/>
  <c r="AR146" i="2"/>
  <c r="AS146" i="2" s="1"/>
  <c r="BQ146" i="2"/>
  <c r="BR146" i="2" s="1"/>
  <c r="D146" i="2"/>
  <c r="W146" i="2"/>
  <c r="BL146" i="2"/>
  <c r="BM146" i="2" s="1"/>
  <c r="P146" i="2"/>
  <c r="R146" i="2"/>
  <c r="J146" i="2"/>
  <c r="BN146" i="2"/>
  <c r="BB146" i="2"/>
  <c r="BC146" i="2" s="1"/>
  <c r="BG146" i="2"/>
  <c r="BH146" i="2" s="1"/>
  <c r="AJ146" i="2"/>
  <c r="AX146" i="6" a="1"/>
  <c r="BF145" i="6" l="1"/>
  <c r="BB145" i="6" s="1"/>
  <c r="K146" i="2"/>
  <c r="Q146" i="2"/>
  <c r="AX146" i="6"/>
  <c r="BM146" i="6" s="1"/>
  <c r="E146" i="2"/>
  <c r="L146" i="2"/>
  <c r="V146" i="2"/>
  <c r="B147" i="2"/>
  <c r="AE147" i="2" s="1"/>
  <c r="Z147" i="2"/>
  <c r="AB146" i="2"/>
  <c r="AY149" i="6" a="1"/>
  <c r="BN146" i="6" l="1"/>
  <c r="BK146" i="6"/>
  <c r="AF147" i="2"/>
  <c r="BK147" i="2"/>
  <c r="AG147" i="2"/>
  <c r="Y147" i="2"/>
  <c r="AA147" i="2" s="1"/>
  <c r="BP147" i="2"/>
  <c r="BF147" i="2"/>
  <c r="AV147" i="2"/>
  <c r="BA147" i="2"/>
  <c r="AL147" i="2"/>
  <c r="AQ147" i="2"/>
  <c r="O147" i="2"/>
  <c r="T147" i="2"/>
  <c r="C147" i="2"/>
  <c r="H147" i="2"/>
  <c r="L147" i="2" s="1"/>
  <c r="AY147" i="2"/>
  <c r="AI147" i="2"/>
  <c r="BI147" i="2"/>
  <c r="BS147" i="2"/>
  <c r="I147" i="2"/>
  <c r="M147" i="2"/>
  <c r="AY149" i="6"/>
  <c r="AO147" i="2"/>
  <c r="BD147" i="2"/>
  <c r="AT147" i="2"/>
  <c r="F147" i="2"/>
  <c r="J147" i="2"/>
  <c r="BG147" i="2"/>
  <c r="BH147" i="2" s="1"/>
  <c r="W147" i="2"/>
  <c r="U147" i="2"/>
  <c r="BQ147" i="2"/>
  <c r="BR147" i="2" s="1"/>
  <c r="BB147" i="2"/>
  <c r="BC147" i="2" s="1"/>
  <c r="AW147" i="2"/>
  <c r="AX147" i="2" s="1"/>
  <c r="BL147" i="2"/>
  <c r="BM147" i="2" s="1"/>
  <c r="AR147" i="2"/>
  <c r="AS147" i="2" s="1"/>
  <c r="R147" i="2"/>
  <c r="D147" i="2"/>
  <c r="BN147" i="2"/>
  <c r="P147" i="2"/>
  <c r="AM147" i="2"/>
  <c r="AN147" i="2" s="1"/>
  <c r="AJ147" i="2"/>
  <c r="B151" i="3"/>
  <c r="BG146" i="6"/>
  <c r="BE146" i="6"/>
  <c r="BO146" i="6"/>
  <c r="BL146" i="6"/>
  <c r="BS146" i="6"/>
  <c r="BT146" i="6"/>
  <c r="BH146" i="6"/>
  <c r="BI146" i="6"/>
  <c r="BJ146" i="6" s="1"/>
  <c r="BC146" i="6"/>
  <c r="BD146" i="6"/>
  <c r="AZ146" i="6"/>
  <c r="C151" i="3" s="1"/>
  <c r="AX147" i="6" a="1"/>
  <c r="BF146" i="6" l="1"/>
  <c r="BB146" i="6" s="1"/>
  <c r="V147" i="2"/>
  <c r="AX147" i="6"/>
  <c r="BM147" i="6" s="1"/>
  <c r="B148" i="2"/>
  <c r="AE148" i="2" s="1"/>
  <c r="Z148" i="2"/>
  <c r="E147" i="2"/>
  <c r="K147" i="2"/>
  <c r="Q147" i="2"/>
  <c r="AB147" i="2"/>
  <c r="AY150" i="6" a="1"/>
  <c r="BN147" i="6" l="1"/>
  <c r="BK147" i="6"/>
  <c r="AF148" i="2"/>
  <c r="BK148" i="2"/>
  <c r="AG148" i="2"/>
  <c r="Y148" i="2"/>
  <c r="AA148" i="2" s="1"/>
  <c r="BP148" i="2"/>
  <c r="BF148" i="2"/>
  <c r="AV148" i="2"/>
  <c r="BA148" i="2"/>
  <c r="AL148" i="2"/>
  <c r="AQ148" i="2"/>
  <c r="O148" i="2"/>
  <c r="T148" i="2"/>
  <c r="C148" i="2"/>
  <c r="H148" i="2"/>
  <c r="AY148" i="2"/>
  <c r="AI148" i="2"/>
  <c r="BI148" i="2"/>
  <c r="BS148" i="2"/>
  <c r="I148" i="2"/>
  <c r="M148" i="2"/>
  <c r="AY150" i="6"/>
  <c r="B152" i="3"/>
  <c r="BI147" i="6"/>
  <c r="BJ147" i="6" s="1"/>
  <c r="BL147" i="6"/>
  <c r="BD147" i="6"/>
  <c r="BC147" i="6"/>
  <c r="BT147" i="6"/>
  <c r="BH147" i="6"/>
  <c r="BS147" i="6"/>
  <c r="BE147" i="6"/>
  <c r="BG147" i="6"/>
  <c r="BO147" i="6"/>
  <c r="AZ147" i="6"/>
  <c r="C152" i="3" s="1"/>
  <c r="AO148" i="2"/>
  <c r="AT148" i="2"/>
  <c r="BD148" i="2"/>
  <c r="F148" i="2"/>
  <c r="BQ148" i="2"/>
  <c r="BR148" i="2" s="1"/>
  <c r="J148" i="2"/>
  <c r="BB148" i="2"/>
  <c r="BC148" i="2" s="1"/>
  <c r="P148" i="2"/>
  <c r="AR148" i="2"/>
  <c r="AS148" i="2" s="1"/>
  <c r="AM148" i="2"/>
  <c r="AN148" i="2" s="1"/>
  <c r="D148" i="2"/>
  <c r="BN148" i="2"/>
  <c r="BG148" i="2"/>
  <c r="BH148" i="2" s="1"/>
  <c r="R148" i="2"/>
  <c r="AW148" i="2"/>
  <c r="AX148" i="2" s="1"/>
  <c r="U148" i="2"/>
  <c r="BL148" i="2"/>
  <c r="BM148" i="2" s="1"/>
  <c r="W148" i="2"/>
  <c r="AJ148" i="2"/>
  <c r="AX148" i="6" a="1"/>
  <c r="V148" i="2" l="1"/>
  <c r="AX148" i="6"/>
  <c r="BM148" i="6" s="1"/>
  <c r="AB148" i="2"/>
  <c r="B149" i="2"/>
  <c r="AE149" i="2" s="1"/>
  <c r="Z149" i="2"/>
  <c r="BF147" i="6"/>
  <c r="BB147" i="6" s="1"/>
  <c r="Q148" i="2"/>
  <c r="E148" i="2"/>
  <c r="L148" i="2"/>
  <c r="K148" i="2"/>
  <c r="AY151" i="6" a="1"/>
  <c r="BN148" i="6" l="1"/>
  <c r="BK148" i="6"/>
  <c r="AF149" i="2"/>
  <c r="BK149" i="2"/>
  <c r="AG149" i="2"/>
  <c r="Y149" i="2"/>
  <c r="AA149" i="2" s="1"/>
  <c r="BP149" i="2"/>
  <c r="BF149" i="2"/>
  <c r="AV149" i="2"/>
  <c r="BA149" i="2"/>
  <c r="AL149" i="2"/>
  <c r="AQ149" i="2"/>
  <c r="O149" i="2"/>
  <c r="T149" i="2"/>
  <c r="C149" i="2"/>
  <c r="H149" i="2"/>
  <c r="L149" i="2" s="1"/>
  <c r="AY149" i="2"/>
  <c r="AI149" i="2"/>
  <c r="BI149" i="2"/>
  <c r="BS149" i="2"/>
  <c r="I149" i="2"/>
  <c r="M149" i="2"/>
  <c r="AY151" i="6"/>
  <c r="B153" i="3"/>
  <c r="BH148" i="6"/>
  <c r="BD148" i="6"/>
  <c r="BE148" i="6"/>
  <c r="BC148" i="6"/>
  <c r="BS148" i="6"/>
  <c r="BL148" i="6"/>
  <c r="BG148" i="6"/>
  <c r="BI148" i="6"/>
  <c r="BJ148" i="6" s="1"/>
  <c r="BO148" i="6"/>
  <c r="BT148" i="6"/>
  <c r="AZ148" i="6"/>
  <c r="C153" i="3" s="1"/>
  <c r="AO149" i="2"/>
  <c r="BD149" i="2"/>
  <c r="F149" i="2"/>
  <c r="AT149" i="2"/>
  <c r="BL149" i="2"/>
  <c r="BM149" i="2" s="1"/>
  <c r="AJ149" i="2"/>
  <c r="D149" i="2"/>
  <c r="W149" i="2"/>
  <c r="AW149" i="2"/>
  <c r="AX149" i="2" s="1"/>
  <c r="J149" i="2"/>
  <c r="P149" i="2"/>
  <c r="AM149" i="2"/>
  <c r="AN149" i="2" s="1"/>
  <c r="BN149" i="2"/>
  <c r="BG149" i="2"/>
  <c r="BH149" i="2" s="1"/>
  <c r="AR149" i="2"/>
  <c r="AS149" i="2" s="1"/>
  <c r="BQ149" i="2"/>
  <c r="BR149" i="2" s="1"/>
  <c r="U149" i="2"/>
  <c r="BB149" i="2"/>
  <c r="BC149" i="2" s="1"/>
  <c r="R149" i="2"/>
  <c r="AX149" i="6" a="1"/>
  <c r="V149" i="2" l="1"/>
  <c r="K149" i="2"/>
  <c r="Q149" i="2"/>
  <c r="E149" i="2"/>
  <c r="AB149" i="2"/>
  <c r="BF148" i="6"/>
  <c r="BB148" i="6" s="1"/>
  <c r="AX149" i="6"/>
  <c r="BM149" i="6" s="1"/>
  <c r="B150" i="2"/>
  <c r="AE150" i="2" s="1"/>
  <c r="Z150" i="2"/>
  <c r="AY152" i="6" a="1"/>
  <c r="BN149" i="6" l="1"/>
  <c r="BK149" i="6"/>
  <c r="AF150" i="2"/>
  <c r="BK150" i="2"/>
  <c r="AG150" i="2"/>
  <c r="Y150" i="2"/>
  <c r="AA150" i="2" s="1"/>
  <c r="BP150" i="2"/>
  <c r="BF150" i="2"/>
  <c r="AV150" i="2"/>
  <c r="BA150" i="2"/>
  <c r="AL150" i="2"/>
  <c r="AQ150" i="2"/>
  <c r="O150" i="2"/>
  <c r="T150" i="2"/>
  <c r="C150" i="2"/>
  <c r="H150" i="2"/>
  <c r="AY150" i="2"/>
  <c r="AI150" i="2"/>
  <c r="BI150" i="2"/>
  <c r="BS150" i="2"/>
  <c r="I150" i="2"/>
  <c r="M150" i="2"/>
  <c r="AY152" i="6"/>
  <c r="AO150" i="2"/>
  <c r="AT150" i="2"/>
  <c r="BD150" i="2"/>
  <c r="F150" i="2"/>
  <c r="AM150" i="2"/>
  <c r="AN150" i="2" s="1"/>
  <c r="BQ150" i="2"/>
  <c r="BR150" i="2" s="1"/>
  <c r="AW150" i="2"/>
  <c r="AX150" i="2" s="1"/>
  <c r="AJ150" i="2"/>
  <c r="W150" i="2"/>
  <c r="BL150" i="2"/>
  <c r="BM150" i="2" s="1"/>
  <c r="BN150" i="2"/>
  <c r="J150" i="2"/>
  <c r="BB150" i="2"/>
  <c r="BC150" i="2" s="1"/>
  <c r="U150" i="2"/>
  <c r="BG150" i="2"/>
  <c r="BH150" i="2" s="1"/>
  <c r="R150" i="2"/>
  <c r="AR150" i="2"/>
  <c r="AS150" i="2" s="1"/>
  <c r="D150" i="2"/>
  <c r="P150" i="2"/>
  <c r="B154" i="3"/>
  <c r="BD149" i="6"/>
  <c r="BC149" i="6"/>
  <c r="BS149" i="6"/>
  <c r="BH149" i="6"/>
  <c r="BG149" i="6"/>
  <c r="BI149" i="6"/>
  <c r="BJ149" i="6" s="1"/>
  <c r="BL149" i="6"/>
  <c r="BE149" i="6"/>
  <c r="BO149" i="6"/>
  <c r="BT149" i="6"/>
  <c r="AZ149" i="6"/>
  <c r="C154" i="3" s="1"/>
  <c r="AX150" i="6" a="1"/>
  <c r="E150" i="2" l="1"/>
  <c r="Q150" i="2"/>
  <c r="K150" i="2"/>
  <c r="AX150" i="6"/>
  <c r="BM150" i="6" s="1"/>
  <c r="AB150" i="2"/>
  <c r="L150" i="2"/>
  <c r="BF149" i="6"/>
  <c r="BB149" i="6" s="1"/>
  <c r="V150" i="2"/>
  <c r="B151" i="2"/>
  <c r="AE151" i="2" s="1"/>
  <c r="Z151" i="2"/>
  <c r="AY153" i="6" a="1"/>
  <c r="BN150" i="6" l="1"/>
  <c r="BK150" i="6"/>
  <c r="AF151" i="2"/>
  <c r="BK151" i="2"/>
  <c r="AG151" i="2"/>
  <c r="Y151" i="2"/>
  <c r="AA151" i="2" s="1"/>
  <c r="BP151" i="2"/>
  <c r="BF151" i="2"/>
  <c r="AV151" i="2"/>
  <c r="BA151" i="2"/>
  <c r="AL151" i="2"/>
  <c r="AQ151" i="2"/>
  <c r="O151" i="2"/>
  <c r="T151" i="2"/>
  <c r="C151" i="2"/>
  <c r="H151" i="2"/>
  <c r="AY151" i="2"/>
  <c r="AI151" i="2"/>
  <c r="BI151" i="2"/>
  <c r="BS151" i="2"/>
  <c r="I151" i="2"/>
  <c r="M151" i="2"/>
  <c r="AY153" i="6"/>
  <c r="B155" i="3"/>
  <c r="BS150" i="6"/>
  <c r="BI150" i="6"/>
  <c r="BJ150" i="6" s="1"/>
  <c r="BG150" i="6"/>
  <c r="BD150" i="6"/>
  <c r="BO150" i="6"/>
  <c r="BC150" i="6"/>
  <c r="BL150" i="6"/>
  <c r="BH150" i="6"/>
  <c r="BE150" i="6"/>
  <c r="BT150" i="6"/>
  <c r="AZ150" i="6"/>
  <c r="C155" i="3" s="1"/>
  <c r="AO151" i="2"/>
  <c r="AT151" i="2"/>
  <c r="BD151" i="2"/>
  <c r="F151" i="2"/>
  <c r="BL151" i="2"/>
  <c r="BM151" i="2" s="1"/>
  <c r="BG151" i="2"/>
  <c r="BH151" i="2" s="1"/>
  <c r="P151" i="2"/>
  <c r="W151" i="2"/>
  <c r="U151" i="2"/>
  <c r="AM151" i="2"/>
  <c r="AN151" i="2" s="1"/>
  <c r="AR151" i="2"/>
  <c r="AS151" i="2" s="1"/>
  <c r="BN151" i="2"/>
  <c r="BB151" i="2"/>
  <c r="BC151" i="2" s="1"/>
  <c r="D151" i="2"/>
  <c r="J151" i="2"/>
  <c r="AW151" i="2"/>
  <c r="AX151" i="2" s="1"/>
  <c r="BQ151" i="2"/>
  <c r="BR151" i="2" s="1"/>
  <c r="AJ151" i="2"/>
  <c r="R151" i="2"/>
  <c r="AX151" i="6" a="1"/>
  <c r="Q151" i="2" l="1"/>
  <c r="AB151" i="2"/>
  <c r="V151" i="2"/>
  <c r="K151" i="2"/>
  <c r="L151" i="2"/>
  <c r="AX151" i="6"/>
  <c r="BM151" i="6" s="1"/>
  <c r="E151" i="2"/>
  <c r="B152" i="2"/>
  <c r="AE152" i="2" s="1"/>
  <c r="Z152" i="2"/>
  <c r="BF150" i="6"/>
  <c r="BB150" i="6" s="1"/>
  <c r="AY154" i="6" a="1"/>
  <c r="BN151" i="6" l="1"/>
  <c r="BK151" i="6"/>
  <c r="AF152" i="2"/>
  <c r="BK152" i="2"/>
  <c r="AG152" i="2"/>
  <c r="Y152" i="2"/>
  <c r="AA152" i="2" s="1"/>
  <c r="BP152" i="2"/>
  <c r="BF152" i="2"/>
  <c r="AV152" i="2"/>
  <c r="BA152" i="2"/>
  <c r="AL152" i="2"/>
  <c r="AQ152" i="2"/>
  <c r="O152" i="2"/>
  <c r="T152" i="2"/>
  <c r="C152" i="2"/>
  <c r="H152" i="2"/>
  <c r="L152" i="2" s="1"/>
  <c r="AY152" i="2"/>
  <c r="AI152" i="2"/>
  <c r="BI152" i="2"/>
  <c r="BS152" i="2"/>
  <c r="I152" i="2"/>
  <c r="M152" i="2"/>
  <c r="AY154" i="6"/>
  <c r="AO152" i="2"/>
  <c r="F152" i="2"/>
  <c r="AT152" i="2"/>
  <c r="BD152" i="2"/>
  <c r="U152" i="2"/>
  <c r="AM152" i="2"/>
  <c r="AN152" i="2" s="1"/>
  <c r="AJ152" i="2"/>
  <c r="P152" i="2"/>
  <c r="BB152" i="2"/>
  <c r="BC152" i="2" s="1"/>
  <c r="R152" i="2"/>
  <c r="AR152" i="2"/>
  <c r="AS152" i="2" s="1"/>
  <c r="D152" i="2"/>
  <c r="BL152" i="2"/>
  <c r="BM152" i="2" s="1"/>
  <c r="J152" i="2"/>
  <c r="W152" i="2"/>
  <c r="BG152" i="2"/>
  <c r="BH152" i="2" s="1"/>
  <c r="AW152" i="2"/>
  <c r="AX152" i="2" s="1"/>
  <c r="BN152" i="2"/>
  <c r="BQ152" i="2"/>
  <c r="BR152" i="2" s="1"/>
  <c r="B156" i="3"/>
  <c r="BL151" i="6"/>
  <c r="BC151" i="6"/>
  <c r="BG151" i="6"/>
  <c r="BH151" i="6"/>
  <c r="BS151" i="6"/>
  <c r="BI151" i="6"/>
  <c r="BJ151" i="6" s="1"/>
  <c r="BE151" i="6"/>
  <c r="BO151" i="6"/>
  <c r="BD151" i="6"/>
  <c r="BT151" i="6"/>
  <c r="AZ151" i="6"/>
  <c r="C156" i="3" s="1"/>
  <c r="AX152" i="6" a="1"/>
  <c r="Q152" i="2" l="1"/>
  <c r="V152" i="2"/>
  <c r="AX152" i="6"/>
  <c r="BM152" i="6" s="1"/>
  <c r="BF151" i="6"/>
  <c r="BB151" i="6" s="1"/>
  <c r="E152" i="2"/>
  <c r="B153" i="2"/>
  <c r="AE153" i="2" s="1"/>
  <c r="Z153" i="2"/>
  <c r="AB152" i="2"/>
  <c r="K152" i="2"/>
  <c r="BN152" i="6" l="1"/>
  <c r="BK152" i="6"/>
  <c r="AF153" i="2"/>
  <c r="BK153" i="2"/>
  <c r="AG153" i="2"/>
  <c r="Y153" i="2"/>
  <c r="AA153" i="2" s="1"/>
  <c r="BP153" i="2"/>
  <c r="BF153" i="2"/>
  <c r="AV153" i="2"/>
  <c r="BA153" i="2"/>
  <c r="AL153" i="2"/>
  <c r="AQ153" i="2"/>
  <c r="O153" i="2"/>
  <c r="T153" i="2"/>
  <c r="C153" i="2"/>
  <c r="H153" i="2"/>
  <c r="L153" i="2" s="1"/>
  <c r="AY153" i="2"/>
  <c r="AI153" i="2"/>
  <c r="BI153" i="2"/>
  <c r="BS153" i="2"/>
  <c r="I153" i="2"/>
  <c r="M153" i="2"/>
  <c r="B157" i="3"/>
  <c r="BL152" i="6"/>
  <c r="BG152" i="6"/>
  <c r="BE152" i="6"/>
  <c r="BC152" i="6"/>
  <c r="BS152" i="6"/>
  <c r="BD152" i="6"/>
  <c r="BI152" i="6"/>
  <c r="BJ152" i="6" s="1"/>
  <c r="BH152" i="6"/>
  <c r="BO152" i="6"/>
  <c r="BT152" i="6"/>
  <c r="AZ152" i="6"/>
  <c r="C157" i="3" s="1"/>
  <c r="AO153" i="2"/>
  <c r="AT153" i="2"/>
  <c r="BD153" i="2"/>
  <c r="F153" i="2"/>
  <c r="AR153" i="2"/>
  <c r="AS153" i="2" s="1"/>
  <c r="R153" i="2"/>
  <c r="P153" i="2"/>
  <c r="AJ153" i="2"/>
  <c r="AW153" i="2"/>
  <c r="AX153" i="2" s="1"/>
  <c r="D153" i="2"/>
  <c r="U153" i="2"/>
  <c r="BG153" i="2"/>
  <c r="BH153" i="2" s="1"/>
  <c r="J153" i="2"/>
  <c r="BB153" i="2"/>
  <c r="BC153" i="2" s="1"/>
  <c r="AM153" i="2"/>
  <c r="AN153" i="2" s="1"/>
  <c r="W153" i="2"/>
  <c r="BL153" i="2"/>
  <c r="BM153" i="2" s="1"/>
  <c r="BQ153" i="2"/>
  <c r="BR153" i="2" s="1"/>
  <c r="BN153" i="2"/>
  <c r="AX153" i="6" a="1"/>
  <c r="Q153" i="2" l="1"/>
  <c r="V153" i="2"/>
  <c r="AB153" i="2"/>
  <c r="BF152" i="6"/>
  <c r="BB152" i="6" s="1"/>
  <c r="AX153" i="6"/>
  <c r="BM153" i="6" s="1"/>
  <c r="K153" i="2"/>
  <c r="E153" i="2"/>
  <c r="B154" i="2"/>
  <c r="AE154" i="2" s="1"/>
  <c r="Z154" i="2"/>
  <c r="BN153" i="6" l="1"/>
  <c r="BK153" i="6"/>
  <c r="AF154" i="2"/>
  <c r="BK154" i="2"/>
  <c r="AG154" i="2"/>
  <c r="Y154" i="2"/>
  <c r="AA154" i="2" s="1"/>
  <c r="BP154" i="2"/>
  <c r="BF154" i="2"/>
  <c r="AV154" i="2"/>
  <c r="BA154" i="2"/>
  <c r="AL154" i="2"/>
  <c r="AQ154" i="2"/>
  <c r="O154" i="2"/>
  <c r="T154" i="2"/>
  <c r="C154" i="2"/>
  <c r="H154" i="2"/>
  <c r="L154" i="2" s="1"/>
  <c r="AY154" i="2"/>
  <c r="AI154" i="2"/>
  <c r="BI154" i="2"/>
  <c r="BS154" i="2"/>
  <c r="I154" i="2"/>
  <c r="M154" i="2"/>
  <c r="B158" i="3"/>
  <c r="BC153" i="6"/>
  <c r="BH153" i="6"/>
  <c r="BE153" i="6"/>
  <c r="BO153" i="6"/>
  <c r="BD153" i="6"/>
  <c r="BG153" i="6"/>
  <c r="BS153" i="6"/>
  <c r="BL153" i="6"/>
  <c r="BI153" i="6"/>
  <c r="BJ153" i="6" s="1"/>
  <c r="BT153" i="6"/>
  <c r="AZ153" i="6"/>
  <c r="C158" i="3" s="1"/>
  <c r="AO154" i="2"/>
  <c r="AT154" i="2"/>
  <c r="F154" i="2"/>
  <c r="BD154" i="2"/>
  <c r="U154" i="2"/>
  <c r="BL154" i="2"/>
  <c r="BM154" i="2" s="1"/>
  <c r="AM154" i="2"/>
  <c r="AN154" i="2" s="1"/>
  <c r="BQ154" i="2"/>
  <c r="BR154" i="2" s="1"/>
  <c r="W154" i="2"/>
  <c r="AW154" i="2"/>
  <c r="AX154" i="2" s="1"/>
  <c r="BG154" i="2"/>
  <c r="BH154" i="2" s="1"/>
  <c r="J154" i="2"/>
  <c r="R154" i="2"/>
  <c r="P154" i="2"/>
  <c r="AR154" i="2"/>
  <c r="AS154" i="2" s="1"/>
  <c r="D154" i="2"/>
  <c r="BN154" i="2"/>
  <c r="AJ154" i="2"/>
  <c r="BB154" i="2"/>
  <c r="BC154" i="2" s="1"/>
  <c r="AX154" i="6" a="1"/>
  <c r="Q154" i="2" l="1"/>
  <c r="AB154" i="2"/>
  <c r="E154" i="2"/>
  <c r="AX154" i="6"/>
  <c r="B155" i="2"/>
  <c r="AE155" i="2" s="1"/>
  <c r="Z155" i="2"/>
  <c r="V154" i="2"/>
  <c r="K154" i="2"/>
  <c r="BF153" i="6"/>
  <c r="BB153" i="6" s="1"/>
  <c r="BK154" i="6" l="1"/>
  <c r="BM154" i="6"/>
  <c r="BS154" i="6" s="1"/>
  <c r="AF155" i="2"/>
  <c r="BK155" i="2"/>
  <c r="AG155" i="2"/>
  <c r="Y155" i="2"/>
  <c r="AA155" i="2" s="1"/>
  <c r="B159" i="3"/>
  <c r="BN154" i="6"/>
  <c r="E45" i="10" s="1"/>
  <c r="BP155" i="2"/>
  <c r="BF155" i="2"/>
  <c r="AV155" i="2"/>
  <c r="BA155" i="2"/>
  <c r="AL155" i="2"/>
  <c r="AQ155" i="2"/>
  <c r="O155" i="2"/>
  <c r="T155" i="2"/>
  <c r="C155" i="2"/>
  <c r="H155" i="2"/>
  <c r="AY155" i="2"/>
  <c r="AI155" i="2"/>
  <c r="BI155" i="2"/>
  <c r="BS155" i="2"/>
  <c r="I155" i="2"/>
  <c r="M155" i="2"/>
  <c r="AO155" i="2"/>
  <c r="BD155" i="2"/>
  <c r="AT155" i="2"/>
  <c r="F155" i="2"/>
  <c r="AW155" i="2"/>
  <c r="AX155" i="2" s="1"/>
  <c r="D155" i="2"/>
  <c r="AR155" i="2"/>
  <c r="AS155" i="2" s="1"/>
  <c r="BN155" i="2"/>
  <c r="R155" i="2"/>
  <c r="AJ155" i="2"/>
  <c r="J155" i="2"/>
  <c r="AM155" i="2"/>
  <c r="AN155" i="2" s="1"/>
  <c r="BQ155" i="2"/>
  <c r="BR155" i="2" s="1"/>
  <c r="BB155" i="2"/>
  <c r="BC155" i="2" s="1"/>
  <c r="BL155" i="2"/>
  <c r="BM155" i="2" s="1"/>
  <c r="BG155" i="2"/>
  <c r="BH155" i="2" s="1"/>
  <c r="U155" i="2"/>
  <c r="P155" i="2"/>
  <c r="W155" i="2"/>
  <c r="BG154" i="6"/>
  <c r="BO154" i="6"/>
  <c r="BH154" i="6"/>
  <c r="BC154" i="6"/>
  <c r="BE154" i="6"/>
  <c r="BL154" i="6"/>
  <c r="E32" i="10" s="1"/>
  <c r="BI154" i="6"/>
  <c r="BJ154" i="6" s="1"/>
  <c r="BD154" i="6"/>
  <c r="BT154" i="6"/>
  <c r="E69" i="10" s="1"/>
  <c r="AZ154" i="6"/>
  <c r="C159" i="3" s="1"/>
  <c r="K8" i="6" l="1"/>
  <c r="F8" i="6" s="1"/>
  <c r="K6" i="6"/>
  <c r="F6" i="6" s="1"/>
  <c r="K7" i="6"/>
  <c r="K13" i="6"/>
  <c r="M61" i="6"/>
  <c r="K36" i="6"/>
  <c r="T78" i="6"/>
  <c r="S95" i="6"/>
  <c r="O51" i="6"/>
  <c r="P16" i="6"/>
  <c r="T37" i="6"/>
  <c r="K26" i="6"/>
  <c r="Q49" i="6"/>
  <c r="K82" i="6"/>
  <c r="P52" i="6"/>
  <c r="M87" i="6"/>
  <c r="O75" i="6"/>
  <c r="N69" i="6"/>
  <c r="K76" i="6"/>
  <c r="S55" i="6"/>
  <c r="S72" i="6"/>
  <c r="P97" i="6"/>
  <c r="R96" i="6"/>
  <c r="N84" i="6"/>
  <c r="P76" i="6"/>
  <c r="T41" i="6"/>
  <c r="S36" i="6"/>
  <c r="R39" i="6"/>
  <c r="T22" i="6"/>
  <c r="N85" i="6"/>
  <c r="N17" i="6"/>
  <c r="K52" i="6"/>
  <c r="M97" i="6"/>
  <c r="P104" i="6"/>
  <c r="S14" i="6"/>
  <c r="N31" i="6"/>
  <c r="K19" i="6"/>
  <c r="F19" i="6" s="1"/>
  <c r="O82" i="6"/>
  <c r="P81" i="6"/>
  <c r="N20" i="6"/>
  <c r="L14" i="6"/>
  <c r="L54" i="6"/>
  <c r="O39" i="6"/>
  <c r="T23" i="6"/>
  <c r="N87" i="6"/>
  <c r="R101" i="6"/>
  <c r="M14" i="6"/>
  <c r="L41" i="6"/>
  <c r="R19" i="6"/>
  <c r="M55" i="6"/>
  <c r="L80" i="6"/>
  <c r="O74" i="6"/>
  <c r="R21" i="6"/>
  <c r="S90" i="6"/>
  <c r="R82" i="6"/>
  <c r="L83" i="6"/>
  <c r="T56" i="6"/>
  <c r="Q61" i="6"/>
  <c r="P95" i="6"/>
  <c r="P17" i="6"/>
  <c r="T65" i="6"/>
  <c r="N38" i="6"/>
  <c r="S23" i="6"/>
  <c r="P13" i="6"/>
  <c r="O42" i="6"/>
  <c r="K61" i="6"/>
  <c r="N94" i="6"/>
  <c r="Q44" i="6"/>
  <c r="L35" i="6"/>
  <c r="P55" i="6"/>
  <c r="O37" i="6"/>
  <c r="L71" i="6"/>
  <c r="P86" i="6"/>
  <c r="P61" i="6"/>
  <c r="O83" i="6"/>
  <c r="L44" i="6"/>
  <c r="S13" i="6"/>
  <c r="T86" i="6"/>
  <c r="Q31" i="6"/>
  <c r="P98" i="6"/>
  <c r="L101" i="6"/>
  <c r="T63" i="6"/>
  <c r="N68" i="6"/>
  <c r="M69" i="6"/>
  <c r="M36" i="6"/>
  <c r="M89" i="6"/>
  <c r="O23" i="6"/>
  <c r="S32" i="6"/>
  <c r="N37" i="6"/>
  <c r="L77" i="6"/>
  <c r="R33" i="6"/>
  <c r="S70" i="6"/>
  <c r="Q87" i="6"/>
  <c r="R26" i="6"/>
  <c r="S76" i="6"/>
  <c r="T92" i="6"/>
  <c r="T69" i="6"/>
  <c r="L99" i="6"/>
  <c r="T93" i="6"/>
  <c r="Q77" i="6"/>
  <c r="K42" i="6"/>
  <c r="S102" i="6"/>
  <c r="M28" i="6"/>
  <c r="Q55" i="6"/>
  <c r="N45" i="6"/>
  <c r="L24" i="6"/>
  <c r="N53" i="6"/>
  <c r="Q64" i="6"/>
  <c r="K21" i="6"/>
  <c r="F21" i="6" s="1"/>
  <c r="M74" i="6"/>
  <c r="S17" i="6"/>
  <c r="L98" i="6"/>
  <c r="Q93" i="6"/>
  <c r="O56" i="6"/>
  <c r="Q59" i="6"/>
  <c r="M53" i="6"/>
  <c r="L86" i="6"/>
  <c r="P32" i="6"/>
  <c r="L73" i="6"/>
  <c r="T13" i="6"/>
  <c r="L15" i="6"/>
  <c r="P99" i="6"/>
  <c r="M82" i="6"/>
  <c r="T39" i="6"/>
  <c r="K28" i="6"/>
  <c r="Q84" i="6"/>
  <c r="R94" i="6"/>
  <c r="Q68" i="6"/>
  <c r="L78" i="6"/>
  <c r="N32" i="6"/>
  <c r="S74" i="6"/>
  <c r="P51" i="6"/>
  <c r="P50" i="6"/>
  <c r="T74" i="6"/>
  <c r="R103" i="6"/>
  <c r="K104" i="6"/>
  <c r="P56" i="6"/>
  <c r="R38" i="6"/>
  <c r="Q35" i="6"/>
  <c r="Q94" i="6"/>
  <c r="M13" i="6"/>
  <c r="K27" i="6"/>
  <c r="K44" i="6"/>
  <c r="T55" i="6"/>
  <c r="O49" i="6"/>
  <c r="M33" i="6"/>
  <c r="S61" i="6"/>
  <c r="P74" i="6"/>
  <c r="P35" i="6"/>
  <c r="T50" i="6"/>
  <c r="K49" i="6"/>
  <c r="M32" i="6"/>
  <c r="M76" i="6"/>
  <c r="Q90" i="6"/>
  <c r="N77" i="6"/>
  <c r="N75" i="6"/>
  <c r="P80" i="6"/>
  <c r="P70" i="6"/>
  <c r="T61" i="6"/>
  <c r="Q38" i="6"/>
  <c r="K95" i="6"/>
  <c r="S85" i="6"/>
  <c r="Q36" i="6"/>
  <c r="Q75" i="6"/>
  <c r="Q99" i="6"/>
  <c r="T32" i="6"/>
  <c r="K83" i="6"/>
  <c r="N79" i="6"/>
  <c r="L49" i="6"/>
  <c r="N47" i="6"/>
  <c r="R32" i="6"/>
  <c r="T17" i="6"/>
  <c r="K33" i="6"/>
  <c r="S15" i="6"/>
  <c r="T85" i="6"/>
  <c r="N30" i="6"/>
  <c r="O71" i="6"/>
  <c r="M40" i="6"/>
  <c r="R56" i="6"/>
  <c r="Q89" i="6"/>
  <c r="O20" i="6"/>
  <c r="Q100" i="6"/>
  <c r="O62" i="6"/>
  <c r="T51" i="6"/>
  <c r="R59" i="6"/>
  <c r="N28" i="6"/>
  <c r="T42" i="6"/>
  <c r="K15" i="6"/>
  <c r="F15" i="6" s="1"/>
  <c r="N102" i="6"/>
  <c r="O63" i="6"/>
  <c r="Q67" i="6"/>
  <c r="Q19" i="6"/>
  <c r="N24" i="6"/>
  <c r="M38" i="6"/>
  <c r="Q88" i="6"/>
  <c r="L38" i="6"/>
  <c r="R36" i="6"/>
  <c r="T14" i="6"/>
  <c r="O25" i="6"/>
  <c r="M41" i="6"/>
  <c r="O31" i="6"/>
  <c r="L36" i="6"/>
  <c r="P103" i="6"/>
  <c r="O60" i="6"/>
  <c r="T57" i="6"/>
  <c r="M62" i="6"/>
  <c r="K97" i="6"/>
  <c r="M75" i="6"/>
  <c r="N82" i="6"/>
  <c r="N19" i="6"/>
  <c r="P87" i="6"/>
  <c r="Q60" i="6"/>
  <c r="K30" i="6"/>
  <c r="L20" i="6"/>
  <c r="P42" i="6"/>
  <c r="R43" i="6"/>
  <c r="K103" i="6"/>
  <c r="T62" i="6"/>
  <c r="R53" i="6"/>
  <c r="T68" i="6"/>
  <c r="M49" i="6"/>
  <c r="M93" i="6"/>
  <c r="L45" i="6"/>
  <c r="O100" i="6"/>
  <c r="K94" i="6"/>
  <c r="K38" i="6"/>
  <c r="Q95" i="6"/>
  <c r="P94" i="6"/>
  <c r="M102" i="6"/>
  <c r="P14" i="6"/>
  <c r="L55" i="6"/>
  <c r="S75" i="6"/>
  <c r="N48" i="6"/>
  <c r="S46" i="6"/>
  <c r="K51" i="6"/>
  <c r="K14" i="6"/>
  <c r="F14" i="6" s="1"/>
  <c r="S27" i="6"/>
  <c r="R20" i="6"/>
  <c r="Q53" i="6"/>
  <c r="K91" i="6"/>
  <c r="M60" i="6"/>
  <c r="N49" i="6"/>
  <c r="K73" i="6"/>
  <c r="L59" i="6"/>
  <c r="R41" i="6"/>
  <c r="O22" i="6"/>
  <c r="L19" i="6"/>
  <c r="K16" i="6"/>
  <c r="F16" i="6" s="1"/>
  <c r="R50" i="6"/>
  <c r="L70" i="6"/>
  <c r="K18" i="6"/>
  <c r="F18" i="6" s="1"/>
  <c r="O70" i="6"/>
  <c r="P82" i="6"/>
  <c r="R85" i="6"/>
  <c r="L56" i="6"/>
  <c r="S51" i="6"/>
  <c r="L57" i="6"/>
  <c r="P24" i="6"/>
  <c r="T99" i="6"/>
  <c r="T44" i="6"/>
  <c r="N22" i="6"/>
  <c r="P91" i="6"/>
  <c r="O72" i="6"/>
  <c r="L93" i="6"/>
  <c r="K75" i="6"/>
  <c r="P68" i="6"/>
  <c r="L48" i="6"/>
  <c r="M50" i="6"/>
  <c r="P53" i="6"/>
  <c r="M17" i="6"/>
  <c r="O73" i="6"/>
  <c r="Q43" i="6"/>
  <c r="O52" i="6"/>
  <c r="M54" i="6"/>
  <c r="T87" i="6"/>
  <c r="R80" i="6"/>
  <c r="P92" i="6"/>
  <c r="S71" i="6"/>
  <c r="R48" i="6"/>
  <c r="T72" i="6"/>
  <c r="O90" i="6"/>
  <c r="Q14" i="6"/>
  <c r="Q47" i="6"/>
  <c r="P34" i="6"/>
  <c r="R81" i="6"/>
  <c r="L26" i="6"/>
  <c r="R67" i="6"/>
  <c r="N58" i="6"/>
  <c r="S103" i="6"/>
  <c r="P78" i="6"/>
  <c r="Q23" i="6"/>
  <c r="R68" i="6"/>
  <c r="N52" i="6"/>
  <c r="Q76" i="6"/>
  <c r="M18" i="6"/>
  <c r="R73" i="6"/>
  <c r="S96" i="6"/>
  <c r="T66" i="6"/>
  <c r="R98" i="6"/>
  <c r="Q29" i="6"/>
  <c r="K88" i="6"/>
  <c r="Q26" i="6"/>
  <c r="R87" i="6"/>
  <c r="K78" i="6"/>
  <c r="K65" i="6"/>
  <c r="L30" i="6"/>
  <c r="T40" i="6"/>
  <c r="N59" i="6"/>
  <c r="S37" i="6"/>
  <c r="O84" i="6"/>
  <c r="N55" i="6"/>
  <c r="S104" i="6"/>
  <c r="O95" i="6"/>
  <c r="P20" i="6"/>
  <c r="R71" i="6"/>
  <c r="K60" i="6"/>
  <c r="K80" i="6"/>
  <c r="L95" i="6"/>
  <c r="M48" i="6"/>
  <c r="S39" i="6"/>
  <c r="R97" i="6"/>
  <c r="S38" i="6"/>
  <c r="R89" i="6"/>
  <c r="N101" i="6"/>
  <c r="T95" i="6"/>
  <c r="K55" i="6"/>
  <c r="O68" i="6"/>
  <c r="M47" i="6"/>
  <c r="T104" i="6"/>
  <c r="S94" i="6"/>
  <c r="Q74" i="6"/>
  <c r="O85" i="6"/>
  <c r="M81" i="6"/>
  <c r="L51" i="6"/>
  <c r="M29" i="6"/>
  <c r="M65" i="6"/>
  <c r="K79" i="6"/>
  <c r="Q46" i="6"/>
  <c r="Q37" i="6"/>
  <c r="O78" i="6"/>
  <c r="Q70" i="6"/>
  <c r="K34" i="6"/>
  <c r="S101" i="6"/>
  <c r="Q73" i="6"/>
  <c r="R84" i="6"/>
  <c r="O67" i="6"/>
  <c r="S20" i="6"/>
  <c r="T88" i="6"/>
  <c r="L42" i="6"/>
  <c r="R40" i="6"/>
  <c r="N41" i="6"/>
  <c r="T76" i="6"/>
  <c r="T94" i="6"/>
  <c r="R51" i="6"/>
  <c r="K20" i="6"/>
  <c r="O44" i="6"/>
  <c r="T36" i="6"/>
  <c r="R75" i="6"/>
  <c r="O28" i="6"/>
  <c r="K84" i="6"/>
  <c r="N23" i="6"/>
  <c r="M103" i="6"/>
  <c r="T45" i="6"/>
  <c r="P84" i="6"/>
  <c r="Q78" i="6"/>
  <c r="R14" i="6"/>
  <c r="R55" i="6"/>
  <c r="O24" i="6"/>
  <c r="Q80" i="6"/>
  <c r="O81" i="6"/>
  <c r="M20" i="6"/>
  <c r="R95" i="6"/>
  <c r="T75" i="6"/>
  <c r="R72" i="6"/>
  <c r="L61" i="6"/>
  <c r="O26" i="6"/>
  <c r="T38" i="6"/>
  <c r="R31" i="6"/>
  <c r="O50" i="6"/>
  <c r="T47" i="6"/>
  <c r="N27" i="6"/>
  <c r="K45" i="6"/>
  <c r="R61" i="6"/>
  <c r="O69" i="6"/>
  <c r="P83" i="6"/>
  <c r="S89" i="6"/>
  <c r="O45" i="6"/>
  <c r="K25" i="6"/>
  <c r="M22" i="6"/>
  <c r="O36" i="6"/>
  <c r="T19" i="6"/>
  <c r="R92" i="6"/>
  <c r="O57" i="6"/>
  <c r="K41" i="6"/>
  <c r="O17" i="6"/>
  <c r="O47" i="6"/>
  <c r="T101" i="6"/>
  <c r="L89" i="6"/>
  <c r="T16" i="6"/>
  <c r="T103" i="6"/>
  <c r="R28" i="6"/>
  <c r="T77" i="6"/>
  <c r="S80" i="6"/>
  <c r="K53" i="6"/>
  <c r="O86" i="6"/>
  <c r="M24" i="6"/>
  <c r="S18" i="6"/>
  <c r="S79" i="6"/>
  <c r="Q86" i="6"/>
  <c r="P43" i="6"/>
  <c r="K59" i="6"/>
  <c r="R62" i="6"/>
  <c r="S31" i="6"/>
  <c r="Q54" i="6"/>
  <c r="R70" i="6"/>
  <c r="T25" i="6"/>
  <c r="K68" i="6"/>
  <c r="T49" i="6"/>
  <c r="S19" i="6"/>
  <c r="R78" i="6"/>
  <c r="K92" i="6"/>
  <c r="R90" i="6"/>
  <c r="M52" i="6"/>
  <c r="L96" i="6"/>
  <c r="K24" i="6"/>
  <c r="F24" i="6" s="1"/>
  <c r="M16" i="6"/>
  <c r="R37" i="6"/>
  <c r="L34" i="6"/>
  <c r="M66" i="6"/>
  <c r="P67" i="6"/>
  <c r="O80" i="6"/>
  <c r="M19" i="6"/>
  <c r="N43" i="6"/>
  <c r="O89" i="6"/>
  <c r="Q102" i="6"/>
  <c r="O61" i="6"/>
  <c r="K81" i="6"/>
  <c r="P19" i="6"/>
  <c r="Q34" i="6"/>
  <c r="L23" i="6"/>
  <c r="N21" i="6"/>
  <c r="Q58" i="6"/>
  <c r="P27" i="6"/>
  <c r="K22" i="6"/>
  <c r="M59" i="6"/>
  <c r="N78" i="6"/>
  <c r="L103" i="6"/>
  <c r="R76" i="6"/>
  <c r="M27" i="6"/>
  <c r="T52" i="6"/>
  <c r="T43" i="6"/>
  <c r="L18" i="6"/>
  <c r="M64" i="6"/>
  <c r="O18" i="6"/>
  <c r="N60" i="6"/>
  <c r="L85" i="6"/>
  <c r="K47" i="6"/>
  <c r="P40" i="6"/>
  <c r="N51" i="6"/>
  <c r="M83" i="6"/>
  <c r="L27" i="6"/>
  <c r="K99" i="6"/>
  <c r="Q39" i="6"/>
  <c r="Q13" i="6"/>
  <c r="O87" i="6"/>
  <c r="Q91" i="6"/>
  <c r="K98" i="6"/>
  <c r="T89" i="6"/>
  <c r="N35" i="6"/>
  <c r="K40" i="6"/>
  <c r="S33" i="6"/>
  <c r="P26" i="6"/>
  <c r="S62" i="6"/>
  <c r="R45" i="6"/>
  <c r="K71" i="6"/>
  <c r="R23" i="6"/>
  <c r="O76" i="6"/>
  <c r="L66" i="6"/>
  <c r="N26" i="6"/>
  <c r="S97" i="6"/>
  <c r="L88" i="6"/>
  <c r="Q20" i="6"/>
  <c r="O77" i="6"/>
  <c r="T54" i="6"/>
  <c r="N72" i="6"/>
  <c r="R49" i="6"/>
  <c r="P73" i="6"/>
  <c r="O19" i="6"/>
  <c r="O46" i="6"/>
  <c r="L100" i="6"/>
  <c r="P69" i="6"/>
  <c r="L28" i="6"/>
  <c r="R66" i="6"/>
  <c r="M34" i="6"/>
  <c r="L94" i="6"/>
  <c r="T97" i="6"/>
  <c r="S82" i="6"/>
  <c r="L17" i="6"/>
  <c r="S40" i="6"/>
  <c r="P22" i="6"/>
  <c r="P30" i="6"/>
  <c r="R104" i="6"/>
  <c r="N29" i="6"/>
  <c r="O59" i="6"/>
  <c r="Q98" i="6"/>
  <c r="N99" i="6"/>
  <c r="S58" i="6"/>
  <c r="M101" i="6"/>
  <c r="L81" i="6"/>
  <c r="S49" i="6"/>
  <c r="L33" i="6"/>
  <c r="L47" i="6"/>
  <c r="M39" i="6"/>
  <c r="P29" i="6"/>
  <c r="T81" i="6"/>
  <c r="P64" i="6"/>
  <c r="S25" i="6"/>
  <c r="P48" i="6"/>
  <c r="N62" i="6"/>
  <c r="K29" i="6"/>
  <c r="S64" i="6"/>
  <c r="K48" i="6"/>
  <c r="T59" i="6"/>
  <c r="S29" i="6"/>
  <c r="O101" i="6"/>
  <c r="T71" i="6"/>
  <c r="N93" i="6"/>
  <c r="N80" i="6"/>
  <c r="O97" i="6"/>
  <c r="T83" i="6"/>
  <c r="K67" i="6"/>
  <c r="O54" i="6"/>
  <c r="M73" i="6"/>
  <c r="T98" i="6"/>
  <c r="K77" i="6"/>
  <c r="Q30" i="6"/>
  <c r="P57" i="6"/>
  <c r="Q85" i="6"/>
  <c r="S44" i="6"/>
  <c r="M56" i="6"/>
  <c r="Q63" i="6"/>
  <c r="R77" i="6"/>
  <c r="O99" i="6"/>
  <c r="P31" i="6"/>
  <c r="T33" i="6"/>
  <c r="L91" i="6"/>
  <c r="N76" i="6"/>
  <c r="L13" i="6"/>
  <c r="Q52" i="6"/>
  <c r="S60" i="6"/>
  <c r="K62" i="6"/>
  <c r="N65" i="6"/>
  <c r="T60" i="6"/>
  <c r="M98" i="6"/>
  <c r="T27" i="6"/>
  <c r="Q72" i="6"/>
  <c r="P44" i="6"/>
  <c r="N96" i="6"/>
  <c r="N13" i="6"/>
  <c r="O65" i="6"/>
  <c r="N64" i="6"/>
  <c r="L90" i="6"/>
  <c r="T24" i="6"/>
  <c r="Q97" i="6"/>
  <c r="O92" i="6"/>
  <c r="S35" i="6"/>
  <c r="T84" i="6"/>
  <c r="N18" i="6"/>
  <c r="N36" i="6"/>
  <c r="N74" i="6"/>
  <c r="K69" i="6"/>
  <c r="O103" i="6"/>
  <c r="S16" i="6"/>
  <c r="R35" i="6"/>
  <c r="M68" i="6"/>
  <c r="M23" i="6"/>
  <c r="S73" i="6"/>
  <c r="M84" i="6"/>
  <c r="P47" i="6"/>
  <c r="N34" i="6"/>
  <c r="R29" i="6"/>
  <c r="L68" i="6"/>
  <c r="T67" i="6"/>
  <c r="N91" i="6"/>
  <c r="M25" i="6"/>
  <c r="O96" i="6"/>
  <c r="Q57" i="6"/>
  <c r="T70" i="6"/>
  <c r="S67" i="6"/>
  <c r="P58" i="6"/>
  <c r="R74" i="6"/>
  <c r="S91" i="6"/>
  <c r="K35" i="6"/>
  <c r="P59" i="6"/>
  <c r="L31" i="6"/>
  <c r="S50" i="6"/>
  <c r="K66" i="6"/>
  <c r="S59" i="6"/>
  <c r="S42" i="6"/>
  <c r="R44" i="6"/>
  <c r="N42" i="6"/>
  <c r="O30" i="6"/>
  <c r="K50" i="6"/>
  <c r="N97" i="6"/>
  <c r="T90" i="6"/>
  <c r="T48" i="6"/>
  <c r="S22" i="6"/>
  <c r="P100" i="6"/>
  <c r="P96" i="6"/>
  <c r="O64" i="6"/>
  <c r="T28" i="6"/>
  <c r="M51" i="6"/>
  <c r="L39" i="6"/>
  <c r="K64" i="6"/>
  <c r="K72" i="6"/>
  <c r="R93" i="6"/>
  <c r="T91" i="6"/>
  <c r="M86" i="6"/>
  <c r="R64" i="6"/>
  <c r="K57" i="6"/>
  <c r="L37" i="6"/>
  <c r="K70" i="6"/>
  <c r="N33" i="6"/>
  <c r="P45" i="6"/>
  <c r="S81" i="6"/>
  <c r="M37" i="6"/>
  <c r="Q17" i="6"/>
  <c r="K87" i="6"/>
  <c r="K86" i="6"/>
  <c r="T53" i="6"/>
  <c r="O32" i="6"/>
  <c r="L75" i="6"/>
  <c r="K32" i="6"/>
  <c r="M78" i="6"/>
  <c r="L62" i="6"/>
  <c r="M31" i="6"/>
  <c r="R102" i="6"/>
  <c r="N61" i="6"/>
  <c r="P39" i="6"/>
  <c r="P102" i="6"/>
  <c r="Q101" i="6"/>
  <c r="O94" i="6"/>
  <c r="L50" i="6"/>
  <c r="P54" i="6"/>
  <c r="P21" i="6"/>
  <c r="M94" i="6"/>
  <c r="N71" i="6"/>
  <c r="K56" i="6"/>
  <c r="P62" i="6"/>
  <c r="K101" i="6"/>
  <c r="O66" i="6"/>
  <c r="N56" i="6"/>
  <c r="N15" i="6"/>
  <c r="Q69" i="6"/>
  <c r="O33" i="6"/>
  <c r="P63" i="6"/>
  <c r="R15" i="6"/>
  <c r="Q24" i="6"/>
  <c r="O55" i="6"/>
  <c r="S77" i="6"/>
  <c r="T35" i="6"/>
  <c r="P66" i="6"/>
  <c r="Q27" i="6"/>
  <c r="L79" i="6"/>
  <c r="R54" i="6"/>
  <c r="P38" i="6"/>
  <c r="S69" i="6"/>
  <c r="Q51" i="6"/>
  <c r="T46" i="6"/>
  <c r="K46" i="6"/>
  <c r="Q81" i="6"/>
  <c r="L21" i="6"/>
  <c r="P25" i="6"/>
  <c r="M79" i="6"/>
  <c r="M15" i="6"/>
  <c r="Q96" i="6"/>
  <c r="L40" i="6"/>
  <c r="P89" i="6"/>
  <c r="Q25" i="6"/>
  <c r="S53" i="6"/>
  <c r="O91" i="6"/>
  <c r="Q32" i="6"/>
  <c r="N92" i="6"/>
  <c r="R47" i="6"/>
  <c r="T82" i="6"/>
  <c r="L52" i="6"/>
  <c r="R69" i="6"/>
  <c r="L84" i="6"/>
  <c r="L58" i="6"/>
  <c r="S24" i="6"/>
  <c r="S28" i="6"/>
  <c r="T20" i="6"/>
  <c r="M43" i="6"/>
  <c r="O40" i="6"/>
  <c r="M58" i="6"/>
  <c r="N67" i="6"/>
  <c r="N83" i="6"/>
  <c r="L29" i="6"/>
  <c r="O58" i="6"/>
  <c r="R100" i="6"/>
  <c r="S21" i="6"/>
  <c r="R30" i="6"/>
  <c r="P33" i="6"/>
  <c r="N98" i="6"/>
  <c r="T30" i="6"/>
  <c r="M95" i="6"/>
  <c r="S48" i="6"/>
  <c r="Q103" i="6"/>
  <c r="K100" i="6"/>
  <c r="P65" i="6"/>
  <c r="Q15" i="6"/>
  <c r="S34" i="6"/>
  <c r="L16" i="6"/>
  <c r="N16" i="6"/>
  <c r="Q41" i="6"/>
  <c r="R27" i="6"/>
  <c r="S87" i="6"/>
  <c r="M85" i="6"/>
  <c r="O104" i="6"/>
  <c r="R65" i="6"/>
  <c r="K63" i="6"/>
  <c r="R17" i="6"/>
  <c r="T21" i="6"/>
  <c r="Q16" i="6"/>
  <c r="L32" i="6"/>
  <c r="K93" i="6"/>
  <c r="P90" i="6"/>
  <c r="T18" i="6"/>
  <c r="M42" i="6"/>
  <c r="S84" i="6"/>
  <c r="N25" i="6"/>
  <c r="T96" i="6"/>
  <c r="O41" i="6"/>
  <c r="L60" i="6"/>
  <c r="Q33" i="6"/>
  <c r="S30" i="6"/>
  <c r="Q48" i="6"/>
  <c r="N44" i="6"/>
  <c r="M30" i="6"/>
  <c r="S92" i="6"/>
  <c r="Q40" i="6"/>
  <c r="Q21" i="6"/>
  <c r="L63" i="6"/>
  <c r="N73" i="6"/>
  <c r="O43" i="6"/>
  <c r="T29" i="6"/>
  <c r="Q104" i="6"/>
  <c r="N88" i="6"/>
  <c r="L102" i="6"/>
  <c r="P79" i="6"/>
  <c r="M63" i="6"/>
  <c r="O15" i="6"/>
  <c r="P71" i="6"/>
  <c r="L82" i="6"/>
  <c r="L97" i="6"/>
  <c r="S99" i="6"/>
  <c r="L64" i="6"/>
  <c r="R83" i="6"/>
  <c r="L67" i="6"/>
  <c r="S54" i="6"/>
  <c r="K85" i="6"/>
  <c r="S83" i="6"/>
  <c r="R58" i="6"/>
  <c r="S56" i="6"/>
  <c r="L76" i="6"/>
  <c r="S63" i="6"/>
  <c r="S68" i="6"/>
  <c r="O88" i="6"/>
  <c r="T80" i="6"/>
  <c r="N89" i="6"/>
  <c r="M92" i="6"/>
  <c r="L22" i="6"/>
  <c r="O53" i="6"/>
  <c r="S86" i="6"/>
  <c r="R46" i="6"/>
  <c r="P15" i="6"/>
  <c r="M104" i="6"/>
  <c r="M57" i="6"/>
  <c r="L25" i="6"/>
  <c r="P49" i="6"/>
  <c r="P60" i="6"/>
  <c r="L87" i="6"/>
  <c r="P41" i="6"/>
  <c r="T15" i="6"/>
  <c r="K39" i="6"/>
  <c r="R42" i="6"/>
  <c r="R24" i="6"/>
  <c r="P93" i="6"/>
  <c r="L43" i="6"/>
  <c r="S78" i="6"/>
  <c r="O93" i="6"/>
  <c r="N50" i="6"/>
  <c r="N40" i="6"/>
  <c r="R34" i="6"/>
  <c r="R57" i="6"/>
  <c r="S41" i="6"/>
  <c r="P77" i="6"/>
  <c r="S88" i="6"/>
  <c r="O21" i="6"/>
  <c r="M96" i="6"/>
  <c r="N103" i="6"/>
  <c r="K54" i="6"/>
  <c r="K37" i="6"/>
  <c r="M91" i="6"/>
  <c r="T58" i="6"/>
  <c r="R91" i="6"/>
  <c r="S47" i="6"/>
  <c r="N90" i="6"/>
  <c r="Q42" i="6"/>
  <c r="S100" i="6"/>
  <c r="Q56" i="6"/>
  <c r="R60" i="6"/>
  <c r="N54" i="6"/>
  <c r="M88" i="6"/>
  <c r="R79" i="6"/>
  <c r="K90" i="6"/>
  <c r="T102" i="6"/>
  <c r="Q45" i="6"/>
  <c r="R13" i="6"/>
  <c r="M45" i="6"/>
  <c r="P101" i="6"/>
  <c r="R86" i="6"/>
  <c r="P85" i="6"/>
  <c r="P88" i="6"/>
  <c r="Q66" i="6"/>
  <c r="N70" i="6"/>
  <c r="N63" i="6"/>
  <c r="M21" i="6"/>
  <c r="P72" i="6"/>
  <c r="N57" i="6"/>
  <c r="K43" i="6"/>
  <c r="K31" i="6"/>
  <c r="T26" i="6"/>
  <c r="M77" i="6"/>
  <c r="O34" i="6"/>
  <c r="N81" i="6"/>
  <c r="L69" i="6"/>
  <c r="M67" i="6"/>
  <c r="T64" i="6"/>
  <c r="M44" i="6"/>
  <c r="P28" i="6"/>
  <c r="M100" i="6"/>
  <c r="N95" i="6"/>
  <c r="M71" i="6"/>
  <c r="S26" i="6"/>
  <c r="M70" i="6"/>
  <c r="R25" i="6"/>
  <c r="S52" i="6"/>
  <c r="Q71" i="6"/>
  <c r="T34" i="6"/>
  <c r="O79" i="6"/>
  <c r="N104" i="6"/>
  <c r="P46" i="6"/>
  <c r="T79" i="6"/>
  <c r="R63" i="6"/>
  <c r="K89" i="6"/>
  <c r="N14" i="6"/>
  <c r="P75" i="6"/>
  <c r="P37" i="6"/>
  <c r="T100" i="6"/>
  <c r="K74" i="6"/>
  <c r="O14" i="6"/>
  <c r="R18" i="6"/>
  <c r="P36" i="6"/>
  <c r="L92" i="6"/>
  <c r="S98" i="6"/>
  <c r="L74" i="6"/>
  <c r="Q18" i="6"/>
  <c r="L72" i="6"/>
  <c r="O16" i="6"/>
  <c r="R88" i="6"/>
  <c r="O35" i="6"/>
  <c r="O29" i="6"/>
  <c r="N66" i="6"/>
  <c r="Q83" i="6"/>
  <c r="K23" i="6"/>
  <c r="F23" i="6" s="1"/>
  <c r="O102" i="6"/>
  <c r="P23" i="6"/>
  <c r="Q22" i="6"/>
  <c r="K58" i="6"/>
  <c r="O27" i="6"/>
  <c r="P18" i="6"/>
  <c r="S57" i="6"/>
  <c r="M99" i="6"/>
  <c r="L46" i="6"/>
  <c r="K17" i="6"/>
  <c r="S66" i="6"/>
  <c r="M72" i="6"/>
  <c r="Q28" i="6"/>
  <c r="S43" i="6"/>
  <c r="T73" i="6"/>
  <c r="O48" i="6"/>
  <c r="K96" i="6"/>
  <c r="M26" i="6"/>
  <c r="Q50" i="6"/>
  <c r="L65" i="6"/>
  <c r="S93" i="6"/>
  <c r="R16" i="6"/>
  <c r="L53" i="6"/>
  <c r="S65" i="6"/>
  <c r="M35" i="6"/>
  <c r="K102" i="6"/>
  <c r="R99" i="6"/>
  <c r="Q65" i="6"/>
  <c r="R22" i="6"/>
  <c r="M46" i="6"/>
  <c r="Q92" i="6"/>
  <c r="Q62" i="6"/>
  <c r="N39" i="6"/>
  <c r="N46" i="6"/>
  <c r="M80" i="6"/>
  <c r="T31" i="6"/>
  <c r="M90" i="6"/>
  <c r="Q82" i="6"/>
  <c r="N100" i="6"/>
  <c r="S45" i="6"/>
  <c r="L104" i="6"/>
  <c r="N86" i="6"/>
  <c r="O38" i="6"/>
  <c r="R52" i="6"/>
  <c r="Q79" i="6"/>
  <c r="O98" i="6"/>
  <c r="O13" i="6"/>
  <c r="T5" i="6"/>
  <c r="N9" i="6"/>
  <c r="Q12" i="6"/>
  <c r="Q7" i="6"/>
  <c r="Q6" i="6"/>
  <c r="O8" i="6"/>
  <c r="K9" i="6"/>
  <c r="F9" i="6" s="1"/>
  <c r="L7" i="6"/>
  <c r="M7" i="6"/>
  <c r="M9" i="6"/>
  <c r="T7" i="6"/>
  <c r="P11" i="6"/>
  <c r="R7" i="6"/>
  <c r="O9" i="6"/>
  <c r="R11" i="6"/>
  <c r="M8" i="6"/>
  <c r="L9" i="6"/>
  <c r="N8" i="6"/>
  <c r="Q9" i="6"/>
  <c r="P9" i="6"/>
  <c r="T9" i="6"/>
  <c r="L8" i="6"/>
  <c r="L6" i="6"/>
  <c r="M10" i="6"/>
  <c r="S8" i="6"/>
  <c r="Q10" i="6"/>
  <c r="K11" i="6"/>
  <c r="F11" i="6" s="1"/>
  <c r="N11" i="6"/>
  <c r="P8" i="6"/>
  <c r="T8" i="6"/>
  <c r="L11" i="6"/>
  <c r="P12" i="6"/>
  <c r="N6" i="6"/>
  <c r="M12" i="6"/>
  <c r="T12" i="6"/>
  <c r="T10" i="6"/>
  <c r="N12" i="6"/>
  <c r="O7" i="6"/>
  <c r="S10" i="6"/>
  <c r="L12" i="6"/>
  <c r="T11" i="6"/>
  <c r="O12" i="6"/>
  <c r="O10" i="6"/>
  <c r="M6" i="6"/>
  <c r="O6" i="6"/>
  <c r="M11" i="6"/>
  <c r="P10" i="6"/>
  <c r="R10" i="6"/>
  <c r="O11" i="6"/>
  <c r="S11" i="6"/>
  <c r="R8" i="6"/>
  <c r="S12" i="6"/>
  <c r="Q11" i="6"/>
  <c r="P6" i="6"/>
  <c r="K12" i="6"/>
  <c r="F12" i="6" s="1"/>
  <c r="S6" i="6"/>
  <c r="N7" i="6"/>
  <c r="P7" i="6"/>
  <c r="S9" i="6"/>
  <c r="T6" i="6"/>
  <c r="R9" i="6"/>
  <c r="Q8" i="6"/>
  <c r="K10" i="6"/>
  <c r="F10" i="6" s="1"/>
  <c r="N10" i="6"/>
  <c r="R6" i="6"/>
  <c r="L10" i="6"/>
  <c r="R12" i="6"/>
  <c r="S7" i="6"/>
  <c r="R5" i="6"/>
  <c r="S5" i="6"/>
  <c r="P5" i="6"/>
  <c r="Q5" i="6"/>
  <c r="N5" i="6"/>
  <c r="O5" i="6"/>
  <c r="L5" i="6"/>
  <c r="M5" i="6"/>
  <c r="Q155" i="2"/>
  <c r="K155" i="2"/>
  <c r="V155" i="2"/>
  <c r="B156" i="2"/>
  <c r="AE156" i="2" s="1"/>
  <c r="Z156" i="2"/>
  <c r="L155" i="2"/>
  <c r="BF154" i="6"/>
  <c r="BB154" i="6" s="1"/>
  <c r="E34" i="10" s="1"/>
  <c r="AB155" i="2"/>
  <c r="E155" i="2"/>
  <c r="AF156" i="2" l="1"/>
  <c r="BK156" i="2"/>
  <c r="AG156" i="2"/>
  <c r="E61" i="10" s="1"/>
  <c r="Y156" i="2"/>
  <c r="AA156" i="2" s="1"/>
  <c r="X69" i="6"/>
  <c r="U69" i="6"/>
  <c r="V69" i="6"/>
  <c r="W69" i="6"/>
  <c r="X54" i="6"/>
  <c r="U54" i="6"/>
  <c r="V54" i="6"/>
  <c r="W54" i="6"/>
  <c r="W101" i="6"/>
  <c r="U101" i="6"/>
  <c r="X101" i="6"/>
  <c r="V101" i="6"/>
  <c r="X48" i="6"/>
  <c r="W48" i="6"/>
  <c r="U48" i="6"/>
  <c r="V48" i="6"/>
  <c r="V41" i="6"/>
  <c r="U41" i="6"/>
  <c r="W41" i="6"/>
  <c r="X41" i="6"/>
  <c r="X38" i="6"/>
  <c r="W38" i="6"/>
  <c r="U38" i="6"/>
  <c r="V38" i="6"/>
  <c r="U61" i="6"/>
  <c r="V61" i="6"/>
  <c r="W61" i="6"/>
  <c r="X61" i="6"/>
  <c r="X67" i="6"/>
  <c r="V67" i="6"/>
  <c r="U67" i="6"/>
  <c r="W67" i="6"/>
  <c r="U71" i="6"/>
  <c r="V71" i="6"/>
  <c r="W71" i="6"/>
  <c r="X71" i="6"/>
  <c r="W18" i="6"/>
  <c r="V18" i="6"/>
  <c r="X18" i="6"/>
  <c r="U18" i="6"/>
  <c r="V76" i="6"/>
  <c r="X76" i="6"/>
  <c r="W76" i="6"/>
  <c r="U76" i="6"/>
  <c r="U39" i="6"/>
  <c r="V39" i="6"/>
  <c r="W39" i="6"/>
  <c r="X39" i="6"/>
  <c r="U85" i="6"/>
  <c r="V85" i="6"/>
  <c r="X85" i="6"/>
  <c r="W85" i="6"/>
  <c r="X63" i="6"/>
  <c r="U63" i="6"/>
  <c r="V63" i="6"/>
  <c r="W63" i="6"/>
  <c r="U32" i="6"/>
  <c r="V32" i="6"/>
  <c r="W32" i="6"/>
  <c r="X32" i="6"/>
  <c r="U35" i="6"/>
  <c r="V35" i="6"/>
  <c r="W35" i="6"/>
  <c r="X35" i="6"/>
  <c r="W47" i="6"/>
  <c r="X47" i="6"/>
  <c r="U47" i="6"/>
  <c r="V47" i="6"/>
  <c r="U24" i="6"/>
  <c r="V24" i="6"/>
  <c r="W24" i="6"/>
  <c r="X24" i="6"/>
  <c r="X68" i="6"/>
  <c r="U68" i="6"/>
  <c r="V68" i="6"/>
  <c r="W68" i="6"/>
  <c r="W79" i="6"/>
  <c r="U79" i="6"/>
  <c r="X79" i="6"/>
  <c r="V79" i="6"/>
  <c r="X65" i="6"/>
  <c r="V65" i="6"/>
  <c r="W65" i="6"/>
  <c r="U65" i="6"/>
  <c r="U75" i="6"/>
  <c r="X75" i="6"/>
  <c r="V75" i="6"/>
  <c r="W75" i="6"/>
  <c r="V94" i="6"/>
  <c r="X94" i="6"/>
  <c r="U94" i="6"/>
  <c r="W94" i="6"/>
  <c r="U103" i="6"/>
  <c r="V103" i="6"/>
  <c r="W103" i="6"/>
  <c r="X103" i="6"/>
  <c r="V95" i="6"/>
  <c r="X95" i="6"/>
  <c r="U95" i="6"/>
  <c r="W95" i="6"/>
  <c r="X37" i="6"/>
  <c r="V37" i="6"/>
  <c r="W37" i="6"/>
  <c r="U37" i="6"/>
  <c r="W73" i="6"/>
  <c r="V73" i="6"/>
  <c r="U73" i="6"/>
  <c r="X73" i="6"/>
  <c r="U58" i="6"/>
  <c r="V58" i="6"/>
  <c r="X58" i="6"/>
  <c r="W58" i="6"/>
  <c r="X89" i="6"/>
  <c r="U89" i="6"/>
  <c r="V89" i="6"/>
  <c r="W89" i="6"/>
  <c r="U31" i="6"/>
  <c r="V31" i="6"/>
  <c r="W31" i="6"/>
  <c r="X31" i="6"/>
  <c r="X90" i="6"/>
  <c r="V90" i="6"/>
  <c r="U90" i="6"/>
  <c r="W90" i="6"/>
  <c r="U56" i="6"/>
  <c r="V56" i="6"/>
  <c r="W56" i="6"/>
  <c r="X56" i="6"/>
  <c r="X29" i="6"/>
  <c r="W29" i="6"/>
  <c r="V29" i="6"/>
  <c r="U29" i="6"/>
  <c r="W84" i="6"/>
  <c r="V84" i="6"/>
  <c r="U84" i="6"/>
  <c r="X84" i="6"/>
  <c r="U78" i="6"/>
  <c r="V78" i="6"/>
  <c r="X78" i="6"/>
  <c r="W78" i="6"/>
  <c r="U16" i="6"/>
  <c r="V16" i="6"/>
  <c r="W16" i="6"/>
  <c r="X16" i="6"/>
  <c r="V91" i="6"/>
  <c r="U91" i="6"/>
  <c r="W91" i="6"/>
  <c r="X91" i="6"/>
  <c r="X104" i="6"/>
  <c r="U104" i="6"/>
  <c r="V104" i="6"/>
  <c r="W104" i="6"/>
  <c r="U52" i="6"/>
  <c r="V52" i="6"/>
  <c r="W52" i="6"/>
  <c r="X52" i="6"/>
  <c r="X51" i="6"/>
  <c r="W51" i="6"/>
  <c r="V51" i="6"/>
  <c r="U51" i="6"/>
  <c r="X43" i="6"/>
  <c r="V43" i="6"/>
  <c r="W43" i="6"/>
  <c r="U43" i="6"/>
  <c r="X72" i="6"/>
  <c r="U72" i="6"/>
  <c r="V72" i="6"/>
  <c r="W72" i="6"/>
  <c r="U62" i="6"/>
  <c r="X62" i="6"/>
  <c r="V62" i="6"/>
  <c r="W62" i="6"/>
  <c r="V77" i="6"/>
  <c r="W77" i="6"/>
  <c r="X77" i="6"/>
  <c r="U77" i="6"/>
  <c r="V97" i="6"/>
  <c r="X97" i="6"/>
  <c r="U97" i="6"/>
  <c r="W97" i="6"/>
  <c r="X83" i="6"/>
  <c r="V83" i="6"/>
  <c r="U83" i="6"/>
  <c r="W83" i="6"/>
  <c r="V49" i="6"/>
  <c r="U49" i="6"/>
  <c r="W49" i="6"/>
  <c r="X49" i="6"/>
  <c r="U44" i="6"/>
  <c r="V44" i="6"/>
  <c r="W44" i="6"/>
  <c r="X44" i="6"/>
  <c r="V98" i="6"/>
  <c r="U98" i="6"/>
  <c r="W98" i="6"/>
  <c r="X98" i="6"/>
  <c r="V59" i="6"/>
  <c r="W59" i="6"/>
  <c r="X59" i="6"/>
  <c r="U59" i="6"/>
  <c r="V102" i="6"/>
  <c r="W102" i="6"/>
  <c r="U102" i="6"/>
  <c r="X102" i="6"/>
  <c r="X17" i="6"/>
  <c r="U17" i="6"/>
  <c r="W17" i="6"/>
  <c r="V17" i="6"/>
  <c r="W93" i="6"/>
  <c r="X93" i="6"/>
  <c r="U93" i="6"/>
  <c r="V93" i="6"/>
  <c r="W46" i="6"/>
  <c r="U46" i="6"/>
  <c r="X46" i="6"/>
  <c r="V46" i="6"/>
  <c r="V70" i="6"/>
  <c r="U70" i="6"/>
  <c r="X70" i="6"/>
  <c r="W70" i="6"/>
  <c r="U64" i="6"/>
  <c r="V64" i="6"/>
  <c r="W64" i="6"/>
  <c r="X64" i="6"/>
  <c r="U40" i="6"/>
  <c r="V40" i="6"/>
  <c r="W40" i="6"/>
  <c r="X40" i="6"/>
  <c r="W99" i="6"/>
  <c r="V99" i="6"/>
  <c r="X99" i="6"/>
  <c r="U99" i="6"/>
  <c r="V45" i="6"/>
  <c r="U45" i="6"/>
  <c r="W45" i="6"/>
  <c r="X45" i="6"/>
  <c r="X34" i="6"/>
  <c r="W34" i="6"/>
  <c r="U34" i="6"/>
  <c r="V34" i="6"/>
  <c r="U55" i="6"/>
  <c r="W55" i="6"/>
  <c r="X55" i="6"/>
  <c r="V55" i="6"/>
  <c r="X27" i="6"/>
  <c r="U27" i="6"/>
  <c r="V27" i="6"/>
  <c r="W27" i="6"/>
  <c r="U82" i="6"/>
  <c r="V82" i="6"/>
  <c r="X82" i="6"/>
  <c r="W82" i="6"/>
  <c r="X36" i="6"/>
  <c r="V36" i="6"/>
  <c r="W36" i="6"/>
  <c r="U36" i="6"/>
  <c r="U20" i="6"/>
  <c r="V20" i="6"/>
  <c r="X20" i="6"/>
  <c r="W20" i="6"/>
  <c r="U96" i="6"/>
  <c r="W96" i="6"/>
  <c r="X96" i="6"/>
  <c r="V96" i="6"/>
  <c r="U74" i="6"/>
  <c r="X74" i="6"/>
  <c r="V74" i="6"/>
  <c r="W74" i="6"/>
  <c r="X100" i="6"/>
  <c r="U100" i="6"/>
  <c r="V100" i="6"/>
  <c r="W100" i="6"/>
  <c r="V86" i="6"/>
  <c r="X86" i="6"/>
  <c r="U86" i="6"/>
  <c r="W86" i="6"/>
  <c r="U66" i="6"/>
  <c r="X66" i="6"/>
  <c r="V66" i="6"/>
  <c r="W66" i="6"/>
  <c r="V81" i="6"/>
  <c r="W81" i="6"/>
  <c r="U81" i="6"/>
  <c r="X81" i="6"/>
  <c r="U92" i="6"/>
  <c r="V92" i="6"/>
  <c r="W92" i="6"/>
  <c r="X92" i="6"/>
  <c r="W80" i="6"/>
  <c r="V80" i="6"/>
  <c r="X80" i="6"/>
  <c r="U80" i="6"/>
  <c r="U88" i="6"/>
  <c r="V88" i="6"/>
  <c r="W88" i="6"/>
  <c r="X88" i="6"/>
  <c r="W30" i="6"/>
  <c r="X30" i="6"/>
  <c r="U30" i="6"/>
  <c r="V30" i="6"/>
  <c r="V33" i="6"/>
  <c r="U33" i="6"/>
  <c r="W33" i="6"/>
  <c r="X33" i="6"/>
  <c r="W28" i="6"/>
  <c r="U28" i="6"/>
  <c r="V28" i="6"/>
  <c r="X28" i="6"/>
  <c r="X21" i="6"/>
  <c r="W21" i="6"/>
  <c r="V21" i="6"/>
  <c r="U21" i="6"/>
  <c r="U42" i="6"/>
  <c r="V42" i="6"/>
  <c r="X42" i="6"/>
  <c r="W42" i="6"/>
  <c r="U19" i="6"/>
  <c r="X19" i="6"/>
  <c r="V19" i="6"/>
  <c r="W19" i="6"/>
  <c r="X50" i="6"/>
  <c r="U50" i="6"/>
  <c r="V50" i="6"/>
  <c r="W50" i="6"/>
  <c r="W23" i="6"/>
  <c r="U23" i="6"/>
  <c r="V23" i="6"/>
  <c r="X23" i="6"/>
  <c r="W87" i="6"/>
  <c r="X87" i="6"/>
  <c r="V87" i="6"/>
  <c r="U87" i="6"/>
  <c r="W57" i="6"/>
  <c r="X57" i="6"/>
  <c r="U57" i="6"/>
  <c r="V57" i="6"/>
  <c r="W22" i="6"/>
  <c r="X22" i="6"/>
  <c r="U22" i="6"/>
  <c r="V22" i="6"/>
  <c r="U53" i="6"/>
  <c r="V53" i="6"/>
  <c r="W53" i="6"/>
  <c r="X53" i="6"/>
  <c r="V25" i="6"/>
  <c r="U25" i="6"/>
  <c r="X25" i="6"/>
  <c r="W25" i="6"/>
  <c r="U60" i="6"/>
  <c r="V60" i="6"/>
  <c r="W60" i="6"/>
  <c r="X60" i="6"/>
  <c r="W14" i="6"/>
  <c r="X14" i="6"/>
  <c r="U14" i="6"/>
  <c r="V14" i="6"/>
  <c r="X15" i="6"/>
  <c r="V15" i="6"/>
  <c r="U15" i="6"/>
  <c r="W15" i="6"/>
  <c r="W26" i="6"/>
  <c r="X26" i="6"/>
  <c r="U26" i="6"/>
  <c r="V26" i="6"/>
  <c r="U13" i="6"/>
  <c r="V13" i="6"/>
  <c r="W13" i="6"/>
  <c r="X13" i="6"/>
  <c r="X7" i="6"/>
  <c r="W7" i="6"/>
  <c r="U7" i="6"/>
  <c r="V7" i="6"/>
  <c r="W12" i="6"/>
  <c r="X12" i="6"/>
  <c r="U12" i="6"/>
  <c r="V12" i="6"/>
  <c r="U9" i="6"/>
  <c r="V9" i="6"/>
  <c r="W9" i="6"/>
  <c r="X9" i="6"/>
  <c r="V10" i="6"/>
  <c r="W10" i="6"/>
  <c r="X10" i="6"/>
  <c r="U10" i="6"/>
  <c r="W8" i="6"/>
  <c r="U8" i="6"/>
  <c r="V8" i="6"/>
  <c r="X8" i="6"/>
  <c r="V11" i="6"/>
  <c r="U11" i="6"/>
  <c r="W11" i="6"/>
  <c r="X11" i="6"/>
  <c r="W6" i="6"/>
  <c r="U6" i="6"/>
  <c r="V6" i="6"/>
  <c r="X6" i="6"/>
  <c r="X5" i="6"/>
  <c r="V5" i="6"/>
  <c r="W5" i="6"/>
  <c r="U5" i="6"/>
  <c r="BP156" i="2"/>
  <c r="BF156" i="2"/>
  <c r="AV156" i="2"/>
  <c r="BA156" i="2"/>
  <c r="AL156" i="2"/>
  <c r="AQ156" i="2"/>
  <c r="O156" i="2"/>
  <c r="T156" i="2"/>
  <c r="C156" i="2"/>
  <c r="H156" i="2"/>
  <c r="AY156" i="2"/>
  <c r="AI156" i="2"/>
  <c r="BI156" i="2"/>
  <c r="BS156" i="2"/>
  <c r="I156" i="2"/>
  <c r="M156" i="2"/>
  <c r="E58" i="10" s="1"/>
  <c r="AO156" i="2"/>
  <c r="BD156" i="2"/>
  <c r="AT156" i="2"/>
  <c r="F156" i="2"/>
  <c r="E57" i="10" s="1"/>
  <c r="P156" i="2"/>
  <c r="AR156" i="2"/>
  <c r="AS156" i="2" s="1"/>
  <c r="W156" i="2"/>
  <c r="BB156" i="2"/>
  <c r="BC156" i="2" s="1"/>
  <c r="BQ156" i="2"/>
  <c r="BR156" i="2" s="1"/>
  <c r="AM156" i="2"/>
  <c r="AN156" i="2" s="1"/>
  <c r="D156" i="2"/>
  <c r="BN156" i="2"/>
  <c r="U156" i="2"/>
  <c r="AW156" i="2"/>
  <c r="AX156" i="2" s="1"/>
  <c r="BG156" i="2"/>
  <c r="BH156" i="2" s="1"/>
  <c r="R156" i="2"/>
  <c r="J156" i="2"/>
  <c r="BL156" i="2"/>
  <c r="BM156" i="2" s="1"/>
  <c r="AJ156" i="2"/>
  <c r="E64" i="10" l="1"/>
  <c r="E66" i="10"/>
  <c r="E65" i="10"/>
  <c r="E63" i="10"/>
  <c r="E62" i="10"/>
  <c r="F7" i="6"/>
  <c r="E47" i="10" s="1"/>
  <c r="E59" i="10"/>
  <c r="E60" i="10"/>
  <c r="V156" i="2"/>
  <c r="AB156" i="2"/>
  <c r="L156" i="2"/>
  <c r="K156" i="2"/>
  <c r="Q156" i="2"/>
  <c r="E156" i="2"/>
  <c r="F31" i="10"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<sst xmlns="http://schemas.openxmlformats.org/spreadsheetml/2006/main" count="1159" uniqueCount="623">
  <si>
    <t>General information</t>
  </si>
  <si>
    <r>
      <rPr>
        <b/>
        <i/>
        <sz val="11"/>
        <rFont val="Calibri"/>
        <family val="2"/>
        <scheme val="minor"/>
      </rPr>
      <t>SEPA</t>
    </r>
    <r>
      <rPr>
        <i/>
        <sz val="11"/>
        <rFont val="Calibri"/>
        <family val="2"/>
        <scheme val="minor"/>
      </rPr>
      <t xml:space="preserve"> to enter ref number</t>
    </r>
  </si>
  <si>
    <r>
      <rPr>
        <b/>
        <i/>
        <sz val="11"/>
        <rFont val="Calibri"/>
        <family val="2"/>
        <scheme val="minor"/>
      </rPr>
      <t>SEPA</t>
    </r>
    <r>
      <rPr>
        <i/>
        <sz val="11"/>
        <rFont val="Calibri"/>
        <family val="2"/>
        <scheme val="minor"/>
      </rPr>
      <t xml:space="preserve"> to enter receive date</t>
    </r>
  </si>
  <si>
    <t>select if it's a new registration or a renewal</t>
  </si>
  <si>
    <t>select if it's for a singe farm or multiple farms</t>
  </si>
  <si>
    <t>name</t>
  </si>
  <si>
    <t>date</t>
  </si>
  <si>
    <t>professional expertise</t>
  </si>
  <si>
    <t xml:space="preserve">total spreadable area allowed under this exemption  </t>
  </si>
  <si>
    <t xml:space="preserve">total area treated this period  </t>
  </si>
  <si>
    <t xml:space="preserve">total amount of material applied in tonnage fresh weight this period  </t>
  </si>
  <si>
    <t>Is the waste mixed with non-waste material?</t>
  </si>
  <si>
    <t>Data check</t>
  </si>
  <si>
    <t>area for multiple farm exceeded?</t>
  </si>
  <si>
    <t>date of oldest pH and nutrient analysis</t>
  </si>
  <si>
    <t>soil analysis results missing?</t>
  </si>
  <si>
    <t>waste application rate exceeding max allowance?</t>
  </si>
  <si>
    <t>Waste material 1:</t>
  </si>
  <si>
    <t>Waste material 2:</t>
  </si>
  <si>
    <t>Waste material 3:</t>
  </si>
  <si>
    <t>date of the most recent waste analysis</t>
  </si>
  <si>
    <t>date of the oldest waste analysis</t>
  </si>
  <si>
    <t>Less than three waste analyses provided for each material?</t>
  </si>
  <si>
    <t>Are waste analysis results missing?</t>
  </si>
  <si>
    <t>Application rate per treatment &gt; total application rate?</t>
  </si>
  <si>
    <t>Application rate per treatment &gt; 50t/ha for liquid waste?</t>
  </si>
  <si>
    <t>Were fields combined?</t>
  </si>
  <si>
    <t>High proportion of "10ha fields"?</t>
  </si>
  <si>
    <t>Mismatch between soil texture and soil organic matter results?</t>
  </si>
  <si>
    <t>potentially to be considered in the risk assessment</t>
  </si>
  <si>
    <t>physical status of waste material(s)</t>
  </si>
  <si>
    <t>percentage of RAN in the waste material(s)</t>
  </si>
  <si>
    <r>
      <t xml:space="preserve">Provisional assessment - Summary of all fields
</t>
    </r>
    <r>
      <rPr>
        <b/>
        <sz val="12"/>
        <color theme="0"/>
        <rFont val="Calibri"/>
        <family val="2"/>
        <scheme val="minor"/>
      </rPr>
      <t>for details check the Assessment tab</t>
    </r>
  </si>
  <si>
    <t>Exceedance of N limit?</t>
  </si>
  <si>
    <t>P over-application?</t>
  </si>
  <si>
    <t>Soil pH too low?</t>
  </si>
  <si>
    <t>Overliming?</t>
  </si>
  <si>
    <t>Exceedance of permissible PTE application?</t>
  </si>
  <si>
    <t>Soil PTE exceedance?</t>
  </si>
  <si>
    <t>Soil PTE exceeding 90% of limit?</t>
  </si>
  <si>
    <t>Risk of PTE accumulation within next 10 years?</t>
  </si>
  <si>
    <t>Risk of PTE accumulation within next 50 years?</t>
  </si>
  <si>
    <t>Exceedance of plastic application?</t>
  </si>
  <si>
    <t>not yet included</t>
  </si>
  <si>
    <t>Provides agriculture benefit?</t>
  </si>
  <si>
    <t>additional information provided?</t>
  </si>
  <si>
    <t>All fields to be covered under this exemption</t>
  </si>
  <si>
    <t>Data should only be entered for the registration - for renewals please copy the data provided for the registration</t>
  </si>
  <si>
    <t>field name</t>
  </si>
  <si>
    <t>8 figure grid reference</t>
  </si>
  <si>
    <t>total size of the field [ha]</t>
  </si>
  <si>
    <t>spreadable area [ha]</t>
  </si>
  <si>
    <t>soil texture</t>
  </si>
  <si>
    <t>Specific field data relevant for this year's exemption</t>
  </si>
  <si>
    <t>WASTE MATERIAL 1</t>
  </si>
  <si>
    <t>WASTE MATERIAL 2</t>
  </si>
  <si>
    <t>WASTE MATERIAL 3</t>
  </si>
  <si>
    <r>
      <t xml:space="preserve">overwrite number </t>
    </r>
    <r>
      <rPr>
        <b/>
        <i/>
        <sz val="11"/>
        <rFont val="Calibri"/>
        <family val="2"/>
        <scheme val="minor"/>
      </rPr>
      <t>only</t>
    </r>
    <r>
      <rPr>
        <i/>
        <sz val="11"/>
        <rFont val="Calibri"/>
        <family val="2"/>
        <scheme val="minor"/>
      </rPr>
      <t xml:space="preserve"> if size has changed</t>
    </r>
  </si>
  <si>
    <t>only required if soil analysis sheet shows different name</t>
  </si>
  <si>
    <t>select the crop type which will benefit from the waste application</t>
  </si>
  <si>
    <t>select yes if current crop is grassland and waste has liming benefit</t>
  </si>
  <si>
    <t xml:space="preserve">waste material 1: </t>
  </si>
  <si>
    <t xml:space="preserve">waste material 2:   </t>
  </si>
  <si>
    <t xml:space="preserve">waste material 3:   </t>
  </si>
  <si>
    <t>EWC:</t>
  </si>
  <si>
    <r>
      <t xml:space="preserve">Only fill in the cells below </t>
    </r>
    <r>
      <rPr>
        <i/>
        <u/>
        <sz val="11"/>
        <rFont val="Calibri"/>
        <family val="2"/>
        <scheme val="minor"/>
      </rPr>
      <t>if the waste analysis provides the results of the already mixed material</t>
    </r>
    <r>
      <rPr>
        <i/>
        <sz val="11"/>
        <rFont val="Calibri"/>
        <family val="2"/>
        <scheme val="minor"/>
      </rPr>
      <t xml:space="preserve">. If separate analyses for waste and non-waste material is provided use the first column for the waste material and the next column for the non-waste material. Enter xx for EWC for the non-waste material. </t>
    </r>
  </si>
  <si>
    <t>mixed with non-waste?</t>
  </si>
  <si>
    <t>material mixed with</t>
  </si>
  <si>
    <t>percentage of waste material</t>
  </si>
  <si>
    <t>soil analysis data sheet name</t>
  </si>
  <si>
    <t>current crop</t>
  </si>
  <si>
    <t>planned crop</t>
  </si>
  <si>
    <t>crop benefiting from the waste application</t>
  </si>
  <si>
    <t>rotational grassland</t>
  </si>
  <si>
    <t>growing period</t>
  </si>
  <si>
    <t>total application rate [t/ha]</t>
  </si>
  <si>
    <t>maximal application rate per treatment [t/ha]</t>
  </si>
  <si>
    <t>maximal application rate [t/ha]</t>
  </si>
  <si>
    <t>Soil results</t>
  </si>
  <si>
    <r>
      <t xml:space="preserve">date of </t>
    </r>
    <r>
      <rPr>
        <b/>
        <sz val="11"/>
        <color theme="1"/>
        <rFont val="Calibri"/>
        <family val="2"/>
        <scheme val="minor"/>
      </rPr>
      <t>oldest</t>
    </r>
    <r>
      <rPr>
        <sz val="11"/>
        <color theme="1"/>
        <rFont val="Calibri"/>
        <family val="2"/>
        <scheme val="minor"/>
      </rPr>
      <t xml:space="preserve"> pH and nutrient analysis  </t>
    </r>
  </si>
  <si>
    <t>Date of PTE or organic matter analysis only to be provided if different from soil analysis</t>
  </si>
  <si>
    <r>
      <t xml:space="preserve">date of </t>
    </r>
    <r>
      <rPr>
        <b/>
        <sz val="11"/>
        <color theme="1"/>
        <rFont val="Calibri"/>
        <family val="2"/>
        <scheme val="minor"/>
      </rPr>
      <t>oldest</t>
    </r>
    <r>
      <rPr>
        <sz val="11"/>
        <color theme="1"/>
        <rFont val="Calibri"/>
        <family val="2"/>
        <scheme val="minor"/>
      </rPr>
      <t xml:space="preserve"> PTE and organic matter analysis</t>
    </r>
  </si>
  <si>
    <t>total carbon</t>
  </si>
  <si>
    <t>total N</t>
  </si>
  <si>
    <t>pH</t>
  </si>
  <si>
    <t>extractable P</t>
  </si>
  <si>
    <t>extractable K</t>
  </si>
  <si>
    <t>extractable Mg</t>
  </si>
  <si>
    <t>total  Cd</t>
  </si>
  <si>
    <t>total   Cr</t>
  </si>
  <si>
    <t>total   Cu</t>
  </si>
  <si>
    <t>total   Hg</t>
  </si>
  <si>
    <t>total    Ni</t>
  </si>
  <si>
    <t>total   Pb</t>
  </si>
  <si>
    <t>total   Zn</t>
  </si>
  <si>
    <t xml:space="preserve">method  </t>
  </si>
  <si>
    <t xml:space="preserve">unit  </t>
  </si>
  <si>
    <t>mg/kg</t>
  </si>
  <si>
    <t>mg/l</t>
  </si>
  <si>
    <t>lab sheet name</t>
  </si>
  <si>
    <t>Data as provided by the laboratory</t>
  </si>
  <si>
    <r>
      <t>Concentration in 1t (or 1m</t>
    </r>
    <r>
      <rPr>
        <b/>
        <vertAlign val="superscript"/>
        <sz val="18"/>
        <color theme="0"/>
        <rFont val="Calibri"/>
        <family val="2"/>
        <scheme val="minor"/>
      </rPr>
      <t>3</t>
    </r>
    <r>
      <rPr>
        <b/>
        <sz val="18"/>
        <color theme="0"/>
        <rFont val="Calibri"/>
        <family val="2"/>
        <scheme val="minor"/>
      </rPr>
      <t>) of fresh material</t>
    </r>
  </si>
  <si>
    <t>UNIT</t>
  </si>
  <si>
    <t>average</t>
  </si>
  <si>
    <t>min</t>
  </si>
  <si>
    <t>max</t>
  </si>
  <si>
    <t>85-percentile</t>
  </si>
  <si>
    <t>sample date</t>
  </si>
  <si>
    <t>dry matter content</t>
  </si>
  <si>
    <t>%</t>
  </si>
  <si>
    <t>dry matter %</t>
  </si>
  <si>
    <t>organic matter</t>
  </si>
  <si>
    <r>
      <t>organic matter kg/t or kg/m</t>
    </r>
    <r>
      <rPr>
        <vertAlign val="superscript"/>
        <sz val="11"/>
        <color theme="1"/>
        <rFont val="Calibri"/>
        <family val="2"/>
        <scheme val="minor"/>
      </rPr>
      <t>3</t>
    </r>
  </si>
  <si>
    <t xml:space="preserve">total Nitrogen </t>
  </si>
  <si>
    <r>
      <t>N kg/t or kg/m</t>
    </r>
    <r>
      <rPr>
        <vertAlign val="superscript"/>
        <sz val="11"/>
        <color theme="1"/>
        <rFont val="Calibri"/>
        <family val="2"/>
        <scheme val="minor"/>
      </rPr>
      <t>3</t>
    </r>
  </si>
  <si>
    <t>Ammonia-N (NH4-N)</t>
  </si>
  <si>
    <r>
      <t>NH</t>
    </r>
    <r>
      <rPr>
        <vertAlign val="subscript"/>
        <sz val="11"/>
        <color theme="1"/>
        <rFont val="Calibri"/>
        <family val="2"/>
        <scheme val="minor"/>
      </rPr>
      <t>4</t>
    </r>
    <r>
      <rPr>
        <sz val="11"/>
        <color theme="1"/>
        <rFont val="Calibri"/>
        <family val="2"/>
        <scheme val="minor"/>
      </rPr>
      <t>-N kg/t or kg/m</t>
    </r>
    <r>
      <rPr>
        <vertAlign val="superscript"/>
        <sz val="11"/>
        <color theme="1"/>
        <rFont val="Calibri"/>
        <family val="2"/>
        <scheme val="minor"/>
      </rPr>
      <t>3</t>
    </r>
  </si>
  <si>
    <t>Nitrate-N (NO3-N)</t>
  </si>
  <si>
    <r>
      <t>NO</t>
    </r>
    <r>
      <rPr>
        <vertAlign val="subscript"/>
        <sz val="11"/>
        <color theme="1"/>
        <rFont val="Calibri"/>
        <family val="2"/>
        <scheme val="minor"/>
      </rPr>
      <t>3</t>
    </r>
    <r>
      <rPr>
        <sz val="11"/>
        <color theme="1"/>
        <rFont val="Calibri"/>
        <family val="2"/>
        <scheme val="minor"/>
      </rPr>
      <t>-N kg/t or kg/m</t>
    </r>
    <r>
      <rPr>
        <vertAlign val="superscript"/>
        <sz val="11"/>
        <color theme="1"/>
        <rFont val="Calibri"/>
        <family val="2"/>
        <scheme val="minor"/>
      </rPr>
      <t>3</t>
    </r>
  </si>
  <si>
    <t>RAN %</t>
  </si>
  <si>
    <t>P total</t>
  </si>
  <si>
    <r>
      <t>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xml:space="preserve"> kg/t or kg/m</t>
    </r>
    <r>
      <rPr>
        <vertAlign val="superscript"/>
        <sz val="11"/>
        <color theme="1"/>
        <rFont val="Calibri"/>
        <family val="2"/>
        <scheme val="minor"/>
      </rPr>
      <t>3</t>
    </r>
  </si>
  <si>
    <t>K total</t>
  </si>
  <si>
    <r>
      <t>K</t>
    </r>
    <r>
      <rPr>
        <vertAlign val="subscript"/>
        <sz val="11"/>
        <color theme="1"/>
        <rFont val="Calibri"/>
        <family val="2"/>
        <scheme val="minor"/>
      </rPr>
      <t>2</t>
    </r>
    <r>
      <rPr>
        <sz val="11"/>
        <color theme="1"/>
        <rFont val="Calibri"/>
        <family val="2"/>
        <scheme val="minor"/>
      </rPr>
      <t>O kg/t or kg/m</t>
    </r>
    <r>
      <rPr>
        <vertAlign val="superscript"/>
        <sz val="11"/>
        <color theme="1"/>
        <rFont val="Calibri"/>
        <family val="2"/>
        <scheme val="minor"/>
      </rPr>
      <t>3</t>
    </r>
  </si>
  <si>
    <t>Mg total</t>
  </si>
  <si>
    <r>
      <t>MgO kg/t or kg/m</t>
    </r>
    <r>
      <rPr>
        <vertAlign val="superscript"/>
        <sz val="11"/>
        <color theme="1"/>
        <rFont val="Calibri"/>
        <family val="2"/>
        <scheme val="minor"/>
      </rPr>
      <t>3</t>
    </r>
  </si>
  <si>
    <t>S total</t>
  </si>
  <si>
    <r>
      <t>SO</t>
    </r>
    <r>
      <rPr>
        <vertAlign val="subscript"/>
        <sz val="11"/>
        <color theme="1"/>
        <rFont val="Calibri"/>
        <family val="2"/>
        <scheme val="minor"/>
      </rPr>
      <t>3</t>
    </r>
    <r>
      <rPr>
        <sz val="11"/>
        <color theme="1"/>
        <rFont val="Calibri"/>
        <family val="2"/>
        <scheme val="minor"/>
      </rPr>
      <t xml:space="preserve"> kg/t or kg/m</t>
    </r>
    <r>
      <rPr>
        <vertAlign val="superscript"/>
        <sz val="11"/>
        <color theme="1"/>
        <rFont val="Calibri"/>
        <family val="2"/>
        <scheme val="minor"/>
      </rPr>
      <t>3</t>
    </r>
  </si>
  <si>
    <t>Cd</t>
  </si>
  <si>
    <r>
      <t>Cd kg/t or kg/m</t>
    </r>
    <r>
      <rPr>
        <vertAlign val="superscript"/>
        <sz val="11"/>
        <color theme="1"/>
        <rFont val="Calibri"/>
        <family val="2"/>
        <scheme val="minor"/>
      </rPr>
      <t>3</t>
    </r>
  </si>
  <si>
    <t>Cr</t>
  </si>
  <si>
    <r>
      <t>Cr kg/t or kg/m</t>
    </r>
    <r>
      <rPr>
        <vertAlign val="superscript"/>
        <sz val="11"/>
        <color theme="1"/>
        <rFont val="Calibri"/>
        <family val="2"/>
        <scheme val="minor"/>
      </rPr>
      <t>3</t>
    </r>
  </si>
  <si>
    <t>Cu</t>
  </si>
  <si>
    <r>
      <t>Cu kg/t or kg/m</t>
    </r>
    <r>
      <rPr>
        <vertAlign val="superscript"/>
        <sz val="11"/>
        <color theme="1"/>
        <rFont val="Calibri"/>
        <family val="2"/>
        <scheme val="minor"/>
      </rPr>
      <t>3</t>
    </r>
  </si>
  <si>
    <t>Hg</t>
  </si>
  <si>
    <r>
      <t>Hg kg/t or kg/m</t>
    </r>
    <r>
      <rPr>
        <vertAlign val="superscript"/>
        <sz val="11"/>
        <color theme="1"/>
        <rFont val="Calibri"/>
        <family val="2"/>
        <scheme val="minor"/>
      </rPr>
      <t>3</t>
    </r>
  </si>
  <si>
    <t>Ni</t>
  </si>
  <si>
    <r>
      <t>Ni kg/t or kg/m</t>
    </r>
    <r>
      <rPr>
        <vertAlign val="superscript"/>
        <sz val="11"/>
        <color theme="1"/>
        <rFont val="Calibri"/>
        <family val="2"/>
        <scheme val="minor"/>
      </rPr>
      <t>3</t>
    </r>
  </si>
  <si>
    <t>Pb</t>
  </si>
  <si>
    <r>
      <t>Pb kg/t or kg/m</t>
    </r>
    <r>
      <rPr>
        <vertAlign val="superscript"/>
        <sz val="11"/>
        <color theme="1"/>
        <rFont val="Calibri"/>
        <family val="2"/>
        <scheme val="minor"/>
      </rPr>
      <t>3</t>
    </r>
  </si>
  <si>
    <t>Zn</t>
  </si>
  <si>
    <r>
      <t>Zn kg/t or kg/m</t>
    </r>
    <r>
      <rPr>
        <vertAlign val="superscript"/>
        <sz val="11"/>
        <color theme="1"/>
        <rFont val="Calibri"/>
        <family val="2"/>
        <scheme val="minor"/>
      </rPr>
      <t>3</t>
    </r>
  </si>
  <si>
    <t>Neutralisation value</t>
  </si>
  <si>
    <t>% CaO</t>
  </si>
  <si>
    <t>Equivalent of NV50 dry material in t/ha</t>
  </si>
  <si>
    <t>Plastic content</t>
  </si>
  <si>
    <t>Plastic</t>
  </si>
  <si>
    <t>dry matter</t>
  </si>
  <si>
    <t>additional information</t>
  </si>
  <si>
    <t>please enter text below if deemed required</t>
  </si>
  <si>
    <t xml:space="preserve">provisional assessment                                                                                         provisional assessment                                                                                         provisional assessment                                                                                         provisional assessment                                                                               provisional assessment                                                                                         provisional assessment            </t>
  </si>
  <si>
    <t>Nitrogen (N)</t>
  </si>
  <si>
    <r>
      <t>Phosphate (P</t>
    </r>
    <r>
      <rPr>
        <b/>
        <vertAlign val="subscript"/>
        <sz val="11"/>
        <color theme="0"/>
        <rFont val="Calibri"/>
        <family val="2"/>
        <scheme val="minor"/>
      </rPr>
      <t>2</t>
    </r>
    <r>
      <rPr>
        <b/>
        <sz val="11"/>
        <color theme="0"/>
        <rFont val="Calibri"/>
        <family val="2"/>
        <scheme val="minor"/>
      </rPr>
      <t>O</t>
    </r>
    <r>
      <rPr>
        <b/>
        <vertAlign val="subscript"/>
        <sz val="11"/>
        <color theme="0"/>
        <rFont val="Calibri"/>
        <family val="2"/>
        <scheme val="minor"/>
      </rPr>
      <t>5</t>
    </r>
    <r>
      <rPr>
        <b/>
        <sz val="11"/>
        <color theme="0"/>
        <rFont val="Calibri"/>
        <family val="2"/>
        <scheme val="minor"/>
      </rPr>
      <t>)</t>
    </r>
  </si>
  <si>
    <t>Potash (K2O)</t>
  </si>
  <si>
    <t>Magnesium (MgO)</t>
  </si>
  <si>
    <r>
      <t>Sulphate (SO</t>
    </r>
    <r>
      <rPr>
        <b/>
        <vertAlign val="subscript"/>
        <sz val="11"/>
        <color theme="0"/>
        <rFont val="Calibri"/>
        <family val="2"/>
        <scheme val="minor"/>
      </rPr>
      <t>3</t>
    </r>
    <r>
      <rPr>
        <b/>
        <sz val="11"/>
        <color theme="0"/>
        <rFont val="Calibri"/>
        <family val="2"/>
        <scheme val="minor"/>
      </rPr>
      <t>)</t>
    </r>
  </si>
  <si>
    <t>pH &amp; liming</t>
  </si>
  <si>
    <t>Cadmium (Cd)</t>
  </si>
  <si>
    <t>Chromium (Cr)</t>
  </si>
  <si>
    <t>Copper (Cu)</t>
  </si>
  <si>
    <t>Mercury (Hg)</t>
  </si>
  <si>
    <t>Nickel (Ni)</t>
  </si>
  <si>
    <t>Lead (Pb)</t>
  </si>
  <si>
    <t>Zinc (Zn)</t>
  </si>
  <si>
    <t>application</t>
  </si>
  <si>
    <t>requirement</t>
  </si>
  <si>
    <t>balance</t>
  </si>
  <si>
    <t>comment</t>
  </si>
  <si>
    <t>accountable</t>
  </si>
  <si>
    <t>predicted soil status</t>
  </si>
  <si>
    <t>current pH</t>
  </si>
  <si>
    <t>target pH</t>
  </si>
  <si>
    <t>maximum application rate</t>
  </si>
  <si>
    <t>current soil concentration</t>
  </si>
  <si>
    <t>predicted soil concentration</t>
  </si>
  <si>
    <t>kg/ha</t>
  </si>
  <si>
    <t>t/ha</t>
  </si>
  <si>
    <t>nitrogen</t>
  </si>
  <si>
    <t>phosphate</t>
  </si>
  <si>
    <t>potash</t>
  </si>
  <si>
    <t>magnesium</t>
  </si>
  <si>
    <t>sulfate</t>
  </si>
  <si>
    <t xml:space="preserve">corrections for </t>
  </si>
  <si>
    <t>background</t>
  </si>
  <si>
    <t xml:space="preserve">PSC2 - corrections for </t>
  </si>
  <si>
    <r>
      <t xml:space="preserve">corrections for PSC1
</t>
    </r>
    <r>
      <rPr>
        <sz val="11"/>
        <color rgb="FFFF0000"/>
        <rFont val="Calibri"/>
        <family val="2"/>
        <scheme val="minor"/>
      </rPr>
      <t xml:space="preserve">currently not in use </t>
    </r>
  </si>
  <si>
    <r>
      <t xml:space="preserve">corrections for PSC3
</t>
    </r>
    <r>
      <rPr>
        <sz val="11"/>
        <color rgb="FFFF0000"/>
        <rFont val="Calibri"/>
        <family val="2"/>
        <scheme val="minor"/>
      </rPr>
      <t>currently not in use</t>
    </r>
  </si>
  <si>
    <t>corrections for</t>
  </si>
  <si>
    <t>loams &amp; OMS</t>
  </si>
  <si>
    <t>Sands</t>
  </si>
  <si>
    <t>humose</t>
  </si>
  <si>
    <t>peat</t>
  </si>
  <si>
    <t>PSC2; m-</t>
  </si>
  <si>
    <t>vl</t>
  </si>
  <si>
    <t>l</t>
  </si>
  <si>
    <t>m+</t>
  </si>
  <si>
    <t>h</t>
  </si>
  <si>
    <t>m-</t>
  </si>
  <si>
    <t>m</t>
  </si>
  <si>
    <t>offtake</t>
  </si>
  <si>
    <t>target soil P status is M-</t>
  </si>
  <si>
    <t>target soil K status is M-</t>
  </si>
  <si>
    <t>target soil Mg status is L, on very productive land M</t>
  </si>
  <si>
    <t>grass reseeding + grazing</t>
  </si>
  <si>
    <t>g</t>
  </si>
  <si>
    <t>TN726, table G</t>
  </si>
  <si>
    <t>correction for low TN726, p. 8; same value used for vl given that RB209-section states 50-100kg/ha MgO every 3-4 yrs</t>
  </si>
  <si>
    <t>TN685, see tableE and table F</t>
  </si>
  <si>
    <t>grass reseeding + cutting</t>
  </si>
  <si>
    <t>Hay</t>
  </si>
  <si>
    <t>TN726, table F(1)</t>
  </si>
  <si>
    <t>RB209-3, p. 12 (not TN685, see table E and table F which would be 0)</t>
  </si>
  <si>
    <t>Hay + grazing</t>
  </si>
  <si>
    <t xml:space="preserve">TN726, table F(1) </t>
  </si>
  <si>
    <t>TN685, table F</t>
  </si>
  <si>
    <t>1 cut silage</t>
  </si>
  <si>
    <t>1-cut silage + grazing</t>
  </si>
  <si>
    <t>2-cut silage</t>
  </si>
  <si>
    <t>TN726, table F(2)</t>
  </si>
  <si>
    <t>RB209-3, p. 12 (not TN685, table F which would be 40)</t>
  </si>
  <si>
    <t>2-cut silage + grazing</t>
  </si>
  <si>
    <t>3-cut silage</t>
  </si>
  <si>
    <t>RB209-3, p. 12 (not TN685, table F which would be 48)</t>
  </si>
  <si>
    <t>grazing with low clover</t>
  </si>
  <si>
    <t xml:space="preserve">TN726, table F(2) </t>
  </si>
  <si>
    <t>grazing with high clover</t>
  </si>
  <si>
    <t>TN726, table F(3)</t>
  </si>
  <si>
    <t>TN726, see note on p6</t>
  </si>
  <si>
    <t>target soil Mg status is L, high for sugar beet</t>
  </si>
  <si>
    <t>winter wheat</t>
  </si>
  <si>
    <t>a</t>
  </si>
  <si>
    <t>TN731, N residue group 1</t>
  </si>
  <si>
    <t>TN633 "mising", RB209- section 1 p. 31, 50-100kg/ha MgO very 3-4 yrs are translated to 30jg/ha annually</t>
  </si>
  <si>
    <t>winter barley</t>
  </si>
  <si>
    <t>winter oats</t>
  </si>
  <si>
    <t>Bulletin 9 of SG NVZ guidance</t>
  </si>
  <si>
    <t>winter rye</t>
  </si>
  <si>
    <t>spring wheat</t>
  </si>
  <si>
    <t>TN633 "missing", RB209- section 1 p. 31, 50-100kg/ha MgO very 3-4 yrs are translated to 30jg/ha annually</t>
  </si>
  <si>
    <t>spring barley</t>
  </si>
  <si>
    <t>spring oats</t>
  </si>
  <si>
    <t>spring rye</t>
  </si>
  <si>
    <t>triticale</t>
  </si>
  <si>
    <t>winter oilseed rape</t>
  </si>
  <si>
    <t>spring oilseed rape</t>
  </si>
  <si>
    <t>forage rape</t>
  </si>
  <si>
    <t>RB209-3, SNS1, table 3.29</t>
  </si>
  <si>
    <t>RB209-3, p. 33</t>
  </si>
  <si>
    <t>fodder beet</t>
  </si>
  <si>
    <t>forage swede / turnips</t>
  </si>
  <si>
    <t>kale (grazed)</t>
  </si>
  <si>
    <t>PSC2; m+</t>
  </si>
  <si>
    <t>target soil P status is M+</t>
  </si>
  <si>
    <t>target soil K status is M+</t>
  </si>
  <si>
    <t>target soil Mg status is M</t>
  </si>
  <si>
    <t>seed potatoes</t>
  </si>
  <si>
    <t>TN731, average</t>
  </si>
  <si>
    <t>TN633 "missing", RB209- section 1 p. 31, same values as for sewde are used</t>
  </si>
  <si>
    <t>potatoes</t>
  </si>
  <si>
    <t>TN731, allowing for higher demanding varieties</t>
  </si>
  <si>
    <t>the following are not part of the crop selection yet</t>
  </si>
  <si>
    <t>brussels sprouts</t>
  </si>
  <si>
    <t>TN734, table A3a</t>
  </si>
  <si>
    <t>TN734, p. 11</t>
  </si>
  <si>
    <t>cabbage, all types</t>
  </si>
  <si>
    <t>calabrese</t>
  </si>
  <si>
    <t>cauliflower</t>
  </si>
  <si>
    <t>courgette</t>
  </si>
  <si>
    <t>lettuce</t>
  </si>
  <si>
    <t>leek</t>
  </si>
  <si>
    <t>onions</t>
  </si>
  <si>
    <t>TN734, table A3a, average</t>
  </si>
  <si>
    <t>asparagus</t>
  </si>
  <si>
    <t>50-225</t>
  </si>
  <si>
    <t>50-150</t>
  </si>
  <si>
    <t>broad beans</t>
  </si>
  <si>
    <t>dward/runner beans</t>
  </si>
  <si>
    <t>carrot</t>
  </si>
  <si>
    <t>parsnip</t>
  </si>
  <si>
    <t>swede (human consumption)</t>
  </si>
  <si>
    <t>turnips (human consumption)</t>
  </si>
  <si>
    <t>beetroot</t>
  </si>
  <si>
    <t>radish</t>
  </si>
  <si>
    <t>peas</t>
  </si>
  <si>
    <t>waste 1 treatment appl rate check</t>
  </si>
  <si>
    <t>waste 2 treatment appl rate check</t>
  </si>
  <si>
    <t>waste 3 treatment appl rate check</t>
  </si>
  <si>
    <t>SOM match with texture?</t>
  </si>
  <si>
    <t>number of samples</t>
  </si>
  <si>
    <t>Lab name if differen from field name</t>
  </si>
  <si>
    <t>SOM - results expressed as SOM %</t>
  </si>
  <si>
    <t>Fieldname</t>
  </si>
  <si>
    <t>Lab name if different from field name</t>
  </si>
  <si>
    <t>ash effect</t>
  </si>
  <si>
    <t>combined fields?</t>
  </si>
  <si>
    <t>texture match?</t>
  </si>
  <si>
    <t>waste 1 dilution factor</t>
  </si>
  <si>
    <t>waste 2 dilution factor</t>
  </si>
  <si>
    <t>waste 3 dilution factor</t>
  </si>
  <si>
    <t>agri benefit</t>
  </si>
  <si>
    <t>waste 1</t>
  </si>
  <si>
    <t>waste applied?</t>
  </si>
  <si>
    <t>field</t>
  </si>
  <si>
    <t>A</t>
  </si>
  <si>
    <t>B</t>
  </si>
  <si>
    <t>C</t>
  </si>
  <si>
    <t>D</t>
  </si>
  <si>
    <t>E</t>
  </si>
  <si>
    <t>F</t>
  </si>
  <si>
    <t>G</t>
  </si>
  <si>
    <t>H</t>
  </si>
  <si>
    <t>I</t>
  </si>
  <si>
    <t>J</t>
  </si>
  <si>
    <t>median</t>
  </si>
  <si>
    <t>texture</t>
  </si>
  <si>
    <t>Field name</t>
  </si>
  <si>
    <t>total appl. rate</t>
  </si>
  <si>
    <t>Soil OM %</t>
  </si>
  <si>
    <t>ash appl rate</t>
  </si>
  <si>
    <t>organic matter units</t>
  </si>
  <si>
    <t>waste 2</t>
  </si>
  <si>
    <t>waste 3</t>
  </si>
  <si>
    <t>waste 1-3</t>
  </si>
  <si>
    <t>crop</t>
  </si>
  <si>
    <t>g / a</t>
  </si>
  <si>
    <t>lime factor</t>
  </si>
  <si>
    <t>% C (fw)</t>
  </si>
  <si>
    <t>% C (dry wt)</t>
  </si>
  <si>
    <t>% OM (fw)</t>
  </si>
  <si>
    <t>% OM (dry wt)</t>
  </si>
  <si>
    <t>% ash (fw)</t>
  </si>
  <si>
    <t>% ash (dry wt)</t>
  </si>
  <si>
    <t>mg/kg OM (fw)</t>
  </si>
  <si>
    <t>mg/kg OM (dry wt)</t>
  </si>
  <si>
    <t>mg/kg C (fw)</t>
  </si>
  <si>
    <t>mg/kg C (dry wt)</t>
  </si>
  <si>
    <t>mg/kg ash (fw)</t>
  </si>
  <si>
    <t>mg/kg ash (dry wt)</t>
  </si>
  <si>
    <t>kg/t OM (fw)</t>
  </si>
  <si>
    <t>kg/t OM (dry wt)</t>
  </si>
  <si>
    <t>kg/t C (dry wt)</t>
  </si>
  <si>
    <t>kg/t ash (fw)</t>
  </si>
  <si>
    <t>nitrogen units</t>
  </si>
  <si>
    <t>% (fw)</t>
  </si>
  <si>
    <t>% (dry wt)</t>
  </si>
  <si>
    <t>mg/l (fw)</t>
  </si>
  <si>
    <t>mg/kg (fw)</t>
  </si>
  <si>
    <t>mg/kg (dry wt)</t>
  </si>
  <si>
    <t>kg/t (fw)</t>
  </si>
  <si>
    <t>kg/t (dry wt)</t>
  </si>
  <si>
    <t>ammonium units</t>
  </si>
  <si>
    <t>% NH4-N (fw)</t>
  </si>
  <si>
    <t>% NH4-N (dry wt)</t>
  </si>
  <si>
    <t>% NH4 (fw)</t>
  </si>
  <si>
    <t>% NH4 (dry wt)</t>
  </si>
  <si>
    <t>mg/l NH4-N (fw)</t>
  </si>
  <si>
    <t>mg/kg NH4-N (fw)</t>
  </si>
  <si>
    <t>mg/kg NH4-N (dry wt)</t>
  </si>
  <si>
    <t>mg/l NH4 (fw)</t>
  </si>
  <si>
    <t>mg/kg NH4 (fw)</t>
  </si>
  <si>
    <t>mg/kg NH4 (dry wt)</t>
  </si>
  <si>
    <t>kg/t NH4-N (fw)</t>
  </si>
  <si>
    <t>kg/t NH4-N (dry wt)</t>
  </si>
  <si>
    <t>kg/t NH4 (dry wt)</t>
  </si>
  <si>
    <t>nitrate units</t>
  </si>
  <si>
    <t>% NO3-N (fw)</t>
  </si>
  <si>
    <t>% NO3-N (dry wt)</t>
  </si>
  <si>
    <t>% NO3 (fw)</t>
  </si>
  <si>
    <t>% NO3 (dry wt)</t>
  </si>
  <si>
    <t>mg/l NO3-N (fw)</t>
  </si>
  <si>
    <t>mg/kg NO3-N (fw)</t>
  </si>
  <si>
    <t>mg/kg NO3-N (dry wt)</t>
  </si>
  <si>
    <t>mg/l NO3 (fw)</t>
  </si>
  <si>
    <t>mg/kg NO3 (fw)</t>
  </si>
  <si>
    <t>mg/kg NO3 (dry wt)</t>
  </si>
  <si>
    <t>kg/t NO3-N (fw)</t>
  </si>
  <si>
    <t>kg/t NO3-N (dry wt)</t>
  </si>
  <si>
    <t>kg/t NO3 (dry wt)</t>
  </si>
  <si>
    <t>P units</t>
  </si>
  <si>
    <t>% P (fw)</t>
  </si>
  <si>
    <t>% P (dry wt)</t>
  </si>
  <si>
    <t>% P2O5 (fw)</t>
  </si>
  <si>
    <t>% P2O5 (dry wt)</t>
  </si>
  <si>
    <t>mg/l P (fw)</t>
  </si>
  <si>
    <t>mg/kg P (fw)</t>
  </si>
  <si>
    <t>mg/kg P (dry wt)</t>
  </si>
  <si>
    <t>mg/l P2O5 (fw)</t>
  </si>
  <si>
    <t>mg/kg P2O5 (fw)</t>
  </si>
  <si>
    <t>mg/kg P2O5 (dry wt)</t>
  </si>
  <si>
    <t>kg/t P (fw)</t>
  </si>
  <si>
    <t>kg/t P (dry wt)</t>
  </si>
  <si>
    <t>kg/t P2O5 (fw)</t>
  </si>
  <si>
    <t>kg/t P2O5 (dry wt)</t>
  </si>
  <si>
    <t>K units</t>
  </si>
  <si>
    <t>% K (fw)</t>
  </si>
  <si>
    <t>% K (dry wt)</t>
  </si>
  <si>
    <t>% K2O (fw)</t>
  </si>
  <si>
    <t>% K2O (dry wt)</t>
  </si>
  <si>
    <t>mg/l K (fw)</t>
  </si>
  <si>
    <t>mg/kg K (fw)</t>
  </si>
  <si>
    <t>mg/kg K (dry wt)</t>
  </si>
  <si>
    <t>mg/l K2O (fw)</t>
  </si>
  <si>
    <t>mg/kg K2O (fw)</t>
  </si>
  <si>
    <t>mg/kg K2O (dry wt)</t>
  </si>
  <si>
    <t>kg/t K (fw)</t>
  </si>
  <si>
    <t>kg/t K (dry wt)</t>
  </si>
  <si>
    <t>kg/t K2O (fw)</t>
  </si>
  <si>
    <t>kg/t K2O (dry wt)</t>
  </si>
  <si>
    <t>Mg units</t>
  </si>
  <si>
    <t>% Mg (fw)</t>
  </si>
  <si>
    <t>% Mg (dry wt)</t>
  </si>
  <si>
    <t>% MgO (fw)</t>
  </si>
  <si>
    <t>% MgO (dry wt)</t>
  </si>
  <si>
    <t>mg/l Mg (fw)</t>
  </si>
  <si>
    <t>mg/kg Mg (fw)</t>
  </si>
  <si>
    <t>mg/kg Mg (dry wt)</t>
  </si>
  <si>
    <t>mg/l MgO (fw)</t>
  </si>
  <si>
    <t>mg/kg MgO (fw)</t>
  </si>
  <si>
    <t>mg/kg MgO (dry wt)</t>
  </si>
  <si>
    <t>kg/t Mg (fw)</t>
  </si>
  <si>
    <t>kg/t Mg (dry wt)</t>
  </si>
  <si>
    <t>kg/t MgO (fw)</t>
  </si>
  <si>
    <t>kg/t MgO (dry wt)</t>
  </si>
  <si>
    <t>S units</t>
  </si>
  <si>
    <t>% S (fw)</t>
  </si>
  <si>
    <t>% S (dry wt)</t>
  </si>
  <si>
    <t>% SO3 (fw)</t>
  </si>
  <si>
    <t>% SO3 (dry wt)</t>
  </si>
  <si>
    <t>mg/l S (fw)</t>
  </si>
  <si>
    <t>mg/kg S (fw)</t>
  </si>
  <si>
    <t>mg/kg S (dry wt)</t>
  </si>
  <si>
    <t>mg/l SO3 (fw)</t>
  </si>
  <si>
    <t>mg/kg SO3 (fw)</t>
  </si>
  <si>
    <t>mg/kg SO3 (dry wt)</t>
  </si>
  <si>
    <t>kg/t S (fw)</t>
  </si>
  <si>
    <t>kg/t S (dry wt)</t>
  </si>
  <si>
    <t>kg/t SO3 (fw)</t>
  </si>
  <si>
    <t>kg/t SO3 (dry wt)</t>
  </si>
  <si>
    <t>Version</t>
  </si>
  <si>
    <t>comments</t>
  </si>
  <si>
    <t>v0.1</t>
  </si>
  <si>
    <t>v0.2</t>
  </si>
  <si>
    <t>added P application check, when soil index is H (or 3) and application rate above need
changes maded in [Assessment:M] and [Summary:E45]</t>
  </si>
  <si>
    <t>v0.3</t>
  </si>
  <si>
    <t>corrected typo in [Assessment:I5]</t>
  </si>
  <si>
    <t>application rate of P [Assessment:H] was calculated on minimum P conc in the waste, corrected to maximum</t>
  </si>
  <si>
    <r>
      <t xml:space="preserve">[Assessment:I] deleted unnecessary </t>
    </r>
    <r>
      <rPr>
        <sz val="11"/>
        <color rgb="FFFF0000"/>
        <rFont val="Calibri"/>
        <family val="2"/>
        <scheme val="minor"/>
      </rPr>
      <t>"",</t>
    </r>
    <r>
      <rPr>
        <sz val="11"/>
        <color theme="1"/>
        <rFont val="Calibri"/>
        <family val="2"/>
        <scheme val="minor"/>
      </rPr>
      <t xml:space="preserve"> in first OR argument</t>
    </r>
  </si>
  <si>
    <r>
      <t xml:space="preserve">[Assessment:I] added </t>
    </r>
    <r>
      <rPr>
        <sz val="11"/>
        <color rgb="FFFF0000"/>
        <rFont val="Calibri"/>
        <family val="2"/>
        <scheme val="minor"/>
      </rPr>
      <t>,ISBLANK('Soil results'!G$7)</t>
    </r>
    <r>
      <rPr>
        <sz val="11"/>
        <color theme="1"/>
        <rFont val="Calibri"/>
        <family val="2"/>
        <scheme val="minor"/>
      </rPr>
      <t xml:space="preserve"> to also check for entry of P method</t>
    </r>
  </si>
  <si>
    <t>[Assessment:L] corrected calculations for modified Morgans (various issues: wrong limit and wrong difference used)</t>
  </si>
  <si>
    <t>[Assessment:L] added that P from ash will less likely increase soil P status, using info from [Calc:AR]</t>
  </si>
  <si>
    <r>
      <t xml:space="preserve">[Assessment:M] made various changes to the assessments and the comments given, allowing slightly higher application rates than calculated to allow for different PSC etc.
</t>
    </r>
    <r>
      <rPr>
        <b/>
        <sz val="11"/>
        <color theme="7" tint="-0.249977111117893"/>
        <rFont val="Calibri"/>
        <family val="2"/>
        <scheme val="minor"/>
      </rPr>
      <t>!! This had only been copied to row 7-12, all following ones where still the old calculation!! - changed for version 0.5</t>
    </r>
  </si>
  <si>
    <r>
      <t xml:space="preserve">[Assessment:AG]: </t>
    </r>
    <r>
      <rPr>
        <sz val="11"/>
        <color rgb="FFFF0000"/>
        <rFont val="Calibri"/>
        <family val="2"/>
        <scheme val="minor"/>
      </rPr>
      <t>add comments on pH change</t>
    </r>
  </si>
  <si>
    <r>
      <t xml:space="preserve">[soil results:C4&amp;H4]: added </t>
    </r>
    <r>
      <rPr>
        <sz val="11"/>
        <color rgb="FFFF0000"/>
        <rFont val="Calibri"/>
        <family val="2"/>
        <scheme val="minor"/>
      </rPr>
      <t>oldest</t>
    </r>
    <r>
      <rPr>
        <sz val="11"/>
        <color theme="1"/>
        <rFont val="Calibri"/>
        <family val="2"/>
        <scheme val="minor"/>
      </rPr>
      <t xml:space="preserve"> to the text to ensure only one date is entered, added data validation so that only a date can be entered</t>
    </r>
  </si>
  <si>
    <t>[soil results:D-I]: increased digits shown to 3</t>
  </si>
  <si>
    <t>[soil results:K&amp;N]: increased digits shown to 3 and 4, respectively</t>
  </si>
  <si>
    <t>v0.4</t>
  </si>
  <si>
    <t>[Summary:1] added version number to the title</t>
  </si>
  <si>
    <r>
      <t>[Summary:25&amp;26] added</t>
    </r>
    <r>
      <rPr>
        <sz val="11"/>
        <color rgb="FFFF0000"/>
        <rFont val="Calibri"/>
        <family val="2"/>
        <scheme val="minor"/>
      </rPr>
      <t xml:space="preserve"> oldest</t>
    </r>
    <r>
      <rPr>
        <sz val="11"/>
        <color theme="1"/>
        <rFont val="Calibri"/>
        <family val="2"/>
        <scheme val="minor"/>
      </rPr>
      <t xml:space="preserve"> before soil sample and waste sample</t>
    </r>
  </si>
  <si>
    <t>made serveral admendments to overcome the problem if field names are numbers and are copied into [Field information 1] are recognised as text instead of number</t>
  </si>
  <si>
    <t>v0.5</t>
  </si>
  <si>
    <r>
      <t xml:space="preserve">changed using maximum value from waste analyses to 85-percentile value, to counterbalance outliers: added column S to [Waste results] and changed in [Assessment] all calculations using Max value (R column) to 85-percentile (S column) [Assessment:C,H,O,T,Y] </t>
    </r>
    <r>
      <rPr>
        <sz val="11"/>
        <color rgb="FF7030A0"/>
        <rFont val="Calibri"/>
        <family val="2"/>
        <scheme val="minor"/>
      </rPr>
      <t>Further changes need to be done</t>
    </r>
    <r>
      <rPr>
        <sz val="11"/>
        <rFont val="Calibri"/>
        <family val="2"/>
        <scheme val="minor"/>
      </rPr>
      <t xml:space="preserve">
</t>
    </r>
    <r>
      <rPr>
        <sz val="11"/>
        <color rgb="FF7030A0"/>
        <rFont val="Calibri"/>
        <family val="2"/>
        <scheme val="minor"/>
      </rPr>
      <t>Should for lime requirement instead of the min the 15-percentile be done?</t>
    </r>
  </si>
  <si>
    <r>
      <t xml:space="preserve">[Assessment:M] added </t>
    </r>
    <r>
      <rPr>
        <sz val="11"/>
        <color rgb="FFFF0000"/>
        <rFont val="Calibri"/>
        <family val="2"/>
        <scheme val="minor"/>
      </rPr>
      <t>*(I7/100)</t>
    </r>
    <r>
      <rPr>
        <sz val="11"/>
        <color theme="1"/>
        <rFont val="Calibri"/>
        <family val="2"/>
        <scheme val="minor"/>
      </rPr>
      <t xml:space="preserve"> to H7 to calculated the accountable P application; also copied these changes and those previousluy made to all rows</t>
    </r>
  </si>
  <si>
    <t>Ammended P-fertiliser recommendation for Oil seed rape [Fertiliser recommendations: I], wrong numbers were entered, resulting in negative results for soil with high P status</t>
  </si>
  <si>
    <t>v0.6</t>
  </si>
  <si>
    <t>changed calculation of fields receiving waste in [Summary:E15] to dismiss the need to enter 0 for waste 1 if this will not be applied but waste 2 or 3; added a check column in [Calc:C]</t>
  </si>
  <si>
    <t>changed formular for size of multiple farm; previous one didn't make any sense- must have provided a yes every time multiple farm was selected</t>
  </si>
  <si>
    <t>changed assessment for P application completely. It now allows for high status fields P application which is up to 70% of the crop offtake (less than the recommendation, which was very strict)</t>
  </si>
  <si>
    <t>v0.7</t>
  </si>
  <si>
    <t>[additional info] changed formatting of text to allow wrapping of text</t>
  </si>
  <si>
    <t>[Assessment:M]  formular changed: 1) take into account the accountable P not the offtake (was a true error) and 2)  include the ash reduction</t>
  </si>
  <si>
    <t>v0.8</t>
  </si>
  <si>
    <t>[Summary:35] removed ash from the need of the provision of waste NH4-N and NO3-N data, added the need to provide neutralisation value (also changed the conditional formatting on [Soils resutls] accordingly)</t>
  </si>
  <si>
    <t>[Summary:33] added check that oldest waste analysis isn't too old</t>
  </si>
  <si>
    <t>[Summary:36] added check that treatment application rate is not above total application rate</t>
  </si>
  <si>
    <t>[Summary:37] added check that treatment application rate is not &gt;50t/ha for liquid waste</t>
  </si>
  <si>
    <t>[Summary:39] added check if fields were combined</t>
  </si>
  <si>
    <t>[Summary:40] added count for fields with exactly 10ha</t>
  </si>
  <si>
    <t xml:space="preserve">[Summary:41] added check if soil texture matches to soil organic matter content </t>
  </si>
  <si>
    <t xml:space="preserve">[Calc:F, K:X] added columns to enable texture check for fields &gt;10ha </t>
  </si>
  <si>
    <t>v0.8a</t>
  </si>
  <si>
    <t>had added work on exemption expire date based on discussion in Exemption cell, but System thinking group felt it wasn't appropriate because of double entry of data</t>
  </si>
  <si>
    <t>v0.8b</t>
  </si>
  <si>
    <t>returned to a version without the added exemption expire date</t>
  </si>
  <si>
    <t>Trail exemption showed that assessment was invalid where no material is applied</t>
  </si>
  <si>
    <t>for grass reseeding it wasn't picking up the data because the spelling didn't match, also added reseeding + cutting as a land use option and added data into [Fertiliser recommendations]</t>
  </si>
  <si>
    <t>[Assessment AY &amp; BI] corrected annual permissible application rate for Cu and Ni</t>
  </si>
  <si>
    <t>[Summary E25] added conditional formatting (red background, white bold text) when showing 'missing'</t>
  </si>
  <si>
    <t>[Summary E26] added missing data to formular and added conditional formatting (red background, white bold text) when showing 'missing'</t>
  </si>
  <si>
    <t>[Summary E-G 32&amp;33] added response 'date(s) missing' if one of the three fields for waste analysis date is empty</t>
  </si>
  <si>
    <t>[Summary E-G 34] changed formular, now (nearly) all waste results cells need to be empty</t>
  </si>
  <si>
    <t>[Assessment AY] corrected typo in last if formula</t>
  </si>
  <si>
    <t xml:space="preserve">[Assessment AG] allow pH to be 5.2 for soil with more 35% SOM and field being grazed (as surogate for permanent grassland) and do not get a liming recommendation </t>
  </si>
  <si>
    <t>[Assessment AO, AT, AY, BD, BI, BN, BS] (i) changed order to check for exceedance after 10 and 50 yrs (was the other way raound thus never flagged up 10yrs exceedance), (ii) changed wording to be more precice, (iii) added test on reaching 90% of soil limit</t>
  </si>
  <si>
    <t>checked if zero is entered for application rate than the assessment is not flagging them up as issue, e.g. too low pH, too high application rate of NPKMgPTE</t>
  </si>
  <si>
    <t>[Summary F/G26] added check for reminer that PTE analysis might need to be younger (less than 3 years if one soil PTE is above 90% limit)</t>
  </si>
  <si>
    <t>[Summary] added row 60 to show check if any soil PTE are likely to exceed limit (is above 90% of the limit)</t>
  </si>
  <si>
    <t>Alan's suggestion: flagg fields up where soil PTE will exceed within the next 3 years - to be removed from the exception??</t>
  </si>
  <si>
    <t>[Calc BM] added wooded fly ash 10 01 03 to the ash calculation factor</t>
  </si>
  <si>
    <t>[Summary E-G49] taken out need for RAN for fly and bottom ash (EWC 10 01 01 and 10 10 03)</t>
  </si>
  <si>
    <r>
      <rPr>
        <sz val="11"/>
        <color rgb="FF000000"/>
        <rFont val="Calibri"/>
        <family val="2"/>
      </rPr>
      <t xml:space="preserve">[Calc BN] first removed pH from check because often similar and can result in false positive; than removed organic matter because curently often not provided which result in false positive. </t>
    </r>
    <r>
      <rPr>
        <sz val="11"/>
        <color rgb="FFFF0000"/>
        <rFont val="Calibri"/>
        <family val="2"/>
      </rPr>
      <t>Once organic matter is mandatory this should be put in again</t>
    </r>
    <r>
      <rPr>
        <sz val="11"/>
        <color rgb="FFFF0000"/>
        <rFont val="Calibri"/>
        <family val="2"/>
      </rPr>
      <t xml:space="preserve"> - I've figured out it's only needed every 10 years ... but still needed at the beginning as PTE</t>
    </r>
  </si>
  <si>
    <t>v0.8c</t>
  </si>
  <si>
    <t>[Field information 2] added row 6-9 to add data entry options for mixing waste with non-waste material, started new version to ensure a back-up versionis available if this fails to identify all formulas that need changing, checked all formulars, but couldn't find an issue
[Summary E16-19] amended formula by including the dilution factor</t>
  </si>
  <si>
    <t>need to change formular on summary sheet to reflect possibility of waste mixed with non-waste, and to list amount of non-waste material - done</t>
  </si>
  <si>
    <t>[Summary E23] changed formula so that 50ha-check for multiple farm only add up fields that receive waste</t>
  </si>
  <si>
    <t>Aileen requested spring rye to be added to the list of possible crops - added spring rye nutrient requirement to [Fertiliser recommendations], added N requirements for spring wheat (so far missing)  and changed a few numbers for N b ased on Bulletin 9 of the SG NVZ guidance</t>
  </si>
  <si>
    <t>[Waste results D33-F33, D69-F69, D105-F105] changed conditional formatting to request neutralisation value for all materials with potential liming properties</t>
  </si>
  <si>
    <t>[Summary E-G35] added check if a waste analysis is provided several times</t>
  </si>
  <si>
    <t>Check for non-waste added to [Summary E33:G36, E47:G48] questions, to facilitate the reduced information provided for non-waste material</t>
  </si>
  <si>
    <t>v0.9</t>
  </si>
  <si>
    <r>
      <t xml:space="preserve">[Calc BS] added column to calculate ash application rate - </t>
    </r>
    <r>
      <rPr>
        <sz val="11"/>
        <color rgb="FFFF0000"/>
        <rFont val="Calibri"/>
        <family val="2"/>
        <scheme val="minor"/>
      </rPr>
      <t>only for waste 1 at the moment needs expanding</t>
    </r>
    <r>
      <rPr>
        <sz val="11"/>
        <color theme="1"/>
        <rFont val="Calibri"/>
        <family val="2"/>
        <scheme val="minor"/>
      </rPr>
      <t xml:space="preserve"> - not required, can be deleted</t>
    </r>
  </si>
  <si>
    <t>[Summary F17] added check for ash application rate &lt;=250kg, that is true for para 50 not for para 7, thus deleted again</t>
  </si>
  <si>
    <t>[Summary C55] changed recommended to required</t>
  </si>
  <si>
    <t>[additional info] added row 3&amp;4 to accommodate confirmation of required liming</t>
  </si>
  <si>
    <t>[Calc I] changed formula so only for fields that receive waste the number of samples are shown</t>
  </si>
  <si>
    <t>v0.9a</t>
  </si>
  <si>
    <t>[Summary E15]: conditonal formatting red background if &gt;50ha and multiple farms (or no info given in cell G8)</t>
  </si>
  <si>
    <t>[Summary E17-19]: corrected formular to calculate the sum of waste 1, waste 2 and waste 3 correctly</t>
  </si>
  <si>
    <t xml:space="preserve">[Summary E30] corrected the formula to calculate the sum of all material applied and checked against &lt;250t/ha limit for each field (not each waste material seperately) </t>
  </si>
  <si>
    <t>[Field information 2] corrected conditional formatting</t>
  </si>
  <si>
    <t>[Summary E-G48]: corrected formula, was on max, changed to 85%entile and avoided error message when no data were entered</t>
  </si>
  <si>
    <t>[Summary E47:G48]: changed conditional formatting to red background where data are missing</t>
  </si>
  <si>
    <t>several changes to accommodate the changes made on the [Waste results] calculation, showing data mising instead of blank</t>
  </si>
  <si>
    <t>[Summary E28]: flag up organic matter missing in red text if only organic matter soil data missing</t>
  </si>
  <si>
    <t>[Fertiliser recommendations I29&amp;30]: changed red numbers to black numbers</t>
  </si>
  <si>
    <t>v0.9b</t>
  </si>
  <si>
    <t>increased the number of fields that can be entered from 50 to 100; the max amount of soil samples to be entered is 500</t>
  </si>
  <si>
    <t xml:space="preserve">(again) needed to change formular in conditional formating for [Field information 2 P12- and Q12-] </t>
  </si>
  <si>
    <t>[Calc BK]: corrected formular to work correctly with rotational grassland</t>
  </si>
  <si>
    <t>[Summary E56]: corrected formular to check for both overliming conditions</t>
  </si>
  <si>
    <t>[Assessment BI &amp; BS]: corrected formula to check against soil pH (had copied formular from Cu which had a variable column for soil pH)</t>
  </si>
  <si>
    <t>[Calc A,B,C]: included check for missing data for max application rate per treatment</t>
  </si>
  <si>
    <t>[Summary E37-G38]: included check for missing data for max application rate per treatment and added conditional formatting</t>
  </si>
  <si>
    <t>[Summary G47]: corrected spelling mistake so that missing data is recognised</t>
  </si>
  <si>
    <t>[Waste results P46, P50, P53, P55, P59, P61-67] corrected formular (referred to wrong cells)</t>
  </si>
  <si>
    <t>[Assessment C, H, O, T, Y, AI, AL, AQ, AV, BA, BF, BK, BP]: changed formular to only provide data missing if the waste with the missing data is applied</t>
  </si>
  <si>
    <t>[Summay E48:G48]: corrected conditional formatting, was using max instead of 85%ile value</t>
  </si>
  <si>
    <t>[Waste results K-M]: added check if analysis value or DM given as number (without &lt; or &gt;) otherwise no calculation (for mising DM only if required for calculation)</t>
  </si>
  <si>
    <t>[Soil results C]: added missing formular to show Lab field name</t>
  </si>
  <si>
    <t>v0.9c</t>
  </si>
  <si>
    <t>kept the number of fields that can be entered at 100 but reduced the amount of soil samples to be entered to 150; changes in formular made in [Summary E28, E30, E40, E52-61, E64], [Calc K5:J104, BN5-154]</t>
  </si>
  <si>
    <r>
      <rPr>
        <sz val="11"/>
        <rFont val="Calibri"/>
        <family val="2"/>
        <scheme val="minor"/>
      </rPr>
      <t xml:space="preserve">Waste application rate accuracy: [Field information 2 L12:Q111] custom data validation to allow only one digit numbers to be entered, added row 39 in [Summary] sheet with some conditional formatting - </t>
    </r>
    <r>
      <rPr>
        <sz val="11"/>
        <color rgb="FFFF0000"/>
        <rFont val="Calibri"/>
        <family val="2"/>
        <scheme val="minor"/>
      </rPr>
      <t>might need refinement</t>
    </r>
  </si>
  <si>
    <t>added row [Summary E39, F39, G39]: check if application rate is beyond accucracy of machinery</t>
  </si>
  <si>
    <t>corrected [Summary E39, F39, G39]: was still expecting NH4 waste data for liming materials</t>
  </si>
  <si>
    <t>corrected [Summary E49, F49, G49]: changes in the waste results previously made formular faulty</t>
  </si>
  <si>
    <t>v0.9d</t>
  </si>
  <si>
    <t>started new version</t>
  </si>
  <si>
    <t>Open questions</t>
  </si>
  <si>
    <t>What counts as agriculture benefit?</t>
  </si>
  <si>
    <t>Frequency of organic matter sampling (every 3yrs or every 10yrs)</t>
  </si>
  <si>
    <t>Analysis of non-waste material required, or are generic data sufficient?</t>
  </si>
  <si>
    <t>If soil PTE limit is high: do we want to be more stringent with agriculture benefit? See as an option for line 39</t>
  </si>
  <si>
    <t>NOTE: This form cannot be used for the following waste materials:  
02 03 (soil from potato washing), 17 05 04, 17 05 06, and 20 02 02</t>
  </si>
  <si>
    <t>[Summray row 3] corrected EWC for soils and stones</t>
  </si>
  <si>
    <t xml:space="preserve">awaiting vegetable list from Aileen to be added </t>
  </si>
  <si>
    <t>[Additional info row 3&amp;4]: changed text for liming requirement</t>
  </si>
  <si>
    <t>I confirm that all fields receiving waste that were identified as requiring lime have been limed.</t>
  </si>
  <si>
    <t>v 1.0</t>
  </si>
  <si>
    <t>started this one for the lauch of the new process</t>
  </si>
  <si>
    <t>Certificate of agricultural benefit for paragraph 7(1) exemption - ABC version 1.0</t>
  </si>
  <si>
    <t>NGR missing?</t>
  </si>
  <si>
    <t>spreadable area missing?</t>
  </si>
  <si>
    <t>soil texture missing?</t>
  </si>
  <si>
    <t>texture missing?</t>
  </si>
  <si>
    <t xml:space="preserve">added rows 26-28 on [Summary] page for additional data checks </t>
  </si>
  <si>
    <t xml:space="preserve">corrected formular in [Summary F&amp;G38], there were wrong references </t>
  </si>
  <si>
    <t>Change date:</t>
  </si>
  <si>
    <t>added change date (from transition to final) in [Calc BY7], currently set for 1 Nov 2023; however can be changed to any date, the formular will work with what is given in that cell</t>
  </si>
  <si>
    <t>made several changes, because of glitches; provided this version to operators and Chemistry</t>
  </si>
  <si>
    <t>amended [Summary E32], so that missing organic matter after transition period is flagged up as missing data</t>
  </si>
  <si>
    <t>amended [Summary E-G37], so that after transition period most recent waste analysis needs to be less than 6 months old</t>
  </si>
  <si>
    <t>corrected formular in [Summary F37&amp;G38]; there were wrong references</t>
  </si>
  <si>
    <t>[Summary E37:G38]: changed wording and conditional formatting for situation when waste analysis is too old</t>
  </si>
  <si>
    <t>[Calc BV] added carrot and field beans to the list of crop options that can be selected on [Field information2]</t>
  </si>
  <si>
    <t>field beans</t>
  </si>
  <si>
    <t>[Fertiliser recommendations]; added row 53, replicted the fertiliser recommendation from broad beans</t>
  </si>
  <si>
    <t>[Assessment AG] corrected formular, changed 35 to 25 for the soil organic matter threshold</t>
  </si>
  <si>
    <t>Note: duplicates of waste analysis is based on date - if 2 samples were taken at the same date it's flagged up as duplicate even when data are different (2 samples taken - hiwever they would not fulfill the criteria to be taken 6 weeks apart)</t>
  </si>
  <si>
    <t>[Waste results K-O33]: changed 50 to 55 to reflect better the CaO NV value</t>
  </si>
  <si>
    <t xml:space="preserve">[Assessment AF]: added 0.2 to the rounding so that values close to the higher whole number are not too harshlee reduced </t>
  </si>
  <si>
    <t>[Summary] added test that the 3 waste analyses are at least 6 weeks apart; conditional formatting brings this to red background after the transistion time</t>
  </si>
  <si>
    <t>[Summary G42] corrected formular, was looking at waste 1 not waste 3</t>
  </si>
  <si>
    <t>unrealistic accuracy given for application rate?</t>
  </si>
  <si>
    <t>soil analysis missing</t>
  </si>
  <si>
    <t>[Summary C17]: added check that EWC is given for first waste material</t>
  </si>
  <si>
    <t>[Summary E37:G38]: added check for non-waste material, so tey don't trigger a message</t>
  </si>
  <si>
    <t>[Summary E-G36]: added check that waste description and EWC are provided on Field information 2 if application rates are entered</t>
  </si>
  <si>
    <t>[Summary E62-66]: corrected formular (was missing the last two PTEs)</t>
  </si>
  <si>
    <t>[Summary E34]: changed formular to exclude non-waste material, introduced new column BB in [Calc]</t>
  </si>
  <si>
    <r>
      <rPr>
        <b/>
        <sz val="11"/>
        <color theme="1"/>
        <rFont val="Calibri"/>
        <family val="2"/>
        <scheme val="minor"/>
      </rPr>
      <t>sum waste</t>
    </r>
    <r>
      <rPr>
        <sz val="11"/>
        <color theme="1"/>
        <rFont val="Calibri"/>
        <family val="2"/>
        <scheme val="minor"/>
      </rPr>
      <t>, this excudes non-waste material</t>
    </r>
  </si>
  <si>
    <r>
      <t xml:space="preserve">[Summary E-G43]: corrected formular, was looking at total spreat rate and not per treatment. </t>
    </r>
    <r>
      <rPr>
        <sz val="11"/>
        <color rgb="FFFF0000"/>
        <rFont val="Calibri"/>
        <family val="2"/>
        <scheme val="minor"/>
      </rPr>
      <t>Note, they still can spread at lower rates than given, because we ask for the max.</t>
    </r>
    <r>
      <rPr>
        <sz val="11"/>
        <color theme="1"/>
        <rFont val="Calibri"/>
        <family val="2"/>
        <scheme val="minor"/>
      </rPr>
      <t xml:space="preserve"> </t>
    </r>
  </si>
  <si>
    <t>4-cut-silage</t>
  </si>
  <si>
    <t>TN715-718, table K
corrections TN715-718, table H(a)</t>
  </si>
  <si>
    <t>TN715-718, table M, data in table for M+,  P-fertiliser recommendation changed to M-, thus different values</t>
  </si>
  <si>
    <t>TN715-718, table L (average between grain only or with straw)
corrections TN715-718, table H(a)</t>
  </si>
  <si>
    <t>TN715-718, table L 
corrections TN715-718, table H(a)</t>
  </si>
  <si>
    <t>TN715-718, table N</t>
  </si>
  <si>
    <t>TN715-718, table K
corrections TN715-718, table I</t>
  </si>
  <si>
    <t>TN726, table H for moderate
corrections TN7156-718, table H(a)</t>
  </si>
  <si>
    <t>TN726, table H for moderate
corrections TN7156-718, table I</t>
  </si>
  <si>
    <t>TN715-718, table L (average of 'grain only' and 'with straw')
corrections TN715-718, table I</t>
  </si>
  <si>
    <t>TN715-718, table L
corrections TN7156-718, table I</t>
  </si>
  <si>
    <t>TN715-718, table M</t>
  </si>
  <si>
    <t>TN715-718, table N   //  TN734, table B1a for low and high</t>
  </si>
  <si>
    <t>TN734, p 11</t>
  </si>
  <si>
    <t>not covered yet by TN715-718, added another 66kg/ha</t>
  </si>
  <si>
    <t>not covered yet by TN715-718, added another 10kg/ha, but they do not apply when soil P index is above m- (therefore there the deduction is increased by 10 kg/ha)</t>
  </si>
  <si>
    <t>not covered yet by TN726, added another 40kg/ha for 4th cut</t>
  </si>
  <si>
    <t>not covered yet by TN685</t>
  </si>
  <si>
    <t>4-cut silage</t>
  </si>
  <si>
    <t>[Fertiliser recommendations]: corrected description for P and K (was not correctly referring to TN715-718)</t>
  </si>
  <si>
    <t>[Fertilister recommendation column 14]: added 4-cut silage</t>
  </si>
  <si>
    <t>[Calc BV13]: added this cell (all others moved down) to include 4-cut silage</t>
  </si>
  <si>
    <t>[Calc BY6]: set end of transition time to 1 Dec 2023 (after decision was made to go live at 1 June 2023)</t>
  </si>
  <si>
    <t>[Calc BK]: corrected formular, wasn't picking up the right field when some didn't receive waste (missed the lookup function)</t>
  </si>
  <si>
    <t>[Assessment AE]: corrected formular, wasn't picking up the right field when some didn't receive waste (mised the lookup function)</t>
  </si>
  <si>
    <r>
      <t xml:space="preserve">Liming </t>
    </r>
    <r>
      <rPr>
        <b/>
        <sz val="11"/>
        <color theme="1"/>
        <rFont val="Calibri"/>
        <family val="2"/>
        <scheme val="minor"/>
      </rPr>
      <t>required</t>
    </r>
    <r>
      <rPr>
        <sz val="11"/>
        <color theme="1"/>
        <rFont val="Calibri"/>
        <family val="2"/>
        <scheme val="minor"/>
      </rPr>
      <t xml:space="preserve"> before next renewal?</t>
    </r>
  </si>
  <si>
    <t>Please confirm that liming has been carried out in all fields that were identified as requiring lime (either via the ABC or by a SEPA officer) at last year's registration stage.</t>
  </si>
  <si>
    <t>date of oldest PTE or organic matter analysis</t>
  </si>
  <si>
    <t>[Summary]: changed a few conditional formatting from red text to red background</t>
  </si>
  <si>
    <t>[Summary E-G40]: changed formular, to allow missing NV for materials previously not tested for it and having little or no impact</t>
  </si>
  <si>
    <t>[Summary E24]: changed formular, because for multiple farms only 50ha can be registered (previously had that the treated area in any given year should not exceed 50ha)</t>
  </si>
  <si>
    <t>SEPA Form | WMX-FM7-ABC | version 1 | issued June 2023</t>
  </si>
  <si>
    <t>[Summay E30, E31, E-G37, E-G38]: removed the substraction of 21 days from the date calculations - validatiaon day is already 21 before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</si>
</sst>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dd/mm/yyyy;@"/>
    <numFmt numFmtId="166" formatCode="0.00000"/>
    <numFmt numFmtId="167" formatCode="0.0000000"/>
    <numFmt numFmtId="168" formatCode="#,##0.0"/>
    <numFmt numFmtId="169" formatCode="0.000"/>
    <numFmt numFmtId="170" formatCode="0.0000"/>
    <numFmt numFmtId="171" formatCode="[$-809]d\ mmmm\ yyyy;@"/>
    <numFmt numFmtId="172" formatCode="[$-F800]dddd\,\ mmmm\ dd\,\ yyyy"/>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rgb="FF00B050"/>
      <name val="Calibri"/>
      <family val="2"/>
      <scheme val="minor"/>
    </font>
    <font>
      <sz val="11"/>
      <name val="Calibri"/>
      <family val="2"/>
      <scheme val="minor"/>
    </font>
    <font>
      <sz val="11"/>
      <color rgb="FF000000"/>
      <name val="Calibri"/>
      <family val="2"/>
      <scheme val="minor"/>
    </font>
    <font>
      <b/>
      <sz val="11"/>
      <color rgb="FFFF0000"/>
      <name val="Calibri"/>
      <family val="2"/>
      <scheme val="minor"/>
    </font>
    <font>
      <sz val="10"/>
      <name val="Arial"/>
      <family val="2"/>
    </font>
    <font>
      <sz val="10"/>
      <color theme="1"/>
      <name val="Arial"/>
      <family val="2"/>
    </font>
    <font>
      <sz val="10"/>
      <color rgb="FFFF0000"/>
      <name val="Arial"/>
      <family val="2"/>
    </font>
    <font>
      <b/>
      <sz val="14"/>
      <color theme="1"/>
      <name val="Calibri"/>
      <family val="2"/>
      <scheme val="minor"/>
    </font>
    <font>
      <b/>
      <sz val="13"/>
      <color theme="1"/>
      <name val="Calibri"/>
      <family val="2"/>
      <scheme val="minor"/>
    </font>
    <font>
      <b/>
      <sz val="11"/>
      <name val="Calibri"/>
      <family val="2"/>
      <scheme val="minor"/>
    </font>
    <font>
      <sz val="11"/>
      <color theme="0" tint="-0.499984740745262"/>
      <name val="Calibri"/>
      <family val="2"/>
      <scheme val="minor"/>
    </font>
    <font>
      <sz val="8"/>
      <name val="Calibri"/>
      <family val="2"/>
      <scheme val="minor"/>
    </font>
    <font>
      <vertAlign val="superscript"/>
      <sz val="11"/>
      <color theme="1"/>
      <name val="Calibri"/>
      <family val="2"/>
      <scheme val="minor"/>
    </font>
    <font>
      <vertAlign val="subscript"/>
      <sz val="11"/>
      <color theme="1"/>
      <name val="Calibri"/>
      <family val="2"/>
      <scheme val="minor"/>
    </font>
    <font>
      <i/>
      <sz val="11"/>
      <name val="Calibri"/>
      <family val="2"/>
      <scheme val="minor"/>
    </font>
    <font>
      <b/>
      <i/>
      <sz val="11"/>
      <name val="Calibri"/>
      <family val="2"/>
      <scheme val="minor"/>
    </font>
    <font>
      <b/>
      <sz val="18"/>
      <color theme="0"/>
      <name val="Calibri"/>
      <family val="2"/>
      <scheme val="minor"/>
    </font>
    <font>
      <b/>
      <vertAlign val="superscript"/>
      <sz val="18"/>
      <color theme="0"/>
      <name val="Calibri"/>
      <family val="2"/>
      <scheme val="minor"/>
    </font>
    <font>
      <b/>
      <sz val="12"/>
      <color theme="0"/>
      <name val="Calibri"/>
      <family val="2"/>
      <scheme val="minor"/>
    </font>
    <font>
      <b/>
      <sz val="16"/>
      <color theme="0"/>
      <name val="Calibri"/>
      <family val="2"/>
      <scheme val="minor"/>
    </font>
    <font>
      <b/>
      <sz val="11"/>
      <color theme="0"/>
      <name val="Calibri"/>
      <family val="2"/>
      <scheme val="minor"/>
    </font>
    <font>
      <b/>
      <sz val="28"/>
      <color theme="0"/>
      <name val="Calibri"/>
      <family val="2"/>
      <scheme val="minor"/>
    </font>
    <font>
      <b/>
      <sz val="14"/>
      <color theme="0"/>
      <name val="Calibri"/>
      <family val="2"/>
      <scheme val="minor"/>
    </font>
    <font>
      <b/>
      <sz val="12"/>
      <color rgb="FFFF0000"/>
      <name val="Calibri"/>
      <family val="2"/>
      <scheme val="minor"/>
    </font>
    <font>
      <b/>
      <vertAlign val="subscript"/>
      <sz val="11"/>
      <color theme="0"/>
      <name val="Calibri"/>
      <family val="2"/>
      <scheme val="minor"/>
    </font>
    <font>
      <b/>
      <sz val="20"/>
      <color theme="0"/>
      <name val="Calibri"/>
      <family val="2"/>
      <scheme val="minor"/>
    </font>
    <font>
      <i/>
      <sz val="11"/>
      <color theme="1"/>
      <name val="Calibri"/>
      <family val="2"/>
      <scheme val="minor"/>
    </font>
    <font>
      <sz val="11"/>
      <color rgb="FFC00000"/>
      <name val="Calibri"/>
      <family val="2"/>
      <scheme val="minor"/>
    </font>
    <font>
      <b/>
      <sz val="22"/>
      <color theme="0"/>
      <name val="Calibri"/>
      <family val="2"/>
      <scheme val="minor"/>
    </font>
    <font>
      <b/>
      <sz val="12"/>
      <color rgb="FFC00000"/>
      <name val="Calibri"/>
      <family val="2"/>
      <scheme val="minor"/>
    </font>
    <font>
      <b/>
      <sz val="13"/>
      <color rgb="FFC00000"/>
      <name val="Calibri"/>
      <family val="2"/>
      <scheme val="minor"/>
    </font>
    <font>
      <b/>
      <sz val="11"/>
      <color rgb="FF000000"/>
      <name val="Calibri"/>
      <family val="2"/>
      <scheme val="minor"/>
    </font>
    <font>
      <sz val="11"/>
      <color theme="0"/>
      <name val="Calibri"/>
      <family val="2"/>
      <scheme val="minor"/>
    </font>
    <font>
      <b/>
      <sz val="19"/>
      <color theme="0"/>
      <name val="Calibri"/>
      <family val="2"/>
      <scheme val="minor"/>
    </font>
    <font>
      <sz val="11"/>
      <color rgb="FF7030A0"/>
      <name val="Calibri"/>
      <family val="2"/>
      <scheme val="minor"/>
    </font>
    <font>
      <b/>
      <sz val="11"/>
      <color theme="7" tint="-0.249977111117893"/>
      <name val="Calibri"/>
      <family val="2"/>
      <scheme val="minor"/>
    </font>
    <font>
      <i/>
      <u/>
      <sz val="11"/>
      <name val="Calibri"/>
      <family val="2"/>
      <scheme val="minor"/>
    </font>
    <font>
      <sz val="11"/>
      <color rgb="FF000000"/>
      <name val="Calibri"/>
      <family val="2"/>
    </font>
    <font>
      <sz val="11"/>
      <color rgb="FFFF0000"/>
      <name val="Calibri"/>
      <family val="2"/>
    </font>
    <font>
      <sz val="12"/>
      <color rgb="FFFF0000"/>
      <name val="Calibri"/>
      <family val="2"/>
      <scheme val="minor"/>
    </font>
    <font>
      <sz val="11"/>
      <color theme="1"/>
      <name val="Calibri"/>
      <family val="2"/>
    </font>
    <font>
      <i/>
      <sz val="12"/>
      <color theme="1"/>
      <name val="Calibri"/>
      <family val="2"/>
      <scheme val="minor"/>
    </font>
    <font>
      <b/>
      <sz val="12"/>
      <name val="Calibri"/>
      <family val="2"/>
      <scheme val="minor"/>
    </font>
    <font>
      <sz val="12"/>
      <name val="Calibri"/>
      <family val="2"/>
      <scheme val="minor"/>
    </font>
    <font>
      <b/>
      <sz val="11"/>
      <color rgb="FF016574"/>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rgb="FFFCFCC5"/>
        <bgColor indexed="64"/>
      </patternFill>
    </fill>
    <fill>
      <patternFill patternType="solid">
        <fgColor theme="8" tint="0.79998168889431442"/>
        <bgColor indexed="64"/>
      </patternFill>
    </fill>
    <fill>
      <patternFill patternType="solid">
        <fgColor indexed="26"/>
        <bgColor indexed="64"/>
      </patternFill>
    </fill>
    <fill>
      <patternFill patternType="solid">
        <fgColor theme="0" tint="-0.499984740745262"/>
        <bgColor indexed="64"/>
      </patternFill>
    </fill>
    <fill>
      <patternFill patternType="solid">
        <fgColor rgb="FFFFFF00"/>
        <bgColor indexed="64"/>
      </patternFill>
    </fill>
    <fill>
      <patternFill patternType="solid">
        <fgColor theme="2"/>
        <bgColor indexed="64"/>
      </patternFill>
    </fill>
    <fill>
      <patternFill patternType="solid">
        <fgColor rgb="FF002060"/>
        <bgColor indexed="64"/>
      </patternFill>
    </fill>
    <fill>
      <patternFill patternType="solid">
        <fgColor rgb="FFFFFFCC"/>
        <bgColor indexed="64"/>
      </patternFill>
    </fill>
    <fill>
      <patternFill patternType="solid">
        <fgColor rgb="FFF2F2F2"/>
        <bgColor indexed="64"/>
      </patternFill>
    </fill>
    <fill>
      <patternFill patternType="solid">
        <fgColor rgb="FFFCFCC5"/>
        <bgColor rgb="FF000000"/>
      </patternFill>
    </fill>
    <fill>
      <patternFill patternType="solid">
        <fgColor theme="1"/>
        <bgColor indexed="64"/>
      </patternFill>
    </fill>
    <fill>
      <patternFill patternType="solid">
        <fgColor rgb="FF016574"/>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cellStyleXfs>
  <cellXfs count="464">
    <xf numFmtId="0" fontId="0" fillId="0" borderId="0" xfId="0"/>
    <xf numFmtId="0" fontId="0" fillId="0" borderId="0" xfId="0" applyAlignment="1">
      <alignment horizontal="center" vertical="center" wrapText="1"/>
    </xf>
    <xf numFmtId="0" fontId="0" fillId="0" borderId="0" xfId="0" applyAlignment="1">
      <alignment horizontal="left" vertical="center"/>
    </xf>
    <xf numFmtId="0" fontId="3" fillId="0" borderId="0" xfId="0" applyFont="1"/>
    <xf numFmtId="0" fontId="1" fillId="0" borderId="0" xfId="0" applyFont="1" applyAlignment="1">
      <alignment horizontal="center" vertical="center" wrapText="1"/>
    </xf>
    <xf numFmtId="0" fontId="1" fillId="0" borderId="0" xfId="0" applyFont="1"/>
    <xf numFmtId="0" fontId="3" fillId="2" borderId="1" xfId="0" applyFont="1" applyFill="1" applyBorder="1"/>
    <xf numFmtId="0" fontId="0" fillId="0" borderId="0" xfId="0" applyAlignment="1">
      <alignment horizontal="center" vertical="center"/>
    </xf>
    <xf numFmtId="0" fontId="0" fillId="0" borderId="1" xfId="0" applyBorder="1" applyAlignment="1">
      <alignment horizontal="left" vertical="center"/>
    </xf>
    <xf numFmtId="0" fontId="0" fillId="0" borderId="0" xfId="0" applyAlignment="1">
      <alignment vertical="center"/>
    </xf>
    <xf numFmtId="0" fontId="7" fillId="0" borderId="0" xfId="0" applyFont="1" applyAlignment="1">
      <alignment horizontal="center" vertical="center"/>
    </xf>
    <xf numFmtId="0" fontId="7" fillId="0" borderId="0" xfId="0" applyFont="1" applyAlignment="1">
      <alignment horizontal="right"/>
    </xf>
    <xf numFmtId="0" fontId="0" fillId="0" borderId="0" xfId="0" applyAlignment="1">
      <alignment vertical="center" wrapText="1"/>
    </xf>
    <xf numFmtId="0" fontId="0" fillId="0" borderId="7" xfId="0" applyBorder="1" applyAlignment="1">
      <alignment horizontal="right" vertical="center"/>
    </xf>
    <xf numFmtId="0" fontId="0" fillId="0" borderId="0" xfId="0" applyAlignment="1">
      <alignment horizontal="right" vertical="center"/>
    </xf>
    <xf numFmtId="0" fontId="7" fillId="0" borderId="0" xfId="0" applyFont="1"/>
    <xf numFmtId="0" fontId="8" fillId="0" borderId="0" xfId="0" applyFont="1"/>
    <xf numFmtId="0" fontId="0" fillId="0" borderId="0" xfId="0" applyAlignment="1">
      <alignment horizontal="right"/>
    </xf>
    <xf numFmtId="0" fontId="0" fillId="0" borderId="0" xfId="0" applyAlignment="1">
      <alignment horizontal="left" vertical="center" wrapText="1"/>
    </xf>
    <xf numFmtId="164" fontId="8" fillId="0" borderId="0" xfId="0" applyNumberFormat="1" applyFont="1"/>
    <xf numFmtId="0" fontId="8" fillId="4" borderId="1" xfId="0" applyFont="1" applyFill="1" applyBorder="1" applyAlignment="1">
      <alignment horizontal="right" vertical="center"/>
    </xf>
    <xf numFmtId="0" fontId="8" fillId="0" borderId="0" xfId="0" applyFont="1" applyAlignment="1">
      <alignment horizontal="right" vertical="center"/>
    </xf>
    <xf numFmtId="0" fontId="8" fillId="0" borderId="1" xfId="0" applyFont="1" applyBorder="1" applyAlignment="1">
      <alignment horizontal="right" vertical="center"/>
    </xf>
    <xf numFmtId="0" fontId="8" fillId="0" borderId="5" xfId="0" applyFont="1" applyBorder="1" applyAlignment="1">
      <alignment horizontal="right" vertical="center"/>
    </xf>
    <xf numFmtId="164" fontId="8" fillId="0" borderId="0" xfId="0" applyNumberFormat="1" applyFont="1" applyAlignment="1">
      <alignment horizontal="right" vertical="center"/>
    </xf>
    <xf numFmtId="0" fontId="0" fillId="6" borderId="0" xfId="0" applyFill="1"/>
    <xf numFmtId="2" fontId="0" fillId="4" borderId="1" xfId="0" applyNumberFormat="1" applyFill="1" applyBorder="1" applyAlignment="1">
      <alignment horizontal="center" vertical="center"/>
    </xf>
    <xf numFmtId="0" fontId="6" fillId="0" borderId="0" xfId="0" applyFont="1" applyAlignment="1">
      <alignment vertical="center"/>
    </xf>
    <xf numFmtId="0" fontId="1" fillId="0" borderId="0" xfId="0" applyFont="1" applyAlignment="1">
      <alignment horizontal="left" vertical="center"/>
    </xf>
    <xf numFmtId="0" fontId="13" fillId="0" borderId="0" xfId="0" applyFont="1" applyAlignment="1">
      <alignment horizontal="left" vertical="center"/>
    </xf>
    <xf numFmtId="0" fontId="8" fillId="0" borderId="9" xfId="0" applyFont="1" applyBorder="1" applyAlignment="1">
      <alignment horizontal="right" vertical="center"/>
    </xf>
    <xf numFmtId="0" fontId="8" fillId="0" borderId="11" xfId="0" applyFont="1" applyBorder="1" applyAlignment="1">
      <alignment horizontal="right" vertical="center"/>
    </xf>
    <xf numFmtId="165" fontId="8" fillId="0" borderId="11" xfId="0" applyNumberFormat="1" applyFont="1" applyBorder="1" applyAlignment="1">
      <alignment horizontal="right" vertical="center"/>
    </xf>
    <xf numFmtId="0" fontId="0" fillId="0" borderId="0" xfId="0" quotePrefix="1" applyAlignment="1">
      <alignment wrapText="1"/>
    </xf>
    <xf numFmtId="0" fontId="0" fillId="0" borderId="1" xfId="0" applyBorder="1"/>
    <xf numFmtId="0" fontId="6" fillId="0" borderId="0" xfId="0" applyFont="1"/>
    <xf numFmtId="166" fontId="8" fillId="0" borderId="1" xfId="0" applyNumberFormat="1" applyFont="1" applyBorder="1" applyAlignment="1">
      <alignment horizontal="right" vertical="center"/>
    </xf>
    <xf numFmtId="2" fontId="8" fillId="0" borderId="1" xfId="0" applyNumberFormat="1" applyFont="1" applyBorder="1" applyAlignment="1">
      <alignment horizontal="right" vertical="center"/>
    </xf>
    <xf numFmtId="164" fontId="0" fillId="0" borderId="0" xfId="0" applyNumberFormat="1"/>
    <xf numFmtId="0" fontId="21" fillId="6" borderId="0" xfId="0" applyFont="1" applyFill="1" applyAlignment="1">
      <alignment horizontal="center" vertical="center"/>
    </xf>
    <xf numFmtId="164" fontId="0" fillId="2" borderId="1" xfId="0" applyNumberFormat="1" applyFill="1" applyBorder="1"/>
    <xf numFmtId="0" fontId="0" fillId="2" borderId="1" xfId="0" applyFill="1" applyBorder="1"/>
    <xf numFmtId="2" fontId="0" fillId="2" borderId="1" xfId="0" applyNumberFormat="1" applyFill="1" applyBorder="1"/>
    <xf numFmtId="166" fontId="0" fillId="2" borderId="1" xfId="0" applyNumberFormat="1" applyFill="1" applyBorder="1"/>
    <xf numFmtId="0" fontId="2" fillId="0" borderId="0" xfId="0" applyFont="1"/>
    <xf numFmtId="0" fontId="4" fillId="0" borderId="0" xfId="0" applyFont="1"/>
    <xf numFmtId="0" fontId="4" fillId="0" borderId="0" xfId="0" applyFont="1" applyAlignment="1">
      <alignment horizontal="center" vertical="center" wrapText="1"/>
    </xf>
    <xf numFmtId="0" fontId="0" fillId="0" borderId="0" xfId="0" quotePrefix="1" applyAlignment="1">
      <alignment horizontal="center" vertical="center"/>
    </xf>
    <xf numFmtId="164" fontId="0" fillId="0" borderId="0" xfId="0" applyNumberFormat="1" applyAlignment="1">
      <alignment horizontal="center" vertical="center"/>
    </xf>
    <xf numFmtId="0" fontId="0" fillId="0" borderId="0" xfId="0" quotePrefix="1" applyAlignment="1">
      <alignment horizontal="center" vertical="center" wrapText="1"/>
    </xf>
    <xf numFmtId="0" fontId="13" fillId="0" borderId="0" xfId="0" applyFont="1" applyAlignment="1">
      <alignment vertical="center"/>
    </xf>
    <xf numFmtId="165" fontId="13" fillId="0" borderId="0" xfId="0" applyNumberFormat="1" applyFont="1" applyAlignment="1">
      <alignment vertical="center"/>
    </xf>
    <xf numFmtId="0" fontId="2" fillId="0" borderId="0" xfId="0" applyFont="1" applyAlignment="1">
      <alignment vertical="center"/>
    </xf>
    <xf numFmtId="0" fontId="22" fillId="0" borderId="0" xfId="0" applyFont="1" applyAlignment="1">
      <alignment vertical="center"/>
    </xf>
    <xf numFmtId="0" fontId="28" fillId="0" borderId="0" xfId="0" applyFont="1" applyAlignment="1">
      <alignment horizontal="center" vertical="center"/>
    </xf>
    <xf numFmtId="0" fontId="8" fillId="0" borderId="1" xfId="0" applyFont="1" applyBorder="1"/>
    <xf numFmtId="164" fontId="4" fillId="0" borderId="1" xfId="0" applyNumberFormat="1" applyFont="1" applyBorder="1"/>
    <xf numFmtId="164" fontId="2" fillId="2" borderId="1" xfId="0" applyNumberFormat="1" applyFont="1" applyFill="1" applyBorder="1"/>
    <xf numFmtId="2" fontId="2" fillId="2" borderId="1" xfId="0" applyNumberFormat="1" applyFont="1" applyFill="1" applyBorder="1"/>
    <xf numFmtId="164" fontId="0" fillId="0" borderId="1" xfId="0" applyNumberFormat="1" applyBorder="1"/>
    <xf numFmtId="166" fontId="2" fillId="2" borderId="1" xfId="0" applyNumberFormat="1" applyFont="1" applyFill="1" applyBorder="1"/>
    <xf numFmtId="0" fontId="1" fillId="0" borderId="0" xfId="0" applyFont="1" applyAlignment="1">
      <alignment vertical="center"/>
    </xf>
    <xf numFmtId="0" fontId="7" fillId="7" borderId="7" xfId="0" applyFont="1" applyFill="1" applyBorder="1" applyAlignment="1">
      <alignment horizontal="right" vertical="center"/>
    </xf>
    <xf numFmtId="0" fontId="21" fillId="0" borderId="1" xfId="0" applyFont="1" applyBorder="1" applyAlignment="1">
      <alignment horizontal="center" vertical="center" wrapText="1"/>
    </xf>
    <xf numFmtId="0" fontId="26" fillId="0" borderId="1" xfId="0" applyFont="1" applyBorder="1" applyAlignment="1">
      <alignment horizontal="center" vertical="center" wrapText="1"/>
    </xf>
    <xf numFmtId="165" fontId="0" fillId="0" borderId="0" xfId="0" applyNumberFormat="1"/>
    <xf numFmtId="0" fontId="4" fillId="0" borderId="0" xfId="0" applyFont="1" applyAlignment="1">
      <alignment vertical="center"/>
    </xf>
    <xf numFmtId="0" fontId="17" fillId="2" borderId="1" xfId="0" applyFont="1" applyFill="1" applyBorder="1" applyAlignment="1">
      <alignment vertical="center" wrapText="1"/>
    </xf>
    <xf numFmtId="165" fontId="17" fillId="2" borderId="1" xfId="0" applyNumberFormat="1" applyFont="1" applyFill="1" applyBorder="1" applyAlignment="1">
      <alignment vertical="center" wrapText="1"/>
    </xf>
    <xf numFmtId="0" fontId="2" fillId="2" borderId="1" xfId="0" applyFont="1" applyFill="1" applyBorder="1"/>
    <xf numFmtId="0" fontId="0" fillId="0" borderId="16" xfId="0" applyBorder="1"/>
    <xf numFmtId="0" fontId="2" fillId="0" borderId="13" xfId="0" applyFont="1" applyBorder="1"/>
    <xf numFmtId="0" fontId="0" fillId="0" borderId="20" xfId="0" applyBorder="1"/>
    <xf numFmtId="0" fontId="0" fillId="0" borderId="20" xfId="0" applyBorder="1" applyAlignment="1">
      <alignment vertical="center"/>
    </xf>
    <xf numFmtId="0" fontId="0" fillId="0" borderId="16" xfId="0" applyBorder="1" applyAlignment="1">
      <alignment vertical="center"/>
    </xf>
    <xf numFmtId="0" fontId="0" fillId="0" borderId="17" xfId="0" applyBorder="1"/>
    <xf numFmtId="0" fontId="0" fillId="0" borderId="18" xfId="0" applyBorder="1"/>
    <xf numFmtId="0" fontId="0" fillId="0" borderId="21" xfId="0" applyBorder="1"/>
    <xf numFmtId="0" fontId="0" fillId="0" borderId="3" xfId="0" applyBorder="1"/>
    <xf numFmtId="0" fontId="0" fillId="0" borderId="3" xfId="0" applyBorder="1" applyAlignment="1">
      <alignment vertical="center"/>
    </xf>
    <xf numFmtId="0" fontId="0" fillId="0" borderId="4" xfId="0" applyBorder="1"/>
    <xf numFmtId="0" fontId="0" fillId="0" borderId="15" xfId="0" applyBorder="1"/>
    <xf numFmtId="2" fontId="0" fillId="0" borderId="16" xfId="0" applyNumberFormat="1" applyBorder="1" applyAlignment="1">
      <alignment horizontal="left" vertical="center"/>
    </xf>
    <xf numFmtId="2" fontId="0" fillId="0" borderId="20" xfId="0" applyNumberFormat="1" applyBorder="1" applyAlignment="1">
      <alignment horizontal="left" vertical="center"/>
    </xf>
    <xf numFmtId="164" fontId="5" fillId="0" borderId="16" xfId="0" applyNumberFormat="1" applyFont="1" applyBorder="1" applyAlignment="1">
      <alignment horizontal="left" vertical="center"/>
    </xf>
    <xf numFmtId="0" fontId="5" fillId="0" borderId="0" xfId="0" applyFont="1" applyAlignment="1">
      <alignment horizontal="right" vertical="center" wrapText="1"/>
    </xf>
    <xf numFmtId="0" fontId="4" fillId="0" borderId="13" xfId="0" applyFont="1" applyBorder="1" applyAlignment="1">
      <alignment horizontal="right"/>
    </xf>
    <xf numFmtId="0" fontId="4" fillId="0" borderId="0" xfId="0" applyFont="1" applyAlignment="1">
      <alignment horizontal="right"/>
    </xf>
    <xf numFmtId="0" fontId="4" fillId="0" borderId="19" xfId="0" applyFont="1" applyBorder="1" applyAlignment="1">
      <alignment horizontal="right"/>
    </xf>
    <xf numFmtId="0" fontId="4" fillId="0" borderId="20" xfId="0" applyFont="1" applyBorder="1" applyAlignment="1">
      <alignment horizontal="right"/>
    </xf>
    <xf numFmtId="164" fontId="5" fillId="0" borderId="20" xfId="0" quotePrefix="1" applyNumberFormat="1" applyFont="1" applyBorder="1" applyAlignment="1">
      <alignment horizontal="left" vertical="center"/>
    </xf>
    <xf numFmtId="1" fontId="0" fillId="0" borderId="0" xfId="0" applyNumberFormat="1" applyAlignment="1">
      <alignment horizontal="center" vertical="center"/>
    </xf>
    <xf numFmtId="0" fontId="0" fillId="0" borderId="19" xfId="0" applyBorder="1"/>
    <xf numFmtId="0" fontId="0" fillId="0" borderId="0" xfId="0" applyAlignment="1">
      <alignment horizontal="left" wrapText="1"/>
    </xf>
    <xf numFmtId="0" fontId="12" fillId="0" borderId="0" xfId="0" applyFont="1" applyAlignment="1">
      <alignment vertical="center" wrapText="1"/>
    </xf>
    <xf numFmtId="0" fontId="2" fillId="0" borderId="0" xfId="0" applyFont="1" applyAlignment="1">
      <alignment vertical="center" wrapText="1"/>
    </xf>
    <xf numFmtId="0" fontId="0" fillId="0" borderId="13" xfId="0" applyBorder="1" applyAlignment="1">
      <alignment horizontal="center" vertical="center" wrapText="1"/>
    </xf>
    <xf numFmtId="0" fontId="0" fillId="0" borderId="18" xfId="0" applyBorder="1" applyAlignment="1">
      <alignment vertical="center" wrapText="1"/>
    </xf>
    <xf numFmtId="0" fontId="1" fillId="0" borderId="18" xfId="0" applyFont="1" applyBorder="1" applyAlignment="1">
      <alignmen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left" vertical="center" wrapText="1"/>
    </xf>
    <xf numFmtId="0" fontId="0" fillId="0" borderId="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2" fillId="0" borderId="13" xfId="0" applyFont="1" applyBorder="1" applyAlignment="1">
      <alignment horizontal="center" vertical="center" wrapText="1"/>
    </xf>
    <xf numFmtId="0" fontId="0" fillId="0" borderId="29" xfId="0" applyBorder="1"/>
    <xf numFmtId="0" fontId="0" fillId="0" borderId="7" xfId="0" applyBorder="1"/>
    <xf numFmtId="0" fontId="0" fillId="0" borderId="7" xfId="0" applyBorder="1" applyAlignment="1">
      <alignment horizontal="center" vertical="center"/>
    </xf>
    <xf numFmtId="0" fontId="0" fillId="0" borderId="29" xfId="0" applyBorder="1" applyAlignment="1">
      <alignment horizontal="center" vertical="center"/>
    </xf>
    <xf numFmtId="0" fontId="1" fillId="0" borderId="29" xfId="0" applyFont="1" applyBorder="1" applyAlignment="1">
      <alignment horizontal="center" vertical="center"/>
    </xf>
    <xf numFmtId="0" fontId="4" fillId="0" borderId="0" xfId="0" applyFont="1" applyAlignment="1">
      <alignment horizontal="center" vertical="center"/>
    </xf>
    <xf numFmtId="0" fontId="1" fillId="0" borderId="0" xfId="0" applyFont="1" applyAlignment="1">
      <alignment horizontal="center" vertical="center"/>
    </xf>
    <xf numFmtId="0" fontId="4" fillId="0" borderId="7" xfId="0" applyFont="1" applyBorder="1" applyAlignment="1">
      <alignment horizontal="center" vertical="center"/>
    </xf>
    <xf numFmtId="0" fontId="1" fillId="0" borderId="7" xfId="0" applyFont="1" applyBorder="1" applyAlignment="1">
      <alignment horizontal="center" vertical="center"/>
    </xf>
    <xf numFmtId="0" fontId="0" fillId="0" borderId="13" xfId="0" applyBorder="1" applyAlignment="1">
      <alignment horizontal="center" vertical="center"/>
    </xf>
    <xf numFmtId="0" fontId="1" fillId="0" borderId="13" xfId="0" applyFont="1" applyBorder="1" applyAlignment="1">
      <alignment horizontal="center" vertical="center"/>
    </xf>
    <xf numFmtId="0" fontId="2" fillId="0" borderId="13" xfId="0" applyFont="1" applyBorder="1" applyAlignment="1">
      <alignment horizontal="center" vertical="center"/>
    </xf>
    <xf numFmtId="0" fontId="4" fillId="0" borderId="13" xfId="0" applyFont="1" applyBorder="1" applyAlignment="1">
      <alignment horizontal="center" vertical="center"/>
    </xf>
    <xf numFmtId="0" fontId="1" fillId="0" borderId="18" xfId="0" applyFont="1" applyBorder="1" applyAlignment="1">
      <alignment horizontal="left" vertical="center" wrapText="1"/>
    </xf>
    <xf numFmtId="0" fontId="0" fillId="0" borderId="19" xfId="0" applyBorder="1" applyAlignment="1">
      <alignment horizontal="center" vertical="center"/>
    </xf>
    <xf numFmtId="0" fontId="0" fillId="0" borderId="30" xfId="0" applyBorder="1" applyAlignment="1">
      <alignment horizontal="center" vertical="center"/>
    </xf>
    <xf numFmtId="0" fontId="0" fillId="0" borderId="20" xfId="0" applyBorder="1" applyAlignment="1">
      <alignment horizontal="center" vertical="center"/>
    </xf>
    <xf numFmtId="0" fontId="0" fillId="0" borderId="28" xfId="0" applyBorder="1" applyAlignment="1">
      <alignment horizontal="center" vertical="center"/>
    </xf>
    <xf numFmtId="0" fontId="0" fillId="0" borderId="18" xfId="0" applyBorder="1" applyAlignment="1">
      <alignment horizontal="left" wrapText="1"/>
    </xf>
    <xf numFmtId="0" fontId="0" fillId="0" borderId="21" xfId="0" applyBorder="1" applyAlignment="1">
      <alignment horizontal="left" wrapText="1"/>
    </xf>
    <xf numFmtId="0" fontId="0" fillId="0" borderId="13" xfId="0" applyBorder="1"/>
    <xf numFmtId="0" fontId="0" fillId="0" borderId="18" xfId="0" applyBorder="1" applyAlignment="1">
      <alignment vertical="center"/>
    </xf>
    <xf numFmtId="0" fontId="0" fillId="0" borderId="21" xfId="0" applyBorder="1" applyAlignment="1">
      <alignment vertical="center"/>
    </xf>
    <xf numFmtId="0" fontId="0" fillId="0" borderId="18" xfId="0" applyBorder="1" applyAlignment="1">
      <alignment horizontal="left" vertical="center"/>
    </xf>
    <xf numFmtId="0" fontId="0" fillId="0" borderId="13" xfId="0" applyBorder="1" applyAlignment="1">
      <alignment vertical="center"/>
    </xf>
    <xf numFmtId="0" fontId="2" fillId="2" borderId="13" xfId="0" applyFont="1" applyFill="1" applyBorder="1" applyAlignment="1">
      <alignment horizontal="center" vertical="center"/>
    </xf>
    <xf numFmtId="0" fontId="0" fillId="2" borderId="29"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8" xfId="0" applyFill="1" applyBorder="1" applyAlignment="1">
      <alignment horizontal="left" vertical="center" wrapText="1"/>
    </xf>
    <xf numFmtId="0" fontId="0" fillId="0" borderId="28" xfId="0" applyBorder="1"/>
    <xf numFmtId="0" fontId="0" fillId="0" borderId="30" xfId="0" applyBorder="1"/>
    <xf numFmtId="0" fontId="0" fillId="2" borderId="18" xfId="0" applyFill="1" applyBorder="1" applyAlignment="1">
      <alignment horizontal="left" wrapText="1"/>
    </xf>
    <xf numFmtId="0" fontId="6" fillId="0" borderId="13" xfId="0" applyFont="1" applyBorder="1" applyAlignment="1">
      <alignment horizontal="center" vertical="center"/>
    </xf>
    <xf numFmtId="0" fontId="0" fillId="0" borderId="22" xfId="0" applyBorder="1" applyAlignment="1">
      <alignment vertical="center"/>
    </xf>
    <xf numFmtId="0" fontId="0" fillId="0" borderId="24" xfId="0" applyBorder="1" applyAlignment="1">
      <alignment vertical="center"/>
    </xf>
    <xf numFmtId="0" fontId="0" fillId="0" borderId="26" xfId="0" applyBorder="1" applyAlignment="1">
      <alignment vertical="center"/>
    </xf>
    <xf numFmtId="165" fontId="4" fillId="0" borderId="0" xfId="0" applyNumberFormat="1" applyFont="1" applyAlignment="1">
      <alignment horizontal="center" vertical="center"/>
    </xf>
    <xf numFmtId="0" fontId="2" fillId="0" borderId="0" xfId="0" applyFont="1" applyAlignment="1">
      <alignment horizontal="center" vertical="center"/>
    </xf>
    <xf numFmtId="0" fontId="32" fillId="0" borderId="0" xfId="0" applyFont="1" applyAlignment="1">
      <alignment vertical="center"/>
    </xf>
    <xf numFmtId="0" fontId="3" fillId="2" borderId="33" xfId="0" applyFont="1" applyFill="1" applyBorder="1"/>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0" fillId="0" borderId="8" xfId="0" applyBorder="1" applyAlignment="1">
      <alignment horizontal="right" vertical="center"/>
    </xf>
    <xf numFmtId="0" fontId="0" fillId="0" borderId="10" xfId="0" applyBorder="1" applyAlignment="1">
      <alignment horizontal="right" vertical="center"/>
    </xf>
    <xf numFmtId="0" fontId="0" fillId="0" borderId="0" xfId="0" applyAlignment="1">
      <alignment wrapText="1"/>
    </xf>
    <xf numFmtId="0" fontId="0" fillId="0" borderId="0" xfId="0" applyAlignment="1">
      <alignment horizontal="right" vertical="center" wrapText="1"/>
    </xf>
    <xf numFmtId="0" fontId="0" fillId="7" borderId="18" xfId="0" applyFill="1" applyBorder="1" applyAlignment="1">
      <alignment vertical="center" wrapText="1"/>
    </xf>
    <xf numFmtId="0" fontId="0" fillId="2" borderId="13" xfId="0" applyFill="1" applyBorder="1" applyAlignment="1">
      <alignment horizontal="center" vertical="center"/>
    </xf>
    <xf numFmtId="0" fontId="0" fillId="2" borderId="18" xfId="0" applyFill="1" applyBorder="1" applyAlignment="1">
      <alignment vertical="center"/>
    </xf>
    <xf numFmtId="0" fontId="0" fillId="2" borderId="29" xfId="0" applyFill="1" applyBorder="1" applyAlignment="1">
      <alignment vertical="center"/>
    </xf>
    <xf numFmtId="0" fontId="0" fillId="2" borderId="18" xfId="0" applyFill="1" applyBorder="1" applyAlignment="1">
      <alignment horizontal="left" vertical="center"/>
    </xf>
    <xf numFmtId="0" fontId="23" fillId="0" borderId="0" xfId="0" applyFont="1" applyAlignment="1">
      <alignment horizontal="center"/>
    </xf>
    <xf numFmtId="1" fontId="0" fillId="0" borderId="0" xfId="0" quotePrefix="1" applyNumberFormat="1" applyAlignment="1">
      <alignment horizontal="center" vertical="center" wrapText="1"/>
    </xf>
    <xf numFmtId="0" fontId="2" fillId="0" borderId="1" xfId="0" applyFont="1" applyBorder="1"/>
    <xf numFmtId="0" fontId="2" fillId="0" borderId="25" xfId="0" applyFont="1" applyBorder="1"/>
    <xf numFmtId="0" fontId="2" fillId="0" borderId="33" xfId="0" applyFont="1" applyBorder="1"/>
    <xf numFmtId="0" fontId="2" fillId="0" borderId="23" xfId="0" applyFont="1" applyBorder="1"/>
    <xf numFmtId="0" fontId="0" fillId="0" borderId="25" xfId="0" applyBorder="1"/>
    <xf numFmtId="0" fontId="0" fillId="0" borderId="34" xfId="0" applyBorder="1"/>
    <xf numFmtId="0" fontId="0" fillId="0" borderId="27" xfId="0" applyBorder="1"/>
    <xf numFmtId="2" fontId="0" fillId="3" borderId="1" xfId="0" applyNumberForma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0" fillId="3" borderId="1" xfId="0" applyFill="1" applyBorder="1" applyAlignment="1" applyProtection="1">
      <alignment horizontal="left" vertical="center" wrapText="1"/>
      <protection locked="0"/>
    </xf>
    <xf numFmtId="165" fontId="8" fillId="4" borderId="1" xfId="0" applyNumberFormat="1" applyFont="1" applyFill="1" applyBorder="1" applyAlignment="1" applyProtection="1">
      <alignment horizontal="right" vertical="center"/>
      <protection locked="0"/>
    </xf>
    <xf numFmtId="0" fontId="8" fillId="4" borderId="1" xfId="0" applyFont="1" applyFill="1" applyBorder="1" applyAlignment="1" applyProtection="1">
      <alignment horizontal="right" vertical="center"/>
      <protection locked="0"/>
    </xf>
    <xf numFmtId="0" fontId="8" fillId="4" borderId="8" xfId="0" applyFont="1" applyFill="1" applyBorder="1" applyAlignment="1" applyProtection="1">
      <alignment horizontal="right" vertical="center"/>
      <protection locked="0"/>
    </xf>
    <xf numFmtId="165" fontId="8" fillId="0" borderId="1" xfId="0" applyNumberFormat="1" applyFont="1" applyBorder="1" applyAlignment="1" applyProtection="1">
      <alignment horizontal="right" vertical="center"/>
      <protection locked="0"/>
    </xf>
    <xf numFmtId="165" fontId="8" fillId="0" borderId="5" xfId="0" applyNumberFormat="1" applyFont="1" applyBorder="1" applyAlignment="1" applyProtection="1">
      <alignment horizontal="right" vertical="center"/>
      <protection locked="0"/>
    </xf>
    <xf numFmtId="0" fontId="8" fillId="0" borderId="1" xfId="0" applyFont="1" applyBorder="1" applyAlignment="1" applyProtection="1">
      <alignment horizontal="right" vertical="center"/>
      <protection locked="0"/>
    </xf>
    <xf numFmtId="0" fontId="8" fillId="0" borderId="5" xfId="0" applyFont="1" applyBorder="1" applyAlignment="1" applyProtection="1">
      <alignment horizontal="right" vertical="center"/>
      <protection locked="0"/>
    </xf>
    <xf numFmtId="0" fontId="8" fillId="0" borderId="11" xfId="0" applyFont="1" applyBorder="1" applyAlignment="1" applyProtection="1">
      <alignment horizontal="right" vertical="center"/>
      <protection locked="0"/>
    </xf>
    <xf numFmtId="0" fontId="8" fillId="0" borderId="14" xfId="0"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7" fillId="0" borderId="1" xfId="0" applyFont="1" applyBorder="1" applyAlignment="1" applyProtection="1">
      <alignment horizontal="right" vertical="center"/>
      <protection locked="0"/>
    </xf>
    <xf numFmtId="0" fontId="0" fillId="0" borderId="1" xfId="0" applyBorder="1" applyProtection="1">
      <protection locked="0"/>
    </xf>
    <xf numFmtId="165" fontId="4" fillId="3" borderId="1" xfId="0" applyNumberFormat="1" applyFont="1" applyFill="1" applyBorder="1" applyAlignment="1" applyProtection="1">
      <alignment vertical="center"/>
      <protection locked="0"/>
    </xf>
    <xf numFmtId="165" fontId="0" fillId="4" borderId="1" xfId="0" applyNumberFormat="1" applyFill="1" applyBorder="1" applyAlignment="1" applyProtection="1">
      <alignment vertical="center"/>
      <protection locked="0"/>
    </xf>
    <xf numFmtId="2" fontId="0" fillId="0" borderId="1" xfId="0" applyNumberFormat="1" applyBorder="1" applyProtection="1">
      <protection locked="0"/>
    </xf>
    <xf numFmtId="49" fontId="0" fillId="3" borderId="1" xfId="0" applyNumberFormat="1" applyFill="1" applyBorder="1" applyAlignment="1" applyProtection="1">
      <alignment horizontal="left" vertical="center"/>
      <protection locked="0"/>
    </xf>
    <xf numFmtId="49" fontId="0" fillId="0" borderId="0" xfId="0" applyNumberFormat="1"/>
    <xf numFmtId="0" fontId="2" fillId="2" borderId="13"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0" fillId="2" borderId="7" xfId="0" applyFill="1" applyBorder="1" applyAlignment="1">
      <alignment horizontal="center" vertical="center" wrapText="1"/>
    </xf>
    <xf numFmtId="0" fontId="0" fillId="2" borderId="18" xfId="0" applyFill="1" applyBorder="1" applyAlignment="1">
      <alignment vertical="center" wrapText="1"/>
    </xf>
    <xf numFmtId="1" fontId="4" fillId="0" borderId="0" xfId="0" applyNumberFormat="1" applyFont="1" applyAlignment="1">
      <alignment horizontal="center" vertical="center"/>
    </xf>
    <xf numFmtId="0" fontId="12" fillId="2" borderId="1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7" xfId="0" applyFont="1" applyFill="1" applyBorder="1" applyAlignment="1">
      <alignment horizontal="center" vertical="center" wrapText="1"/>
    </xf>
    <xf numFmtId="0" fontId="5" fillId="2" borderId="18" xfId="0" applyFont="1" applyFill="1" applyBorder="1" applyAlignment="1">
      <alignment vertical="center" wrapText="1"/>
    </xf>
    <xf numFmtId="0" fontId="34" fillId="2" borderId="13" xfId="0" applyFont="1" applyFill="1" applyBorder="1" applyAlignment="1">
      <alignment horizontal="center" vertical="center" wrapText="1"/>
    </xf>
    <xf numFmtId="0" fontId="5" fillId="2" borderId="18" xfId="0" applyFont="1" applyFill="1" applyBorder="1" applyAlignment="1">
      <alignment horizontal="left" vertical="center" wrapText="1"/>
    </xf>
    <xf numFmtId="0" fontId="4" fillId="2" borderId="2" xfId="0" applyFont="1" applyFill="1" applyBorder="1" applyAlignment="1">
      <alignment horizontal="center" vertical="center" wrapText="1"/>
    </xf>
    <xf numFmtId="49" fontId="4" fillId="3" borderId="4" xfId="0" applyNumberFormat="1" applyFont="1" applyFill="1" applyBorder="1" applyAlignment="1" applyProtection="1">
      <alignment horizontal="center" vertical="center"/>
      <protection locked="0"/>
    </xf>
    <xf numFmtId="49" fontId="4" fillId="4" borderId="4" xfId="0" applyNumberFormat="1" applyFont="1" applyFill="1" applyBorder="1" applyAlignment="1" applyProtection="1">
      <alignment horizontal="center" vertical="center"/>
      <protection locked="0"/>
    </xf>
    <xf numFmtId="164" fontId="8" fillId="4" borderId="1" xfId="0" applyNumberFormat="1" applyFont="1" applyFill="1" applyBorder="1" applyAlignment="1" applyProtection="1">
      <alignment horizontal="right" vertical="center"/>
      <protection locked="0"/>
    </xf>
    <xf numFmtId="164" fontId="8" fillId="4" borderId="11" xfId="0" applyNumberFormat="1" applyFont="1" applyFill="1" applyBorder="1" applyAlignment="1" applyProtection="1">
      <alignment horizontal="right" vertical="center"/>
      <protection locked="0"/>
    </xf>
    <xf numFmtId="0" fontId="0" fillId="0" borderId="16" xfId="0" applyBorder="1" applyAlignment="1">
      <alignment horizontal="right" vertical="center" wrapText="1"/>
    </xf>
    <xf numFmtId="0" fontId="0" fillId="0" borderId="20" xfId="0" applyBorder="1" applyAlignment="1">
      <alignment horizontal="right" vertical="center" wrapText="1"/>
    </xf>
    <xf numFmtId="0" fontId="5" fillId="0" borderId="16" xfId="0" applyFont="1" applyBorder="1" applyAlignment="1">
      <alignment horizontal="right" vertical="center" wrapText="1"/>
    </xf>
    <xf numFmtId="0" fontId="0" fillId="0" borderId="21" xfId="0" applyBorder="1" applyAlignment="1">
      <alignment horizontal="left" vertical="center"/>
    </xf>
    <xf numFmtId="168" fontId="5" fillId="0" borderId="16" xfId="0" applyNumberFormat="1" applyFont="1" applyBorder="1" applyAlignment="1">
      <alignment horizontal="left" vertical="center"/>
    </xf>
    <xf numFmtId="168" fontId="5" fillId="0" borderId="0" xfId="0" quotePrefix="1" applyNumberFormat="1" applyFont="1" applyAlignment="1">
      <alignment horizontal="left" vertical="center" wrapText="1"/>
    </xf>
    <xf numFmtId="168" fontId="5" fillId="0" borderId="20" xfId="0" quotePrefix="1" applyNumberFormat="1" applyFont="1" applyBorder="1" applyAlignment="1">
      <alignment horizontal="left" vertical="center"/>
    </xf>
    <xf numFmtId="14" fontId="0" fillId="0" borderId="0" xfId="0" applyNumberFormat="1"/>
    <xf numFmtId="0" fontId="35" fillId="9" borderId="0" xfId="0" applyFont="1" applyFill="1"/>
    <xf numFmtId="0" fontId="4" fillId="3" borderId="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165" fontId="0" fillId="0" borderId="1" xfId="0" applyNumberFormat="1" applyBorder="1" applyAlignment="1">
      <alignment horizontal="left" vertical="center" wrapText="1"/>
    </xf>
    <xf numFmtId="49" fontId="7" fillId="5" borderId="1" xfId="0" applyNumberFormat="1" applyFont="1" applyFill="1" applyBorder="1" applyProtection="1">
      <protection locked="0"/>
    </xf>
    <xf numFmtId="49" fontId="0" fillId="0" borderId="1" xfId="0" applyNumberFormat="1" applyBorder="1" applyAlignment="1" applyProtection="1">
      <alignment horizontal="center" vertical="center" wrapText="1"/>
      <protection locked="0"/>
    </xf>
    <xf numFmtId="49" fontId="0" fillId="0" borderId="1" xfId="0" applyNumberFormat="1" applyBorder="1" applyAlignment="1" applyProtection="1">
      <alignment horizontal="left" vertical="center" wrapText="1"/>
      <protection locked="0"/>
    </xf>
    <xf numFmtId="49" fontId="0" fillId="0" borderId="1" xfId="0" applyNumberFormat="1" applyBorder="1"/>
    <xf numFmtId="49" fontId="0" fillId="3" borderId="1" xfId="0" applyNumberFormat="1" applyFill="1" applyBorder="1" applyAlignment="1" applyProtection="1">
      <alignment vertical="center" wrapText="1"/>
      <protection locked="0"/>
    </xf>
    <xf numFmtId="49" fontId="0" fillId="0" borderId="0" xfId="0" applyNumberFormat="1" applyAlignment="1">
      <alignment vertical="center" wrapText="1"/>
    </xf>
    <xf numFmtId="49" fontId="0" fillId="3" borderId="1" xfId="0" applyNumberFormat="1" applyFill="1" applyBorder="1" applyAlignment="1" applyProtection="1">
      <alignment horizontal="center" vertical="center"/>
      <protection locked="0"/>
    </xf>
    <xf numFmtId="49" fontId="0" fillId="3" borderId="6" xfId="0" applyNumberFormat="1" applyFill="1" applyBorder="1" applyAlignment="1">
      <alignment horizontal="center" vertical="center"/>
    </xf>
    <xf numFmtId="49" fontId="0" fillId="0" borderId="0" xfId="0" applyNumberFormat="1" applyAlignment="1">
      <alignment horizontal="center" vertical="center"/>
    </xf>
    <xf numFmtId="49" fontId="7" fillId="0" borderId="0" xfId="0" applyNumberFormat="1" applyFont="1" applyAlignment="1">
      <alignment horizontal="center" vertical="center"/>
    </xf>
    <xf numFmtId="49" fontId="7" fillId="0" borderId="0" xfId="0" applyNumberFormat="1" applyFont="1" applyAlignment="1">
      <alignment horizontal="right"/>
    </xf>
    <xf numFmtId="49" fontId="0" fillId="0" borderId="7" xfId="0" applyNumberFormat="1" applyBorder="1" applyAlignment="1">
      <alignment horizontal="right" vertical="center"/>
    </xf>
    <xf numFmtId="49" fontId="0" fillId="3" borderId="1" xfId="0" applyNumberFormat="1" applyFill="1" applyBorder="1" applyAlignment="1" applyProtection="1">
      <alignment horizontal="right" vertical="center"/>
      <protection locked="0"/>
    </xf>
    <xf numFmtId="49" fontId="0" fillId="0" borderId="0" xfId="0" applyNumberFormat="1" applyAlignment="1">
      <alignment horizontal="right" vertical="center"/>
    </xf>
    <xf numFmtId="49" fontId="0" fillId="4" borderId="1" xfId="0" applyNumberFormat="1" applyFill="1" applyBorder="1" applyAlignment="1" applyProtection="1">
      <alignment horizontal="right" vertical="center"/>
      <protection locked="0"/>
    </xf>
    <xf numFmtId="49" fontId="7" fillId="3" borderId="1" xfId="0" applyNumberFormat="1" applyFont="1" applyFill="1" applyBorder="1" applyAlignment="1" applyProtection="1">
      <alignment horizontal="right" vertical="center"/>
      <protection locked="0"/>
    </xf>
    <xf numFmtId="0" fontId="0" fillId="2" borderId="0" xfId="0" applyFill="1" applyAlignment="1">
      <alignment vertical="center"/>
    </xf>
    <xf numFmtId="0" fontId="0" fillId="0" borderId="0" xfId="0" quotePrefix="1" applyAlignment="1">
      <alignment vertical="center" wrapText="1"/>
    </xf>
    <xf numFmtId="167" fontId="0" fillId="0" borderId="0" xfId="0" applyNumberFormat="1" applyAlignment="1">
      <alignment vertical="center"/>
    </xf>
    <xf numFmtId="2" fontId="0" fillId="0" borderId="0" xfId="0" applyNumberFormat="1" applyAlignment="1">
      <alignment vertical="center"/>
    </xf>
    <xf numFmtId="167" fontId="4" fillId="0" borderId="0" xfId="0" applyNumberFormat="1" applyFont="1" applyAlignment="1">
      <alignment vertical="center"/>
    </xf>
    <xf numFmtId="2" fontId="4" fillId="0" borderId="0" xfId="0" applyNumberFormat="1" applyFont="1" applyAlignment="1">
      <alignment vertical="center"/>
    </xf>
    <xf numFmtId="0" fontId="0" fillId="4" borderId="1" xfId="0" applyFill="1" applyBorder="1" applyAlignment="1" applyProtection="1">
      <alignment vertical="center"/>
      <protection locked="0"/>
    </xf>
    <xf numFmtId="164" fontId="4" fillId="0" borderId="1" xfId="0" applyNumberFormat="1" applyFont="1" applyBorder="1" applyAlignment="1">
      <alignment vertical="center"/>
    </xf>
    <xf numFmtId="169" fontId="0" fillId="0" borderId="1" xfId="0" applyNumberFormat="1" applyBorder="1" applyProtection="1">
      <protection locked="0"/>
    </xf>
    <xf numFmtId="170" fontId="0" fillId="0" borderId="1" xfId="0" applyNumberFormat="1" applyBorder="1" applyProtection="1">
      <protection locked="0"/>
    </xf>
    <xf numFmtId="1" fontId="0" fillId="0" borderId="0" xfId="0" applyNumberFormat="1" applyAlignment="1">
      <alignment horizontal="left" vertical="center"/>
    </xf>
    <xf numFmtId="0" fontId="0" fillId="8" borderId="0" xfId="0" applyFill="1"/>
    <xf numFmtId="0" fontId="0" fillId="0" borderId="24" xfId="0" applyBorder="1" applyAlignment="1">
      <alignment horizontal="left" vertical="center"/>
    </xf>
    <xf numFmtId="0" fontId="0" fillId="0" borderId="0" xfId="0" applyAlignment="1">
      <alignment horizontal="center"/>
    </xf>
    <xf numFmtId="164" fontId="2" fillId="0" borderId="1" xfId="0" applyNumberFormat="1" applyFont="1" applyBorder="1"/>
    <xf numFmtId="49" fontId="7" fillId="5" borderId="1" xfId="0" quotePrefix="1" applyNumberFormat="1" applyFont="1" applyFill="1" applyBorder="1" applyProtection="1">
      <protection locked="0"/>
    </xf>
    <xf numFmtId="165" fontId="8" fillId="5" borderId="1" xfId="0" applyNumberFormat="1" applyFont="1" applyFill="1" applyBorder="1" applyAlignment="1" applyProtection="1">
      <alignment horizontal="right" vertical="center"/>
      <protection locked="0"/>
    </xf>
    <xf numFmtId="164" fontId="8" fillId="3" borderId="1" xfId="0" applyNumberFormat="1" applyFont="1" applyFill="1" applyBorder="1" applyAlignment="1" applyProtection="1">
      <alignment horizontal="right" vertical="center"/>
      <protection locked="0"/>
    </xf>
    <xf numFmtId="164" fontId="8" fillId="3" borderId="11" xfId="0" applyNumberFormat="1" applyFont="1" applyFill="1" applyBorder="1" applyAlignment="1" applyProtection="1">
      <alignment horizontal="right" vertical="center"/>
      <protection locked="0"/>
    </xf>
    <xf numFmtId="0" fontId="8" fillId="3" borderId="1" xfId="0" applyFont="1" applyFill="1" applyBorder="1" applyAlignment="1" applyProtection="1">
      <alignment horizontal="right" vertical="center"/>
      <protection locked="0"/>
    </xf>
    <xf numFmtId="0" fontId="8" fillId="3" borderId="8" xfId="0" applyFont="1" applyFill="1" applyBorder="1" applyAlignment="1" applyProtection="1">
      <alignment horizontal="right" vertical="center"/>
      <protection locked="0"/>
    </xf>
    <xf numFmtId="0" fontId="8" fillId="3" borderId="10" xfId="0" applyFont="1" applyFill="1" applyBorder="1" applyAlignment="1" applyProtection="1">
      <alignment horizontal="right" vertical="center"/>
      <protection locked="0"/>
    </xf>
    <xf numFmtId="0" fontId="8" fillId="3" borderId="5" xfId="0" applyFont="1" applyFill="1" applyBorder="1" applyAlignment="1" applyProtection="1">
      <alignment horizontal="right" vertical="center"/>
      <protection locked="0"/>
    </xf>
    <xf numFmtId="0" fontId="0" fillId="0" borderId="13" xfId="0" applyBorder="1" applyAlignment="1">
      <alignment horizontal="right" vertical="center"/>
    </xf>
    <xf numFmtId="0" fontId="0" fillId="0" borderId="19" xfId="0" applyBorder="1" applyAlignment="1">
      <alignment horizontal="right" vertical="center"/>
    </xf>
    <xf numFmtId="0" fontId="0" fillId="0" borderId="20" xfId="0" applyBorder="1" applyAlignment="1">
      <alignment horizontal="right" vertical="center"/>
    </xf>
    <xf numFmtId="0" fontId="0" fillId="0" borderId="15" xfId="0" applyBorder="1" applyAlignment="1">
      <alignment horizontal="right" vertical="center"/>
    </xf>
    <xf numFmtId="0" fontId="0" fillId="0" borderId="16" xfId="0" applyBorder="1" applyAlignment="1">
      <alignment horizontal="right" vertical="center"/>
    </xf>
    <xf numFmtId="0" fontId="0" fillId="0" borderId="25" xfId="0" applyBorder="1" applyAlignment="1">
      <alignment horizontal="left" vertical="center" wrapText="1"/>
    </xf>
    <xf numFmtId="0" fontId="0" fillId="0" borderId="1" xfId="0" applyBorder="1" applyAlignment="1">
      <alignment horizontal="left" vertical="center" wrapText="1"/>
    </xf>
    <xf numFmtId="165" fontId="0" fillId="0" borderId="0" xfId="0" applyNumberFormat="1" applyAlignment="1">
      <alignment vertical="center"/>
    </xf>
    <xf numFmtId="0" fontId="0" fillId="0" borderId="0" xfId="0"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21" xfId="0" applyBorder="1" applyAlignment="1">
      <alignment horizontal="left"/>
    </xf>
    <xf numFmtId="1" fontId="0" fillId="0" borderId="0" xfId="0" applyNumberFormat="1"/>
    <xf numFmtId="165" fontId="0" fillId="0" borderId="1" xfId="0" applyNumberFormat="1" applyBorder="1" applyAlignment="1">
      <alignment horizontal="left" vertical="center"/>
    </xf>
    <xf numFmtId="0" fontId="0" fillId="0" borderId="25" xfId="0" applyBorder="1" applyAlignment="1">
      <alignment horizontal="left" vertical="center"/>
    </xf>
    <xf numFmtId="1" fontId="0" fillId="0" borderId="0" xfId="0" applyNumberFormat="1" applyAlignment="1">
      <alignment horizontal="center"/>
    </xf>
    <xf numFmtId="0" fontId="0" fillId="0" borderId="0" xfId="0" quotePrefix="1"/>
    <xf numFmtId="0" fontId="0" fillId="0" borderId="0" xfId="0" applyAlignment="1">
      <alignment horizontal="center" wrapText="1"/>
    </xf>
    <xf numFmtId="0" fontId="2" fillId="0" borderId="0" xfId="0" applyFont="1" applyAlignment="1">
      <alignment vertical="top" wrapText="1"/>
    </xf>
    <xf numFmtId="0" fontId="0" fillId="0" borderId="0" xfId="0" applyAlignment="1">
      <alignment horizontal="left" vertical="top" wrapText="1"/>
    </xf>
    <xf numFmtId="0" fontId="4" fillId="0" borderId="0" xfId="0" applyFont="1" applyAlignment="1">
      <alignment horizontal="left" vertical="top" wrapText="1"/>
    </xf>
    <xf numFmtId="0" fontId="0" fillId="0" borderId="0" xfId="0" applyAlignment="1">
      <alignment vertical="top" wrapText="1"/>
    </xf>
    <xf numFmtId="0" fontId="2" fillId="0" borderId="0" xfId="0" applyFont="1" applyAlignment="1">
      <alignment vertical="top"/>
    </xf>
    <xf numFmtId="0" fontId="0" fillId="0" borderId="0" xfId="0" applyAlignment="1">
      <alignment horizontal="left" vertical="top"/>
    </xf>
    <xf numFmtId="14" fontId="0" fillId="0" borderId="0" xfId="0" applyNumberFormat="1" applyAlignment="1">
      <alignment horizontal="left" vertical="top"/>
    </xf>
    <xf numFmtId="0" fontId="0" fillId="0" borderId="0" xfId="0" applyAlignment="1">
      <alignment vertical="top"/>
    </xf>
    <xf numFmtId="0" fontId="3" fillId="0" borderId="0" xfId="0" applyFont="1" applyAlignment="1">
      <alignment horizontal="left" vertical="top" wrapText="1"/>
    </xf>
    <xf numFmtId="0" fontId="1" fillId="0" borderId="0" xfId="0" applyFont="1" applyAlignment="1">
      <alignment vertical="top" wrapText="1"/>
    </xf>
    <xf numFmtId="169" fontId="8" fillId="3" borderId="1" xfId="0" applyNumberFormat="1" applyFont="1" applyFill="1" applyBorder="1" applyAlignment="1" applyProtection="1">
      <alignment horizontal="right" vertical="center"/>
      <protection locked="0"/>
    </xf>
    <xf numFmtId="169" fontId="8" fillId="10" borderId="5" xfId="0" applyNumberFormat="1" applyFont="1" applyFill="1" applyBorder="1" applyAlignment="1" applyProtection="1">
      <alignment horizontal="right" vertical="center"/>
      <protection locked="0"/>
    </xf>
    <xf numFmtId="0" fontId="3" fillId="2" borderId="10" xfId="0" applyFont="1" applyFill="1" applyBorder="1" applyAlignment="1">
      <alignment horizontal="center"/>
    </xf>
    <xf numFmtId="0" fontId="17" fillId="2" borderId="9" xfId="0" applyFont="1" applyFill="1" applyBorder="1" applyAlignment="1">
      <alignment horizontal="center" vertical="center" wrapText="1"/>
    </xf>
    <xf numFmtId="0" fontId="1" fillId="2" borderId="8" xfId="0" applyFont="1" applyFill="1" applyBorder="1" applyAlignment="1">
      <alignment horizontal="center" vertical="center" wrapText="1"/>
    </xf>
    <xf numFmtId="14" fontId="0" fillId="0" borderId="0" xfId="0" applyNumberFormat="1" applyAlignment="1">
      <alignment vertical="top"/>
    </xf>
    <xf numFmtId="0" fontId="4" fillId="0" borderId="0" xfId="0" applyFont="1" applyAlignment="1">
      <alignment vertical="top" wrapText="1"/>
    </xf>
    <xf numFmtId="0" fontId="2" fillId="0" borderId="0" xfId="0" applyFont="1" applyAlignment="1">
      <alignment horizontal="center" wrapText="1"/>
    </xf>
    <xf numFmtId="0" fontId="4" fillId="4" borderId="4" xfId="0" applyFont="1" applyFill="1" applyBorder="1" applyAlignment="1" applyProtection="1">
      <alignment horizontal="center" vertical="center"/>
      <protection locked="0"/>
    </xf>
    <xf numFmtId="0" fontId="2" fillId="11" borderId="13" xfId="0" applyFont="1" applyFill="1" applyBorder="1" applyAlignment="1">
      <alignment horizontal="center" vertical="center" wrapText="1"/>
    </xf>
    <xf numFmtId="0" fontId="0" fillId="11" borderId="29" xfId="0" applyFill="1" applyBorder="1" applyAlignment="1">
      <alignment horizontal="center" vertical="center" wrapText="1"/>
    </xf>
    <xf numFmtId="0" fontId="0" fillId="11" borderId="0" xfId="0" applyFill="1" applyAlignment="1">
      <alignment horizontal="center" vertical="center" wrapText="1"/>
    </xf>
    <xf numFmtId="0" fontId="0" fillId="11" borderId="18" xfId="0" applyFill="1" applyBorder="1" applyAlignment="1">
      <alignment horizontal="left" vertical="center" wrapText="1"/>
    </xf>
    <xf numFmtId="0" fontId="5" fillId="11" borderId="7" xfId="0" applyFont="1" applyFill="1" applyBorder="1" applyAlignment="1">
      <alignment horizontal="center" vertical="center" wrapText="1"/>
    </xf>
    <xf numFmtId="0" fontId="2" fillId="0" borderId="1" xfId="0" applyFont="1" applyBorder="1" applyAlignment="1">
      <alignment horizontal="left" vertical="center" wrapText="1"/>
    </xf>
    <xf numFmtId="0" fontId="43" fillId="0" borderId="0" xfId="0" applyFont="1" applyAlignment="1">
      <alignment vertical="top" wrapText="1"/>
    </xf>
    <xf numFmtId="164" fontId="4" fillId="2" borderId="1" xfId="0" applyNumberFormat="1" applyFont="1" applyFill="1" applyBorder="1" applyAlignment="1">
      <alignment vertical="center" wrapText="1"/>
    </xf>
    <xf numFmtId="164" fontId="12" fillId="2" borderId="1" xfId="0" applyNumberFormat="1" applyFont="1" applyFill="1" applyBorder="1" applyAlignment="1">
      <alignment vertical="center" wrapText="1"/>
    </xf>
    <xf numFmtId="164" fontId="0" fillId="2" borderId="1" xfId="0" applyNumberFormat="1" applyFill="1" applyBorder="1" applyAlignment="1">
      <alignment vertical="center" wrapText="1"/>
    </xf>
    <xf numFmtId="164" fontId="4" fillId="2" borderId="1" xfId="0" applyNumberFormat="1" applyFont="1" applyFill="1" applyBorder="1" applyAlignment="1">
      <alignment vertical="center"/>
    </xf>
    <xf numFmtId="164" fontId="12" fillId="2" borderId="1" xfId="0" applyNumberFormat="1" applyFont="1" applyFill="1" applyBorder="1" applyAlignment="1">
      <alignment vertical="center"/>
    </xf>
    <xf numFmtId="164" fontId="0" fillId="2" borderId="1" xfId="0" applyNumberFormat="1" applyFill="1" applyBorder="1" applyAlignment="1">
      <alignment vertical="center"/>
    </xf>
    <xf numFmtId="0" fontId="42" fillId="0" borderId="0" xfId="0" applyFont="1" applyAlignment="1">
      <alignment horizontal="left" vertical="center"/>
    </xf>
    <xf numFmtId="0" fontId="9" fillId="0" borderId="0" xfId="0" applyFont="1"/>
    <xf numFmtId="2" fontId="8" fillId="0" borderId="0" xfId="0" applyNumberFormat="1" applyFont="1" applyAlignment="1">
      <alignment horizontal="right" vertical="center"/>
    </xf>
    <xf numFmtId="2" fontId="0" fillId="0" borderId="0" xfId="0" applyNumberFormat="1"/>
    <xf numFmtId="2" fontId="0" fillId="0" borderId="1" xfId="0" applyNumberFormat="1" applyBorder="1"/>
    <xf numFmtId="2" fontId="2" fillId="0" borderId="1" xfId="0" applyNumberFormat="1" applyFont="1" applyBorder="1"/>
    <xf numFmtId="2" fontId="7" fillId="0" borderId="1" xfId="0" applyNumberFormat="1" applyFont="1" applyBorder="1" applyAlignment="1">
      <alignment horizontal="right" vertical="center"/>
    </xf>
    <xf numFmtId="2" fontId="0" fillId="0" borderId="0" xfId="0" applyNumberFormat="1" applyAlignment="1">
      <alignment horizontal="right" vertical="center"/>
    </xf>
    <xf numFmtId="0" fontId="5" fillId="12" borderId="1" xfId="0" applyFont="1" applyFill="1" applyBorder="1" applyAlignment="1" applyProtection="1">
      <alignment horizontal="left" vertical="center"/>
      <protection locked="0"/>
    </xf>
    <xf numFmtId="0" fontId="31" fillId="0" borderId="0" xfId="0" applyFont="1" applyAlignment="1">
      <alignment horizontal="center" vertical="center"/>
    </xf>
    <xf numFmtId="0" fontId="44" fillId="2" borderId="0" xfId="0" applyFont="1" applyFill="1" applyAlignment="1">
      <alignment vertical="center"/>
    </xf>
    <xf numFmtId="0" fontId="46" fillId="4" borderId="32" xfId="0" applyFont="1" applyFill="1" applyBorder="1" applyAlignment="1" applyProtection="1">
      <alignment horizontal="left" vertical="top" wrapText="1"/>
      <protection locked="0"/>
    </xf>
    <xf numFmtId="164" fontId="5" fillId="0" borderId="0" xfId="0" quotePrefix="1" applyNumberFormat="1" applyFont="1" applyAlignment="1">
      <alignment vertical="center"/>
    </xf>
    <xf numFmtId="164" fontId="5" fillId="0" borderId="18" xfId="0" quotePrefix="1" applyNumberFormat="1" applyFont="1" applyBorder="1" applyAlignment="1">
      <alignment vertical="center"/>
    </xf>
    <xf numFmtId="0" fontId="0" fillId="10" borderId="0" xfId="0" applyFill="1"/>
    <xf numFmtId="0" fontId="0" fillId="0" borderId="43" xfId="0" applyBorder="1" applyAlignment="1">
      <alignment horizontal="left" vertical="center"/>
    </xf>
    <xf numFmtId="0" fontId="0" fillId="0" borderId="44" xfId="0" applyBorder="1" applyAlignment="1">
      <alignment horizontal="left" vertical="center"/>
    </xf>
    <xf numFmtId="2" fontId="0" fillId="4" borderId="44" xfId="0" applyNumberFormat="1" applyFill="1" applyBorder="1" applyAlignment="1">
      <alignment horizontal="center" vertical="center"/>
    </xf>
    <xf numFmtId="49" fontId="0" fillId="0" borderId="44" xfId="0" applyNumberFormat="1" applyBorder="1" applyAlignment="1" applyProtection="1">
      <alignment horizontal="center" vertical="center" wrapText="1"/>
      <protection locked="0"/>
    </xf>
    <xf numFmtId="0" fontId="0" fillId="3" borderId="44" xfId="0" applyFill="1" applyBorder="1" applyAlignment="1" applyProtection="1">
      <alignment horizontal="left" vertical="center" wrapText="1"/>
      <protection locked="0"/>
    </xf>
    <xf numFmtId="49" fontId="0" fillId="0" borderId="44" xfId="0" applyNumberFormat="1" applyBorder="1" applyAlignment="1" applyProtection="1">
      <alignment horizontal="left" vertical="center" wrapText="1"/>
      <protection locked="0"/>
    </xf>
    <xf numFmtId="0" fontId="0" fillId="10" borderId="0" xfId="0" quotePrefix="1" applyFill="1" applyAlignment="1">
      <alignment wrapText="1"/>
    </xf>
    <xf numFmtId="0" fontId="0" fillId="13" borderId="0" xfId="0" applyFill="1"/>
    <xf numFmtId="0" fontId="0" fillId="13" borderId="0" xfId="0" applyFill="1" applyAlignment="1">
      <alignment horizontal="center" vertical="center"/>
    </xf>
    <xf numFmtId="49" fontId="0" fillId="13" borderId="0" xfId="0" applyNumberFormat="1" applyFill="1"/>
    <xf numFmtId="0" fontId="2" fillId="0" borderId="25" xfId="0" applyFont="1" applyBorder="1" applyAlignment="1">
      <alignment horizontal="left" vertical="center" wrapText="1"/>
    </xf>
    <xf numFmtId="0" fontId="0" fillId="0" borderId="1"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6" xfId="0" quotePrefix="1" applyBorder="1" applyAlignment="1">
      <alignment horizontal="left" vertical="center" wrapText="1"/>
    </xf>
    <xf numFmtId="14" fontId="40" fillId="0" borderId="0" xfId="0" applyNumberFormat="1" applyFont="1"/>
    <xf numFmtId="0" fontId="40" fillId="0" borderId="0" xfId="0" applyFont="1" applyAlignment="1">
      <alignment wrapText="1"/>
    </xf>
    <xf numFmtId="0" fontId="45" fillId="0" borderId="0" xfId="0" applyFont="1" applyAlignment="1" applyProtection="1">
      <alignment horizontal="left" vertical="center" wrapText="1"/>
      <protection locked="0"/>
    </xf>
    <xf numFmtId="0" fontId="44" fillId="2" borderId="0" xfId="0" applyFont="1" applyFill="1" applyAlignment="1">
      <alignment vertical="center" wrapText="1"/>
    </xf>
    <xf numFmtId="2" fontId="5" fillId="12" borderId="1" xfId="0" applyNumberFormat="1" applyFont="1" applyFill="1" applyBorder="1" applyAlignment="1" applyProtection="1">
      <alignment horizontal="center" vertical="center" wrapText="1"/>
      <protection locked="0"/>
    </xf>
    <xf numFmtId="2" fontId="1" fillId="0" borderId="0" xfId="0" applyNumberFormat="1" applyFont="1"/>
    <xf numFmtId="2" fontId="1" fillId="0" borderId="0" xfId="0" applyNumberFormat="1" applyFont="1" applyAlignment="1">
      <alignment vertical="center"/>
    </xf>
    <xf numFmtId="2" fontId="3" fillId="0" borderId="0" xfId="0" applyNumberFormat="1" applyFont="1"/>
    <xf numFmtId="2" fontId="30" fillId="0" borderId="0" xfId="0" applyNumberFormat="1" applyFont="1"/>
    <xf numFmtId="171" fontId="4" fillId="2" borderId="1" xfId="0" applyNumberFormat="1" applyFont="1" applyFill="1" applyBorder="1" applyAlignment="1" applyProtection="1">
      <alignment horizontal="center" vertical="center"/>
      <protection locked="0"/>
    </xf>
    <xf numFmtId="172" fontId="0" fillId="0" borderId="0" xfId="0" applyNumberFormat="1"/>
    <xf numFmtId="0" fontId="4" fillId="0" borderId="0" xfId="0" quotePrefix="1" applyFont="1"/>
    <xf numFmtId="0" fontId="0" fillId="0" borderId="47" xfId="0" quotePrefix="1" applyBorder="1" applyAlignment="1">
      <alignment horizontal="left" vertical="center" wrapText="1"/>
    </xf>
    <xf numFmtId="0" fontId="21" fillId="14" borderId="1" xfId="0" applyFont="1" applyFill="1" applyBorder="1" applyAlignment="1">
      <alignment horizontal="center" vertical="center" wrapText="1"/>
    </xf>
    <xf numFmtId="0" fontId="21" fillId="14" borderId="24" xfId="0" applyFont="1" applyFill="1" applyBorder="1" applyAlignment="1">
      <alignment horizontal="center" vertical="center" wrapText="1"/>
    </xf>
    <xf numFmtId="0" fontId="26" fillId="14" borderId="1" xfId="0" applyFont="1" applyFill="1" applyBorder="1" applyAlignment="1">
      <alignment horizontal="center" vertical="center" wrapText="1"/>
    </xf>
    <xf numFmtId="0" fontId="21" fillId="14" borderId="8" xfId="0" applyFont="1" applyFill="1" applyBorder="1" applyAlignment="1">
      <alignment horizontal="center" vertical="center" wrapText="1"/>
    </xf>
    <xf numFmtId="0" fontId="21" fillId="14" borderId="40" xfId="0" applyFont="1" applyFill="1" applyBorder="1" applyAlignment="1">
      <alignment horizontal="center" vertical="center" wrapText="1"/>
    </xf>
    <xf numFmtId="0" fontId="23" fillId="14" borderId="0" xfId="0" applyFont="1" applyFill="1" applyAlignment="1">
      <alignment horizontal="center" vertical="center" wrapText="1"/>
    </xf>
    <xf numFmtId="0" fontId="23" fillId="14" borderId="0" xfId="0" applyFont="1" applyFill="1" applyAlignment="1">
      <alignment wrapText="1"/>
    </xf>
    <xf numFmtId="0" fontId="23" fillId="14" borderId="0" xfId="0" applyFont="1" applyFill="1"/>
    <xf numFmtId="0" fontId="31" fillId="14" borderId="0" xfId="0" applyFont="1" applyFill="1" applyAlignment="1">
      <alignment horizontal="center" vertical="center"/>
    </xf>
    <xf numFmtId="0" fontId="5" fillId="0" borderId="13" xfId="0" applyFont="1" applyBorder="1" applyAlignment="1">
      <alignment horizontal="right" vertical="center"/>
    </xf>
    <xf numFmtId="0" fontId="10" fillId="0" borderId="0" xfId="0" applyFont="1" applyAlignment="1">
      <alignment horizontal="center" vertical="center"/>
    </xf>
    <xf numFmtId="0" fontId="11" fillId="0" borderId="0" xfId="0" applyFont="1" applyAlignment="1">
      <alignment horizontal="center" vertical="center"/>
    </xf>
    <xf numFmtId="0" fontId="47" fillId="0" borderId="2" xfId="0" applyFont="1" applyBorder="1" applyAlignment="1">
      <alignment horizontal="left" vertical="center"/>
    </xf>
    <xf numFmtId="0" fontId="47" fillId="0" borderId="3" xfId="0" applyFont="1" applyBorder="1" applyAlignment="1">
      <alignment horizontal="left" vertical="center"/>
    </xf>
    <xf numFmtId="0" fontId="47" fillId="0" borderId="4" xfId="0" applyFont="1" applyBorder="1" applyAlignment="1">
      <alignment horizontal="left" vertical="center"/>
    </xf>
    <xf numFmtId="0" fontId="0" fillId="0" borderId="13" xfId="0" applyBorder="1" applyAlignment="1">
      <alignment horizontal="right"/>
    </xf>
    <xf numFmtId="0" fontId="0" fillId="0" borderId="0" xfId="0" applyAlignment="1">
      <alignment horizontal="right"/>
    </xf>
    <xf numFmtId="0" fontId="0" fillId="0" borderId="0" xfId="0" quotePrefix="1" applyAlignment="1">
      <alignment horizontal="left" vertical="center" wrapText="1"/>
    </xf>
    <xf numFmtId="0" fontId="0" fillId="0" borderId="18" xfId="0" quotePrefix="1" applyBorder="1" applyAlignment="1">
      <alignment horizontal="left" vertical="center" wrapText="1"/>
    </xf>
    <xf numFmtId="0" fontId="0" fillId="3" borderId="33" xfId="0" applyFill="1" applyBorder="1" applyAlignment="1" applyProtection="1">
      <alignment horizontal="left" vertical="center" wrapText="1"/>
      <protection locked="0"/>
    </xf>
    <xf numFmtId="0" fontId="0" fillId="3" borderId="23" xfId="0" applyFill="1" applyBorder="1" applyAlignment="1" applyProtection="1">
      <alignment horizontal="left" vertical="center" wrapText="1"/>
      <protection locked="0"/>
    </xf>
    <xf numFmtId="14" fontId="0" fillId="3" borderId="1" xfId="0" applyNumberFormat="1" applyFill="1" applyBorder="1" applyAlignment="1" applyProtection="1">
      <alignment horizontal="left" vertical="center" wrapText="1"/>
      <protection locked="0"/>
    </xf>
    <xf numFmtId="0" fontId="0" fillId="3" borderId="1" xfId="0" applyFill="1"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xf>
    <xf numFmtId="0" fontId="0" fillId="0" borderId="19" xfId="0" applyBorder="1" applyAlignment="1">
      <alignment horizontal="right" vertical="center"/>
    </xf>
    <xf numFmtId="0" fontId="0" fillId="0" borderId="20" xfId="0" applyBorder="1" applyAlignment="1">
      <alignment horizontal="right" vertical="center"/>
    </xf>
    <xf numFmtId="0" fontId="25" fillId="14" borderId="0" xfId="0" applyFont="1" applyFill="1" applyAlignment="1">
      <alignment horizontal="center" vertical="center" wrapText="1"/>
    </xf>
    <xf numFmtId="0" fontId="25" fillId="14" borderId="0" xfId="0" applyFont="1" applyFill="1" applyAlignment="1">
      <alignment horizontal="center" vertical="center"/>
    </xf>
    <xf numFmtId="0" fontId="0" fillId="0" borderId="15" xfId="0" applyBorder="1" applyAlignment="1">
      <alignment horizontal="right" vertical="center" wrapText="1"/>
    </xf>
    <xf numFmtId="0" fontId="0" fillId="0" borderId="16" xfId="0" applyBorder="1" applyAlignment="1">
      <alignment horizontal="right" vertical="center" wrapText="1"/>
    </xf>
    <xf numFmtId="0" fontId="0" fillId="0" borderId="13" xfId="0" applyBorder="1" applyAlignment="1">
      <alignment horizontal="right" vertical="center"/>
    </xf>
    <xf numFmtId="0" fontId="0" fillId="0" borderId="0" xfId="0" applyAlignment="1">
      <alignment horizontal="right" vertical="center"/>
    </xf>
    <xf numFmtId="0" fontId="0" fillId="0" borderId="20" xfId="0" applyBorder="1" applyAlignment="1">
      <alignment horizontal="left"/>
    </xf>
    <xf numFmtId="0" fontId="0" fillId="0" borderId="15" xfId="0" applyBorder="1" applyAlignment="1">
      <alignment horizontal="right" vertical="center"/>
    </xf>
    <xf numFmtId="0" fontId="0" fillId="0" borderId="16" xfId="0" applyBorder="1" applyAlignment="1">
      <alignment horizontal="right" vertical="center"/>
    </xf>
    <xf numFmtId="0" fontId="0" fillId="0" borderId="0" xfId="0" applyAlignment="1">
      <alignment horizontal="left"/>
    </xf>
    <xf numFmtId="0" fontId="0" fillId="0" borderId="18" xfId="0" applyBorder="1" applyAlignment="1">
      <alignment horizontal="left"/>
    </xf>
    <xf numFmtId="0" fontId="0" fillId="0" borderId="20" xfId="0" applyBorder="1" applyAlignment="1">
      <alignment horizontal="left" vertical="center"/>
    </xf>
    <xf numFmtId="0" fontId="0" fillId="0" borderId="21" xfId="0" applyBorder="1" applyAlignment="1">
      <alignment horizontal="left" vertical="center"/>
    </xf>
    <xf numFmtId="0" fontId="0" fillId="3" borderId="34"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0" borderId="16" xfId="0" quotePrefix="1"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right"/>
    </xf>
    <xf numFmtId="0" fontId="0" fillId="0" borderId="20" xfId="0" applyBorder="1" applyAlignment="1">
      <alignment horizontal="right"/>
    </xf>
    <xf numFmtId="0" fontId="0" fillId="0" borderId="15" xfId="0" applyBorder="1" applyAlignment="1">
      <alignment horizontal="right"/>
    </xf>
    <xf numFmtId="0" fontId="0" fillId="0" borderId="16" xfId="0" applyBorder="1" applyAlignment="1">
      <alignment horizontal="right"/>
    </xf>
    <xf numFmtId="0" fontId="36" fillId="14" borderId="0" xfId="0" applyFont="1" applyFill="1" applyAlignment="1">
      <alignment horizontal="center" vertical="center" wrapText="1"/>
    </xf>
    <xf numFmtId="0" fontId="4" fillId="0" borderId="15" xfId="0" applyFont="1" applyBorder="1" applyAlignment="1">
      <alignment horizontal="right"/>
    </xf>
    <xf numFmtId="0" fontId="4" fillId="0" borderId="16" xfId="0" applyFont="1" applyBorder="1" applyAlignment="1">
      <alignment horizontal="right"/>
    </xf>
    <xf numFmtId="0" fontId="0" fillId="0" borderId="19" xfId="0" applyBorder="1" applyAlignment="1">
      <alignment horizontal="right" vertical="center" wrapText="1"/>
    </xf>
    <xf numFmtId="0" fontId="0" fillId="0" borderId="20" xfId="0" applyBorder="1" applyAlignment="1">
      <alignment horizontal="right" vertical="center" wrapText="1"/>
    </xf>
    <xf numFmtId="0" fontId="5" fillId="0" borderId="15" xfId="0" applyFont="1" applyBorder="1" applyAlignment="1">
      <alignment horizontal="right" vertical="center" wrapText="1"/>
    </xf>
    <xf numFmtId="0" fontId="5" fillId="0" borderId="16" xfId="0" applyFont="1" applyBorder="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right" vertical="center" wrapText="1"/>
    </xf>
    <xf numFmtId="0" fontId="33" fillId="0" borderId="0" xfId="0" applyFont="1" applyAlignment="1">
      <alignment horizontal="center" vertical="center" wrapText="1"/>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28" fillId="14" borderId="0" xfId="0" applyFont="1" applyFill="1" applyAlignment="1">
      <alignment horizontal="center" vertical="center"/>
    </xf>
    <xf numFmtId="0" fontId="17" fillId="2" borderId="0" xfId="0" applyFont="1" applyFill="1" applyAlignment="1">
      <alignment horizontal="center" vertical="center" wrapText="1"/>
    </xf>
    <xf numFmtId="0" fontId="17"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 fillId="0" borderId="0" xfId="0" applyFont="1" applyAlignment="1">
      <alignment horizontal="left" vertical="center" wrapText="1"/>
    </xf>
    <xf numFmtId="0" fontId="0" fillId="2" borderId="14" xfId="0" applyFill="1" applyBorder="1" applyAlignment="1">
      <alignment horizontal="center" vertical="center"/>
    </xf>
    <xf numFmtId="0" fontId="0" fillId="2" borderId="12" xfId="0" applyFill="1" applyBorder="1" applyAlignment="1">
      <alignment horizontal="center" vertical="center"/>
    </xf>
    <xf numFmtId="0" fontId="0" fillId="2" borderId="14" xfId="0" applyFill="1" applyBorder="1" applyAlignment="1">
      <alignment horizontal="center"/>
    </xf>
    <xf numFmtId="0" fontId="0" fillId="2" borderId="12" xfId="0" applyFill="1" applyBorder="1" applyAlignment="1">
      <alignment horizontal="center"/>
    </xf>
    <xf numFmtId="0" fontId="3" fillId="2" borderId="39" xfId="0" applyFont="1" applyFill="1" applyBorder="1" applyAlignment="1">
      <alignment horizontal="center"/>
    </xf>
    <xf numFmtId="0" fontId="3" fillId="2" borderId="10" xfId="0" applyFont="1" applyFill="1" applyBorder="1" applyAlignment="1">
      <alignment horizontal="center"/>
    </xf>
    <xf numFmtId="0" fontId="17" fillId="2" borderId="37"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7" fillId="2" borderId="36" xfId="0" applyFont="1" applyFill="1" applyBorder="1" applyAlignment="1">
      <alignment horizontal="left" vertical="center" wrapText="1"/>
    </xf>
    <xf numFmtId="0" fontId="17" fillId="2" borderId="41"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2" borderId="35"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17" fillId="2" borderId="38" xfId="0" applyFont="1" applyFill="1" applyBorder="1" applyAlignment="1">
      <alignment horizontal="center" vertical="center" wrapText="1"/>
    </xf>
    <xf numFmtId="0" fontId="24" fillId="14" borderId="0" xfId="0" applyFont="1" applyFill="1" applyAlignment="1">
      <alignment horizontal="center" vertical="center"/>
    </xf>
    <xf numFmtId="0" fontId="29" fillId="2" borderId="0" xfId="0" applyFont="1" applyFill="1" applyAlignment="1">
      <alignment horizontal="center" vertical="center" wrapText="1"/>
    </xf>
    <xf numFmtId="0" fontId="19" fillId="14" borderId="0" xfId="0" applyFont="1" applyFill="1" applyAlignment="1">
      <alignment horizontal="center" vertical="center"/>
    </xf>
    <xf numFmtId="0" fontId="23" fillId="14" borderId="0" xfId="0" applyFont="1" applyFill="1" applyAlignment="1">
      <alignment horizontal="center"/>
    </xf>
    <xf numFmtId="0" fontId="23" fillId="14" borderId="0" xfId="0" applyFont="1" applyFill="1" applyAlignment="1">
      <alignment horizontal="center" vertical="center"/>
    </xf>
    <xf numFmtId="0" fontId="23" fillId="14" borderId="0" xfId="0" quotePrefix="1" applyFont="1" applyFill="1" applyAlignment="1">
      <alignment horizontal="center" vertical="center"/>
    </xf>
    <xf numFmtId="0" fontId="23" fillId="14" borderId="15" xfId="0" applyFont="1" applyFill="1" applyBorder="1" applyAlignment="1">
      <alignment horizontal="center" vertical="center"/>
    </xf>
    <xf numFmtId="0" fontId="23" fillId="14" borderId="17" xfId="0" applyFont="1" applyFill="1" applyBorder="1" applyAlignment="1">
      <alignment horizontal="center" vertical="center"/>
    </xf>
    <xf numFmtId="0" fontId="0" fillId="0" borderId="18" xfId="0" applyBorder="1" applyAlignment="1">
      <alignment horizontal="center" vertical="center"/>
    </xf>
    <xf numFmtId="0" fontId="23" fillId="14" borderId="15" xfId="0" applyFont="1" applyFill="1" applyBorder="1" applyAlignment="1">
      <alignment horizontal="center" vertical="center" wrapText="1"/>
    </xf>
    <xf numFmtId="0" fontId="23" fillId="14" borderId="16" xfId="0" applyFont="1" applyFill="1" applyBorder="1" applyAlignment="1">
      <alignment horizontal="center" vertical="center" wrapText="1"/>
    </xf>
    <xf numFmtId="0" fontId="23" fillId="14" borderId="17" xfId="0" applyFont="1" applyFill="1" applyBorder="1" applyAlignment="1">
      <alignment horizontal="center" vertical="center" wrapText="1"/>
    </xf>
    <xf numFmtId="0" fontId="23" fillId="14" borderId="16" xfId="0" applyFont="1" applyFill="1"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31" xfId="0" applyBorder="1" applyAlignment="1">
      <alignment horizontal="left" vertical="center" wrapText="1"/>
    </xf>
    <xf numFmtId="0" fontId="0" fillId="0" borderId="31" xfId="0" applyBorder="1" applyAlignment="1">
      <alignment horizontal="center" vertical="center" wrapText="1"/>
    </xf>
    <xf numFmtId="0" fontId="0" fillId="0" borderId="18" xfId="0" applyBorder="1" applyAlignment="1">
      <alignment horizontal="center" vertical="center" wrapText="1"/>
    </xf>
    <xf numFmtId="0" fontId="0" fillId="0" borderId="29"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wrapText="1"/>
    </xf>
    <xf numFmtId="0" fontId="2" fillId="0" borderId="0" xfId="0" applyFont="1" applyAlignment="1">
      <alignment horizontal="center" wrapText="1"/>
    </xf>
    <xf numFmtId="0" fontId="2" fillId="0" borderId="0" xfId="0" applyFont="1" applyAlignment="1">
      <alignment horizontal="center"/>
    </xf>
    <xf numFmtId="0" fontId="0" fillId="0" borderId="0" xfId="0" applyAlignment="1">
      <alignment horizontal="center"/>
    </xf>
    <xf numFmtId="49" fontId="0" fillId="0" borderId="0" xfId="0" applyNumberFormat="1" applyAlignment="1">
      <alignment horizontal="center" vertical="center" wrapText="1"/>
    </xf>
  </cellXfs>
  <cellStyles count="1">
    <cellStyle name="Normal" xfId="0" builtinId="0"/>
  </cellStyles>
  <dxfs count="157">
    <dxf>
      <font>
        <b/>
        <i val="0"/>
        <color theme="0"/>
      </font>
      <fill>
        <patternFill>
          <bgColor rgb="FFFF0000"/>
        </patternFill>
      </fill>
    </dxf>
    <dxf>
      <font>
        <b val="0"/>
        <i val="0"/>
        <color rgb="FFFF0000"/>
      </font>
      <fill>
        <patternFill patternType="none">
          <bgColor auto="1"/>
        </patternFill>
      </fill>
    </dxf>
    <dxf>
      <font>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dxf>
    <dxf>
      <font>
        <b val="0"/>
        <i val="0"/>
        <color rgb="FFFF0000"/>
      </font>
      <fill>
        <patternFill patternType="none">
          <bgColor auto="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dxf>
    <dxf>
      <font>
        <b/>
        <i val="0"/>
        <color theme="0"/>
      </font>
      <fill>
        <patternFill patternType="solid">
          <bgColor rgb="FFFF0000"/>
        </patternFill>
      </fill>
    </dxf>
    <dxf>
      <font>
        <b val="0"/>
        <i val="0"/>
        <color rgb="FFFF0000"/>
      </font>
      <fill>
        <patternFill patternType="none">
          <bgColor auto="1"/>
        </patternFill>
      </fill>
    </dxf>
    <dxf>
      <font>
        <b/>
        <i val="0"/>
        <color theme="0"/>
      </font>
      <fill>
        <patternFill>
          <bgColor rgb="FFFF0000"/>
        </patternFill>
      </fill>
    </dxf>
    <dxf>
      <font>
        <color rgb="FFFF0000"/>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rgb="FFFFFFCC"/>
        </patternFill>
      </fill>
    </dxf>
    <dxf>
      <fill>
        <patternFill>
          <bgColor theme="8" tint="0.79998168889431442"/>
        </patternFill>
      </fill>
    </dxf>
    <dxf>
      <fill>
        <patternFill>
          <bgColor theme="8" tint="0.79998168889431442"/>
        </patternFill>
      </fill>
    </dxf>
    <dxf>
      <font>
        <color rgb="FFFF0000"/>
      </font>
    </dxf>
    <dxf>
      <font>
        <b/>
        <i val="0"/>
        <color theme="0"/>
      </font>
      <fill>
        <patternFill>
          <bgColor rgb="FFFF0000"/>
        </patternFill>
      </fill>
    </dxf>
    <dxf>
      <font>
        <color rgb="FFFF0000"/>
      </font>
    </dxf>
    <dxf>
      <font>
        <color rgb="FFFF0000"/>
      </font>
    </dxf>
    <dxf>
      <font>
        <color rgb="FFFF0000"/>
      </font>
    </dxf>
    <dxf>
      <font>
        <b/>
        <i val="0"/>
        <color theme="0"/>
      </font>
      <fill>
        <patternFill patternType="solid">
          <bgColor rgb="FFFF0000"/>
        </patternFill>
      </fill>
    </dxf>
    <dxf>
      <font>
        <b/>
        <i val="0"/>
        <color theme="0"/>
      </font>
      <fill>
        <patternFill patternType="solid">
          <bgColor rgb="FFFF0000"/>
        </patternFill>
      </fill>
    </dxf>
    <dxf>
      <font>
        <b val="0"/>
        <i val="0"/>
        <color rgb="FFFF0000"/>
      </font>
      <fill>
        <patternFill patternType="none">
          <bgColor auto="1"/>
        </patternFill>
      </fill>
    </dxf>
    <dxf>
      <font>
        <b val="0"/>
        <i val="0"/>
        <color rgb="FFFF0000"/>
      </font>
      <fill>
        <patternFill patternType="none">
          <bgColor auto="1"/>
        </patternFill>
      </fill>
    </dxf>
    <dxf>
      <font>
        <b val="0"/>
        <i val="0"/>
        <color rgb="FFFF0000"/>
      </font>
      <fill>
        <patternFill patternType="none">
          <bgColor auto="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fill>
        <patternFill patternType="none">
          <bgColor auto="1"/>
        </patternFill>
      </fill>
    </dxf>
    <dxf>
      <font>
        <b val="0"/>
        <i val="0"/>
        <color rgb="FFFF0000"/>
      </font>
      <fill>
        <patternFill patternType="solid">
          <bgColor rgb="FFFFFF00"/>
        </patternFill>
      </fill>
    </dxf>
    <dxf>
      <font>
        <b/>
        <i val="0"/>
        <color theme="0"/>
      </font>
      <fill>
        <patternFill patternType="solid">
          <bgColor rgb="FFFF0000"/>
        </patternFill>
      </fill>
    </dxf>
    <dxf>
      <font>
        <color rgb="FFFF0000"/>
      </font>
      <fill>
        <patternFill patternType="none">
          <bgColor auto="1"/>
        </patternFill>
      </fill>
    </dxf>
    <dxf>
      <font>
        <b/>
        <i val="0"/>
        <color theme="0"/>
      </font>
      <fill>
        <patternFill patternType="solid">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fill>
        <patternFill patternType="none">
          <bgColor auto="1"/>
        </patternFill>
      </fill>
    </dxf>
    <dxf>
      <font>
        <b/>
        <i val="0"/>
        <color theme="0"/>
      </font>
      <fill>
        <patternFill>
          <bgColor rgb="FFFF0000"/>
        </patternFill>
      </fill>
    </dxf>
    <dxf>
      <font>
        <color rgb="FFFF0000"/>
      </font>
    </dxf>
    <dxf>
      <font>
        <color rgb="FFFF0000"/>
      </font>
    </dxf>
    <dxf>
      <font>
        <b val="0"/>
        <i val="0"/>
        <color rgb="FFFF0000"/>
      </font>
      <fill>
        <patternFill patternType="none">
          <bgColor auto="1"/>
        </patternFill>
      </fill>
    </dxf>
    <dxf>
      <font>
        <b/>
        <i val="0"/>
        <color theme="0"/>
      </font>
      <fill>
        <patternFill>
          <bgColor rgb="FFFF0000"/>
        </patternFill>
      </fill>
    </dxf>
    <dxf>
      <font>
        <color rgb="FFFF0000"/>
      </font>
    </dxf>
    <dxf>
      <font>
        <color rgb="FFFF0000"/>
      </font>
    </dxf>
    <dxf>
      <font>
        <b/>
        <i val="0"/>
        <color theme="0"/>
      </font>
      <fill>
        <patternFill patternType="solid">
          <bgColor rgb="FFFF0000"/>
        </patternFill>
      </fill>
    </dxf>
    <dxf>
      <font>
        <b/>
        <i val="0"/>
        <color theme="0"/>
      </font>
      <fill>
        <patternFill>
          <bgColor rgb="FFFF0000"/>
        </patternFill>
      </fill>
    </dxf>
    <dxf>
      <font>
        <b/>
        <i val="0"/>
        <color theme="0"/>
      </font>
      <fill>
        <patternFill patternType="solid">
          <bgColor rgb="FFFF0000"/>
        </patternFill>
      </fill>
    </dxf>
    <dxf>
      <font>
        <color rgb="FFFF0000"/>
      </font>
    </dxf>
    <dxf>
      <font>
        <b/>
        <i val="0"/>
        <color theme="0"/>
      </font>
      <fill>
        <patternFill>
          <bgColor rgb="FFFF0000"/>
        </patternFill>
      </fill>
    </dxf>
    <dxf>
      <font>
        <b/>
        <i val="0"/>
        <color theme="0"/>
      </font>
      <fill>
        <patternFill patternType="solid">
          <bgColor rgb="FFFF0000"/>
        </patternFill>
      </fill>
    </dxf>
    <dxf>
      <font>
        <b/>
        <i val="0"/>
        <color theme="0"/>
      </font>
      <fill>
        <patternFill>
          <bgColor rgb="FFFF0000"/>
        </patternFill>
      </fill>
    </dxf>
    <dxf>
      <font>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patternType="solid">
          <bgColor rgb="FFFF0000"/>
        </patternFill>
      </fill>
    </dxf>
    <dxf>
      <font>
        <b/>
        <i val="0"/>
        <color theme="0"/>
      </font>
      <fill>
        <patternFill>
          <bgColor rgb="FFFF0000"/>
        </patternFill>
      </fill>
    </dxf>
  </dxfs>
  <tableStyles count="0" defaultTableStyle="TableStyleMedium2" defaultPivotStyle="PivotStyleLight16"/>
  <colors>
    <mruColors>
      <color rgb="FFFFFFCC"/>
      <color rgb="FF016574"/>
      <color rgb="FFFF7C80"/>
      <color rgb="FFFCFCC5"/>
      <color rgb="FFFCF7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5E84-4D6A-4577-B1DE-3749A63C92DA}">
  <dimension ref="A1:P72"/>
  <sheetViews>
    <sheetView tabSelected="1" zoomScaleNormal="100" workbookViewId="0">
      <selection activeCell="B8" sqref="B8"/>
    </sheetView>
  </sheetViews>
  <sheetFormatPr defaultRowHeight="14.5" x14ac:dyDescent="0.35"/>
  <cols>
    <col min="1" max="1" width="1.7265625" customWidth="1"/>
    <col min="2" max="2" width="29.54296875" customWidth="1"/>
    <col min="3" max="3" width="28.81640625" customWidth="1"/>
    <col min="4" max="4" width="1.26953125" customWidth="1"/>
    <col min="5" max="7" width="21.7265625" customWidth="1"/>
    <col min="8" max="8" width="2" customWidth="1"/>
    <col min="9" max="9" width="36.1796875" style="313" customWidth="1"/>
    <col min="10" max="11" width="20.453125" customWidth="1"/>
  </cols>
  <sheetData>
    <row r="1" spans="1:16" ht="42" customHeight="1" x14ac:dyDescent="0.35">
      <c r="B1" s="402" t="s">
        <v>558</v>
      </c>
      <c r="C1" s="402"/>
      <c r="D1" s="402"/>
      <c r="E1" s="402"/>
      <c r="F1" s="402"/>
      <c r="G1" s="402"/>
      <c r="H1" s="53"/>
      <c r="I1" s="346"/>
    </row>
    <row r="2" spans="1:16" ht="5.5" customHeight="1" x14ac:dyDescent="0.35"/>
    <row r="3" spans="1:16" ht="39" customHeight="1" x14ac:dyDescent="0.35">
      <c r="A3" s="147"/>
      <c r="B3" s="411" t="s">
        <v>551</v>
      </c>
      <c r="C3" s="411"/>
      <c r="D3" s="411"/>
      <c r="E3" s="411"/>
      <c r="F3" s="411"/>
      <c r="G3" s="411"/>
      <c r="I3" s="351"/>
    </row>
    <row r="4" spans="1:16" ht="5.5" customHeight="1" x14ac:dyDescent="0.35"/>
    <row r="5" spans="1:16" ht="18.5" x14ac:dyDescent="0.35">
      <c r="B5" s="381" t="s">
        <v>0</v>
      </c>
      <c r="C5" s="381"/>
      <c r="D5" s="381"/>
      <c r="E5" s="381"/>
      <c r="F5" s="381"/>
      <c r="G5" s="381"/>
      <c r="I5" s="346"/>
    </row>
    <row r="6" spans="1:16" ht="8.15" customHeight="1" x14ac:dyDescent="0.35">
      <c r="A6" s="50"/>
      <c r="B6" s="50"/>
      <c r="E6" s="51"/>
      <c r="F6" s="51"/>
    </row>
    <row r="7" spans="1:16" ht="42.65" customHeight="1" x14ac:dyDescent="0.35">
      <c r="B7" s="67" t="s">
        <v>1</v>
      </c>
      <c r="C7" s="67" t="s">
        <v>2</v>
      </c>
      <c r="F7" s="67" t="s">
        <v>3</v>
      </c>
      <c r="G7" s="68" t="s">
        <v>4</v>
      </c>
    </row>
    <row r="8" spans="1:16" ht="24.65" customHeight="1" x14ac:dyDescent="0.35">
      <c r="B8" s="170"/>
      <c r="C8" s="350"/>
      <c r="F8" s="171"/>
      <c r="G8" s="171"/>
      <c r="H8" s="5"/>
    </row>
    <row r="9" spans="1:16" ht="11.5" customHeight="1" thickBot="1" x14ac:dyDescent="0.4">
      <c r="B9" s="113"/>
      <c r="C9" s="145"/>
      <c r="F9" s="146"/>
      <c r="G9" s="146"/>
      <c r="H9" s="5"/>
    </row>
    <row r="10" spans="1:16" ht="24.65" customHeight="1" x14ac:dyDescent="0.35">
      <c r="B10" s="142" t="s">
        <v>5</v>
      </c>
      <c r="C10" s="373"/>
      <c r="D10" s="373"/>
      <c r="E10" s="373"/>
      <c r="F10" s="373"/>
      <c r="G10" s="374"/>
      <c r="H10" s="5"/>
    </row>
    <row r="11" spans="1:16" ht="24.65" customHeight="1" x14ac:dyDescent="0.35">
      <c r="B11" s="143" t="s">
        <v>6</v>
      </c>
      <c r="C11" s="375"/>
      <c r="D11" s="376"/>
      <c r="E11" s="376"/>
      <c r="F11" s="376"/>
      <c r="G11" s="377"/>
      <c r="H11" s="5"/>
    </row>
    <row r="12" spans="1:16" ht="63" customHeight="1" thickBot="1" x14ac:dyDescent="0.4">
      <c r="B12" s="144" t="s">
        <v>7</v>
      </c>
      <c r="C12" s="393"/>
      <c r="D12" s="393"/>
      <c r="E12" s="393"/>
      <c r="F12" s="393"/>
      <c r="G12" s="394"/>
      <c r="H12" s="5"/>
    </row>
    <row r="13" spans="1:16" ht="10.5" customHeight="1" thickBot="1" x14ac:dyDescent="0.4">
      <c r="A13" s="52"/>
      <c r="B13" s="52"/>
      <c r="E13" s="52"/>
      <c r="F13" s="52"/>
      <c r="H13" s="5"/>
    </row>
    <row r="14" spans="1:16" ht="18.649999999999999" customHeight="1" x14ac:dyDescent="0.35">
      <c r="B14" s="382" t="s">
        <v>8</v>
      </c>
      <c r="C14" s="383"/>
      <c r="D14" s="208"/>
      <c r="E14" s="82" t="str">
        <f>SUM('Field information 1'!E6:E105)&amp;" ha"</f>
        <v>0 ha</v>
      </c>
      <c r="F14" s="82"/>
      <c r="G14" s="75"/>
    </row>
    <row r="15" spans="1:16" ht="18.649999999999999" customHeight="1" thickBot="1" x14ac:dyDescent="0.4">
      <c r="B15" s="405" t="s">
        <v>9</v>
      </c>
      <c r="C15" s="406"/>
      <c r="D15" s="209"/>
      <c r="E15" s="83" t="str">
        <f>SUMIF(Calc!E5:E104,"Y",'Field information 1'!E6:E105)&amp;" ha"</f>
        <v>0 ha</v>
      </c>
      <c r="F15" s="83"/>
      <c r="G15" s="77"/>
      <c r="H15" s="5"/>
      <c r="I15" s="346"/>
      <c r="P15" s="5"/>
    </row>
    <row r="16" spans="1:16" ht="31" customHeight="1" x14ac:dyDescent="0.35">
      <c r="B16" s="407" t="s">
        <v>10</v>
      </c>
      <c r="C16" s="408"/>
      <c r="D16" s="210"/>
      <c r="E16" s="212" t="str">
        <f>SUMPRODUCT('Field information 1'!E6:E105,'Field information 2'!L12:L111)+SUMPRODUCT('Field information 1'!E6:E105,'Field information 2'!N12:N111)+SUMPRODUCT('Field information 1'!E6:E105,'Field information 2'!P12:P111)&amp;" t"</f>
        <v>0 t</v>
      </c>
      <c r="F16" s="84"/>
      <c r="G16" s="75"/>
      <c r="H16" s="5"/>
      <c r="I16" s="347"/>
      <c r="J16" s="65"/>
      <c r="K16" s="65"/>
    </row>
    <row r="17" spans="1:10" ht="32.15" customHeight="1" x14ac:dyDescent="0.35">
      <c r="A17" s="17"/>
      <c r="B17" s="363"/>
      <c r="C17" s="85" t="str">
        <f>IF('Field information 2'!M5="", "EWC missing on Field information 2 sheet (cell M5)",
"EWC  "&amp;'Field information 2'!M5)</f>
        <v>EWC missing on Field information 2 sheet (cell M5)</v>
      </c>
      <c r="D17" s="85"/>
      <c r="E17" s="213" t="str">
        <f>IF(AND(OR('Field information 2'!O5='Field information 2'!M5,ISBLANK('Field information 2'!O5)),OR('Field information 2'!Q5='Field information 2'!M5,ISBLANK('Field information 2'!Q5))),
IF(OR(ISTEXT(Calc!$BP$5), ISTEXT(Calc!$BQ$5),ISTEXT(Calc!$BR$5)),"data missing",
SUMPRODUCT('Field information 1'!E6:E105,'Field information 2'!L12:L111)*Calc!$BP$5 + SUMPRODUCT('Field information 1'!E6:E105,'Field information 2'!N12:N111)*Calc!$BQ$5 + SUMPRODUCT('Field information 1'!E6:E105,'Field information 2'!P12:P111)*Calc!$BR$5&amp;" t"),
IF(OR('Field information 2'!O5='Field information 2'!M5,ISBLANK('Field information 2'!O5)),
IF(OR(ISTEXT(Calc!$BP$5), ISTEXT(Calc!$BQ$5)),"data missing",
SUMPRODUCT('Field information 1'!E6:E105,'Field information 2'!L12:L111)*Calc!$BP$5 + SUMPRODUCT('Field information 1'!E6:E105,'Field information 2'!N12:N111)*Calc!$BQ$5&amp;" t"),
IF(OR('Field information 2'!Q5='Field information 2'!M5,ISBLANK('Field information 2'!Q5)),
IF(OR(ISTEXT(Calc!$BP$5), ISTEXT(Calc!$BR$5)),"data missing",
SUMPRODUCT('Field information 1'!E6:E105,'Field information 2'!L12:L111)*Calc!$BP$5  + SUMPRODUCT('Field information 1'!E6:E105,'Field information 2'!P12:P111)*Calc!$BR$5&amp;" t"),
IF(ISTEXT(Calc!$BP$5), "data missing",
SUMPRODUCT('Field information 1'!E6:E105,'Field information 2'!L12:L111)*Calc!$BP$5&amp;" t"))))</f>
        <v>0 t</v>
      </c>
      <c r="F17" s="322"/>
      <c r="G17" s="323"/>
      <c r="H17" s="5"/>
      <c r="I17" s="348"/>
    </row>
    <row r="18" spans="1:10" ht="18.649999999999999" customHeight="1" x14ac:dyDescent="0.35">
      <c r="A18" s="17"/>
      <c r="B18" s="86"/>
      <c r="C18" s="87" t="str">
        <f>IF(ISBLANK('Field information 2'!O5),"EWC  ",
IF('Field information 2'!O5&lt;&gt;'Field information 2'!M5, "EWC  "&amp;'Field information 2'!O5,
IF(ISBLANK('Field information 2'!Q5),"EWC  ",
IF('Field information 2'!O5&lt;&gt;'Field information 2'!Q5, "EWC  "&amp;'Field information 2'!Q5,"EWC  "))))</f>
        <v xml:space="preserve">EWC  </v>
      </c>
      <c r="D18" s="87"/>
      <c r="E18" s="213" t="str">
        <f>IF(C18="EWC  ","n/a",
IF(AND("EWC  "&amp;'Field information 2'!O5=C18,"EWC  "&amp;'Field information 2'!Q5=C18),
IF(OR(ISTEXT(Calc!$BQ$5), ISTEXT(Calc!$BR$5)),"data missing",
SUMPRODUCT('Field information 1'!E6:E105,'Field information 2'!N12:N111)*Calc!$BQ$5 + SUMPRODUCT('Field information 1'!E6:E105,'Field information 2'!P12:P111)*Calc!$BR$5&amp;" t"),
IF("EWC  "&amp;'Field information 2'!O5=C18,
IF(ISTEXT(Calc!$BQ$5),"data missing",
SUMPRODUCT('Field information 1'!E6:E105,'Field information 2'!N12:N111)*Calc!$BQ$5&amp;" t"),
IF("EWC  "&amp;'Field information 2'!Q5=C18,
IF(ISTEXT(Calc!$BR$5),"data missing",
SUMPRODUCT('Field information 1'!E6:E105,'Field information 2'!P12:P111)*Calc!$BR$5&amp;" t")))))</f>
        <v>n/a</v>
      </c>
      <c r="F18" s="322"/>
      <c r="G18" s="323"/>
    </row>
    <row r="19" spans="1:10" ht="18.649999999999999" customHeight="1" x14ac:dyDescent="0.35">
      <c r="A19" s="17"/>
      <c r="B19" s="86"/>
      <c r="C19" s="87" t="str">
        <f>IF(ISBLANK('Field information 2'!Q5),"EWC  ",
IF(AND("EWC  "&amp;'Field information 2'!Q5&lt;&gt;C17,"EWC  "&amp;'Field information 2'!Q5&lt;&gt;C18), "EWC  "&amp;'Field information 2'!Q5,"EWC  "))</f>
        <v xml:space="preserve">EWC  </v>
      </c>
      <c r="D19" s="87"/>
      <c r="E19" s="213" t="str">
        <f>IF(C19="EWC  ","n/a",
IF("EWC  "&amp;'Field information 2'!Q5=C19,
      IF(ISTEXT(Calc!$BR$5),"data missing", SUMPRODUCT('Field information 1'!E6:E105,'Field information 2'!P12:P111)*Calc!$BR$5&amp;" t")))</f>
        <v>n/a</v>
      </c>
      <c r="F19" s="322"/>
      <c r="G19" s="323"/>
    </row>
    <row r="20" spans="1:10" ht="18.649999999999999" customHeight="1" thickBot="1" x14ac:dyDescent="0.4">
      <c r="A20" s="17"/>
      <c r="B20" s="88"/>
      <c r="C20" s="89" t="s">
        <v>11</v>
      </c>
      <c r="D20" s="89"/>
      <c r="E20" s="214" t="str">
        <f>IF(OR('Field information 2'!M5="xx",'Field information 2'!O5="xx",'Field information 2'!Q5="xx",'Field information 2'!M7="yes",'Field information 2'!O7="yes",'Field information 2'!Q7="yes"), "yes", "no")</f>
        <v>no</v>
      </c>
      <c r="F20" s="90"/>
      <c r="G20" s="77"/>
      <c r="H20" s="5"/>
      <c r="I20" s="346"/>
    </row>
    <row r="21" spans="1:10" ht="6" customHeight="1" x14ac:dyDescent="0.35">
      <c r="A21" s="12"/>
      <c r="B21" s="12"/>
      <c r="E21" s="52"/>
      <c r="F21" s="52"/>
      <c r="H21" s="5"/>
      <c r="J21" s="9"/>
    </row>
    <row r="22" spans="1:10" ht="18.5" x14ac:dyDescent="0.35">
      <c r="B22" s="381" t="s">
        <v>12</v>
      </c>
      <c r="C22" s="381"/>
      <c r="D22" s="381"/>
      <c r="E22" s="381"/>
      <c r="F22" s="381"/>
      <c r="G22" s="381"/>
      <c r="H22" s="5"/>
      <c r="I22" s="346"/>
    </row>
    <row r="23" spans="1:10" ht="8.5" customHeight="1" thickBot="1" x14ac:dyDescent="0.4">
      <c r="A23" s="12"/>
      <c r="B23" s="12"/>
      <c r="E23" s="52"/>
      <c r="F23" s="52"/>
      <c r="H23" s="5"/>
    </row>
    <row r="24" spans="1:10" ht="16" customHeight="1" thickBot="1" x14ac:dyDescent="0.4">
      <c r="B24" s="412" t="s">
        <v>13</v>
      </c>
      <c r="C24" s="413"/>
      <c r="D24" s="78"/>
      <c r="E24" s="79" t="str">
        <f>IF(G8="", "provide info in cell G8",
IF(G8="single farm","n/a",
IF(SUM('Field information 1'!E6:E105)&gt;50, "yes", "no")))</f>
        <v>provide info in cell G8</v>
      </c>
      <c r="F24" s="79"/>
      <c r="G24" s="80"/>
      <c r="H24" s="5"/>
      <c r="I24" s="346"/>
    </row>
    <row r="25" spans="1:10" ht="5.5" customHeight="1" thickBot="1" x14ac:dyDescent="0.4">
      <c r="A25" s="14"/>
      <c r="B25" s="14"/>
      <c r="C25" s="14"/>
    </row>
    <row r="26" spans="1:10" ht="17.5" customHeight="1" x14ac:dyDescent="0.35">
      <c r="A26" s="14"/>
      <c r="B26" s="387" t="s">
        <v>559</v>
      </c>
      <c r="C26" s="388"/>
      <c r="D26" s="70"/>
      <c r="E26" s="70" t="str">
        <f>IF(COUNTA('Field information 1'!B6:B105)=COUNTA('Field information 1'!C6:C105),"no","yes")</f>
        <v>no</v>
      </c>
      <c r="F26" s="70"/>
      <c r="G26" s="75"/>
    </row>
    <row r="27" spans="1:10" ht="17.5" customHeight="1" x14ac:dyDescent="0.35">
      <c r="A27" s="14"/>
      <c r="B27" s="384" t="s">
        <v>560</v>
      </c>
      <c r="C27" s="385"/>
      <c r="E27" t="str">
        <f>IF(COUNTA('Field information 1'!B6:B105)=COUNTA('Field information 1'!E6:E105),"no","yes")</f>
        <v>no</v>
      </c>
      <c r="G27" s="76"/>
    </row>
    <row r="28" spans="1:10" ht="17.5" customHeight="1" thickBot="1" x14ac:dyDescent="0.4">
      <c r="A28" s="14"/>
      <c r="B28" s="378" t="s">
        <v>561</v>
      </c>
      <c r="C28" s="379"/>
      <c r="D28" s="72"/>
      <c r="E28" s="72" t="str">
        <f>IF(COUNTA('Field information 1'!B6:B105)=COUNTA('Field information 1'!F6:F105),"no",
IF(COUNTIF(Calc!J5:J104,"yes")=0, "no","yes"))</f>
        <v>no</v>
      </c>
      <c r="F28" s="72"/>
      <c r="G28" s="77"/>
    </row>
    <row r="29" spans="1:10" ht="5.5" customHeight="1" thickBot="1" x14ac:dyDescent="0.4">
      <c r="A29" s="14"/>
      <c r="B29" s="14"/>
      <c r="C29" s="14"/>
    </row>
    <row r="30" spans="1:10" ht="29.5" customHeight="1" x14ac:dyDescent="0.35">
      <c r="B30" s="382" t="s">
        <v>14</v>
      </c>
      <c r="C30" s="383"/>
      <c r="D30" s="70"/>
      <c r="E30" s="74" t="str">
        <f>IF(ISBLANK(C8),"",
IF(ISBLANK('Soil results'!C4),"date missing",
IF(C8-'Soil results'!C4&gt;1095, TEXT('Soil results'!C4,"dd/mm/yyyy")&amp;"  -  too old", TEXT('Soil results'!C4,"dd/mm/yyyy"))))</f>
        <v/>
      </c>
      <c r="F30" s="74"/>
      <c r="G30" s="75"/>
      <c r="I30" s="346"/>
    </row>
    <row r="31" spans="1:10" ht="30.65" customHeight="1" x14ac:dyDescent="0.35">
      <c r="B31" s="409" t="s">
        <v>617</v>
      </c>
      <c r="C31" s="410"/>
      <c r="E31" s="9" t="str">
        <f>IF(ISBLANK(C8),"",
IF(ISBLANK('Soil results'!I4),
  IF(ISBLANK('Soil results'!C4), "date missing",
  IF(C8-'Soil results'!C4&gt;3652, TEXT('Soil results'!C4,"dd/mm/yyyy")&amp;"  -  too old", TEXT('Soil results'!C4,"dd/mm/yyyy"))),
IF(C8-'Soil results'!I4&gt;3652, TEXT('Soil results'!I4,"dd/mm/yyyy")&amp;"  -  too old", TEXT('Soil results'!I4,"dd/mm/yyyy"))))</f>
        <v/>
      </c>
      <c r="F31" s="371" t="str">
        <f>IF(OR(ISBLANK(C8),ISBLANK('Soil results'!C4)),"",
IF(OR(E64="yes",E65="yes"),
IF(ISBLANK('Soil results'!I4),
   IF(C8-'Soil results'!C4&gt;1075,"check if more recent PTE analysis is provided for critical fields",""),
IF(C8-'Soil results'!I4&gt;1075,"check if more recent PTE analysis is provided for critical fields","")),""))</f>
        <v/>
      </c>
      <c r="G31" s="372"/>
      <c r="I31" s="346"/>
    </row>
    <row r="32" spans="1:10" ht="16" customHeight="1" thickBot="1" x14ac:dyDescent="0.4">
      <c r="B32" s="378" t="s">
        <v>15</v>
      </c>
      <c r="C32" s="379"/>
      <c r="D32" s="72"/>
      <c r="E32" s="73" t="str">
        <f ca="1">IF(Calc!BY6-C8&lt;=0,
    IF(MAX(Calc!BL5:BL154)&gt;0,"yes","no"),
IF(Calc!BY6-C8&gt;0,
     IF(AND(COUNTBLANK('Soil results'!D10:D159)&gt;COUNTIF(Calc!BL5:BL154,""), COUNTBLANK('Soil results'!D10:D159)=COUNTBLANK('Soil results'!D10:D159)+COUNTBLANK('Soil results'!F10:I159)+COUNTBLANK('Soil results'!K10:Q159)-11*(150-SUM(Calc!I5:I104))),"only soil organic matter data missing",
IF(MAX(Calc!BL5:BL154)&gt;0,"yes","no"))))</f>
        <v>no</v>
      </c>
      <c r="F32" s="73"/>
      <c r="G32" s="77"/>
      <c r="I32" s="346"/>
    </row>
    <row r="33" spans="1:14" ht="4" customHeight="1" thickBot="1" x14ac:dyDescent="0.4">
      <c r="E33" s="9"/>
      <c r="F33" s="9"/>
      <c r="I33" s="346"/>
    </row>
    <row r="34" spans="1:14" ht="17.5" customHeight="1" x14ac:dyDescent="0.35">
      <c r="A34" s="45"/>
      <c r="B34" s="403" t="s">
        <v>16</v>
      </c>
      <c r="C34" s="404"/>
      <c r="D34" s="70"/>
      <c r="E34" s="74" t="str">
        <f ca="1">IF(MAX(Calc!BB5:BB154)&gt;250, "yes", "no")</f>
        <v>no</v>
      </c>
      <c r="F34" s="74"/>
      <c r="G34" s="75"/>
      <c r="I34" s="346"/>
    </row>
    <row r="35" spans="1:14" ht="15.65" customHeight="1" x14ac:dyDescent="0.35">
      <c r="B35" s="71"/>
      <c r="E35" s="162" t="s">
        <v>17</v>
      </c>
      <c r="F35" s="162" t="s">
        <v>18</v>
      </c>
      <c r="G35" s="163" t="s">
        <v>19</v>
      </c>
      <c r="I35" s="346"/>
    </row>
    <row r="36" spans="1:14" ht="30" customHeight="1" x14ac:dyDescent="0.35">
      <c r="A36" s="44"/>
      <c r="B36" s="71"/>
      <c r="E36" s="302" t="str">
        <f>IF(ISBLANK('Field information 2'!M4),"material description missing",
IF(ISBLANK('Field information 2'!M5), "EWC missing",
'Field information 2'!M4))</f>
        <v>material description missing</v>
      </c>
      <c r="F36" s="302" t="str">
        <f>IF(COUNTIF('Field information 2'!N12:N111,"")&lt;100,
IF(ISBLANK('Field information 2'!O4),"material description missing",
IF(ISBLANK('Field information 2'!O5),"EWC missing", 'Field information 2'!O4)),
"")</f>
        <v/>
      </c>
      <c r="G36" s="335" t="str">
        <f>IF(COUNTIF('Field information 2'!P12:P111,"")&lt;100,
IF(ISBLANK('Field information 2'!Q4),"material description missing",
IF(ISBLANK('Field information 2'!Q5),"EWC missing", 'Field information 2'!Q4)),
"")</f>
        <v/>
      </c>
      <c r="I36" s="346"/>
    </row>
    <row r="37" spans="1:14" ht="30" customHeight="1" x14ac:dyDescent="0.35">
      <c r="B37" s="384" t="s">
        <v>20</v>
      </c>
      <c r="C37" s="385"/>
      <c r="E37" s="219" t="str">
        <f>IF(ISBLANK(C8),"",
IF(AND(MID('Field information 2'!M5,2,1)="x", OR(ISBLANK('Waste results'!D7), ISBLANK('Waste results'!E7), ISBLANK('Waste results'!F7))), "n/a",
IF(Calc!BY6-C8&lt;=0,
    IF(C8-MAX('Waste results'!D7:H7)&gt;182,TEXT(MAX('Waste results'!D7:H7),"dd/mm/yyyy")&amp;"  -  too old", TEXT(MAX('Waste results'!D7:H7),"dd/mm/yyyy")),
IF(Calc!BY6-C8&gt;0,
    IF(AND(OR(ISBLANK('Waste results'!D7), ISBLANK('Waste results'!E7), ISBLANK('Waste results'!F7)),OR('Field information 2'!$M$5="xx",'Field information 2'!$M$5="")), "n/a",
    IF(OR(ISBLANK('Waste results'!D7), ISBLANK('Waste results'!E7), ISBLANK('Waste results'!F7)), "date(s) missing",
    IF(C8-MAX('Waste results'!D7:H7)&gt;730,TEXT(MAX('Waste results'!D7:H7),"dd/mm/yyyy")&amp;"  -  too old",
    IF(C8-MAX('Waste results'!D7:H7)&gt;182,TEXT(MAX('Waste results'!D7:H7),"dd/mm/yyyy")&amp;"  -  older than 6 months",
    TEXT(MAX('Waste results'!D7:H7),"dd/mm/yyyy")))))))))</f>
        <v/>
      </c>
      <c r="F37" s="265" t="str">
        <f>IF(ISBLANK(C8),"",
IF(F36="","n/a",
IF(AND(MID('Field information 2'!O5,2,1)="x", OR(ISBLANK('Waste results'!D43), ISBLANK('Waste results'!E43), ISBLANK('Waste results'!F43))), "n/a",
IF(Calc!BY6-C8&lt;=0,
    IF(C8-MAX('Waste results'!D43:H43)&gt;182,TEXT(MAX('Waste results'!D43:H43),"dd/mm/yyyy")&amp;"  -  too old", TEXT(MAX('Waste results'!D43:H43),"dd/mm/yyyy")),
IF(Calc!BY6-C8&gt;0,
    IF(AND(OR(ISBLANK('Waste results'!D43), ISBLANK('Waste results'!E43), ISBLANK('Waste results'!F43)),OR('Field information 2'!$O$5="xx",'Field information 2'!$O$5="")), "n/a",
   IF(OR(ISBLANK('Waste results'!D43), ISBLANK('Waste results'!E43), ISBLANK('Waste results'!F43)), "date(s) missing",
   IF(C8-MAX('Waste results'!D43:H43)&gt;730,TEXT(MAX('Waste results'!D43:H43),"dd/mm/yyyy")&amp;"  -  too old",
   IF(C8-MAX('Waste results'!D43:H43)&gt;182,TEXT(MAX('Waste results'!D43:H43),"dd/mm/yyyy")&amp;"  -  older than 6 months",
   TEXT(MAX('Waste results'!D43:H43),"dd/mm/yyyy"))))))))))</f>
        <v/>
      </c>
      <c r="G37" s="264" t="str">
        <f>IF(ISBLANK(C8),"",
IF(G36="","n/a",
IF(AND(MID('Field information 2'!Q5,2,1)="x", OR(ISBLANK('Waste results'!D79), ISBLANK('Waste results'!E79), ISBLANK('Waste results'!F79))), "n/a",
IF(Calc!BY6-C8&lt;=0,
    IF(C8-MAX('Waste results'!D79:H79)&gt;182,TEXT(MAX('Waste results'!D79:H79),"dd/mm/yyyy")&amp;"  -  too old", TEXT(MAX('Waste results'!D79:H79),"dd/mm/yyyy")),
IF(Calc!BY6-C8&gt;0,
   IF(AND(OR(ISBLANK('Waste results'!D79),ISBLANK('Waste results'!E79),ISBLANK('Waste results'!F79)),OR('Field information 2'!$Q$5="xx",'Field information 2'!$Q$5="")),"n/a",
   IF(OR(ISBLANK('Waste results'!D79),ISBLANK('Waste results'!E79),ISBLANK('Waste results'!F79)),"date(s) missing",
   IF(C8-MAX('Waste results'!D79:H79)&gt;730,TEXT(MAX('Waste results'!D79:H79),"dd/mm/yyyy")&amp;"  -  too old",
   IF(C8-MAX('Waste results'!D79:H79)&gt;182,TEXT(MAX('Waste results'!D79:H79),"dd/mm/yyyy")&amp;"  -  older than 6 months",
   TEXT(MAX('Waste results'!D79:H79),"dd/mm/yyyy"))))))))))</f>
        <v/>
      </c>
      <c r="I37" s="347"/>
      <c r="J37" s="5"/>
    </row>
    <row r="38" spans="1:14" s="9" customFormat="1" ht="29.15" customHeight="1" x14ac:dyDescent="0.35">
      <c r="B38" s="384" t="s">
        <v>21</v>
      </c>
      <c r="C38" s="385"/>
      <c r="D38" s="2"/>
      <c r="E38" s="219" t="str">
        <f>IF(ISBLANK(C8),"",
IF(AND(MID('Field information 2'!M5,2,1)="x", OR(ISBLANK('Waste results'!D7), ISBLANK('Waste results'!E7), ISBLANK('Waste results'!F7))), "n/a",
IF(OR(ISBLANK('Waste results'!D7), ISBLANK('Waste results'!E7), ISBLANK('Waste results'!F7)), "date(s) missing",
IF(C8-MIN('Waste results'!D7:H7)&gt;1826, TEXT(MIN('Waste results'!D7:H7),"dd/mm/yyyy")&amp;"  -  too old",
TEXT(MIN('Waste results'!D7:H7),"dd/mm/yyyy")))))</f>
        <v/>
      </c>
      <c r="F38" s="265" t="str">
        <f>IF(ISBLANK(C8),"",
IF(F36="","n/a",
IF(AND(MID('Field information 2'!O5,2,1)="x", OR(ISBLANK('Waste results'!D43), ISBLANK('Waste results'!E43), ISBLANK('Waste results'!F43))), "n/a",
IF(OR(ISBLANK('Waste results'!D43),ISBLANK('Waste results'!E43),ISBLANK('Waste results'!F43)),"date(s) missing",
IF(C8-MIN('Waste results'!D43:H43)&gt;1826,TEXT(MIN('Waste results'!D43:H43),"dd/mm/yyyy")&amp;"  -  too old",
TEXT(MIN('Waste results'!D43:H43),"dd/mm/yyyy"))))))</f>
        <v/>
      </c>
      <c r="G38" s="264" t="str">
        <f>IF(ISBLANK(C8),"",
IF(G36="","n/a",
IF(AND(MID('Field information 2'!Q5,2,1)="x", OR(ISBLANK('Waste results'!D79), ISBLANK('Waste results'!E79), ISBLANK('Waste results'!F79))), "n/a",
IF(OR(ISBLANK('Waste results'!D79), ISBLANK('Waste results'!E79), ISBLANK('Waste results'!F79)), "date(s) missing",
IF(C8-MIN('Waste results'!D79:H79)&gt;1826,TEXT(MIN('Waste results'!D79:H79),"dd/mm/yyyy")&amp;"  -  too old",
TEXT(MIN('Waste results'!D79:H79),"dd/mm/yyyy"))))))</f>
        <v/>
      </c>
      <c r="I38" s="347"/>
      <c r="K38" s="266"/>
    </row>
    <row r="39" spans="1:14" x14ac:dyDescent="0.35">
      <c r="B39" s="409" t="s">
        <v>22</v>
      </c>
      <c r="C39" s="410"/>
      <c r="D39" s="9"/>
      <c r="E39" s="273" t="str">
        <f>IF(AND(OR(ISBLANK('Waste results'!D7), ISBLANK('Waste results'!E7), ISBLANK('Waste results'!F7)),MID('Field information 2'!$M$5,2,1)="x"),
IF(OR(COUNTBLANK('Waste results'!D12:D19)&gt;7,COUNTBLANK('Waste results'!E12:E19)&gt;7,COUNTBLANK('Waste results'!F12:F19)&gt;7),"yes","no"),
IF(OR(COUNTBLANK('Waste results'!D8:D31)&gt;23,COUNTBLANK('Waste results'!E8:E31)&gt;23,COUNTBLANK('Waste results'!F8:F31)&gt;23),"yes",
IF(OR('Waste results'!D7='Waste results'!E7, 'Waste results'!D7='Waste results'!F7, 'Waste results'!E7='Waste results'!F7), "duplicates",
IF(OR(ABS('Waste results'!D7-'Waste results'!E7)&lt;42, ABS('Waste results'!D7-'Waste results'!F7)&lt;42, ABS('Waste results'!E7-'Waste results'!F7)&lt;42), "6-week time lag not met",
"no"))))</f>
        <v>yes</v>
      </c>
      <c r="F39" s="8" t="str">
        <f>IF(F36="","n/a",
IF(AND(OR(ISBLANK('Waste results'!D43), ISBLANK('Waste results'!E43), ISBLANK('Waste results'!F43)),MID('Field information 2'!$O$5,2,1)="xx"),
IF(OR(COUNTBLANK('Waste results'!D48:D55)&gt;7,COUNTBLANK('Waste results'!E48:E55)&gt;7,COUNTBLANK('Waste results'!F48:F55)&gt;7),"yes","no"),
IF(OR(COUNTBLANK('Waste results'!D44:D67)&gt;23,COUNTBLANK('Waste results'!E44:E67)&gt;23,COUNTBLANK('Waste results'!F44:F67)&gt;23),"yes",
IF(OR('Waste results'!D43='Waste results'!E43, 'Waste results'!D43='Waste results'!F43, 'Waste results'!E43='Waste results'!F43), "duplicates",
IF(OR(ABS('Waste results'!D43-'Waste results'!E43)&lt;42, ABS('Waste results'!D43-'Waste results'!F43)&lt;42, ABS('Waste results'!E43-'Waste results'!F43)&lt;42), "6-week time lag not met",
"no")))))</f>
        <v>n/a</v>
      </c>
      <c r="G39" s="274" t="str">
        <f>IF(G36="","n/a",
IF(AND(OR(ISBLANK('Waste results'!D79), ISBLANK('Waste results'!E79), ISBLANK('Waste results'!F79)),MID('Field information 2'!$Q$5,2,1)="xx"),
IF(OR(COUNTBLANK('Waste results'!D84:D91)&gt;7,COUNTBLANK('Waste results'!E84:E91)&gt;7,COUNTBLANK('Waste results'!F84:F91)&gt;7),"yes","no"),
IF(OR(COUNTBLANK('Waste results'!D80:D103)&gt;23,COUNTBLANK('Waste results'!E80:E103)&gt;23,COUNTBLANK('Waste results'!F80:F103)&gt;23),"yes",
IF(OR('Waste results'!D79='Waste results'!E79, 'Waste results'!D79='Waste results'!F79, 'Waste results'!E79='Waste results'!F79), "duplicates",
IF(OR(ABS('Waste results'!D79-'Waste results'!E79)&lt;42, ABS('Waste results'!D79-'Waste results'!F79)&lt;42, ABS('Waste results'!E79-'Waste results'!F79)&lt;42), "6-week time lag not met",
"no")))))</f>
        <v>n/a</v>
      </c>
      <c r="H39" s="5"/>
      <c r="I39" s="347"/>
      <c r="J39" s="352"/>
      <c r="N39" s="61"/>
    </row>
    <row r="40" spans="1:14" ht="15" customHeight="1" x14ac:dyDescent="0.35">
      <c r="B40" s="384" t="s">
        <v>23</v>
      </c>
      <c r="C40" s="385"/>
      <c r="E40" s="8" t="str">
        <f>IF(Calc!BY6-C8&lt;=0,
    IF(COUNTIF('Waste results'!S9:S33,"data missing")&gt;0,"yes","no"),
IF(Calc!BY6-C8&gt;0,
         IF(AND(COUNTIF('Waste results'!S9:S33,"data missing")&gt;0, COUNTIF('Waste results'!S9:S31,"data missing")=0, MAX('Waste results'!K33:M33)&gt;=100), "neutralisation value missing but not critical",
     IF(COUNTIF('Waste results'!S9:S33,"data missing")&gt;0,"yes","no"))))</f>
        <v>yes</v>
      </c>
      <c r="F40" s="8" t="str">
        <f>IF(F36="","n/a",
IF(Calc!BY6-C8&lt;=0,
    IF(COUNTIF('Waste results'!S43:S69,"data missing")&gt;0,"yes","no"),
IF(Calc!BY6-C8&gt;0,
     IF(AND(COUNTIF('Waste results'!S43:S69,"data missing")&gt;0, COUNTIF('Waste results'!S43:S67,"data missing")=0, MAX('Waste results'!K69:M69)&gt;=100), "neutralisation value missing but not critical",
     IF(COUNTIF('Waste results'!S43:S69,"data missing")&gt;0,"yes","no")))))</f>
        <v>n/a</v>
      </c>
      <c r="G40" s="274" t="str">
        <f>IF(G36="","n/a",
IF(Calc!BY6-C8&lt;=0,
    IF(COUNTIF('Waste results'!S81:S105,"data missing")&gt;0,"yes","no"),
IF(Calc!BY6-C8&gt;0,
     IF(AND(COUNTIF('Waste results'!S81:S105,"data missing")&gt;0, COUNTIF('Waste results'!S81:S103,"data missing")=0, MAX('Waste results'!K105:M105)&gt;=100), "neutralisation value missing but not critical",
     IF(COUNTIF('Waste results'!S81:S105,"data missing")&gt;0,"yes","no")))))</f>
        <v>n/a</v>
      </c>
      <c r="H40" s="5"/>
      <c r="I40" s="346"/>
      <c r="J40" s="352"/>
    </row>
    <row r="41" spans="1:14" ht="29.15" customHeight="1" x14ac:dyDescent="0.35">
      <c r="B41" s="384" t="s">
        <v>24</v>
      </c>
      <c r="C41" s="385"/>
      <c r="E41" s="265" t="str">
        <f>IF(COUNTIF(Calc!A5:A104,"data missing")&gt;0,"max application rate per treatment missing",
IF(COUNTIF(Calc!A5:A104,"&gt;0")&gt;0,"yes","no"))</f>
        <v>no</v>
      </c>
      <c r="F41" s="8" t="str">
        <f>IF(F36="","n/a",
IF(COUNTIF(Calc!B5:B104,"data missing")&gt;0,"max application rate per treatment missing",
IF(COUNTIF(Calc!B5:B104,"&gt;0")&gt;0,"yes","no")))</f>
        <v>n/a</v>
      </c>
      <c r="G41" s="274" t="str">
        <f>IF(G36="","n/a",
IF(COUNTIF(Calc!C5:C104,"data missing")&gt;0,"max application rate per treatment missing",
IF(COUNTIF(Calc!C5:C104,"&gt;0")&gt;0,"yes","no")))</f>
        <v>n/a</v>
      </c>
      <c r="H41" s="5"/>
      <c r="I41" s="346"/>
      <c r="J41" s="276"/>
    </row>
    <row r="42" spans="1:14" ht="29.15" customHeight="1" x14ac:dyDescent="0.35">
      <c r="B42" s="384" t="s">
        <v>25</v>
      </c>
      <c r="C42" s="385"/>
      <c r="D42" s="109"/>
      <c r="E42" s="265" t="str">
        <f>IF(E52&lt;&gt;"liquid","n/a",
IF(COUNTIF(Calc!A5:A104,"data missing")&gt;0,"max application rate per treatment missing",
IF(COUNTIF('Field information 2'!M12:M111,"&gt;50"),"yes","no")))</f>
        <v>n/a</v>
      </c>
      <c r="F42" s="265" t="str">
        <f>IF(F36="","n/a",
IF(F52&lt;&gt;"liquid","n/a",
IF(COUNTIF(Calc!B5:B104,"data missing")&gt;0,"max application rate per treatment missing",
IF(COUNTIF('Field information 2'!O12:O111,"&gt;50"),"yes","no"))))</f>
        <v>n/a</v>
      </c>
      <c r="G42" s="264" t="str">
        <f>IF(G36="","n/a",
IF(G52&lt;&gt;"liquid","n/a",
IF(COUNTIF(Calc!C5:C104,"data missing")&gt;0,"max application rate per treatment missing",
IF(COUNTIF('Field information 2'!Q12:Q111,"&gt;50"),"yes","no"))))</f>
        <v>n/a</v>
      </c>
      <c r="H42" s="5"/>
      <c r="I42" s="346"/>
      <c r="J42" s="276"/>
    </row>
    <row r="43" spans="1:14" ht="74.5" customHeight="1" thickBot="1" x14ac:dyDescent="0.4">
      <c r="B43" s="378" t="s">
        <v>581</v>
      </c>
      <c r="C43" s="379"/>
      <c r="D43" s="72"/>
      <c r="E43" s="340" t="str" cm="1">
        <f t="array" ref="E43">IF(OR(MID('Field information 2'!M5,2,1)="x", MID('Field information 2'!O5,2,1)="x", MID('Field information 2'!Q5,2,1)="x"),
   IF(_xlfn.MINIFS(Calc!BF5:BF154, Calc!BF5:BF154,"&gt;0")&lt;5,"internal check required","no"),
IF(OR(E52="data missing",E52="n/a"), E52,
IF(COUNTIF('Field information 2'!M12:M111, "&lt;&gt;")=0, "data missing",
IF(E52="liquid",
      IF(AND(MIN('Field information 2'!M12:M111)&gt;=1, MAX(MOD('Field information 2'!M12:M111,1))=0), "no",
      IF(AND(MIN('Field information 2'!M12:M111)&gt;=1, MAX(MOD('Field information 2'!M12:M111,1))&gt;0), "check that machinery can be calibrated to spread at rate accurate to nearest 0.1 t/ha",
      IF(MIN('Field information 2'!M12:M111)&lt;1, "check that machinery can be calibrated to low spread rates (&lt;1t/ha)"))),
IF(OR(E52="sludge",E52="solid",E52="dry"),
      IF(OR(MIN('Field information 2'!M12:M111)&lt;1, MAX(MOD('Field information 2'!M12:M111,1))&gt;0), "yes",
      IF(AND(MIN('Field information 2'!M12:M111)&gt;=5, MAX(MOD('Field information 2'!M12:M111,5))=0), "no",
      IF(AND(MIN('Field information 2'!M12:M111)&gt;=5, MAX(MOD('Field information 2'!M12:M111,5))&gt;0), "check that machinery can be calibrated to spread at rate accurate to nearest 1 t/ha",
      IF(MIN('Field information 2'!M12:M111)&lt;5, "check that machinery can be calibrated to low spread rates (&lt;5t/ha)"))))   )))))</f>
        <v>data missing</v>
      </c>
      <c r="F43" s="340" t="str" cm="1">
        <f t="array" ref="F43">IF(F36="","n/a",
IF(OR(MID('Field information 2'!M5,2,1)="x", MID('Field information 2'!O5,2,1)="x", MID('Field information 2'!Q5,2,1)="x"),
   IF(_xlfn.MINIFS(Calc!BF5:BF154, Calc!BF5:BF154,"&gt;0")&lt;5,"internal check required","no"),
IF(OR(F52="data missing",F52="n/a"), F52,
IF(COUNTIF('Field information 2'!O12:O111, "&lt;&gt;")=0, "data missing",
IF(F52="liquid",
      IF(AND(MIN('Field information 2'!O12:O111)&gt;=1, MAX(MOD('Field information 2'!O12:O111,1))=0), "no",
      IF(AND(MIN('Field information 2'!O12:O111)&gt;=1, MAX(MOD('Field information 2'!O12:O111,1))&gt;0), "check that machinery can be calibrated to spread at rate accurate to nearest 0.1 t/ha",
      IF(MIN('Field information 2'!O12:O111)&lt;1, "check that machinery can be calibrated to low spread rates (&lt;1t/ha)"))),
IF(OR(F52="sludge",F52="solid",F52="dry"),
      IF(OR(MIN('Field information 2'!O12:O111)&lt;1, MAX(MOD('Field information 2'!O12:O111,1))&gt;0), "yes",
      IF(AND(MIN('Field information 2'!O12:O111)&gt;=5, MAX(MOD('Field information 2'!O12:O111,5))=0), "no",
      IF(AND(MIN('Field information 2'!O12:O111)&gt;=5, MAX(MOD('Field information 2'!O12:O111,5))&gt;0), "check that machinery can be calibrated to spread at rate accurate to nearest 1 t/ha",
      IF(MIN('Field information 2'!O12:O111)&lt;5, "check that machinery can be calibrated to low spread rates (&lt;5t/ha)"))))   ))))))</f>
        <v>n/a</v>
      </c>
      <c r="G43" s="353" t="str" cm="1">
        <f t="array" ref="G43">IF(G36="","n/a",
IF(OR(MID('Field information 2'!M5,2,1)="x", MID('Field information 2'!O5,2,1)="x", MID('Field information 2'!Q5,2,1)="x"),
   IF(_xlfn.MINIFS(Calc!BF5:BF154, Calc!BF5:BF154,"&gt;0")&lt;5,"internal check required","no"),
IF(OR(G52="data missing",G52="n/a"), G52,
IF(COUNTIF('Field information 2'!Q12:Q111, "&lt;&gt;")=0, "data missing",
IF(G52="liquid",
      IF(AND(MIN('Field information 2'!Q12:Q111)&gt;=1, MAX(MOD('Field information 2'!Q12:Q111,1))=0), "no",
      IF(AND(MIN('Field information 2'!Q12:Q111)&gt;=1, MAX(MOD('Field information 2'!Q12:Q111,1))&gt;0), "check that machinery can be calibrated to spread at rate accurate to nearest 0.1 t/ha",
      IF(MIN('Field information 2'!Q12:Q111)&lt;1, "check that machinery can be calibrated to low spread rates (&lt;1t/ha)"))),
IF(OR(G52="sludge",G52="solid",G52="dry"),
      IF(OR(MIN('Field information 2'!Q12:Q111)&lt;1, MAX(MOD('Field information 2'!Q12:Q111,1))&gt;0), "yes",
      IF(AND(MIN('Field information 2'!Q12:Q111)&gt;=5, MAX(MOD('Field information 2'!Q12:Q111,5))=0), "no",
      IF(AND(MIN('Field information 2'!Q12:Q111)&gt;=5, MAX(MOD('Field information 2'!Q12:Q111,5))&gt;0), "check that machinery can be calibrated to spread at rate accurate to nearest 1 t/ha",
      IF(MIN('Field information 2'!Q12:Q111)&lt;5, "check that machinery can be calibrated to low spread rates (&lt;5t/ha)"))))   ))))))</f>
        <v>n/a</v>
      </c>
      <c r="H43" s="5"/>
      <c r="I43" s="346"/>
    </row>
    <row r="44" spans="1:14" ht="5.15" customHeight="1" thickBot="1" x14ac:dyDescent="0.4">
      <c r="B44" s="14"/>
      <c r="C44" s="14"/>
      <c r="E44" s="267"/>
      <c r="F44" s="267"/>
      <c r="G44" s="267"/>
      <c r="H44" s="5"/>
      <c r="I44" s="346"/>
    </row>
    <row r="45" spans="1:14" ht="15" customHeight="1" x14ac:dyDescent="0.35">
      <c r="B45" s="262"/>
      <c r="C45" s="263" t="s">
        <v>26</v>
      </c>
      <c r="D45" s="70"/>
      <c r="E45" s="268" t="str">
        <f ca="1">IF(COUNTIF(Calc!BN5:BN154,"yes")&gt;0,"yes","no")</f>
        <v>no</v>
      </c>
      <c r="F45" s="268"/>
      <c r="G45" s="269"/>
      <c r="H45" s="5"/>
      <c r="I45" s="346"/>
    </row>
    <row r="46" spans="1:14" ht="15" customHeight="1" x14ac:dyDescent="0.35">
      <c r="B46" s="259"/>
      <c r="C46" s="14" t="s">
        <v>27</v>
      </c>
      <c r="E46" s="267" t="str">
        <f>IF(COUNTIF('Field information 1'!E6:E105,"=10")=0,"no",
IF(COUNTIF('Field information 1'!E6:E105,"&lt;&gt;")/COUNTIF('Field information 1'!E6:E105,"=10")&lt;2,"yes","no"))</f>
        <v>no</v>
      </c>
      <c r="F46" s="267"/>
      <c r="G46" s="270"/>
      <c r="H46" s="5"/>
      <c r="I46" s="346"/>
    </row>
    <row r="47" spans="1:14" ht="15" customHeight="1" thickBot="1" x14ac:dyDescent="0.4">
      <c r="B47" s="260"/>
      <c r="C47" s="261" t="s">
        <v>28</v>
      </c>
      <c r="D47" s="72"/>
      <c r="E47" s="386" t="str">
        <f>IF(COUNTIF(Calc!F5:F104,"=texture missing")&gt;0,"soil texture data missing",
IF(COUNTIF(Calc!F5:F104,"=OM missing")&gt;0,"soil organic matter data missing",
IF(COUNTIF(Calc!F5:F104,"=no")&gt;0,"yes","no")))</f>
        <v>no</v>
      </c>
      <c r="F47" s="386"/>
      <c r="G47" s="271"/>
      <c r="H47" s="5"/>
      <c r="I47" s="346"/>
    </row>
    <row r="48" spans="1:14" ht="6.65" customHeight="1" x14ac:dyDescent="0.35"/>
    <row r="49" spans="2:10" ht="18.5" x14ac:dyDescent="0.35">
      <c r="B49" s="381" t="s">
        <v>29</v>
      </c>
      <c r="C49" s="381"/>
      <c r="D49" s="381"/>
      <c r="E49" s="381"/>
      <c r="F49" s="381"/>
      <c r="G49" s="381"/>
    </row>
    <row r="50" spans="2:10" ht="7" customHeight="1" thickBot="1" x14ac:dyDescent="0.4"/>
    <row r="51" spans="2:10" ht="17.5" customHeight="1" x14ac:dyDescent="0.35">
      <c r="B51" s="81"/>
      <c r="C51" s="70"/>
      <c r="D51" s="70"/>
      <c r="E51" s="164" t="s">
        <v>17</v>
      </c>
      <c r="F51" s="164" t="s">
        <v>18</v>
      </c>
      <c r="G51" s="165" t="s">
        <v>19</v>
      </c>
      <c r="J51" s="44"/>
    </row>
    <row r="52" spans="2:10" ht="17.149999999999999" customHeight="1" x14ac:dyDescent="0.35">
      <c r="B52" s="369" t="s">
        <v>30</v>
      </c>
      <c r="C52" s="370"/>
      <c r="E52" s="34" t="str">
        <f>IF(AND('Waste results'!P8="", OR(MID('Field information 2'!$M$5,2,1)="x", 'Field information 2'!$M$5="")), "n/a",
IF('Waste results'!P8="data missing", "data missing",
IF('Waste results'!P8&lt;=10,"liquid", IF('Waste results'!P8&lt;=25,"sludge", IF('Waste results'!P8&lt;=90,"solid",IF('Waste results'!P8&gt;90,"dry"))))))</f>
        <v>data missing</v>
      </c>
      <c r="F52" s="34" t="str">
        <f>IF(F36="","",
IF(AND('Waste results'!P44="data missing", OR(MID('Field information 2'!$O$5,2,1)="x",'Field information 2'!$O$5="")), "n/a",
IF('Waste results'!P44="data missing", "data missing",
IF('Waste results'!P44&lt;=10,"liquid", IF('Waste results'!P44&lt;=25,"sludge", IF('Waste results'!P44&lt;=90,"solid",IF('Waste results'!P44&gt;90,"dry")))))))</f>
        <v/>
      </c>
      <c r="G52" s="166" t="str">
        <f>IF(G36="","",
IF(AND('Waste results'!P80="data missing",OR(MID('Field information 2'!$Q$5,2,1)="x",'Field information 2'!$Q$5="")),"n/a",
IF('Waste results'!P80="data missing","data missing",
IF('Waste results'!P80&lt;=10,"liquid",IF('Waste results'!P80&lt;=25,"sludge",IF('Waste results'!P80&lt;=90,"solid",IF('Waste results'!P80&gt;90,"dry")))))))</f>
        <v/>
      </c>
      <c r="I52" s="347"/>
    </row>
    <row r="53" spans="2:10" ht="17.149999999999999" customHeight="1" thickBot="1" x14ac:dyDescent="0.4">
      <c r="B53" s="398" t="s">
        <v>31</v>
      </c>
      <c r="C53" s="399"/>
      <c r="D53" s="72"/>
      <c r="E53" s="167" t="str">
        <f>IF(ISNUMBER('Waste results'!S15),ROUND('Waste results'!S15,0)&amp;" %",
IF(OR('Field information 2'!$M$5="xx", ISNUMBER(SEARCH("01*04*12",'Field information 2'!$M$5)), ISNUMBER(SEARCH("03*03*09",'Field information 2'!$M$5)), ISNUMBER(SEARCH("03*03*11",'Field information 2'!$M$5)), ISNUMBER(SEARCH("03*03*99",'Field information 2'!$M$5)), ISNUMBER(SEARCH("06*01*99",'Field information 2'!$M$5)), ISNUMBER(SEARCH("10*01*01",'Field information 2'!$M$5)), ISNUMBER(SEARCH("10*01*03",'Field information 2'!$M$5)), ISNUMBER(SEARCH("10*01*99",'Field information 2'!$M$5)), ISNUMBER(SEARCH("10*13*04",'Field information 2'!$M$5))),"n/a","data missing"))</f>
        <v>data missing</v>
      </c>
      <c r="F53" s="167" t="str">
        <f>IF(F36="","",
IF(ISNUMBER('Waste results'!S51),ROUND('Waste results'!S51,0)&amp;" %",
IF(OR('Field information 2'!$O$5="xx",ISNUMBER(SEARCH("01*04*12",'Field information 2'!$O$5)), ISNUMBER(SEARCH("03*03*09",'Field information 2'!$O$5)), ISNUMBER(SEARCH("03*03*11",'Field information 2'!$O$5)), ISNUMBER(SEARCH("03*03*99",'Field information 2'!$O$5)), ISNUMBER(SEARCH("06*01*99",'Field information 2'!$O$5)), ISNUMBER(SEARCH("10*01*01",'Field information 2'!$O$5)), ISNUMBER(SEARCH("10*01*03",'Field information 2'!$O$5)), ISNUMBER(SEARCH("10*01*99",'Field information 2'!$O$5)), ISNUMBER(SEARCH("10*13*04",'Field information 2'!$O$5))), "n/a","data missing")))</f>
        <v/>
      </c>
      <c r="G53" s="168" t="str">
        <f>IF(G36="","",
IF(ISNUMBER('Waste results'!S87),ROUND('Waste results'!S87,0)&amp;" %",
IF(OR('Field information 2'!$Q$5="",ISNUMBER(SEARCH("01*04*12",'Field information 2'!$Q$5)), ISNUMBER(SEARCH("03*03*09",'Field information 2'!$Q$5)), ISNUMBER(SEARCH("03*03*11",'Field information 2'!$Q$5)), IFNUMBER(SEARCH("03*03*99",'Field information 2'!$Q$5)), ISNUMBER(SEARCH("06*01*99",'Field information 2'!$Q$5)), ISNUMBER(SEARCH("10*01*01",'Field information 2'!$Q$5)), ISNUMBER(SEARCH("10*01*03",'Field information 2'!$Q$5)), ISNUMBER(SEARCH("10*01*99",'Field information 2'!$Q$5)), ISNUMBER(SEARCH("10*13*04",'Field information 2'!$Q$5))), "n/a","data missing")))</f>
        <v/>
      </c>
    </row>
    <row r="54" spans="2:10" ht="7.5" customHeight="1" x14ac:dyDescent="0.35"/>
    <row r="55" spans="2:10" ht="41.15" customHeight="1" x14ac:dyDescent="0.35">
      <c r="B55" s="380" t="s">
        <v>32</v>
      </c>
      <c r="C55" s="381"/>
      <c r="D55" s="381"/>
      <c r="E55" s="381"/>
      <c r="F55" s="381"/>
      <c r="G55" s="381"/>
      <c r="I55" s="349"/>
    </row>
    <row r="56" spans="2:10" ht="7" customHeight="1" thickBot="1" x14ac:dyDescent="0.4"/>
    <row r="57" spans="2:10" x14ac:dyDescent="0.35">
      <c r="B57" s="400" t="s">
        <v>33</v>
      </c>
      <c r="C57" s="401"/>
      <c r="D57" s="70"/>
      <c r="E57" s="70" t="str">
        <f ca="1">IF(ISNUMBER(MATCH("data missing",Assessment!F7:F156,0)),"data missing",
IF(ISNUMBER(MATCH("exceeds limit",Assessment!F7:F156,0)),"yes","no"))</f>
        <v>no</v>
      </c>
      <c r="F57" s="70"/>
      <c r="G57" s="75"/>
      <c r="I57" s="349"/>
    </row>
    <row r="58" spans="2:10" x14ac:dyDescent="0.35">
      <c r="B58" s="369" t="s">
        <v>34</v>
      </c>
      <c r="C58" s="370"/>
      <c r="E58" t="str">
        <f ca="1">IF(ISNUMBER(MATCH("data missing",Assessment!M7:M156,0)),"data missing",
IF(ISNUMBER(MATCH("too high, not acceptable",Assessment!M7:M156,0)),"yes","no"))</f>
        <v>no</v>
      </c>
      <c r="G58" s="76"/>
    </row>
    <row r="59" spans="2:10" x14ac:dyDescent="0.35">
      <c r="B59" s="369" t="s">
        <v>35</v>
      </c>
      <c r="C59" s="370"/>
      <c r="E59" t="str">
        <f ca="1">IF(ISNUMBER(MATCH("data missing",Assessment!AG7:AG156,0)),"data missing",
IF(ISNUMBER(MATCH("no waste application - pH too low",Assessment!AG7:AG156,0)),"yes","no"))</f>
        <v>no</v>
      </c>
      <c r="G59" s="76"/>
    </row>
    <row r="60" spans="2:10" x14ac:dyDescent="0.35">
      <c r="B60" s="369" t="s">
        <v>615</v>
      </c>
      <c r="C60" s="370"/>
      <c r="E60" t="str">
        <f ca="1">IF(ISNUMBER(MATCH("data missing",Assessment!AG7:AG156,0)),"data missing",
IF(ISNUMBER(MATCH("liming highly recommended",Assessment!AG7:AG156,0)),"yes","no"))</f>
        <v>no</v>
      </c>
      <c r="G60" s="76"/>
    </row>
    <row r="61" spans="2:10" x14ac:dyDescent="0.35">
      <c r="B61" s="369" t="s">
        <v>36</v>
      </c>
      <c r="C61" s="370"/>
      <c r="E61" s="33" t="str">
        <f ca="1">IF(Assessment!AF7="no (significant) liming properties","n/a",
IF(ISNUMBER(MATCH("data missing",Assessment!AG7:AG156,0)),"data missing",
IF(OR(ISNUMBER(MATCH("no waste application - liming not required",Assessment!AG7:AG156,0)),ISNUMBER(MATCH("application rate too high - exceeds liming requirement",Assessment!AG7:AG156,0))),"yes","no")))</f>
        <v>no</v>
      </c>
      <c r="F61" s="33"/>
      <c r="G61" s="76"/>
    </row>
    <row r="62" spans="2:10" x14ac:dyDescent="0.35">
      <c r="B62" s="369" t="s">
        <v>37</v>
      </c>
      <c r="C62" s="370"/>
      <c r="E62" t="str">
        <f ca="1">IF(OR(ISNUMBER(MATCH("data missing",Assessment!AO7:AO156,0)),ISNUMBER(MATCH("data missing",Assessment!AT7:AT156,0)),ISNUMBER(MATCH("data missing",Assessment!AY7:AY156,0)),ISNUMBER(MATCH("data missing",Assessment!BD7:BD156,0)),ISNUMBER(MATCH("data missing",Assessment!BI7:BI156,0)),ISNUMBER(MATCH("data missing",Assessment!BN7:BN156,0)),ISNUMBER(MATCH("data missing",Assessment!BS7:BS156,0))),"data missing",
IF(OR(ISNUMBER(MATCH("application rate too high - permissible rate exceeds limit",Assessment!AO7:AO156,0)),ISNUMBER(MATCH("application rate too high - permissible rate exceeds limit",Assessment!AT7:AT156,0)),ISNUMBER(MATCH("application rate too high - permissible rate exceeds limit",Assessment!AY7:AY156,0)),ISNUMBER(MATCH("application rate too high - permissible rate exceeds limit",Assessment!BD7:BD156,0)),ISNUMBER(MATCH("application rate too high - permissible rate exceeds limit",Assessment!BI7:BI156,0)),ISNUMBER(MATCH("application rate too high - permissible rate exceeds limit",Assessment!BN7:BN156,0)),ISNUMBER(MATCH("application rate too high - permissible rate exceeds limit",Assessment!BS7:BS156,0))),"yes","no"))</f>
        <v>no</v>
      </c>
      <c r="G62" s="76"/>
    </row>
    <row r="63" spans="2:10" x14ac:dyDescent="0.35">
      <c r="B63" s="369" t="s">
        <v>38</v>
      </c>
      <c r="C63" s="370"/>
      <c r="E63" t="str">
        <f ca="1">IF(OR(ISNUMBER(MATCH("data missing",Assessment!AO7:AO156,0)),ISNUMBER(MATCH("data missing",Assessment!AT7:AT156,0)),ISNUMBER(MATCH("data missing",Assessment!AY7:AY156,0)),ISNUMBER(MATCH("data missing",Assessment!BD7:BD156,0)),ISNUMBER(MATCH("data missing",Assessment!BI7:BI156,0)),ISNUMBER(MATCH("data missing",Assessment!BN7:BN156,0)),ISNUMBER(MATCH("data missing",Assessment!BS7:BS156,0))),"data missing",
IF(OR(ISNUMBER(MATCH("no application - soil conc. already above limit",Assessment!AO7:AO156,0)),ISNUMBER(MATCH("no application - soil conc. already above limit",Assessment!AT7:AT156,0)),ISNUMBER(MATCH("no application - soil conc. already above limit",Assessment!AY7:AY156,0)),ISNUMBER(MATCH("no application - soil conc. already above limit",Assessment!BD7:BD156,0)),ISNUMBER(MATCH("no application - soil conc. already above limit",Assessment!BI7:BI156,0)),ISNUMBER(MATCH("no application - soil conc. already above limit",Assessment!BN7:BN156,0)),ISNUMBER(MATCH("no application - soil conc. already above limit",Assessment!BS7:BS156,0)),
ISNUMBER(MATCH("no application - soil conc. will exceed limit",Assessment!AO7:AO156,0)),ISNUMBER(MATCH("no application - soil conc. will exceed limit",Assessment!AT7:AT156,0)),ISNUMBER(MATCH("no application - soil conc. will exceed limit",Assessment!AY7:AY156,0)),ISNUMBER(MATCH("no application - soil conc. will exceed limit",Assessment!BD7:BD156,0)),ISNUMBER(MATCH("no application - soil conc. will exceed limit",Assessment!BI7:BI156,0)),ISNUMBER(MATCH("no application - soil conc. will exceed limit",Assessment!BN7:BN156,0)),ISNUMBER(MATCH("no application - soil conc. will exceed limit",Assessment!BS7:BS156,0
))),"yes","no"))</f>
        <v>no</v>
      </c>
      <c r="G63" s="76"/>
      <c r="I63" s="346"/>
    </row>
    <row r="64" spans="2:10" x14ac:dyDescent="0.35">
      <c r="B64" s="369" t="s">
        <v>39</v>
      </c>
      <c r="C64" s="370"/>
      <c r="E64" s="389" t="str">
        <f ca="1">IF(OR(ISNUMBER(MATCH("data missing",Assessment!AO7:AO156,0)),ISNUMBER(MATCH("data missing",Assessment!AT7:AT156,0)),ISNUMBER(MATCH("data missing",Assessment!AY7:AY156,0)),ISNUMBER(MATCH("data missing",Assessment!BD7:BD156,0)),ISNUMBER(MATCH("data missing",Assessment!BI7:BI156,0)),ISNUMBER(MATCH("data missing",Assessment!BN7:BN156,0)),ISNUMBER(MATCH("data missing",Assessment!BS7:BS156,0))),"data missing",
IF(OR(ISNUMBER(MATCH("soil conc. is at or above 90% of the limit",Assessment!AO7:AO156,0)),ISNUMBER(MATCH("soil conc. is at or above 90% of the limit",Assessment!AT7:AT156,0)),ISNUMBER(MATCH("soil conc. is at or above 90% of the limit",Assessment!AY7:AY156,0)),ISNUMBER(MATCH("soil conc. is at or above 90% of the limit",Assessment!BD7:BD156,0)),ISNUMBER(MATCH("soil conc. is at or above 90% of the limit",Assessment!BI7:BI156,0)),ISNUMBER(MATCH("soil conc. is at or above 90% of the limit",Assessment!BN7:BN156,0)),ISNUMBER(MATCH("soil conc. is at or above 90% of the limit",Assessment!BS7:BS156,0))),"yes – for relevant fields PTE analysis should not be older than 5yrs","no"))</f>
        <v>no</v>
      </c>
      <c r="F64" s="389"/>
      <c r="G64" s="390"/>
      <c r="I64" s="346"/>
    </row>
    <row r="65" spans="2:10" x14ac:dyDescent="0.35">
      <c r="B65" s="369" t="s">
        <v>40</v>
      </c>
      <c r="C65" s="370"/>
      <c r="E65" t="str">
        <f ca="1">IF(OR(ISNUMBER(MATCH("data missing",Assessment!AO7:AO156,0)),ISNUMBER(MATCH("data missing",Assessment!AT7:AT156,0)),ISNUMBER(MATCH("data missing",Assessment!AY7:AY156,0)),ISNUMBER(MATCH("data missing",Assessment!BD7:BD156,0)),ISNUMBER(MATCH("data missing",Assessment!BI7:BI156,0)),ISNUMBER(MATCH("data missing",Assessment!BN7:BN156,0)),ISNUMBER(MATCH("data missing",Assessment!BS7:BS156,0))),"data missing",
IF(OR(ISNUMBER(MATCH("soil limit likely to be exceeded in 10yrs",Assessment!AO7:AO156,0)),ISNUMBER(MATCH("soil limit likely to be exceeded in 10yrs",Assessment!AT7:AT156,0)),ISNUMBER(MATCH("soil limit likely to be exceeded in 10yrs",Assessment!AY7:AY156,0)),ISNUMBER(MATCH("soil limit likely to be exceeded in 10yrs",Assessment!BD7:BD156,0)),ISNUMBER(MATCH("soil limit likely to be exceeded in 10yrs",Assessment!BI7:BI156,0)),ISNUMBER(MATCH("soil limit likely to be exceeded in 10yrs",Assessment!BN7:BN156,0)),ISNUMBER(MATCH("soil limit likely to be exceeded in 10yrs",Assessment!BS7:BS156,0))),"yes","no"))</f>
        <v>no</v>
      </c>
      <c r="G65" s="76"/>
    </row>
    <row r="66" spans="2:10" ht="15" thickBot="1" x14ac:dyDescent="0.4">
      <c r="B66" s="398" t="s">
        <v>41</v>
      </c>
      <c r="C66" s="399"/>
      <c r="D66" s="72"/>
      <c r="E66" s="72" t="str">
        <f ca="1">IF(OR(ISNUMBER(MATCH("data missing",Assessment!AO7:AO156,0)),ISNUMBER(MATCH("data missing",Assessment!AT7:AT156,0)),ISNUMBER(MATCH("data missing",Assessment!AY7:AY156,0)),ISNUMBER(MATCH("data missing",Assessment!BD7:BD156,0)),ISNUMBER(MATCH("data missing",Assessment!BI7:BI156,0)),ISNUMBER(MATCH("data missing",Assessment!BN7:BN156,0)),ISNUMBER(MATCH("data missing",Assessment!BS7:BS156,0))),"data missing",
IF(OR(ISNUMBER(MATCH("soil limit likely to be exceeded in 50yrs",Assessment!AO7:AO156,0)),ISNUMBER(MATCH("soil limit likely to be exceeded in 50yrs",Assessment!AT7:AT156,0)),ISNUMBER(MATCH("soil limit likely to be exceeded in 50yrs",Assessment!AY7:AY156,0)),ISNUMBER(MATCH("soil limit likely to be exceeded in 50yrs",Assessment!BD7:BD156,0)),ISNUMBER(MATCH("soil limit likely to be exceeded in 50yrs",Assessment!BI7:BI156,0)),ISNUMBER(MATCH("soil limit likely to be exceeded in 50yrs",Assessment!BN7:BN156,0)),ISNUMBER(MATCH("soil limit likely to be exceeded in 50yrs",Assessment!BS7:BS156,0))),"yes","no"))</f>
        <v>no</v>
      </c>
      <c r="F66" s="72"/>
      <c r="G66" s="77"/>
      <c r="I66" s="346"/>
    </row>
    <row r="67" spans="2:10" ht="15" hidden="1" customHeight="1" thickBot="1" x14ac:dyDescent="0.4">
      <c r="B67" s="398" t="s">
        <v>42</v>
      </c>
      <c r="C67" s="399"/>
      <c r="D67" s="72"/>
      <c r="E67" s="72" t="s">
        <v>43</v>
      </c>
      <c r="F67" s="72"/>
      <c r="G67" s="77"/>
      <c r="I67" s="346"/>
    </row>
    <row r="68" spans="2:10" ht="6" customHeight="1" thickBot="1" x14ac:dyDescent="0.4">
      <c r="B68" s="17"/>
      <c r="C68" s="17"/>
      <c r="I68" s="346"/>
    </row>
    <row r="69" spans="2:10" x14ac:dyDescent="0.35">
      <c r="B69" s="387" t="s">
        <v>44</v>
      </c>
      <c r="C69" s="388"/>
      <c r="D69" s="70"/>
      <c r="E69" s="395" t="str">
        <f ca="1">IF(COUNTIF(Calc!BT5:BT156,"yes")=SUM(Calc!I5:I104),"yes", "no benefit at least for field "&amp;INDEX(Calc!AX5:AX156,MATCH("no",Calc!BT5:BT156,0)))</f>
        <v>yes</v>
      </c>
      <c r="F69" s="396"/>
      <c r="G69" s="397"/>
      <c r="I69" s="346"/>
      <c r="J69" s="61"/>
    </row>
    <row r="70" spans="2:10" ht="15" thickBot="1" x14ac:dyDescent="0.4">
      <c r="B70" s="378" t="s">
        <v>45</v>
      </c>
      <c r="C70" s="379"/>
      <c r="D70" s="72"/>
      <c r="E70" s="391" t="str">
        <f>IF('additional info'!B7="","no","yes")</f>
        <v>no</v>
      </c>
      <c r="F70" s="391"/>
      <c r="G70" s="392"/>
    </row>
    <row r="71" spans="2:10" ht="9" customHeight="1" thickBot="1" x14ac:dyDescent="0.4">
      <c r="E71" s="2"/>
    </row>
    <row r="72" spans="2:10" s="9" customFormat="1" ht="21" customHeight="1" thickBot="1" x14ac:dyDescent="0.4">
      <c r="B72" s="366" t="s">
        <v>621</v>
      </c>
      <c r="C72" s="367"/>
      <c r="D72" s="367"/>
      <c r="E72" s="367"/>
      <c r="F72" s="367"/>
      <c r="G72" s="368"/>
      <c r="I72" s="239"/>
    </row>
  </sheetData>
  <sheetProtection algorithmName="SHA-512" hashValue="GIkJpRrHx5RBuCFz7Tc2RDr28r//rPSwtmMULqqah4hUfLqyNR7FCJfNj0P1g0MkppVx7JIwK2doU8QiO6Mf1Q==" saltValue="ErJVyZh0vKuVJH6N31vf/w==" spinCount="100000" sheet="1" selectLockedCells="1"/>
  <mergeCells count="48">
    <mergeCell ref="B5:G5"/>
    <mergeCell ref="B1:G1"/>
    <mergeCell ref="B52:C52"/>
    <mergeCell ref="B53:C53"/>
    <mergeCell ref="B34:C34"/>
    <mergeCell ref="B49:G49"/>
    <mergeCell ref="B14:C14"/>
    <mergeCell ref="B15:C15"/>
    <mergeCell ref="B16:C16"/>
    <mergeCell ref="B31:C31"/>
    <mergeCell ref="B22:G22"/>
    <mergeCell ref="B3:G3"/>
    <mergeCell ref="B37:C37"/>
    <mergeCell ref="B39:C39"/>
    <mergeCell ref="B40:C40"/>
    <mergeCell ref="B24:C24"/>
    <mergeCell ref="B65:C65"/>
    <mergeCell ref="B70:C70"/>
    <mergeCell ref="E70:G70"/>
    <mergeCell ref="C12:G12"/>
    <mergeCell ref="B63:C63"/>
    <mergeCell ref="E69:G69"/>
    <mergeCell ref="B66:C66"/>
    <mergeCell ref="B67:C67"/>
    <mergeCell ref="B69:C69"/>
    <mergeCell ref="B57:C57"/>
    <mergeCell ref="B58:C58"/>
    <mergeCell ref="B59:C59"/>
    <mergeCell ref="B60:C60"/>
    <mergeCell ref="B61:C61"/>
    <mergeCell ref="B43:C43"/>
    <mergeCell ref="B41:C41"/>
    <mergeCell ref="B72:G72"/>
    <mergeCell ref="B64:C64"/>
    <mergeCell ref="F31:G31"/>
    <mergeCell ref="C10:G10"/>
    <mergeCell ref="C11:G11"/>
    <mergeCell ref="B32:C32"/>
    <mergeCell ref="B55:G55"/>
    <mergeCell ref="B62:C62"/>
    <mergeCell ref="B30:C30"/>
    <mergeCell ref="B38:C38"/>
    <mergeCell ref="E47:F47"/>
    <mergeCell ref="B42:C42"/>
    <mergeCell ref="B26:C26"/>
    <mergeCell ref="B27:C27"/>
    <mergeCell ref="B28:C28"/>
    <mergeCell ref="E64:G64"/>
  </mergeCells>
  <phoneticPr fontId="14" type="noConversion"/>
  <conditionalFormatting sqref="E69">
    <cfRule type="expression" dxfId="156" priority="53">
      <formula>LEFT(E69,2)="no"</formula>
    </cfRule>
  </conditionalFormatting>
  <conditionalFormatting sqref="E39:G39">
    <cfRule type="cellIs" dxfId="155" priority="10" operator="equal">
      <formula>"yes"</formula>
    </cfRule>
  </conditionalFormatting>
  <conditionalFormatting sqref="E30">
    <cfRule type="cellIs" dxfId="154" priority="41" operator="equal">
      <formula>"date missing"</formula>
    </cfRule>
    <cfRule type="expression" dxfId="153" priority="58">
      <formula>RIGHT(E30,3)="old"</formula>
    </cfRule>
  </conditionalFormatting>
  <conditionalFormatting sqref="E37:G38">
    <cfRule type="cellIs" dxfId="152" priority="39" operator="equal">
      <formula>"date(s) missing"</formula>
    </cfRule>
  </conditionalFormatting>
  <conditionalFormatting sqref="E31">
    <cfRule type="cellIs" dxfId="151" priority="40" operator="equal">
      <formula>"date missing"</formula>
    </cfRule>
    <cfRule type="expression" dxfId="150" priority="56">
      <formula>RIGHT(E31,3)="old"</formula>
    </cfRule>
  </conditionalFormatting>
  <conditionalFormatting sqref="E70:G70">
    <cfRule type="cellIs" dxfId="149" priority="55" operator="equal">
      <formula>"yes"</formula>
    </cfRule>
  </conditionalFormatting>
  <conditionalFormatting sqref="E57:E66">
    <cfRule type="cellIs" dxfId="148" priority="54" operator="equal">
      <formula>"data missing"</formula>
    </cfRule>
  </conditionalFormatting>
  <conditionalFormatting sqref="E52:G53">
    <cfRule type="cellIs" dxfId="147" priority="52" operator="equal">
      <formula>"data missing"</formula>
    </cfRule>
  </conditionalFormatting>
  <conditionalFormatting sqref="E57:E59 E61:E63">
    <cfRule type="cellIs" dxfId="146" priority="51" operator="equal">
      <formula>"yes"</formula>
    </cfRule>
  </conditionalFormatting>
  <conditionalFormatting sqref="E60">
    <cfRule type="cellIs" dxfId="145" priority="50" operator="equal">
      <formula>"yes"</formula>
    </cfRule>
  </conditionalFormatting>
  <conditionalFormatting sqref="E24">
    <cfRule type="cellIs" dxfId="144" priority="48" operator="equal">
      <formula>"provide info in cell G8"</formula>
    </cfRule>
    <cfRule type="cellIs" dxfId="143" priority="49" operator="equal">
      <formula>"yes"</formula>
    </cfRule>
  </conditionalFormatting>
  <conditionalFormatting sqref="E36:G36">
    <cfRule type="expression" dxfId="142" priority="47">
      <formula>RIGHT(E36,7)="missing"</formula>
    </cfRule>
  </conditionalFormatting>
  <conditionalFormatting sqref="E52:G52">
    <cfRule type="cellIs" dxfId="141" priority="45" operator="equal">
      <formula>"dry"</formula>
    </cfRule>
    <cfRule type="cellIs" dxfId="140" priority="46" operator="equal">
      <formula>"liquid"</formula>
    </cfRule>
  </conditionalFormatting>
  <conditionalFormatting sqref="E38:G38">
    <cfRule type="expression" dxfId="139" priority="43">
      <formula>RIGHT(E38,3)="old"</formula>
    </cfRule>
  </conditionalFormatting>
  <conditionalFormatting sqref="E45:G46">
    <cfRule type="cellIs" dxfId="138" priority="42" stopIfTrue="1" operator="equal">
      <formula>"yes"</formula>
    </cfRule>
  </conditionalFormatting>
  <conditionalFormatting sqref="F31:G31">
    <cfRule type="cellIs" dxfId="137" priority="38" operator="equal">
      <formula>"check if recent PTE analysis is provided for critical fields"</formula>
    </cfRule>
  </conditionalFormatting>
  <conditionalFormatting sqref="E20">
    <cfRule type="cellIs" dxfId="136" priority="37" operator="equal">
      <formula>"yes"</formula>
    </cfRule>
  </conditionalFormatting>
  <conditionalFormatting sqref="E37:G37">
    <cfRule type="expression" dxfId="135" priority="44" stopIfTrue="1">
      <formula>RIGHT(E37,3)="old"</formula>
    </cfRule>
    <cfRule type="expression" dxfId="134" priority="57">
      <formula>RIGHT(E37,6)="months"</formula>
    </cfRule>
  </conditionalFormatting>
  <conditionalFormatting sqref="E47 G47">
    <cfRule type="cellIs" dxfId="133" priority="25" operator="equal">
      <formula>"soil texture data missing"</formula>
    </cfRule>
    <cfRule type="cellIs" dxfId="132" priority="29" operator="equal">
      <formula>"yes"</formula>
    </cfRule>
  </conditionalFormatting>
  <conditionalFormatting sqref="E17:E19">
    <cfRule type="cellIs" dxfId="131" priority="28" operator="equal">
      <formula>"data missing"</formula>
    </cfRule>
  </conditionalFormatting>
  <conditionalFormatting sqref="F17">
    <cfRule type="cellIs" dxfId="130" priority="27" operator="equal">
      <formula>"application rate for ash too high"</formula>
    </cfRule>
  </conditionalFormatting>
  <conditionalFormatting sqref="E32">
    <cfRule type="cellIs" dxfId="129" priority="15" operator="equal">
      <formula>"yes"</formula>
    </cfRule>
    <cfRule type="cellIs" dxfId="128" priority="24" operator="equal">
      <formula>"only soil organic matter data missing"</formula>
    </cfRule>
  </conditionalFormatting>
  <conditionalFormatting sqref="E43:G43">
    <cfRule type="cellIs" dxfId="127" priority="9" operator="equal">
      <formula>"data missing"</formula>
    </cfRule>
    <cfRule type="cellIs" dxfId="126" priority="20" operator="equal">
      <formula>"internal check required"</formula>
    </cfRule>
    <cfRule type="expression" dxfId="125" priority="21">
      <formula>LEFT(E43,5)="check"</formula>
    </cfRule>
    <cfRule type="cellIs" dxfId="124" priority="30" operator="equal">
      <formula>"yes"</formula>
    </cfRule>
  </conditionalFormatting>
  <conditionalFormatting sqref="E41:G42">
    <cfRule type="cellIs" dxfId="123" priority="18" operator="equal">
      <formula>"yes"</formula>
    </cfRule>
    <cfRule type="cellIs" dxfId="122" priority="19" operator="equal">
      <formula>"max application rate per treatment missing"</formula>
    </cfRule>
  </conditionalFormatting>
  <conditionalFormatting sqref="E40:G40">
    <cfRule type="cellIs" dxfId="121" priority="17" operator="equal">
      <formula>"yes"</formula>
    </cfRule>
    <cfRule type="cellIs" dxfId="120" priority="4" operator="equal">
      <formula>"neutralisation value missing but not critical"</formula>
    </cfRule>
  </conditionalFormatting>
  <conditionalFormatting sqref="E26:E28">
    <cfRule type="cellIs" dxfId="119" priority="14" operator="equal">
      <formula>"yes"</formula>
    </cfRule>
  </conditionalFormatting>
  <conditionalFormatting sqref="E34">
    <cfRule type="cellIs" dxfId="118" priority="13" operator="equal">
      <formula>"yes"</formula>
    </cfRule>
  </conditionalFormatting>
  <conditionalFormatting sqref="C17">
    <cfRule type="expression" dxfId="117" priority="8">
      <formula>RIGHT(C17,3)="M5)"</formula>
    </cfRule>
  </conditionalFormatting>
  <conditionalFormatting sqref="E64">
    <cfRule type="cellIs" dxfId="116" priority="1" operator="equal">
      <formula>"yes – for relevant fields PTE analysis should not be older than 5yrs"</formula>
    </cfRule>
  </conditionalFormatting>
  <conditionalFormatting sqref="E65:E66">
    <cfRule type="cellIs" dxfId="115" priority="2" operator="equal">
      <formula>"yes"</formula>
    </cfRule>
  </conditionalFormatting>
  <dataValidations count="3">
    <dataValidation type="list" allowBlank="1" showInputMessage="1" showErrorMessage="1" sqref="G8:G9" xr:uid="{2D8D5525-2129-4565-B83B-C6422CD6198A}">
      <formula1>"single farm, multiple farms"</formula1>
    </dataValidation>
    <dataValidation type="list" allowBlank="1" showInputMessage="1" showErrorMessage="1" promptTitle="type or exemption" sqref="A13:B13 F8:F9" xr:uid="{48CA4BF0-0C65-4436-BF87-AAD42FE78082}">
      <formula1>"new, renewal"</formula1>
    </dataValidation>
    <dataValidation type="date" operator="greaterThan" allowBlank="1" showInputMessage="1" showErrorMessage="1" sqref="C8" xr:uid="{C02FA28B-9032-4E39-BB82-A1D6D62A7BE8}">
      <formula1>44835</formula1>
    </dataValidation>
  </dataValidations>
  <pageMargins left="0.7" right="0.7" top="0.75" bottom="0.75" header="0.3" footer="0.3"/>
  <pageSetup paperSize="0" orientation="portrait" horizontalDpi="0" verticalDpi="0" copies="0"/>
  <extLst>
    <ext xmlns:x14="http://schemas.microsoft.com/office/spreadsheetml/2009/9/main" uri="{78C0D931-6437-407d-A8EE-F0AAD7539E65}">
      <x14:conditionalFormattings>
        <x14:conditionalFormatting xmlns:xm="http://schemas.microsoft.com/office/excel/2006/main">
          <x14:cfRule type="expression" priority="11" id="{00000000-000E-0000-0000-00002F000000}">
            <xm:f>AND($C$8&lt;=Calc!$BY$6,E39="duplicates")</xm:f>
            <x14:dxf>
              <font>
                <b val="0"/>
                <i val="0"/>
                <color rgb="FFFF0000"/>
              </font>
              <fill>
                <patternFill patternType="none">
                  <bgColor auto="1"/>
                </patternFill>
              </fill>
            </x14:dxf>
          </x14:cfRule>
          <x14:cfRule type="expression" priority="12" id="{C439A07E-7C27-4AB1-BCD5-5A453C3D7D07}">
            <xm:f>AND($C$8&gt;Calc!$BY$6,E39="duplicates")</xm:f>
            <x14:dxf>
              <font>
                <b/>
                <i val="0"/>
                <color theme="0"/>
              </font>
              <fill>
                <patternFill patternType="solid">
                  <bgColor rgb="FFFF0000"/>
                </patternFill>
              </fill>
            </x14:dxf>
          </x14:cfRule>
          <x14:cfRule type="expression" priority="59" id="{DB924459-4F5F-434A-9945-96BB7EB20F72}">
            <xm:f>AND($C$8&gt;Calc!$BY$6,RIGHT(E39,3)="met")</xm:f>
            <x14:dxf>
              <font>
                <b/>
                <i val="0"/>
                <color theme="0"/>
              </font>
              <fill>
                <patternFill patternType="solid">
                  <bgColor rgb="FFFF0000"/>
                </patternFill>
              </fill>
            </x14:dxf>
          </x14:cfRule>
          <xm:sqref>E39:G39</xm:sqref>
        </x14:conditionalFormatting>
        <x14:conditionalFormatting xmlns:xm="http://schemas.microsoft.com/office/excel/2006/main">
          <x14:cfRule type="expression" priority="33" id="{580431C1-9DFB-4B18-9E4F-5074065FC345}">
            <xm:f>ROUND('Waste results'!S15,0)&gt;=30</xm:f>
            <x14:dxf>
              <font>
                <color rgb="FFFF0000"/>
              </font>
            </x14:dxf>
          </x14:cfRule>
          <xm:sqref>E53</xm:sqref>
        </x14:conditionalFormatting>
        <x14:conditionalFormatting xmlns:xm="http://schemas.microsoft.com/office/excel/2006/main">
          <x14:cfRule type="expression" priority="32" id="{4C314CC3-D29A-4913-8BCF-4BD0CB8BEEFC}">
            <xm:f>ROUND('Waste results'!S51,0)&gt;=30</xm:f>
            <x14:dxf>
              <font>
                <color rgb="FFFF0000"/>
              </font>
            </x14:dxf>
          </x14:cfRule>
          <xm:sqref>F53</xm:sqref>
        </x14:conditionalFormatting>
        <x14:conditionalFormatting xmlns:xm="http://schemas.microsoft.com/office/excel/2006/main">
          <x14:cfRule type="expression" priority="31" id="{F4F86656-C786-4504-BFF9-9440E6B2AE93}">
            <xm:f>ROUND('Waste results'!S87,0)&gt;=30</xm:f>
            <x14:dxf>
              <font>
                <color rgb="FFFF0000"/>
              </font>
            </x14:dxf>
          </x14:cfRule>
          <xm:sqref>G53</xm:sqref>
        </x14:conditionalFormatting>
        <x14:conditionalFormatting xmlns:xm="http://schemas.microsoft.com/office/excel/2006/main">
          <x14:cfRule type="expression" priority="6" id="{9F7B7D17-6A4C-48DC-874E-2F9F35271475}">
            <xm:f>AND($C$8&gt;Calc!$BY$6,E47="soil organic matter data missing")</xm:f>
            <x14:dxf>
              <font>
                <b/>
                <i val="0"/>
                <color theme="0"/>
              </font>
              <fill>
                <patternFill>
                  <bgColor rgb="FFFF0000"/>
                </patternFill>
              </fill>
            </x14:dxf>
          </x14:cfRule>
          <x14:cfRule type="expression" priority="7" id="{A8448D50-B1B1-4D27-8889-D4994D78CE6C}">
            <xm:f>AND($C$8&lt;=Calc!$BY$6,E47="soil organic matter data missing")</xm:f>
            <x14:dxf>
              <font>
                <color rgb="FFFF0000"/>
              </font>
            </x14:dxf>
          </x14:cfRule>
          <xm:sqref>E47:F47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9E73-97CF-4641-B98C-EA9715546617}">
  <dimension ref="A1:BY1188"/>
  <sheetViews>
    <sheetView zoomScaleNormal="100" workbookViewId="0">
      <pane ySplit="4" topLeftCell="A5" activePane="bottomLeft" state="frozen"/>
      <selection pane="bottomLeft" activeCell="A5" sqref="A5"/>
    </sheetView>
  </sheetViews>
  <sheetFormatPr defaultRowHeight="14.5" x14ac:dyDescent="0.35"/>
  <cols>
    <col min="1" max="3" width="11.1796875" customWidth="1"/>
    <col min="5" max="5" width="8.7265625" style="249"/>
    <col min="6" max="6" width="17.54296875" style="249" customWidth="1"/>
    <col min="7" max="7" width="9" customWidth="1"/>
    <col min="8" max="8" width="9.453125" customWidth="1"/>
    <col min="9" max="9" width="8" style="7" customWidth="1"/>
    <col min="10" max="10" width="14.54296875" style="7" customWidth="1"/>
    <col min="11" max="24" width="6.453125" style="7" customWidth="1"/>
    <col min="25" max="25" width="3.54296875" style="7" customWidth="1"/>
    <col min="26" max="26" width="8.7265625" customWidth="1"/>
    <col min="27" max="27" width="9.26953125" customWidth="1"/>
    <col min="28" max="35" width="7.453125" customWidth="1"/>
    <col min="36" max="36" width="3.54296875" customWidth="1"/>
    <col min="37" max="47" width="6.81640625" customWidth="1"/>
    <col min="48" max="48" width="10.54296875" customWidth="1"/>
    <col min="49" max="49" width="2.453125" style="332" customWidth="1"/>
    <col min="50" max="50" width="14.1796875" style="189" customWidth="1"/>
    <col min="51" max="51" width="21.1796875" customWidth="1"/>
    <col min="52" max="52" width="10.81640625" customWidth="1"/>
    <col min="53" max="53" width="5.1796875" style="324" customWidth="1"/>
    <col min="54" max="54" width="11.54296875" customWidth="1"/>
    <col min="59" max="59" width="12.1796875" customWidth="1"/>
    <col min="60" max="60" width="6.1796875" style="7" customWidth="1"/>
    <col min="61" max="61" width="19.81640625" customWidth="1"/>
    <col min="62" max="62" width="5.26953125" customWidth="1"/>
    <col min="63" max="63" width="10.81640625" customWidth="1"/>
    <col min="65" max="65" width="7.81640625" customWidth="1"/>
    <col min="66" max="66" width="8.7265625" style="249"/>
    <col min="74" max="74" width="24.1796875" customWidth="1"/>
    <col min="75" max="75" width="18.81640625" customWidth="1"/>
    <col min="77" max="77" width="17" bestFit="1" customWidth="1"/>
  </cols>
  <sheetData>
    <row r="1" spans="1:77" ht="14.5" customHeight="1" x14ac:dyDescent="0.35">
      <c r="A1" s="459" t="s">
        <v>284</v>
      </c>
      <c r="B1" s="459" t="s">
        <v>285</v>
      </c>
      <c r="C1" s="459" t="s">
        <v>286</v>
      </c>
      <c r="F1" s="459" t="s">
        <v>287</v>
      </c>
      <c r="I1" s="459" t="s">
        <v>288</v>
      </c>
      <c r="U1" s="450"/>
      <c r="V1" s="450"/>
      <c r="W1" s="450"/>
      <c r="X1" s="450"/>
      <c r="AY1" s="459" t="s">
        <v>289</v>
      </c>
      <c r="BB1" s="459" t="s">
        <v>588</v>
      </c>
    </row>
    <row r="2" spans="1:77" ht="14.5" customHeight="1" x14ac:dyDescent="0.35">
      <c r="A2" s="459"/>
      <c r="B2" s="459"/>
      <c r="C2" s="459"/>
      <c r="F2" s="459"/>
      <c r="I2" s="459"/>
      <c r="K2" s="456" t="s">
        <v>290</v>
      </c>
      <c r="L2" s="456"/>
      <c r="M2" s="456"/>
      <c r="N2" s="456"/>
      <c r="O2" s="456"/>
      <c r="P2" s="456"/>
      <c r="Q2" s="456"/>
      <c r="R2" s="456"/>
      <c r="S2" s="456"/>
      <c r="T2" s="456"/>
      <c r="U2" s="456"/>
      <c r="V2" s="456"/>
      <c r="W2" s="456"/>
      <c r="X2" s="456"/>
      <c r="Z2" s="462" t="s">
        <v>291</v>
      </c>
      <c r="AA2" s="462"/>
      <c r="AB2" s="462"/>
      <c r="AC2" s="462"/>
      <c r="AD2" s="462"/>
      <c r="AE2" s="462"/>
      <c r="AF2" s="462"/>
      <c r="AG2" s="462"/>
      <c r="AH2" s="462"/>
      <c r="AI2" s="462"/>
      <c r="AK2" s="462" t="s">
        <v>292</v>
      </c>
      <c r="AL2" s="462"/>
      <c r="AM2" s="462"/>
      <c r="AN2" s="462"/>
      <c r="AO2" s="462"/>
      <c r="AP2" s="462"/>
      <c r="AQ2" s="462"/>
      <c r="AR2" s="462"/>
      <c r="AS2" s="462"/>
      <c r="AT2" s="462"/>
      <c r="AU2" s="249"/>
      <c r="AV2" s="249"/>
      <c r="AY2" s="459"/>
      <c r="BB2" s="459"/>
      <c r="BC2" s="44"/>
      <c r="BD2" s="44"/>
      <c r="BE2" s="44"/>
      <c r="BF2" s="44"/>
      <c r="BG2" s="44"/>
      <c r="BH2" s="146"/>
      <c r="BI2" s="44"/>
      <c r="BJ2" s="44"/>
      <c r="BK2" s="44"/>
      <c r="BL2" s="460" t="s">
        <v>582</v>
      </c>
      <c r="BM2" s="460" t="s">
        <v>293</v>
      </c>
      <c r="BN2" s="460" t="s">
        <v>294</v>
      </c>
      <c r="BO2" s="460" t="s">
        <v>295</v>
      </c>
      <c r="BP2" s="460" t="s">
        <v>296</v>
      </c>
      <c r="BQ2" s="460" t="s">
        <v>297</v>
      </c>
      <c r="BR2" s="460" t="s">
        <v>298</v>
      </c>
      <c r="BS2" s="295"/>
      <c r="BT2" s="460" t="s">
        <v>299</v>
      </c>
    </row>
    <row r="3" spans="1:77" ht="29.15" customHeight="1" x14ac:dyDescent="0.35">
      <c r="A3" s="459"/>
      <c r="B3" s="459"/>
      <c r="C3" s="459"/>
      <c r="D3" s="450" t="s">
        <v>300</v>
      </c>
      <c r="E3" s="456" t="s">
        <v>301</v>
      </c>
      <c r="F3" s="459"/>
      <c r="G3" s="456" t="s">
        <v>302</v>
      </c>
      <c r="H3" s="459" t="s">
        <v>99</v>
      </c>
      <c r="I3" s="459"/>
      <c r="J3" s="456" t="s">
        <v>562</v>
      </c>
      <c r="K3" s="1" t="s">
        <v>303</v>
      </c>
      <c r="L3" s="1" t="s">
        <v>304</v>
      </c>
      <c r="M3" s="1" t="s">
        <v>305</v>
      </c>
      <c r="N3" s="1" t="s">
        <v>306</v>
      </c>
      <c r="O3" s="1" t="s">
        <v>307</v>
      </c>
      <c r="P3" s="1" t="s">
        <v>308</v>
      </c>
      <c r="Q3" s="1" t="s">
        <v>309</v>
      </c>
      <c r="R3" s="1" t="s">
        <v>310</v>
      </c>
      <c r="S3" s="1" t="s">
        <v>311</v>
      </c>
      <c r="T3" s="1" t="s">
        <v>312</v>
      </c>
      <c r="U3" s="1" t="s">
        <v>103</v>
      </c>
      <c r="V3" s="1" t="s">
        <v>313</v>
      </c>
      <c r="W3" s="1" t="s">
        <v>104</v>
      </c>
      <c r="X3" s="1" t="s">
        <v>105</v>
      </c>
      <c r="Y3" s="1"/>
      <c r="Z3" s="7" t="s">
        <v>303</v>
      </c>
      <c r="AA3" s="7" t="s">
        <v>304</v>
      </c>
      <c r="AB3" s="7" t="s">
        <v>305</v>
      </c>
      <c r="AC3" s="7" t="s">
        <v>306</v>
      </c>
      <c r="AD3" s="7" t="s">
        <v>307</v>
      </c>
      <c r="AE3" s="7" t="s">
        <v>308</v>
      </c>
      <c r="AF3" s="7" t="s">
        <v>309</v>
      </c>
      <c r="AG3" s="7" t="s">
        <v>310</v>
      </c>
      <c r="AH3" s="7" t="s">
        <v>311</v>
      </c>
      <c r="AI3" s="7" t="s">
        <v>312</v>
      </c>
      <c r="AK3" s="7" t="s">
        <v>303</v>
      </c>
      <c r="AL3" s="7" t="s">
        <v>304</v>
      </c>
      <c r="AM3" s="7" t="s">
        <v>305</v>
      </c>
      <c r="AN3" s="7" t="s">
        <v>306</v>
      </c>
      <c r="AO3" s="7" t="s">
        <v>307</v>
      </c>
      <c r="AP3" s="7" t="s">
        <v>308</v>
      </c>
      <c r="AQ3" s="7" t="s">
        <v>309</v>
      </c>
      <c r="AR3" s="7" t="s">
        <v>310</v>
      </c>
      <c r="AS3" s="7" t="s">
        <v>311</v>
      </c>
      <c r="AT3" s="7" t="s">
        <v>312</v>
      </c>
      <c r="AU3" s="7"/>
      <c r="AV3" s="7" t="s">
        <v>314</v>
      </c>
      <c r="AW3" s="333"/>
      <c r="AX3" s="463" t="s">
        <v>315</v>
      </c>
      <c r="AY3" s="459"/>
      <c r="AZ3" s="456" t="s">
        <v>99</v>
      </c>
      <c r="BB3" s="459"/>
      <c r="BC3" s="461" t="s">
        <v>316</v>
      </c>
      <c r="BD3" s="461"/>
      <c r="BE3" s="461"/>
      <c r="BF3" s="461"/>
      <c r="BG3" s="44"/>
      <c r="BH3" s="458" t="s">
        <v>317</v>
      </c>
      <c r="BI3" s="44"/>
      <c r="BJ3" s="44"/>
      <c r="BK3" s="44"/>
      <c r="BL3" s="460"/>
      <c r="BM3" s="460"/>
      <c r="BN3" s="460"/>
      <c r="BO3" s="460"/>
      <c r="BP3" s="460"/>
      <c r="BQ3" s="460"/>
      <c r="BR3" s="460"/>
      <c r="BS3" s="460" t="s">
        <v>318</v>
      </c>
      <c r="BT3" s="460"/>
      <c r="BW3" s="216" t="s">
        <v>319</v>
      </c>
    </row>
    <row r="4" spans="1:77" x14ac:dyDescent="0.35">
      <c r="A4" s="459"/>
      <c r="B4" s="459"/>
      <c r="C4" s="459"/>
      <c r="D4" s="450"/>
      <c r="E4" s="456"/>
      <c r="F4" s="459"/>
      <c r="G4" s="456"/>
      <c r="H4" s="459"/>
      <c r="I4" s="459"/>
      <c r="J4" s="456"/>
      <c r="K4" s="91">
        <v>1</v>
      </c>
      <c r="L4" s="91">
        <v>2</v>
      </c>
      <c r="M4" s="91">
        <v>3</v>
      </c>
      <c r="N4" s="91">
        <v>4</v>
      </c>
      <c r="O4" s="91">
        <v>5</v>
      </c>
      <c r="P4" s="91">
        <v>6</v>
      </c>
      <c r="Q4" s="91">
        <v>7</v>
      </c>
      <c r="R4" s="91">
        <v>8</v>
      </c>
      <c r="S4" s="91">
        <v>9</v>
      </c>
      <c r="T4" s="91">
        <v>10</v>
      </c>
      <c r="U4" s="91"/>
      <c r="V4" s="91"/>
      <c r="W4" s="91"/>
      <c r="X4" s="91"/>
      <c r="Y4" s="1"/>
      <c r="Z4" s="7">
        <v>1</v>
      </c>
      <c r="AA4" s="7">
        <f>Z4+1</f>
        <v>2</v>
      </c>
      <c r="AB4" s="7">
        <f t="shared" ref="AB4:AI4" si="0">AA4+1</f>
        <v>3</v>
      </c>
      <c r="AC4" s="7">
        <f t="shared" si="0"/>
        <v>4</v>
      </c>
      <c r="AD4" s="7">
        <f t="shared" si="0"/>
        <v>5</v>
      </c>
      <c r="AE4" s="7">
        <f t="shared" si="0"/>
        <v>6</v>
      </c>
      <c r="AF4" s="7">
        <f t="shared" si="0"/>
        <v>7</v>
      </c>
      <c r="AG4" s="7">
        <f t="shared" si="0"/>
        <v>8</v>
      </c>
      <c r="AH4" s="7">
        <f t="shared" si="0"/>
        <v>9</v>
      </c>
      <c r="AI4" s="7">
        <f t="shared" si="0"/>
        <v>10</v>
      </c>
      <c r="AK4" s="7">
        <v>1</v>
      </c>
      <c r="AL4" s="7">
        <f>AK4+1</f>
        <v>2</v>
      </c>
      <c r="AM4" s="7">
        <f t="shared" ref="AM4" si="1">AL4+1</f>
        <v>3</v>
      </c>
      <c r="AN4" s="7">
        <f t="shared" ref="AN4" si="2">AM4+1</f>
        <v>4</v>
      </c>
      <c r="AO4" s="7">
        <f t="shared" ref="AO4" si="3">AN4+1</f>
        <v>5</v>
      </c>
      <c r="AP4" s="7">
        <f t="shared" ref="AP4" si="4">AO4+1</f>
        <v>6</v>
      </c>
      <c r="AQ4" s="7">
        <f t="shared" ref="AQ4" si="5">AP4+1</f>
        <v>7</v>
      </c>
      <c r="AR4" s="7">
        <f t="shared" ref="AR4" si="6">AQ4+1</f>
        <v>8</v>
      </c>
      <c r="AS4" s="7">
        <f t="shared" ref="AS4" si="7">AR4+1</f>
        <v>9</v>
      </c>
      <c r="AT4" s="7">
        <f t="shared" ref="AT4" si="8">AS4+1</f>
        <v>10</v>
      </c>
      <c r="AU4" s="7"/>
      <c r="AV4" s="7"/>
      <c r="AW4" s="333"/>
      <c r="AX4" s="463"/>
      <c r="AY4" s="459"/>
      <c r="AZ4" s="456"/>
      <c r="BB4" s="459"/>
      <c r="BC4" s="44" t="s">
        <v>300</v>
      </c>
      <c r="BD4" s="44" t="s">
        <v>320</v>
      </c>
      <c r="BE4" s="44" t="s">
        <v>321</v>
      </c>
      <c r="BF4" s="44" t="s">
        <v>322</v>
      </c>
      <c r="BG4" s="44" t="s">
        <v>314</v>
      </c>
      <c r="BH4" s="458"/>
      <c r="BI4" s="44" t="s">
        <v>323</v>
      </c>
      <c r="BJ4" s="44" t="s">
        <v>324</v>
      </c>
      <c r="BK4" s="44" t="s">
        <v>325</v>
      </c>
      <c r="BL4" s="460"/>
      <c r="BM4" s="460"/>
      <c r="BN4" s="460"/>
      <c r="BO4" s="460"/>
      <c r="BP4" s="460"/>
      <c r="BQ4" s="460"/>
      <c r="BR4" s="460"/>
      <c r="BS4" s="460"/>
      <c r="BT4" s="460"/>
      <c r="BV4" t="s">
        <v>203</v>
      </c>
      <c r="BW4" t="s">
        <v>326</v>
      </c>
      <c r="BX4" t="s">
        <v>555</v>
      </c>
    </row>
    <row r="5" spans="1:77" x14ac:dyDescent="0.35">
      <c r="A5" s="272">
        <f>IF(AND('Field information 2'!L12&gt;0, 'Field information 2'!M12=0),"data missing", 'Field information 2'!M12-'Field information 2'!L12)</f>
        <v>0</v>
      </c>
      <c r="B5" s="272">
        <f>IF(AND('Field information 2'!N12&gt;0,'Field information 2'!O12=0),"data missing",'Field information 2'!O12-'Field information 2'!N12)</f>
        <v>0</v>
      </c>
      <c r="C5" s="272">
        <f>IF(AND('Field information 2'!P12&gt;0, 'Field information 2'!Q12=0),"data missing",'Field information 2'!Q12-'Field information 2'!P12)</f>
        <v>0</v>
      </c>
      <c r="D5" s="272">
        <f>'Field information 2'!L12</f>
        <v>0</v>
      </c>
      <c r="E5" s="249" t="str">
        <f>IF(OR('Field information 2'!L12&gt;0,'Field information 2'!N12&gt;0,'Field information 2'!P12&gt;0),"Y","N")</f>
        <v>N</v>
      </c>
      <c r="F5" s="277" t="str">
        <f>IF(G5="","",
IF(AV5="","texture missing",
IF(OR(K5="",K5=0),"OM missing",
IF(I5=1,
   IF(AND(K5&gt;25, AV5="&gt;25% OM"), "yes",
   IF(AND(K5&gt;=10, AV5="10-25% OM"), "yes",
   IF(AND(K5&lt;10, OR(AV5="S; LS", AV5="SL; SZL; ZL", AV5="SCL; CL; ZCL; SC; ZC; C")), "yes","no"))),
IF(I5&gt;1,
   IF(W5&gt;25,
       IF(AV5="&gt;25% OM", "yes", "no"),
   IF(X5&lt;10,
      IF(OR(AV5="S; LS",AV5="SL; SZL; ZL", AV5="SCL; CL; ZCL; SC; ZC; C"), "yes","no"),
   IF(AND(W5&gt;=10,X5&lt;=25),
       IF(AV5="10-25% OM", "yes", "no"),
   IF(OR(AV5="S; LS", AV5="SL; SZL; ZL", AV5="SCL; CL; ZCL; SC; ZC; C"),
       IF(V5&lt;10,"yes","no"),
   IF(AV5="10-25% OM",
       IF(AND(V5&gt;=10,V5&lt;=25),"yes","no"),
   IF(AV5="&gt;25% OM",
       IF(V5&gt;25,"yes","no"))))))))))))</f>
        <v/>
      </c>
      <c r="G5" t="str">
        <f>IF(OR(ISBLANK('Field information 1'!B6),AND(OR(ISBLANK('Field information 2'!L12), 'Field information 2'!L12=0),OR(ISBLANK('Field information 2'!N12), 'Field information 2'!N12=0), OR(ISBLANK('Field information 2'!P12), 'Field information 2'!P12=0))),"",
IF(ISTEXT('Field information 1'!B6), 'Field information 1'!B6, TEXT('Field information 1'!B6,"0")))</f>
        <v/>
      </c>
      <c r="H5" t="str">
        <f>IF(OR(ISBLANK('Field information 1'!B6),ISBLANK('Field information 2'!L12),ISBLANK('Field information 2'!F12)),"",'Field information 2'!F12)</f>
        <v/>
      </c>
      <c r="I5" s="91" t="str">
        <f>IF(OR(ISBLANK('Field information 1'!E6),G5=""),"",CEILING('Field information 1'!E6/10,1))</f>
        <v/>
      </c>
      <c r="J5" s="91" t="str">
        <f>IF(AND(E5="Y", G5&lt;&gt;"", AV5=""), "yes", "no")</f>
        <v>no</v>
      </c>
      <c r="K5" s="135" t="str">
        <f t="shared" ref="K5:T5" ca="1" si="9">VLOOKUP(Z5,$AX$5:$BH$154,11,FALSE)</f>
        <v/>
      </c>
      <c r="L5" s="135" t="str">
        <f t="shared" ca="1" si="9"/>
        <v/>
      </c>
      <c r="M5" s="135" t="str">
        <f t="shared" ca="1" si="9"/>
        <v/>
      </c>
      <c r="N5" s="135" t="str">
        <f t="shared" ca="1" si="9"/>
        <v/>
      </c>
      <c r="O5" s="135" t="str">
        <f t="shared" ca="1" si="9"/>
        <v/>
      </c>
      <c r="P5" s="135" t="str">
        <f t="shared" ca="1" si="9"/>
        <v/>
      </c>
      <c r="Q5" s="135" t="str">
        <f t="shared" ca="1" si="9"/>
        <v/>
      </c>
      <c r="R5" s="135" t="str">
        <f t="shared" ca="1" si="9"/>
        <v/>
      </c>
      <c r="S5" s="135" t="str">
        <f t="shared" ca="1" si="9"/>
        <v/>
      </c>
      <c r="T5" s="135" t="str">
        <f t="shared" ca="1" si="9"/>
        <v/>
      </c>
      <c r="U5" s="49" t="str">
        <f ca="1">IF(K5="","", AVERAGE(K5:T5))</f>
        <v/>
      </c>
      <c r="V5" s="7" t="str">
        <f ca="1">IF(K5="","", MEDIAN(K5:T5))</f>
        <v/>
      </c>
      <c r="W5" s="7" t="str">
        <f ca="1">IF(K5="","", MIN(K5:T5))</f>
        <v/>
      </c>
      <c r="X5" s="7" t="str">
        <f ca="1">IF(K5="","", MAX(K5:T5))</f>
        <v/>
      </c>
      <c r="Y5" s="91"/>
      <c r="Z5" s="247" t="str">
        <f>IF(AND(Z$4&lt;=$I5,$G5&lt;&gt;"",I5&lt;&gt;""),$G5&amp;" "&amp;Z$3, "")</f>
        <v/>
      </c>
      <c r="AA5" s="247" t="str">
        <f t="shared" ref="AA5:AI5" si="10">IF(AND(AA$4&lt;=$I5,$G5&lt;&gt;"",Z5&lt;&gt;""),$G5&amp;" "&amp;AA$3, "")</f>
        <v/>
      </c>
      <c r="AB5" s="247" t="str">
        <f t="shared" si="10"/>
        <v/>
      </c>
      <c r="AC5" s="247" t="str">
        <f t="shared" si="10"/>
        <v/>
      </c>
      <c r="AD5" s="247" t="str">
        <f t="shared" si="10"/>
        <v/>
      </c>
      <c r="AE5" s="247" t="str">
        <f t="shared" si="10"/>
        <v/>
      </c>
      <c r="AF5" s="247" t="str">
        <f t="shared" si="10"/>
        <v/>
      </c>
      <c r="AG5" s="247" t="str">
        <f t="shared" si="10"/>
        <v/>
      </c>
      <c r="AH5" s="247" t="str">
        <f t="shared" si="10"/>
        <v/>
      </c>
      <c r="AI5" s="247" t="str">
        <f t="shared" si="10"/>
        <v/>
      </c>
      <c r="AK5" s="247" t="str">
        <f>IF(AND(AK$4&lt;=$I5,$H5&lt;&gt;"",$I5&lt;&gt;""), $H5&amp;" "&amp;AK$3,
IF(Z5&lt;&gt;"",Z5,""))</f>
        <v/>
      </c>
      <c r="AL5" s="247" t="str">
        <f t="shared" ref="AL5:AT5" si="11">IF(AND(AL$4&lt;=$I5,$H5&lt;&gt;"",$I5&lt;&gt;""), $H5&amp;" "&amp;AL$3,
IF(AA5&lt;&gt;"",AA5,""))</f>
        <v/>
      </c>
      <c r="AM5" s="247" t="str">
        <f t="shared" si="11"/>
        <v/>
      </c>
      <c r="AN5" s="247" t="str">
        <f t="shared" si="11"/>
        <v/>
      </c>
      <c r="AO5" s="247" t="str">
        <f t="shared" si="11"/>
        <v/>
      </c>
      <c r="AP5" s="247" t="str">
        <f t="shared" si="11"/>
        <v/>
      </c>
      <c r="AQ5" s="247" t="str">
        <f t="shared" si="11"/>
        <v/>
      </c>
      <c r="AR5" s="247" t="str">
        <f t="shared" si="11"/>
        <v/>
      </c>
      <c r="AS5" s="247" t="str">
        <f t="shared" si="11"/>
        <v/>
      </c>
      <c r="AT5" s="247" t="str">
        <f t="shared" si="11"/>
        <v/>
      </c>
      <c r="AV5" t="str">
        <f>IF(ISBLANK('Field information 1'!F6),"",'Field information 1'!F6)</f>
        <v/>
      </c>
      <c r="AX5" s="247" t="str" cm="1">
        <f t="array" aca="1" ref="AX5" ca="1">INDIRECT(TEXT(MIN(IF((Calc!$Z$5:$AI$104&lt;&gt;"")*(COUNTIF($AX$4:AX4,Calc!$Z$5:$AI$104)=0),ROW(Calc!$Z$5:$AI$104)*100+COLUMN(Calc!$Z$5:$AI$104),7^8)),"Calc!R0C00"),)&amp;""</f>
        <v/>
      </c>
      <c r="AY5" t="str" cm="1">
        <f t="array" aca="1" ref="AY5" ca="1">INDIRECT(TEXT(MIN(IF((Calc!$AK$5:$AT$104&lt;&gt;"")*(COUNTIF(AY$4:$AY4,Calc!$AK$5:$AT$104)=0),ROW(Calc!$AK$5:$AT$104)*100+COLUMN(Calc!$AK$5:$AT$104),7^8)),"Calc!R0C00"),)&amp;""</f>
        <v/>
      </c>
      <c r="AZ5" s="247" t="str">
        <f ca="1">IF(AY5=AX5,"",AY5)</f>
        <v/>
      </c>
      <c r="BA5" s="331">
        <v>1</v>
      </c>
      <c r="BB5">
        <f ca="1">IF(BF5=0, 0, BC5*BP$5+BD5*BQ$5+BE5*BR$5)</f>
        <v>0</v>
      </c>
      <c r="BC5" t="str">
        <f ca="1">IF($AX5="","",
VLOOKUP(LEFT($AX5,LEN($AX5)-2),'Field information 2'!$B$12:$P$111,11,FALSE))</f>
        <v/>
      </c>
      <c r="BD5" t="str">
        <f ca="1">IF($AX5="","",
VLOOKUP(LEFT($AX5,LEN($AX5)-2),'Field information 2'!$B$12:$P$111,13,FALSE))</f>
        <v/>
      </c>
      <c r="BE5" t="str">
        <f ca="1">IF($AX5="","",
VLOOKUP(LEFT($AX5,LEN($AX5)-2),'Field information 2'!$B$12:$P$111,15,FALSE))</f>
        <v/>
      </c>
      <c r="BF5">
        <f ca="1">SUM(BC5:BE5)</f>
        <v>0</v>
      </c>
      <c r="BG5" t="str">
        <f ca="1">IF($AX5="","",
VLOOKUP(LEFT($AX5,LEN($AX5)-2),$G$5:$AV$104,42,FALSE))</f>
        <v/>
      </c>
      <c r="BH5" s="7" t="str">
        <f ca="1">IF(OR(AX5="",'Soil results'!$D$7="",'Soil results'!$D$8=""),"",
IF('Soil results'!$D$7="LOI",
  IF('Soil results'!$D$8="mg/kg",'Soil results'!D10/10000,'Soil results'!D10),
IF('Soil results'!$D$7="Dumas",
  IF('Soil results'!$D$8="mg/kg",'Soil results'!D10*1.72/10000,'Soil results'!D10*1.72))))</f>
        <v/>
      </c>
      <c r="BI5" t="str">
        <f ca="1">IF($AX5="","",
VLOOKUP(LEFT($AX5,LEN($AX5)-2),'Field information 2'!$B$12:$I$111,8,FALSE))</f>
        <v/>
      </c>
      <c r="BJ5" t="str">
        <f ca="1">IF(BI5="","",
VLOOKUP(BI5,'Fertiliser recommendations'!$A$5:$B$62,2,FALSE))</f>
        <v/>
      </c>
      <c r="BK5" s="38" t="str">
        <f ca="1">IF($AX5="","",
IF(AND(BJ5="g",VLOOKUP(LEFT($AX5,LEN($AX5)-2),'Field information 2'!$B$12:$P$111,9,FALSE)&lt;&gt;"yes"),
IF(BG5="10-25% OM",6,IF(BG5="&gt;25% OM",12,IF(BG5="SCL; CL; ZCL; SC; ZC; C",6,IF(BG5="SL; SZL; ZL",5,IF(BG5="S; LS",4,"?"))))),
IF(OR(BJ5="a",AND(BJ5="g",VLOOKUP(LEFT($AX5,LEN($AX5)-2),'Field information 2'!$B$12:$P$111,9,FALSE)="yes")),
IF(BG5="10-25% OM",8,IF(BG5="&gt;25% OM",16,IF(BG5="SCL; CL; ZCL; SC; ZC; C",8,IF(BG5="SL; SZL; ZL",7,IF(BG5="S; LS",6,"?"))))),"")))</f>
        <v/>
      </c>
      <c r="BL5" t="str">
        <f ca="1">IF(AX5&lt;&gt;"",COUNTBLANK('Soil results'!D10:D10)+COUNTBLANK('Soil results'!F10:I10)+COUNTBLANK('Soil results'!K10:Q10),"")</f>
        <v/>
      </c>
      <c r="BM5" t="str">
        <f ca="1">IF(AX5&lt;&gt;"",
IF(OR(ISNUMBER(SEARCH("10*01*01",'Field information 2'!$M$5)),ISNUMBER(SEARCH("10*01*03",'Field information 2'!$M$5))),0.25,1),"")</f>
        <v/>
      </c>
      <c r="BN5" s="275" t="str">
        <f ca="1">IF(AX5&lt;&gt;"",
IF(COUNTIF('Soil results'!G11:G$159,"="&amp;'Soil results'!G10)+COUNTIF('Soil results'!H11:H$159,"="&amp;'Soil results'!H10)+COUNTIF('Soil results'!I11:I$159,"="&amp;'Soil results'!I10)=0,"no",
IF(MOD(COUNTIF('Soil results'!G11:G$159,"="&amp;'Soil results'!G10)+COUNTIF('Soil results'!H11:H$159,"="&amp;'Soil results'!H10)+COUNTIF('Soil results'!I11:I$159,"="&amp;'Soil results'!I10),3)=0,"yes","no")),"")</f>
        <v/>
      </c>
      <c r="BO5" s="276" t="str">
        <f ca="1">IF(AX5&lt;&gt;"",
IF(BH5&gt;25, IF(BG5="&gt;25% OM","yes","no"),
IF(BH5&gt;=10, IF(BG5="10-25% OM","yes","no"),"yes")),"")</f>
        <v/>
      </c>
      <c r="BP5" s="33">
        <f>IF(OR('Field information 2'!M5="xx",ISBLANK('Field information 2'!M5)), 0,
IF('Field information 2'!M7="yes",
    IF(ISNUMBER('Field information 2'!M9), 'Field information 2'!M9/100, "??"),
1))</f>
        <v>0</v>
      </c>
      <c r="BQ5" s="276">
        <f>IF(OR('Field information 2'!O5="xx",ISBLANK('Field information 2'!O5)), 0,
IF('Field information 2'!O7="yes",
    IF(ISNUMBER('Field information 2'!O9), 'Field information 2'!O9/100, "??"),
1))</f>
        <v>0</v>
      </c>
      <c r="BR5" s="276">
        <f>IF(OR('Field information 2'!Q5="xx",ISBLANK('Field information 2'!Q5)), 0,
IF('Field information 2'!Q7="yes",
    IF(ISNUMBER('Field information 2'!Q9), 'Field information 2'!Q9/100, "??"),
1))</f>
        <v>0</v>
      </c>
      <c r="BS5" s="276" t="str">
        <f ca="1">IF(AND(BM5=0.25,BP$5&gt;0,BP$5&lt;1),BC5*BP$5,"")</f>
        <v/>
      </c>
      <c r="BT5" s="153" t="str">
        <f ca="1">IF(AX5="","",
IF(OR(Assessment!F7="limited benefit",Assessment!F7="benefit", Assessment!M7="limited benefit",Assessment!M7="benefit", Assessment!R7="limited benefit",Assessment!R7="benefit", Assessment!W7="limited benefit",Assessment!W7="benefit", Assessment!AB7="limited benefit",Assessment!AB7="benefit", AND(ISNUMBER(Assessment!AF7),Assessment!AG7="ok"), Assessment!AJ7="benefit"),"yes","no"))</f>
        <v/>
      </c>
      <c r="BV5" t="s">
        <v>208</v>
      </c>
      <c r="BW5" t="s">
        <v>327</v>
      </c>
    </row>
    <row r="6" spans="1:77" x14ac:dyDescent="0.35">
      <c r="A6" s="272">
        <f>IF(AND('Field information 2'!L13&gt;0, 'Field information 2'!M13=0),"data missing", 'Field information 2'!M13-'Field information 2'!L13)</f>
        <v>0</v>
      </c>
      <c r="B6" s="272">
        <f>IF(AND('Field information 2'!N13&gt;0,'Field information 2'!O13=0),"data missing",'Field information 2'!O13-'Field information 2'!N13)</f>
        <v>0</v>
      </c>
      <c r="C6" s="272">
        <f>IF(AND('Field information 2'!P13&gt;0, 'Field information 2'!Q13=0),"data missing",'Field information 2'!Q13-'Field information 2'!P13)</f>
        <v>0</v>
      </c>
      <c r="D6">
        <f>'Field information 2'!L13</f>
        <v>0</v>
      </c>
      <c r="E6" s="249" t="str">
        <f>IF(OR('Field information 2'!L13&gt;0,'Field information 2'!N13&gt;0,'Field information 2'!P13&gt;0),"Y","N")</f>
        <v>N</v>
      </c>
      <c r="F6" s="277" t="str">
        <f t="shared" ref="F6:F69" si="12">IF(G6="","",
IF(AV6="","texture missing",
IF(OR(K6="",K6=0),"OM missing",
IF(I6=1,
   IF(AND(K6&gt;25, AV6="&gt;25% OM"), "yes",
   IF(AND(K6&gt;=10, AV6="10-25% OM"), "yes",
   IF(AND(K6&lt;10, OR(AV6="S; LS", AV6="SL; SZL; ZL", AV6="SCL; CL; ZCL; SC; ZC; C")), "yes","no"))),
IF(I6&gt;1,
   IF(W6&gt;25,
       IF(AV6="&gt;25% OM", "yes", "no"),
   IF(X6&lt;10,
      IF(OR(AV6="S; LS",AV6="SL; SZL; ZL", AV6="SCL; CL; ZCL; SC; ZC; C"), "yes","no"),
   IF(AND(W6&gt;=10,X6&lt;=25),
       IF(AV6="10-25% OM", "yes", "no"),
   IF(OR(AV6="S; LS", AV6="SL; SZL; ZL", AV6="SCL; CL; ZCL; SC; ZC; C"),
       IF(V6&lt;10,"yes","no"),
   IF(AV6="10-25% OM",
       IF(AND(V6&gt;=10,V6&lt;=25),"yes","no"),
   IF(AV6="&gt;25% OM",
       IF(V6&gt;25,"yes","no"))))))))))))</f>
        <v/>
      </c>
      <c r="G6" t="str">
        <f>IF(OR(ISBLANK('Field information 1'!B7),AND(OR(ISBLANK('Field information 2'!L13), 'Field information 2'!L13=0),OR(ISBLANK('Field information 2'!N13), 'Field information 2'!N13=0), OR(ISBLANK('Field information 2'!P13), 'Field information 2'!P13=0))),"",
IF(ISTEXT('Field information 1'!B7), 'Field information 1'!B7, TEXT('Field information 1'!B7,"0")))</f>
        <v/>
      </c>
      <c r="H6" t="str">
        <f>IF(OR(ISBLANK('Field information 1'!B7),ISBLANK('Field information 2'!L13),ISBLANK('Field information 2'!F13)),"",'Field information 2'!F13)</f>
        <v/>
      </c>
      <c r="I6" s="91" t="str">
        <f>IF(OR(ISBLANK('Field information 1'!E7),G6=""),"",CEILING('Field information 1'!E7/10,1))</f>
        <v/>
      </c>
      <c r="J6" s="91" t="str">
        <f t="shared" ref="J6:J69" si="13">IF(AND(E6="Y", G6&lt;&gt;"", AV6=""), "yes", "no")</f>
        <v>no</v>
      </c>
      <c r="K6" s="135" t="str">
        <f t="shared" ref="K6:K13" ca="1" si="14">VLOOKUP(Z6,$AX$5:$BH$154,11,FALSE)</f>
        <v/>
      </c>
      <c r="L6" s="135" t="str">
        <f t="shared" ref="L6:L13" ca="1" si="15">VLOOKUP(AA6,$AX$5:$BH$154,11,FALSE)</f>
        <v/>
      </c>
      <c r="M6" s="135" t="str">
        <f t="shared" ref="M6:M13" ca="1" si="16">VLOOKUP(AB6,$AX$5:$BH$154,11,FALSE)</f>
        <v/>
      </c>
      <c r="N6" s="135" t="str">
        <f t="shared" ref="N6:N13" ca="1" si="17">VLOOKUP(AC6,$AX$5:$BH$154,11,FALSE)</f>
        <v/>
      </c>
      <c r="O6" s="135" t="str">
        <f t="shared" ref="O6:O13" ca="1" si="18">VLOOKUP(AD6,$AX$5:$BH$154,11,FALSE)</f>
        <v/>
      </c>
      <c r="P6" s="135" t="str">
        <f t="shared" ref="P6:P13" ca="1" si="19">VLOOKUP(AE6,$AX$5:$BH$154,11,FALSE)</f>
        <v/>
      </c>
      <c r="Q6" s="135" t="str">
        <f t="shared" ref="Q6:Q13" ca="1" si="20">VLOOKUP(AF6,$AX$5:$BH$154,11,FALSE)</f>
        <v/>
      </c>
      <c r="R6" s="135" t="str">
        <f t="shared" ref="R6:R13" ca="1" si="21">VLOOKUP(AG6,$AX$5:$BH$154,11,FALSE)</f>
        <v/>
      </c>
      <c r="S6" s="135" t="str">
        <f t="shared" ref="S6:S13" ca="1" si="22">VLOOKUP(AH6,$AX$5:$BH$154,11,FALSE)</f>
        <v/>
      </c>
      <c r="T6" s="135" t="str">
        <f t="shared" ref="T6:T13" ca="1" si="23">VLOOKUP(AI6,$AX$5:$BH$154,11,FALSE)</f>
        <v/>
      </c>
      <c r="U6" s="49" t="str">
        <f t="shared" ref="U6:U54" ca="1" si="24">IF(K6="","", AVERAGE(K6:T6))</f>
        <v/>
      </c>
      <c r="V6" s="7" t="str">
        <f t="shared" ref="V6:V54" ca="1" si="25">IF(K6="","", MEDIAN(K6:T6))</f>
        <v/>
      </c>
      <c r="W6" s="7" t="str">
        <f t="shared" ref="W6:W54" ca="1" si="26">IF(K6="","", MIN(K6:T6))</f>
        <v/>
      </c>
      <c r="X6" s="7" t="str">
        <f t="shared" ref="X6:X54" ca="1" si="27">IF(K6="","", MAX(K6:T6))</f>
        <v/>
      </c>
      <c r="Y6" s="91"/>
      <c r="Z6" s="247" t="str">
        <f t="shared" ref="Z6:Z36" si="28">IF(AND(Z$4&lt;=$I6,$G6&lt;&gt;"",I6&lt;&gt;""),$G6&amp;" "&amp;Z$3, "")</f>
        <v/>
      </c>
      <c r="AA6" s="247" t="str">
        <f t="shared" ref="AA6:AI6" si="29">IF(AND(AA$4&lt;=$I6,$G6&lt;&gt;"",Z6&lt;&gt;""),$G6&amp;" "&amp;AA$3, "")</f>
        <v/>
      </c>
      <c r="AB6" s="247" t="str">
        <f t="shared" si="29"/>
        <v/>
      </c>
      <c r="AC6" s="247" t="str">
        <f t="shared" si="29"/>
        <v/>
      </c>
      <c r="AD6" s="247" t="str">
        <f t="shared" si="29"/>
        <v/>
      </c>
      <c r="AE6" s="247" t="str">
        <f t="shared" si="29"/>
        <v/>
      </c>
      <c r="AF6" s="247" t="str">
        <f t="shared" si="29"/>
        <v/>
      </c>
      <c r="AG6" s="247" t="str">
        <f t="shared" si="29"/>
        <v/>
      </c>
      <c r="AH6" s="247" t="str">
        <f t="shared" si="29"/>
        <v/>
      </c>
      <c r="AI6" s="247" t="str">
        <f t="shared" si="29"/>
        <v/>
      </c>
      <c r="AK6" s="247" t="str">
        <f t="shared" ref="AK6:AK54" si="30">IF(AND(AK$4&lt;=$I6,$H6&lt;&gt;"",$I6&lt;&gt;""), $H6&amp;" "&amp;AK$3,
IF(Z6&lt;&gt;"",Z6,""))</f>
        <v/>
      </c>
      <c r="AL6" s="247" t="str">
        <f t="shared" ref="AL6:AL54" si="31">IF(AND(AL$4&lt;=$I6,$H6&lt;&gt;"",$I6&lt;&gt;""), $H6&amp;" "&amp;AL$3,
IF(AA6&lt;&gt;"",AA6,""))</f>
        <v/>
      </c>
      <c r="AM6" s="247" t="str">
        <f t="shared" ref="AM6:AM54" si="32">IF(AND(AM$4&lt;=$I6,$H6&lt;&gt;"",$I6&lt;&gt;""), $H6&amp;" "&amp;AM$3,
IF(AB6&lt;&gt;"",AB6,""))</f>
        <v/>
      </c>
      <c r="AN6" s="247" t="str">
        <f t="shared" ref="AN6:AN54" si="33">IF(AND(AN$4&lt;=$I6,$H6&lt;&gt;"",$I6&lt;&gt;""), $H6&amp;" "&amp;AN$3,
IF(AC6&lt;&gt;"",AC6,""))</f>
        <v/>
      </c>
      <c r="AO6" s="247" t="str">
        <f t="shared" ref="AO6:AO54" si="34">IF(AND(AO$4&lt;=$I6,$H6&lt;&gt;"",$I6&lt;&gt;""), $H6&amp;" "&amp;AO$3,
IF(AD6&lt;&gt;"",AD6,""))</f>
        <v/>
      </c>
      <c r="AP6" s="247" t="str">
        <f t="shared" ref="AP6:AP54" si="35">IF(AND(AP$4&lt;=$I6,$H6&lt;&gt;"",$I6&lt;&gt;""), $H6&amp;" "&amp;AP$3,
IF(AE6&lt;&gt;"",AE6,""))</f>
        <v/>
      </c>
      <c r="AQ6" s="247" t="str">
        <f t="shared" ref="AQ6:AQ54" si="36">IF(AND(AQ$4&lt;=$I6,$H6&lt;&gt;"",$I6&lt;&gt;""), $H6&amp;" "&amp;AQ$3,
IF(AF6&lt;&gt;"",AF6,""))</f>
        <v/>
      </c>
      <c r="AR6" s="247" t="str">
        <f t="shared" ref="AR6:AR54" si="37">IF(AND(AR$4&lt;=$I6,$H6&lt;&gt;"",$I6&lt;&gt;""), $H6&amp;" "&amp;AR$3,
IF(AG6&lt;&gt;"",AG6,""))</f>
        <v/>
      </c>
      <c r="AS6" s="247" t="str">
        <f t="shared" ref="AS6:AS54" si="38">IF(AND(AS$4&lt;=$I6,$H6&lt;&gt;"",$I6&lt;&gt;""), $H6&amp;" "&amp;AS$3,
IF(AH6&lt;&gt;"",AH6,""))</f>
        <v/>
      </c>
      <c r="AT6" s="247" t="str">
        <f t="shared" ref="AT6:AT54" si="39">IF(AND(AT$4&lt;=$I6,$H6&lt;&gt;"",$I6&lt;&gt;""), $H6&amp;" "&amp;AT$3,
IF(AI6&lt;&gt;"",AI6,""))</f>
        <v/>
      </c>
      <c r="AV6" t="str">
        <f>IF(ISBLANK('Field information 1'!F7),"",'Field information 1'!F7)</f>
        <v/>
      </c>
      <c r="AX6" s="247" t="str" cm="1">
        <f t="array" aca="1" ref="AX6" ca="1">INDIRECT(TEXT(MIN(IF((Calc!$Z$5:$AI$104&lt;&gt;"")*(COUNTIF($AX$4:AX5,Calc!$Z$5:$AI$104)=0),ROW(Calc!$Z$5:$AI$104)*100+COLUMN(Calc!$Z$5:$AI$104),7^8)),"Calc!R0C00"),)&amp;""</f>
        <v/>
      </c>
      <c r="AY6" t="str" cm="1">
        <f t="array" aca="1" ref="AY6" ca="1">INDIRECT(TEXT(MIN(IF((Calc!$AK$5:$AT$104&lt;&gt;"")*(COUNTIF(AY$4:$AY5,Calc!$AK$5:$AT$104)=0),ROW(Calc!$AK$5:$AT$104)*100+COLUMN(Calc!$AK$5:$AT$104),7^8)),"Calc!R0C00"),)&amp;""</f>
        <v/>
      </c>
      <c r="AZ6" s="247" t="str">
        <f t="shared" ref="AZ6:AZ69" ca="1" si="40">IF(AY6=AX6,"",AY6)</f>
        <v/>
      </c>
      <c r="BA6" s="324">
        <f>BA5+1</f>
        <v>2</v>
      </c>
      <c r="BB6">
        <f t="shared" ref="BB6:BB69" ca="1" si="41">IF(BF6=0, 0, BC6*BP$5+BD6*BQ$5+BE6*BR$5)</f>
        <v>0</v>
      </c>
      <c r="BC6" t="str">
        <f ca="1">IF($AX6="","",
VLOOKUP(LEFT($AX6,LEN($AX6)-2),'Field information 2'!$B$12:$P$111,11,FALSE))</f>
        <v/>
      </c>
      <c r="BD6" t="str">
        <f ca="1">IF($AX6="","",
VLOOKUP(LEFT($AX6,LEN($AX6)-2),'Field information 2'!$B$12:$P$111,13,FALSE))</f>
        <v/>
      </c>
      <c r="BE6" t="str">
        <f ca="1">IF($AX6="","",
VLOOKUP(LEFT($AX6,LEN($AX6)-2),'Field information 2'!$B$12:$P$111,15,FALSE))</f>
        <v/>
      </c>
      <c r="BF6">
        <f t="shared" ref="BF6:BF69" ca="1" si="42">SUM(BC6:BE6)</f>
        <v>0</v>
      </c>
      <c r="BG6" t="str">
        <f t="shared" ref="BG6:BG69" ca="1" si="43">IF($AX6="","",
VLOOKUP(LEFT($AX6,LEN($AX6)-2),$G$5:$AV$104,42,FALSE))</f>
        <v/>
      </c>
      <c r="BH6" s="7" t="str">
        <f ca="1">IF(OR(AX6="",'Soil results'!$D$7="",'Soil results'!$D$8=""),"",
IF('Soil results'!$D$7="LOI",
  IF('Soil results'!$D$8="mg/kg",'Soil results'!D11/10000,'Soil results'!D11),
IF('Soil results'!$D$7="Dumas",
  IF('Soil results'!$D$8="mg/kg",'Soil results'!D11*1.72/10000,'Soil results'!D11*1.72))))</f>
        <v/>
      </c>
      <c r="BI6" t="str">
        <f ca="1">IF($AX6="","",
VLOOKUP(LEFT($AX6,LEN($AX6)-2),'Field information 2'!$B$12:$I$111,8,FALSE))</f>
        <v/>
      </c>
      <c r="BJ6" t="str">
        <f ca="1">IF(BI6="","",
VLOOKUP(BI6,'Fertiliser recommendations'!$A$5:$B$62,2,FALSE))</f>
        <v/>
      </c>
      <c r="BK6" s="38" t="str">
        <f ca="1">IF($AX6="","",
IF(AND(BJ6="g",VLOOKUP(LEFT($AX6,LEN($AX6)-2),'Field information 2'!$B$12:$P$111,9,FALSE)&lt;&gt;"yes"),
IF(BG6="10-25% OM",6,IF(BG6="&gt;25% OM",12,IF(BG6="SCL; CL; ZCL; SC; ZC; C",6,IF(BG6="SL; SZL; ZL",5,IF(BG6="S; LS",4,"?"))))),
IF(OR(BJ6="a",AND(BJ6="g",VLOOKUP(LEFT($AX6,LEN($AX6)-2),'Field information 2'!$B$12:$P$111,9,FALSE)="yes")),
IF(BG6="10-25% OM",8,IF(BG6="&gt;25% OM",16,IF(BG6="SCL; CL; ZCL; SC; ZC; C",8,IF(BG6="SL; SZL; ZL",7,IF(BG6="S; LS",6,"?"))))),"")))</f>
        <v/>
      </c>
      <c r="BL6" t="str">
        <f ca="1">IF(AX6&lt;&gt;"",COUNTBLANK('Soil results'!D11:D11)+COUNTBLANK('Soil results'!F11:I11)+COUNTBLANK('Soil results'!K11:Q11),"")</f>
        <v/>
      </c>
      <c r="BM6" t="str">
        <f ca="1">IF(AX6&lt;&gt;"",
IF(OR(ISNUMBER(SEARCH("10*01*01",'Field information 2'!$M$5)),ISNUMBER(SEARCH("10*01*03",'Field information 2'!$M$5))),0.25,1),"")</f>
        <v/>
      </c>
      <c r="BN6" s="275" t="str">
        <f ca="1">IF(AX6&lt;&gt;"",
IF(COUNTIF('Soil results'!G12:G$159,"="&amp;'Soil results'!G11)+COUNTIF('Soil results'!H12:H$159,"="&amp;'Soil results'!H11)+COUNTIF('Soil results'!I12:I$159,"="&amp;'Soil results'!I11)=0,"no",
IF(MOD(COUNTIF('Soil results'!G12:G$159,"="&amp;'Soil results'!G11)+COUNTIF('Soil results'!H12:H$159,"="&amp;'Soil results'!H11)+COUNTIF('Soil results'!I12:I$159,"="&amp;'Soil results'!I11),3)=0,"yes","no")),"")</f>
        <v/>
      </c>
      <c r="BO6" s="276" t="str">
        <f t="shared" ref="BO6:BO69" ca="1" si="44">IF(AX6&lt;&gt;"",
IF(BH6&gt;25, IF(BG6="&gt;25% OM","yes","no"),
IF(BH6&gt;=10, IF(BG6="10-25% OM","yes","no"),"yes")),"")</f>
        <v/>
      </c>
      <c r="BP6" s="33"/>
      <c r="BQ6" s="276"/>
      <c r="BR6" s="276"/>
      <c r="BS6" s="276" t="str">
        <f t="shared" ref="BS6:BS69" ca="1" si="45">IF(AND(BM6=0.25,BP$5&gt;0,BP$5&lt;1),BC6*BP$5,"")</f>
        <v/>
      </c>
      <c r="BT6" s="153" t="str">
        <f ca="1">IF(AX6="","",
IF(OR(Assessment!F8="limited benefit",Assessment!F8="benefit", Assessment!M8="limited benefit",Assessment!M8="benefit", Assessment!R8="limited benefit",Assessment!R8="benefit", Assessment!W8="limited benefit",Assessment!W8="benefit", Assessment!AB8="limited benefit",Assessment!AB8="benefit", AND(ISNUMBER(Assessment!AF8),Assessment!AG8="ok"), Assessment!AJ8="benefit"),"yes","no"))</f>
        <v/>
      </c>
      <c r="BV6" t="s">
        <v>209</v>
      </c>
      <c r="BW6" t="s">
        <v>328</v>
      </c>
      <c r="BX6" t="s">
        <v>565</v>
      </c>
      <c r="BY6" s="351">
        <v>45261</v>
      </c>
    </row>
    <row r="7" spans="1:77" x14ac:dyDescent="0.35">
      <c r="A7" s="272">
        <f>IF(AND('Field information 2'!L14&gt;0, 'Field information 2'!M14=0),"data missing", 'Field information 2'!M14-'Field information 2'!L14)</f>
        <v>0</v>
      </c>
      <c r="B7" s="272">
        <f>IF(AND('Field information 2'!N14&gt;0,'Field information 2'!O14=0),"data missing",'Field information 2'!O14-'Field information 2'!N14)</f>
        <v>0</v>
      </c>
      <c r="C7" s="272">
        <f>IF(AND('Field information 2'!P14&gt;0, 'Field information 2'!Q14=0),"data missing",'Field information 2'!Q14-'Field information 2'!P14)</f>
        <v>0</v>
      </c>
      <c r="D7">
        <f>'Field information 2'!L14</f>
        <v>0</v>
      </c>
      <c r="E7" s="249" t="str">
        <f>IF(OR('Field information 2'!L14&gt;0,'Field information 2'!N14&gt;0,'Field information 2'!P14&gt;0),"Y","N")</f>
        <v>N</v>
      </c>
      <c r="F7" s="277" t="str">
        <f t="shared" si="12"/>
        <v/>
      </c>
      <c r="G7" t="str">
        <f>IF(OR(ISBLANK('Field information 1'!B8),AND(OR(ISBLANK('Field information 2'!L14), 'Field information 2'!L14=0),OR(ISBLANK('Field information 2'!N14), 'Field information 2'!N14=0), OR(ISBLANK('Field information 2'!P14), 'Field information 2'!P14=0))),"",
IF(ISTEXT('Field information 1'!B8), 'Field information 1'!B8, TEXT('Field information 1'!B8,"0")))</f>
        <v/>
      </c>
      <c r="H7" t="str">
        <f>IF(OR(ISBLANK('Field information 1'!B8),ISBLANK('Field information 2'!L14),ISBLANK('Field information 2'!F14)),"",'Field information 2'!F14)</f>
        <v/>
      </c>
      <c r="I7" s="91" t="str">
        <f>IF(OR(ISBLANK('Field information 1'!E8),G7=""),"",CEILING('Field information 1'!E8/10,1))</f>
        <v/>
      </c>
      <c r="J7" s="91" t="str">
        <f t="shared" si="13"/>
        <v>no</v>
      </c>
      <c r="K7" s="135" t="str">
        <f t="shared" ca="1" si="14"/>
        <v/>
      </c>
      <c r="L7" s="135" t="str">
        <f t="shared" ca="1" si="15"/>
        <v/>
      </c>
      <c r="M7" s="135" t="str">
        <f t="shared" ca="1" si="16"/>
        <v/>
      </c>
      <c r="N7" s="135" t="str">
        <f t="shared" ca="1" si="17"/>
        <v/>
      </c>
      <c r="O7" s="135" t="str">
        <f t="shared" ca="1" si="18"/>
        <v/>
      </c>
      <c r="P7" s="135" t="str">
        <f t="shared" ca="1" si="19"/>
        <v/>
      </c>
      <c r="Q7" s="135" t="str">
        <f t="shared" ca="1" si="20"/>
        <v/>
      </c>
      <c r="R7" s="135" t="str">
        <f t="shared" ca="1" si="21"/>
        <v/>
      </c>
      <c r="S7" s="135" t="str">
        <f t="shared" ca="1" si="22"/>
        <v/>
      </c>
      <c r="T7" s="135" t="str">
        <f t="shared" ca="1" si="23"/>
        <v/>
      </c>
      <c r="U7" s="49" t="str">
        <f t="shared" ca="1" si="24"/>
        <v/>
      </c>
      <c r="V7" s="7" t="str">
        <f t="shared" ca="1" si="25"/>
        <v/>
      </c>
      <c r="W7" s="7" t="str">
        <f t="shared" ca="1" si="26"/>
        <v/>
      </c>
      <c r="X7" s="7" t="str">
        <f t="shared" ca="1" si="27"/>
        <v/>
      </c>
      <c r="Y7" s="91"/>
      <c r="Z7" s="247" t="str">
        <f t="shared" si="28"/>
        <v/>
      </c>
      <c r="AA7" s="247" t="str">
        <f t="shared" ref="AA7:AI7" si="46">IF(AND(AA$4&lt;=$I7,$G7&lt;&gt;"",Z7&lt;&gt;""),$G7&amp;" "&amp;AA$3, "")</f>
        <v/>
      </c>
      <c r="AB7" s="247" t="str">
        <f t="shared" si="46"/>
        <v/>
      </c>
      <c r="AC7" s="247" t="str">
        <f t="shared" si="46"/>
        <v/>
      </c>
      <c r="AD7" s="247" t="str">
        <f t="shared" si="46"/>
        <v/>
      </c>
      <c r="AE7" s="247" t="str">
        <f t="shared" si="46"/>
        <v/>
      </c>
      <c r="AF7" s="247" t="str">
        <f t="shared" si="46"/>
        <v/>
      </c>
      <c r="AG7" s="247" t="str">
        <f t="shared" si="46"/>
        <v/>
      </c>
      <c r="AH7" s="247" t="str">
        <f t="shared" si="46"/>
        <v/>
      </c>
      <c r="AI7" s="247" t="str">
        <f t="shared" si="46"/>
        <v/>
      </c>
      <c r="AK7" s="247" t="str">
        <f t="shared" si="30"/>
        <v/>
      </c>
      <c r="AL7" s="247" t="str">
        <f t="shared" si="31"/>
        <v/>
      </c>
      <c r="AM7" s="247" t="str">
        <f t="shared" si="32"/>
        <v/>
      </c>
      <c r="AN7" s="247" t="str">
        <f t="shared" si="33"/>
        <v/>
      </c>
      <c r="AO7" s="247" t="str">
        <f t="shared" si="34"/>
        <v/>
      </c>
      <c r="AP7" s="247" t="str">
        <f t="shared" si="35"/>
        <v/>
      </c>
      <c r="AQ7" s="247" t="str">
        <f t="shared" si="36"/>
        <v/>
      </c>
      <c r="AR7" s="247" t="str">
        <f t="shared" si="37"/>
        <v/>
      </c>
      <c r="AS7" s="247" t="str">
        <f t="shared" si="38"/>
        <v/>
      </c>
      <c r="AT7" s="247" t="str">
        <f t="shared" si="39"/>
        <v/>
      </c>
      <c r="AV7" t="str">
        <f>IF(ISBLANK('Field information 1'!F8),"",'Field information 1'!F8)</f>
        <v/>
      </c>
      <c r="AX7" s="247" t="str" cm="1">
        <f t="array" aca="1" ref="AX7" ca="1">INDIRECT(TEXT(MIN(IF((Calc!$Z$5:$AI$104&lt;&gt;"")*(COUNTIF($AX$4:AX6,Calc!$Z$5:$AI$104)=0),ROW(Calc!$Z$5:$AI$104)*100+COLUMN(Calc!$Z$5:$AI$104),7^8)),"Calc!R0C00"),)&amp;""</f>
        <v/>
      </c>
      <c r="AY7" t="str" cm="1">
        <f t="array" aca="1" ref="AY7" ca="1">INDIRECT(TEXT(MIN(IF((Calc!$AK$5:$AT$104&lt;&gt;"")*(COUNTIF(AY$4:$AY6,Calc!$AK$5:$AT$104)=0),ROW(Calc!$AK$5:$AT$104)*100+COLUMN(Calc!$AK$5:$AT$104),7^8)),"Calc!R0C00"),)&amp;""</f>
        <v/>
      </c>
      <c r="AZ7" s="247" t="str">
        <f t="shared" ca="1" si="40"/>
        <v/>
      </c>
      <c r="BA7" s="324">
        <f t="shared" ref="BA7:BA70" si="47">BA6+1</f>
        <v>3</v>
      </c>
      <c r="BB7">
        <f t="shared" ca="1" si="41"/>
        <v>0</v>
      </c>
      <c r="BC7" t="str">
        <f ca="1">IF($AX7="","",
VLOOKUP(LEFT($AX7,LEN($AX7)-2),'Field information 2'!$B$12:$P$111,11,FALSE))</f>
        <v/>
      </c>
      <c r="BD7" t="str">
        <f ca="1">IF($AX7="","",
VLOOKUP(LEFT($AX7,LEN($AX7)-2),'Field information 2'!$B$12:$P$111,13,FALSE))</f>
        <v/>
      </c>
      <c r="BE7" t="str">
        <f ca="1">IF($AX7="","",
VLOOKUP(LEFT($AX7,LEN($AX7)-2),'Field information 2'!$B$12:$P$111,15,FALSE))</f>
        <v/>
      </c>
      <c r="BF7">
        <f t="shared" ca="1" si="42"/>
        <v>0</v>
      </c>
      <c r="BG7" t="str">
        <f t="shared" ca="1" si="43"/>
        <v/>
      </c>
      <c r="BH7" s="7" t="str">
        <f ca="1">IF(OR(AX7="",'Soil results'!$D$7="",'Soil results'!$D$8=""),"",
IF('Soil results'!$D$7="LOI",
  IF('Soil results'!$D$8="mg/kg",'Soil results'!D12/10000,'Soil results'!D12),
IF('Soil results'!$D$7="Dumas",
  IF('Soil results'!$D$8="mg/kg",'Soil results'!D12*1.72/10000,'Soil results'!D12*1.72))))</f>
        <v/>
      </c>
      <c r="BI7" t="str">
        <f ca="1">IF($AX7="","",
VLOOKUP(LEFT($AX7,LEN($AX7)-2),'Field information 2'!$B$12:$I$111,8,FALSE))</f>
        <v/>
      </c>
      <c r="BJ7" t="str">
        <f ca="1">IF(BI7="","",
VLOOKUP(BI7,'Fertiliser recommendations'!$A$5:$B$62,2,FALSE))</f>
        <v/>
      </c>
      <c r="BK7" s="38" t="str">
        <f ca="1">IF($AX7="","",
IF(AND(BJ7="g",VLOOKUP(LEFT($AX7,LEN($AX7)-2),'Field information 2'!$B$12:$P$111,9,FALSE)&lt;&gt;"yes"),
IF(BG7="10-25% OM",6,IF(BG7="&gt;25% OM",12,IF(BG7="SCL; CL; ZCL; SC; ZC; C",6,IF(BG7="SL; SZL; ZL",5,IF(BG7="S; LS",4,"?"))))),
IF(OR(BJ7="a",AND(BJ7="g",VLOOKUP(LEFT($AX7,LEN($AX7)-2),'Field information 2'!$B$12:$P$111,9,FALSE)="yes")),
IF(BG7="10-25% OM",8,IF(BG7="&gt;25% OM",16,IF(BG7="SCL; CL; ZCL; SC; ZC; C",8,IF(BG7="SL; SZL; ZL",7,IF(BG7="S; LS",6,"?"))))),"")))</f>
        <v/>
      </c>
      <c r="BL7" t="str">
        <f ca="1">IF(AX7&lt;&gt;"",COUNTBLANK('Soil results'!D12:D12)+COUNTBLANK('Soil results'!F12:I12)+COUNTBLANK('Soil results'!K12:Q12),"")</f>
        <v/>
      </c>
      <c r="BM7" t="str">
        <f ca="1">IF(AX7&lt;&gt;"",
IF(OR(ISNUMBER(SEARCH("10*01*01",'Field information 2'!$M$5)),ISNUMBER(SEARCH("10*01*03",'Field information 2'!$M$5))),0.25,1),"")</f>
        <v/>
      </c>
      <c r="BN7" s="275" t="str">
        <f ca="1">IF(AX7&lt;&gt;"",
IF(COUNTIF('Soil results'!G13:G$159,"="&amp;'Soil results'!G12)+COUNTIF('Soil results'!H13:H$159,"="&amp;'Soil results'!H12)+COUNTIF('Soil results'!I13:I$159,"="&amp;'Soil results'!I12)=0,"no",
IF(MOD(COUNTIF('Soil results'!G13:G$159,"="&amp;'Soil results'!G12)+COUNTIF('Soil results'!H13:H$159,"="&amp;'Soil results'!H12)+COUNTIF('Soil results'!I13:I$159,"="&amp;'Soil results'!I12),3)=0,"yes","no")),"")</f>
        <v/>
      </c>
      <c r="BO7" s="276" t="str">
        <f t="shared" ca="1" si="44"/>
        <v/>
      </c>
      <c r="BP7" s="33"/>
      <c r="BQ7" s="276"/>
      <c r="BR7" s="276"/>
      <c r="BS7" s="276" t="str">
        <f t="shared" ca="1" si="45"/>
        <v/>
      </c>
      <c r="BT7" s="153" t="str">
        <f ca="1">IF(AX7="","",
IF(OR(Assessment!F9="limited benefit",Assessment!F9="benefit", Assessment!M9="limited benefit",Assessment!M9="benefit", Assessment!R9="limited benefit",Assessment!R9="benefit", Assessment!W9="limited benefit",Assessment!W9="benefit", Assessment!AB9="limited benefit",Assessment!AB9="benefit", AND(ISNUMBER(Assessment!AF9),Assessment!AG9="ok"), Assessment!AJ9="benefit"),"yes","no"))</f>
        <v/>
      </c>
      <c r="BV7" t="s">
        <v>212</v>
      </c>
      <c r="BW7" t="s">
        <v>329</v>
      </c>
    </row>
    <row r="8" spans="1:77" x14ac:dyDescent="0.35">
      <c r="A8" s="272">
        <f>IF(AND('Field information 2'!L15&gt;0, 'Field information 2'!M15=0),"data missing", 'Field information 2'!M15-'Field information 2'!L15)</f>
        <v>0</v>
      </c>
      <c r="B8" s="272">
        <f>IF(AND('Field information 2'!N15&gt;0,'Field information 2'!O15=0),"data missing",'Field information 2'!O15-'Field information 2'!N15)</f>
        <v>0</v>
      </c>
      <c r="C8" s="272">
        <f>IF(AND('Field information 2'!P15&gt;0, 'Field information 2'!Q15=0),"data missing",'Field information 2'!Q15-'Field information 2'!P15)</f>
        <v>0</v>
      </c>
      <c r="D8">
        <f>'Field information 2'!L15</f>
        <v>0</v>
      </c>
      <c r="E8" s="249" t="str">
        <f>IF(OR('Field information 2'!L15&gt;0,'Field information 2'!N15&gt;0,'Field information 2'!P15&gt;0),"Y","N")</f>
        <v>N</v>
      </c>
      <c r="F8" s="277" t="str">
        <f t="shared" si="12"/>
        <v/>
      </c>
      <c r="G8" t="str">
        <f>IF(OR(ISBLANK('Field information 1'!B9),AND(OR(ISBLANK('Field information 2'!L15), 'Field information 2'!L15=0),OR(ISBLANK('Field information 2'!N15), 'Field information 2'!N15=0), OR(ISBLANK('Field information 2'!P15), 'Field information 2'!P15=0))),"",
IF(ISTEXT('Field information 1'!B9), 'Field information 1'!B9, TEXT('Field information 1'!B9,"0")))</f>
        <v/>
      </c>
      <c r="H8" t="str">
        <f>IF(OR(ISBLANK('Field information 1'!B9),ISBLANK('Field information 2'!L15),ISBLANK('Field information 2'!F15)),"",'Field information 2'!F15)</f>
        <v/>
      </c>
      <c r="I8" s="91" t="str">
        <f>IF(OR(ISBLANK('Field information 1'!E9),G8=""),"",CEILING('Field information 1'!E9/10,1))</f>
        <v/>
      </c>
      <c r="J8" s="91" t="str">
        <f t="shared" si="13"/>
        <v>no</v>
      </c>
      <c r="K8" s="135" t="str">
        <f t="shared" ca="1" si="14"/>
        <v/>
      </c>
      <c r="L8" s="135" t="str">
        <f t="shared" ca="1" si="15"/>
        <v/>
      </c>
      <c r="M8" s="135" t="str">
        <f t="shared" ca="1" si="16"/>
        <v/>
      </c>
      <c r="N8" s="135" t="str">
        <f t="shared" ca="1" si="17"/>
        <v/>
      </c>
      <c r="O8" s="135" t="str">
        <f t="shared" ca="1" si="18"/>
        <v/>
      </c>
      <c r="P8" s="135" t="str">
        <f t="shared" ca="1" si="19"/>
        <v/>
      </c>
      <c r="Q8" s="135" t="str">
        <f t="shared" ca="1" si="20"/>
        <v/>
      </c>
      <c r="R8" s="135" t="str">
        <f t="shared" ca="1" si="21"/>
        <v/>
      </c>
      <c r="S8" s="135" t="str">
        <f t="shared" ca="1" si="22"/>
        <v/>
      </c>
      <c r="T8" s="135" t="str">
        <f t="shared" ca="1" si="23"/>
        <v/>
      </c>
      <c r="U8" s="49" t="str">
        <f t="shared" ca="1" si="24"/>
        <v/>
      </c>
      <c r="V8" s="7" t="str">
        <f t="shared" ca="1" si="25"/>
        <v/>
      </c>
      <c r="W8" s="7" t="str">
        <f t="shared" ca="1" si="26"/>
        <v/>
      </c>
      <c r="X8" s="7" t="str">
        <f t="shared" ca="1" si="27"/>
        <v/>
      </c>
      <c r="Y8" s="91"/>
      <c r="Z8" s="247" t="str">
        <f t="shared" si="28"/>
        <v/>
      </c>
      <c r="AA8" s="247" t="str">
        <f t="shared" ref="AA8:AI8" si="48">IF(AND(AA$4&lt;=$I8,$G8&lt;&gt;"",Z8&lt;&gt;""),$G8&amp;" "&amp;AA$3, "")</f>
        <v/>
      </c>
      <c r="AB8" s="247" t="str">
        <f t="shared" si="48"/>
        <v/>
      </c>
      <c r="AC8" s="247" t="str">
        <f t="shared" si="48"/>
        <v/>
      </c>
      <c r="AD8" s="247" t="str">
        <f t="shared" si="48"/>
        <v/>
      </c>
      <c r="AE8" s="247" t="str">
        <f t="shared" si="48"/>
        <v/>
      </c>
      <c r="AF8" s="247" t="str">
        <f t="shared" si="48"/>
        <v/>
      </c>
      <c r="AG8" s="247" t="str">
        <f t="shared" si="48"/>
        <v/>
      </c>
      <c r="AH8" s="247" t="str">
        <f t="shared" si="48"/>
        <v/>
      </c>
      <c r="AI8" s="247" t="str">
        <f t="shared" si="48"/>
        <v/>
      </c>
      <c r="AK8" s="247" t="str">
        <f t="shared" si="30"/>
        <v/>
      </c>
      <c r="AL8" s="247" t="str">
        <f t="shared" si="31"/>
        <v/>
      </c>
      <c r="AM8" s="247" t="str">
        <f t="shared" si="32"/>
        <v/>
      </c>
      <c r="AN8" s="247" t="str">
        <f t="shared" si="33"/>
        <v/>
      </c>
      <c r="AO8" s="247" t="str">
        <f t="shared" si="34"/>
        <v/>
      </c>
      <c r="AP8" s="247" t="str">
        <f t="shared" si="35"/>
        <v/>
      </c>
      <c r="AQ8" s="247" t="str">
        <f t="shared" si="36"/>
        <v/>
      </c>
      <c r="AR8" s="247" t="str">
        <f t="shared" si="37"/>
        <v/>
      </c>
      <c r="AS8" s="247" t="str">
        <f t="shared" si="38"/>
        <v/>
      </c>
      <c r="AT8" s="247" t="str">
        <f t="shared" si="39"/>
        <v/>
      </c>
      <c r="AV8" t="str">
        <f>IF(ISBLANK('Field information 1'!F9),"",'Field information 1'!F9)</f>
        <v/>
      </c>
      <c r="AX8" s="247" t="str" cm="1">
        <f t="array" aca="1" ref="AX8" ca="1">INDIRECT(TEXT(MIN(IF((Calc!$Z$5:$AI$104&lt;&gt;"")*(COUNTIF($AX$4:AX7,Calc!$Z$5:$AI$104)=0),ROW(Calc!$Z$5:$AI$104)*100+COLUMN(Calc!$Z$5:$AI$104),7^8)),"Calc!R0C00"),)&amp;""</f>
        <v/>
      </c>
      <c r="AY8" t="str" cm="1">
        <f t="array" aca="1" ref="AY8" ca="1">INDIRECT(TEXT(MIN(IF((Calc!$AK$5:$AT$104&lt;&gt;"")*(COUNTIF(AY$4:$AY7,Calc!$AK$5:$AT$104)=0),ROW(Calc!$AK$5:$AT$104)*100+COLUMN(Calc!$AK$5:$AT$104),7^8)),"Calc!R0C00"),)&amp;""</f>
        <v/>
      </c>
      <c r="AZ8" s="247" t="str">
        <f t="shared" ca="1" si="40"/>
        <v/>
      </c>
      <c r="BA8" s="324">
        <f t="shared" si="47"/>
        <v>4</v>
      </c>
      <c r="BB8">
        <f t="shared" ca="1" si="41"/>
        <v>0</v>
      </c>
      <c r="BC8" t="str">
        <f ca="1">IF($AX8="","",
VLOOKUP(LEFT($AX8,LEN($AX8)-2),'Field information 2'!$B$12:$P$111,11,FALSE))</f>
        <v/>
      </c>
      <c r="BD8" t="str">
        <f ca="1">IF($AX8="","",
VLOOKUP(LEFT($AX8,LEN($AX8)-2),'Field information 2'!$B$12:$P$111,13,FALSE))</f>
        <v/>
      </c>
      <c r="BE8" t="str">
        <f ca="1">IF($AX8="","",
VLOOKUP(LEFT($AX8,LEN($AX8)-2),'Field information 2'!$B$12:$P$111,15,FALSE))</f>
        <v/>
      </c>
      <c r="BF8">
        <f t="shared" ca="1" si="42"/>
        <v>0</v>
      </c>
      <c r="BG8" t="str">
        <f t="shared" ca="1" si="43"/>
        <v/>
      </c>
      <c r="BH8" s="7" t="str">
        <f ca="1">IF(OR(AX8="",'Soil results'!$D$7="",'Soil results'!$D$8=""),"",
IF('Soil results'!$D$7="LOI",
  IF('Soil results'!$D$8="mg/kg",'Soil results'!D13/10000,'Soil results'!D13),
IF('Soil results'!$D$7="Dumas",
  IF('Soil results'!$D$8="mg/kg",'Soil results'!D13*1.72/10000,'Soil results'!D13*1.72))))</f>
        <v/>
      </c>
      <c r="BI8" t="str">
        <f ca="1">IF($AX8="","",
VLOOKUP(LEFT($AX8,LEN($AX8)-2),'Field information 2'!$B$12:$I$111,8,FALSE))</f>
        <v/>
      </c>
      <c r="BJ8" t="str">
        <f ca="1">IF(BI8="","",
VLOOKUP(BI8,'Fertiliser recommendations'!$A$5:$B$62,2,FALSE))</f>
        <v/>
      </c>
      <c r="BK8" s="38" t="str">
        <f ca="1">IF($AX8="","",
IF(AND(BJ8="g",VLOOKUP(LEFT($AX8,LEN($AX8)-2),'Field information 2'!$B$12:$P$111,9,FALSE)&lt;&gt;"yes"),
IF(BG8="10-25% OM",6,IF(BG8="&gt;25% OM",12,IF(BG8="SCL; CL; ZCL; SC; ZC; C",6,IF(BG8="SL; SZL; ZL",5,IF(BG8="S; LS",4,"?"))))),
IF(OR(BJ8="a",AND(BJ8="g",VLOOKUP(LEFT($AX8,LEN($AX8)-2),'Field information 2'!$B$12:$P$111,9,FALSE)="yes")),
IF(BG8="10-25% OM",8,IF(BG8="&gt;25% OM",16,IF(BG8="SCL; CL; ZCL; SC; ZC; C",8,IF(BG8="SL; SZL; ZL",7,IF(BG8="S; LS",6,"?"))))),"")))</f>
        <v/>
      </c>
      <c r="BL8" t="str">
        <f ca="1">IF(AX8&lt;&gt;"",COUNTBLANK('Soil results'!D13:D13)+COUNTBLANK('Soil results'!F13:I13)+COUNTBLANK('Soil results'!K13:Q13),"")</f>
        <v/>
      </c>
      <c r="BM8" t="str">
        <f ca="1">IF(AX8&lt;&gt;"",
IF(OR(ISNUMBER(SEARCH("10*01*01",'Field information 2'!$M$5)),ISNUMBER(SEARCH("10*01*03",'Field information 2'!$M$5))),0.25,1),"")</f>
        <v/>
      </c>
      <c r="BN8" s="275" t="str">
        <f ca="1">IF(AX8&lt;&gt;"",
IF(COUNTIF('Soil results'!G14:G$159,"="&amp;'Soil results'!G13)+COUNTIF('Soil results'!H14:H$159,"="&amp;'Soil results'!H13)+COUNTIF('Soil results'!I14:I$159,"="&amp;'Soil results'!I13)=0,"no",
IF(MOD(COUNTIF('Soil results'!G14:G$159,"="&amp;'Soil results'!G13)+COUNTIF('Soil results'!H14:H$159,"="&amp;'Soil results'!H13)+COUNTIF('Soil results'!I14:I$159,"="&amp;'Soil results'!I13),3)=0,"yes","no")),"")</f>
        <v/>
      </c>
      <c r="BO8" s="276" t="str">
        <f t="shared" ca="1" si="44"/>
        <v/>
      </c>
      <c r="BP8" s="33"/>
      <c r="BQ8" s="276"/>
      <c r="BR8" s="276"/>
      <c r="BS8" s="276" t="str">
        <f t="shared" ca="1" si="45"/>
        <v/>
      </c>
      <c r="BT8" s="153" t="str">
        <f ca="1">IF(AX8="","",
IF(OR(Assessment!F10="limited benefit",Assessment!F10="benefit", Assessment!M10="limited benefit",Assessment!M10="benefit", Assessment!R10="limited benefit",Assessment!R10="benefit", Assessment!W10="limited benefit",Assessment!W10="benefit", Assessment!AB10="limited benefit",Assessment!AB10="benefit", AND(ISNUMBER(Assessment!AF10),Assessment!AG10="ok"), Assessment!AJ10="benefit"),"yes","no"))</f>
        <v/>
      </c>
      <c r="BV8" t="s">
        <v>215</v>
      </c>
      <c r="BW8" t="s">
        <v>330</v>
      </c>
    </row>
    <row r="9" spans="1:77" x14ac:dyDescent="0.35">
      <c r="A9" s="272">
        <f>IF(AND('Field information 2'!L16&gt;0, 'Field information 2'!M16=0),"data missing", 'Field information 2'!M16-'Field information 2'!L16)</f>
        <v>0</v>
      </c>
      <c r="B9" s="272">
        <f>IF(AND('Field information 2'!N16&gt;0,'Field information 2'!O16=0),"data missing",'Field information 2'!O16-'Field information 2'!N16)</f>
        <v>0</v>
      </c>
      <c r="C9" s="272">
        <f>IF(AND('Field information 2'!P16&gt;0, 'Field information 2'!Q16=0),"data missing",'Field information 2'!Q16-'Field information 2'!P16)</f>
        <v>0</v>
      </c>
      <c r="D9">
        <f>'Field information 2'!L16</f>
        <v>0</v>
      </c>
      <c r="E9" s="249" t="str">
        <f>IF(OR('Field information 2'!L16&gt;0,'Field information 2'!N16&gt;0,'Field information 2'!P16&gt;0),"Y","N")</f>
        <v>N</v>
      </c>
      <c r="F9" s="277" t="str">
        <f t="shared" si="12"/>
        <v/>
      </c>
      <c r="G9" t="str">
        <f>IF(OR(ISBLANK('Field information 1'!B10),AND(OR(ISBLANK('Field information 2'!L16), 'Field information 2'!L16=0),OR(ISBLANK('Field information 2'!N16), 'Field information 2'!N16=0), OR(ISBLANK('Field information 2'!P16), 'Field information 2'!P16=0))),"",
IF(ISTEXT('Field information 1'!B10), 'Field information 1'!B10, TEXT('Field information 1'!B10,"0")))</f>
        <v/>
      </c>
      <c r="H9" t="str">
        <f>IF(OR(ISBLANK('Field information 1'!B10),ISBLANK('Field information 2'!L16),ISBLANK('Field information 2'!F16)),"",'Field information 2'!F16)</f>
        <v/>
      </c>
      <c r="I9" s="91" t="str">
        <f>IF(OR(ISBLANK('Field information 1'!E10),G9=""),"",CEILING('Field information 1'!E10/10,1))</f>
        <v/>
      </c>
      <c r="J9" s="91" t="str">
        <f t="shared" si="13"/>
        <v>no</v>
      </c>
      <c r="K9" s="135" t="str">
        <f t="shared" ca="1" si="14"/>
        <v/>
      </c>
      <c r="L9" s="135" t="str">
        <f t="shared" ca="1" si="15"/>
        <v/>
      </c>
      <c r="M9" s="135" t="str">
        <f t="shared" ca="1" si="16"/>
        <v/>
      </c>
      <c r="N9" s="135" t="str">
        <f t="shared" ca="1" si="17"/>
        <v/>
      </c>
      <c r="O9" s="135" t="str">
        <f t="shared" ca="1" si="18"/>
        <v/>
      </c>
      <c r="P9" s="135" t="str">
        <f t="shared" ca="1" si="19"/>
        <v/>
      </c>
      <c r="Q9" s="135" t="str">
        <f t="shared" ca="1" si="20"/>
        <v/>
      </c>
      <c r="R9" s="135" t="str">
        <f t="shared" ca="1" si="21"/>
        <v/>
      </c>
      <c r="S9" s="135" t="str">
        <f t="shared" ca="1" si="22"/>
        <v/>
      </c>
      <c r="T9" s="135" t="str">
        <f t="shared" ca="1" si="23"/>
        <v/>
      </c>
      <c r="U9" s="49" t="str">
        <f t="shared" ca="1" si="24"/>
        <v/>
      </c>
      <c r="V9" s="7" t="str">
        <f t="shared" ca="1" si="25"/>
        <v/>
      </c>
      <c r="W9" s="7" t="str">
        <f t="shared" ca="1" si="26"/>
        <v/>
      </c>
      <c r="X9" s="7" t="str">
        <f t="shared" ca="1" si="27"/>
        <v/>
      </c>
      <c r="Y9" s="91"/>
      <c r="Z9" s="247" t="str">
        <f t="shared" si="28"/>
        <v/>
      </c>
      <c r="AA9" s="247" t="str">
        <f t="shared" ref="AA9:AI9" si="49">IF(AND(AA$4&lt;=$I9,$G9&lt;&gt;"",Z9&lt;&gt;""),$G9&amp;" "&amp;AA$3, "")</f>
        <v/>
      </c>
      <c r="AB9" s="247" t="str">
        <f t="shared" si="49"/>
        <v/>
      </c>
      <c r="AC9" s="247" t="str">
        <f t="shared" si="49"/>
        <v/>
      </c>
      <c r="AD9" s="247" t="str">
        <f t="shared" si="49"/>
        <v/>
      </c>
      <c r="AE9" s="247" t="str">
        <f t="shared" si="49"/>
        <v/>
      </c>
      <c r="AF9" s="247" t="str">
        <f t="shared" si="49"/>
        <v/>
      </c>
      <c r="AG9" s="247" t="str">
        <f t="shared" si="49"/>
        <v/>
      </c>
      <c r="AH9" s="247" t="str">
        <f t="shared" si="49"/>
        <v/>
      </c>
      <c r="AI9" s="247" t="str">
        <f t="shared" si="49"/>
        <v/>
      </c>
      <c r="AK9" s="247" t="str">
        <f t="shared" si="30"/>
        <v/>
      </c>
      <c r="AL9" s="247" t="str">
        <f t="shared" si="31"/>
        <v/>
      </c>
      <c r="AM9" s="247" t="str">
        <f t="shared" si="32"/>
        <v/>
      </c>
      <c r="AN9" s="247" t="str">
        <f t="shared" si="33"/>
        <v/>
      </c>
      <c r="AO9" s="247" t="str">
        <f t="shared" si="34"/>
        <v/>
      </c>
      <c r="AP9" s="247" t="str">
        <f t="shared" si="35"/>
        <v/>
      </c>
      <c r="AQ9" s="247" t="str">
        <f t="shared" si="36"/>
        <v/>
      </c>
      <c r="AR9" s="247" t="str">
        <f t="shared" si="37"/>
        <v/>
      </c>
      <c r="AS9" s="247" t="str">
        <f t="shared" si="38"/>
        <v/>
      </c>
      <c r="AT9" s="247" t="str">
        <f t="shared" si="39"/>
        <v/>
      </c>
      <c r="AV9" t="str">
        <f>IF(ISBLANK('Field information 1'!F10),"",'Field information 1'!F10)</f>
        <v/>
      </c>
      <c r="AX9" s="247" t="str" cm="1">
        <f t="array" aca="1" ref="AX9" ca="1">INDIRECT(TEXT(MIN(IF((Calc!$Z$5:$AI$104&lt;&gt;"")*(COUNTIF($AX$4:AX8,Calc!$Z$5:$AI$104)=0),ROW(Calc!$Z$5:$AI$104)*100+COLUMN(Calc!$Z$5:$AI$104),7^8)),"Calc!R0C00"),)&amp;""</f>
        <v/>
      </c>
      <c r="AY9" t="str" cm="1">
        <f t="array" aca="1" ref="AY9" ca="1">INDIRECT(TEXT(MIN(IF((Calc!$AK$5:$AT$104&lt;&gt;"")*(COUNTIF(AY$4:$AY8,Calc!$AK$5:$AT$104)=0),ROW(Calc!$AK$5:$AT$104)*100+COLUMN(Calc!$AK$5:$AT$104),7^8)),"Calc!R0C00"),)&amp;""</f>
        <v/>
      </c>
      <c r="AZ9" s="247" t="str">
        <f t="shared" ca="1" si="40"/>
        <v/>
      </c>
      <c r="BA9" s="324">
        <f t="shared" si="47"/>
        <v>5</v>
      </c>
      <c r="BB9">
        <f t="shared" ca="1" si="41"/>
        <v>0</v>
      </c>
      <c r="BC9" t="str">
        <f ca="1">IF($AX9="","",
VLOOKUP(LEFT($AX9,LEN($AX9)-2),'Field information 2'!$B$12:$P$111,11,FALSE))</f>
        <v/>
      </c>
      <c r="BD9" t="str">
        <f ca="1">IF($AX9="","",
VLOOKUP(LEFT($AX9,LEN($AX9)-2),'Field information 2'!$B$12:$P$111,13,FALSE))</f>
        <v/>
      </c>
      <c r="BE9" t="str">
        <f ca="1">IF($AX9="","",
VLOOKUP(LEFT($AX9,LEN($AX9)-2),'Field information 2'!$B$12:$P$111,15,FALSE))</f>
        <v/>
      </c>
      <c r="BF9">
        <f t="shared" ca="1" si="42"/>
        <v>0</v>
      </c>
      <c r="BG9" t="str">
        <f t="shared" ca="1" si="43"/>
        <v/>
      </c>
      <c r="BH9" s="7" t="str">
        <f ca="1">IF(OR(AX9="",'Soil results'!$D$7="",'Soil results'!$D$8=""),"",
IF('Soil results'!$D$7="LOI",
  IF('Soil results'!$D$8="mg/kg",'Soil results'!D14/10000,'Soil results'!D14),
IF('Soil results'!$D$7="Dumas",
  IF('Soil results'!$D$8="mg/kg",'Soil results'!D14*1.72/10000,'Soil results'!D14*1.72))))</f>
        <v/>
      </c>
      <c r="BI9" t="str">
        <f ca="1">IF($AX9="","",
VLOOKUP(LEFT($AX9,LEN($AX9)-2),'Field information 2'!$B$12:$I$111,8,FALSE))</f>
        <v/>
      </c>
      <c r="BJ9" t="str">
        <f ca="1">IF(BI9="","",
VLOOKUP(BI9,'Fertiliser recommendations'!$A$5:$B$62,2,FALSE))</f>
        <v/>
      </c>
      <c r="BK9" s="38" t="str">
        <f ca="1">IF($AX9="","",
IF(AND(BJ9="g",VLOOKUP(LEFT($AX9,LEN($AX9)-2),'Field information 2'!$B$12:$P$111,9,FALSE)&lt;&gt;"yes"),
IF(BG9="10-25% OM",6,IF(BG9="&gt;25% OM",12,IF(BG9="SCL; CL; ZCL; SC; ZC; C",6,IF(BG9="SL; SZL; ZL",5,IF(BG9="S; LS",4,"?"))))),
IF(OR(BJ9="a",AND(BJ9="g",VLOOKUP(LEFT($AX9,LEN($AX9)-2),'Field information 2'!$B$12:$P$111,9,FALSE)="yes")),
IF(BG9="10-25% OM",8,IF(BG9="&gt;25% OM",16,IF(BG9="SCL; CL; ZCL; SC; ZC; C",8,IF(BG9="SL; SZL; ZL",7,IF(BG9="S; LS",6,"?"))))),"")))</f>
        <v/>
      </c>
      <c r="BL9" t="str">
        <f ca="1">IF(AX9&lt;&gt;"",COUNTBLANK('Soil results'!D14:D14)+COUNTBLANK('Soil results'!F14:I14)+COUNTBLANK('Soil results'!K14:Q14),"")</f>
        <v/>
      </c>
      <c r="BM9" t="str">
        <f ca="1">IF(AX9&lt;&gt;"",
IF(OR(ISNUMBER(SEARCH("10*01*01",'Field information 2'!$M$5)),ISNUMBER(SEARCH("10*01*03",'Field information 2'!$M$5))),0.25,1),"")</f>
        <v/>
      </c>
      <c r="BN9" s="275" t="str">
        <f ca="1">IF(AX9&lt;&gt;"",
IF(COUNTIF('Soil results'!G15:G$159,"="&amp;'Soil results'!G14)+COUNTIF('Soil results'!H15:H$159,"="&amp;'Soil results'!H14)+COUNTIF('Soil results'!I15:I$159,"="&amp;'Soil results'!I14)=0,"no",
IF(MOD(COUNTIF('Soil results'!G15:G$159,"="&amp;'Soil results'!G14)+COUNTIF('Soil results'!H15:H$159,"="&amp;'Soil results'!H14)+COUNTIF('Soil results'!I15:I$159,"="&amp;'Soil results'!I14),3)=0,"yes","no")),"")</f>
        <v/>
      </c>
      <c r="BO9" s="276" t="str">
        <f t="shared" ca="1" si="44"/>
        <v/>
      </c>
      <c r="BP9" s="33"/>
      <c r="BQ9" s="276"/>
      <c r="BR9" s="276"/>
      <c r="BS9" s="276" t="str">
        <f t="shared" ca="1" si="45"/>
        <v/>
      </c>
      <c r="BT9" s="153" t="str">
        <f ca="1">IF(AX9="","",
IF(OR(Assessment!F11="limited benefit",Assessment!F11="benefit", Assessment!M11="limited benefit",Assessment!M11="benefit", Assessment!R11="limited benefit",Assessment!R11="benefit", Assessment!W11="limited benefit",Assessment!W11="benefit", Assessment!AB11="limited benefit",Assessment!AB11="benefit", AND(ISNUMBER(Assessment!AF11),Assessment!AG11="ok"), Assessment!AJ11="benefit"),"yes","no"))</f>
        <v/>
      </c>
      <c r="BV9" t="s">
        <v>216</v>
      </c>
      <c r="BW9" t="s">
        <v>331</v>
      </c>
    </row>
    <row r="10" spans="1:77" x14ac:dyDescent="0.35">
      <c r="A10" s="272">
        <f>IF(AND('Field information 2'!L17&gt;0, 'Field information 2'!M17=0),"data missing", 'Field information 2'!M17-'Field information 2'!L17)</f>
        <v>0</v>
      </c>
      <c r="B10" s="272">
        <f>IF(AND('Field information 2'!N17&gt;0,'Field information 2'!O17=0),"data missing",'Field information 2'!O17-'Field information 2'!N17)</f>
        <v>0</v>
      </c>
      <c r="C10" s="272">
        <f>IF(AND('Field information 2'!P17&gt;0, 'Field information 2'!Q17=0),"data missing",'Field information 2'!Q17-'Field information 2'!P17)</f>
        <v>0</v>
      </c>
      <c r="D10">
        <f>'Field information 2'!L17</f>
        <v>0</v>
      </c>
      <c r="E10" s="249" t="str">
        <f>IF(OR('Field information 2'!L17&gt;0,'Field information 2'!N17&gt;0,'Field information 2'!P17&gt;0),"Y","N")</f>
        <v>N</v>
      </c>
      <c r="F10" s="277" t="str">
        <f t="shared" si="12"/>
        <v/>
      </c>
      <c r="G10" t="str">
        <f>IF(OR(ISBLANK('Field information 1'!B11),AND(OR(ISBLANK('Field information 2'!L17), 'Field information 2'!L17=0),OR(ISBLANK('Field information 2'!N17), 'Field information 2'!N17=0), OR(ISBLANK('Field information 2'!P17), 'Field information 2'!P17=0))),"",
IF(ISTEXT('Field information 1'!B11), 'Field information 1'!B11, TEXT('Field information 1'!B11,"0")))</f>
        <v/>
      </c>
      <c r="H10" t="str">
        <f>IF(OR(ISBLANK('Field information 1'!B11),ISBLANK('Field information 2'!L17),ISBLANK('Field information 2'!F17)),"",'Field information 2'!F17)</f>
        <v/>
      </c>
      <c r="I10" s="91" t="str">
        <f>IF(OR(ISBLANK('Field information 1'!E11),G10=""),"",CEILING('Field information 1'!E11/10,1))</f>
        <v/>
      </c>
      <c r="J10" s="91" t="str">
        <f t="shared" si="13"/>
        <v>no</v>
      </c>
      <c r="K10" s="135" t="str">
        <f t="shared" ca="1" si="14"/>
        <v/>
      </c>
      <c r="L10" s="135" t="str">
        <f t="shared" ca="1" si="15"/>
        <v/>
      </c>
      <c r="M10" s="135" t="str">
        <f t="shared" ca="1" si="16"/>
        <v/>
      </c>
      <c r="N10" s="135" t="str">
        <f t="shared" ca="1" si="17"/>
        <v/>
      </c>
      <c r="O10" s="135" t="str">
        <f t="shared" ca="1" si="18"/>
        <v/>
      </c>
      <c r="P10" s="135" t="str">
        <f t="shared" ca="1" si="19"/>
        <v/>
      </c>
      <c r="Q10" s="135" t="str">
        <f t="shared" ca="1" si="20"/>
        <v/>
      </c>
      <c r="R10" s="135" t="str">
        <f t="shared" ca="1" si="21"/>
        <v/>
      </c>
      <c r="S10" s="135" t="str">
        <f t="shared" ca="1" si="22"/>
        <v/>
      </c>
      <c r="T10" s="135" t="str">
        <f t="shared" ca="1" si="23"/>
        <v/>
      </c>
      <c r="U10" s="49" t="str">
        <f t="shared" ca="1" si="24"/>
        <v/>
      </c>
      <c r="V10" s="7" t="str">
        <f t="shared" ca="1" si="25"/>
        <v/>
      </c>
      <c r="W10" s="7" t="str">
        <f t="shared" ca="1" si="26"/>
        <v/>
      </c>
      <c r="X10" s="7" t="str">
        <f t="shared" ca="1" si="27"/>
        <v/>
      </c>
      <c r="Y10" s="91"/>
      <c r="Z10" s="247" t="str">
        <f t="shared" si="28"/>
        <v/>
      </c>
      <c r="AA10" s="247" t="str">
        <f t="shared" ref="AA10:AI10" si="50">IF(AND(AA$4&lt;=$I10,$G10&lt;&gt;"",Z10&lt;&gt;""),$G10&amp;" "&amp;AA$3, "")</f>
        <v/>
      </c>
      <c r="AB10" s="247" t="str">
        <f t="shared" si="50"/>
        <v/>
      </c>
      <c r="AC10" s="247" t="str">
        <f t="shared" si="50"/>
        <v/>
      </c>
      <c r="AD10" s="247" t="str">
        <f t="shared" si="50"/>
        <v/>
      </c>
      <c r="AE10" s="247" t="str">
        <f t="shared" si="50"/>
        <v/>
      </c>
      <c r="AF10" s="247" t="str">
        <f t="shared" si="50"/>
        <v/>
      </c>
      <c r="AG10" s="247" t="str">
        <f t="shared" si="50"/>
        <v/>
      </c>
      <c r="AH10" s="247" t="str">
        <f t="shared" si="50"/>
        <v/>
      </c>
      <c r="AI10" s="247" t="str">
        <f t="shared" si="50"/>
        <v/>
      </c>
      <c r="AK10" s="247" t="str">
        <f t="shared" si="30"/>
        <v/>
      </c>
      <c r="AL10" s="247" t="str">
        <f t="shared" si="31"/>
        <v/>
      </c>
      <c r="AM10" s="247" t="str">
        <f t="shared" si="32"/>
        <v/>
      </c>
      <c r="AN10" s="247" t="str">
        <f t="shared" si="33"/>
        <v/>
      </c>
      <c r="AO10" s="247" t="str">
        <f t="shared" si="34"/>
        <v/>
      </c>
      <c r="AP10" s="247" t="str">
        <f t="shared" si="35"/>
        <v/>
      </c>
      <c r="AQ10" s="247" t="str">
        <f t="shared" si="36"/>
        <v/>
      </c>
      <c r="AR10" s="247" t="str">
        <f t="shared" si="37"/>
        <v/>
      </c>
      <c r="AS10" s="247" t="str">
        <f t="shared" si="38"/>
        <v/>
      </c>
      <c r="AT10" s="247" t="str">
        <f t="shared" si="39"/>
        <v/>
      </c>
      <c r="AV10" t="str">
        <f>IF(ISBLANK('Field information 1'!F11),"",'Field information 1'!F11)</f>
        <v/>
      </c>
      <c r="AX10" s="247" t="str" cm="1">
        <f t="array" aca="1" ref="AX10" ca="1">INDIRECT(TEXT(MIN(IF((Calc!$Z$5:$AI$104&lt;&gt;"")*(COUNTIF($AX$4:AX9,Calc!$Z$5:$AI$104)=0),ROW(Calc!$Z$5:$AI$104)*100+COLUMN(Calc!$Z$5:$AI$104),7^8)),"Calc!R0C00"),)&amp;""</f>
        <v/>
      </c>
      <c r="AY10" t="str" cm="1">
        <f t="array" aca="1" ref="AY10" ca="1">INDIRECT(TEXT(MIN(IF((Calc!$AK$5:$AT$104&lt;&gt;"")*(COUNTIF(AY$4:$AY9,Calc!$AK$5:$AT$104)=0),ROW(Calc!$AK$5:$AT$104)*100+COLUMN(Calc!$AK$5:$AT$104),7^8)),"Calc!R0C00"),)&amp;""</f>
        <v/>
      </c>
      <c r="AZ10" s="247" t="str">
        <f t="shared" ca="1" si="40"/>
        <v/>
      </c>
      <c r="BA10" s="324">
        <f t="shared" si="47"/>
        <v>6</v>
      </c>
      <c r="BB10">
        <f t="shared" ca="1" si="41"/>
        <v>0</v>
      </c>
      <c r="BC10" t="str">
        <f ca="1">IF($AX10="","",
VLOOKUP(LEFT($AX10,LEN($AX10)-2),'Field information 2'!$B$12:$P$111,11,FALSE))</f>
        <v/>
      </c>
      <c r="BD10" t="str">
        <f ca="1">IF($AX10="","",
VLOOKUP(LEFT($AX10,LEN($AX10)-2),'Field information 2'!$B$12:$P$111,13,FALSE))</f>
        <v/>
      </c>
      <c r="BE10" t="str">
        <f ca="1">IF($AX10="","",
VLOOKUP(LEFT($AX10,LEN($AX10)-2),'Field information 2'!$B$12:$P$111,15,FALSE))</f>
        <v/>
      </c>
      <c r="BF10">
        <f t="shared" ca="1" si="42"/>
        <v>0</v>
      </c>
      <c r="BG10" t="str">
        <f t="shared" ca="1" si="43"/>
        <v/>
      </c>
      <c r="BH10" s="7" t="str">
        <f ca="1">IF(OR(AX10="",'Soil results'!$D$7="",'Soil results'!$D$8=""),"",
IF('Soil results'!$D$7="LOI",
  IF('Soil results'!$D$8="mg/kg",'Soil results'!D15/10000,'Soil results'!D15),
IF('Soil results'!$D$7="Dumas",
  IF('Soil results'!$D$8="mg/kg",'Soil results'!D15*1.72/10000,'Soil results'!D15*1.72))))</f>
        <v/>
      </c>
      <c r="BI10" t="str">
        <f ca="1">IF($AX10="","",
VLOOKUP(LEFT($AX10,LEN($AX10)-2),'Field information 2'!$B$12:$I$111,8,FALSE))</f>
        <v/>
      </c>
      <c r="BJ10" t="str">
        <f ca="1">IF(BI10="","",
VLOOKUP(BI10,'Fertiliser recommendations'!$A$5:$B$62,2,FALSE))</f>
        <v/>
      </c>
      <c r="BK10" s="38" t="str">
        <f ca="1">IF($AX10="","",
IF(AND(BJ10="g",VLOOKUP(LEFT($AX10,LEN($AX10)-2),'Field information 2'!$B$12:$P$111,9,FALSE)&lt;&gt;"yes"),
IF(BG10="10-25% OM",6,IF(BG10="&gt;25% OM",12,IF(BG10="SCL; CL; ZCL; SC; ZC; C",6,IF(BG10="SL; SZL; ZL",5,IF(BG10="S; LS",4,"?"))))),
IF(OR(BJ10="a",AND(BJ10="g",VLOOKUP(LEFT($AX10,LEN($AX10)-2),'Field information 2'!$B$12:$P$111,9,FALSE)="yes")),
IF(BG10="10-25% OM",8,IF(BG10="&gt;25% OM",16,IF(BG10="SCL; CL; ZCL; SC; ZC; C",8,IF(BG10="SL; SZL; ZL",7,IF(BG10="S; LS",6,"?"))))),"")))</f>
        <v/>
      </c>
      <c r="BL10" t="str">
        <f ca="1">IF(AX10&lt;&gt;"",COUNTBLANK('Soil results'!D15:D15)+COUNTBLANK('Soil results'!F15:I15)+COUNTBLANK('Soil results'!K15:Q15),"")</f>
        <v/>
      </c>
      <c r="BM10" t="str">
        <f ca="1">IF(AX10&lt;&gt;"",
IF(OR(ISNUMBER(SEARCH("10*01*01",'Field information 2'!$M$5)),ISNUMBER(SEARCH("10*01*03",'Field information 2'!$M$5))),0.25,1),"")</f>
        <v/>
      </c>
      <c r="BN10" s="275" t="str">
        <f ca="1">IF(AX10&lt;&gt;"",
IF(COUNTIF('Soil results'!G16:G$159,"="&amp;'Soil results'!G15)+COUNTIF('Soil results'!H16:H$159,"="&amp;'Soil results'!H15)+COUNTIF('Soil results'!I16:I$159,"="&amp;'Soil results'!I15)=0,"no",
IF(MOD(COUNTIF('Soil results'!G16:G$159,"="&amp;'Soil results'!G15)+COUNTIF('Soil results'!H16:H$159,"="&amp;'Soil results'!H15)+COUNTIF('Soil results'!I16:I$159,"="&amp;'Soil results'!I15),3)=0,"yes","no")),"")</f>
        <v/>
      </c>
      <c r="BO10" s="276" t="str">
        <f t="shared" ca="1" si="44"/>
        <v/>
      </c>
      <c r="BP10" s="33"/>
      <c r="BQ10" s="276"/>
      <c r="BR10" s="276"/>
      <c r="BS10" s="276" t="str">
        <f t="shared" ca="1" si="45"/>
        <v/>
      </c>
      <c r="BT10" s="153" t="str">
        <f ca="1">IF(AX10="","",
IF(OR(Assessment!F12="limited benefit",Assessment!F12="benefit", Assessment!M12="limited benefit",Assessment!M12="benefit", Assessment!R12="limited benefit",Assessment!R12="benefit", Assessment!W12="limited benefit",Assessment!W12="benefit", Assessment!AB12="limited benefit",Assessment!AB12="benefit", AND(ISNUMBER(Assessment!AF12),Assessment!AG12="ok"), Assessment!AJ12="benefit"),"yes","no"))</f>
        <v/>
      </c>
      <c r="BV10" t="s">
        <v>217</v>
      </c>
    </row>
    <row r="11" spans="1:77" x14ac:dyDescent="0.35">
      <c r="A11" s="272">
        <f>IF(AND('Field information 2'!L18&gt;0, 'Field information 2'!M18=0),"data missing", 'Field information 2'!M18-'Field information 2'!L18)</f>
        <v>0</v>
      </c>
      <c r="B11" s="272">
        <f>IF(AND('Field information 2'!N18&gt;0,'Field information 2'!O18=0),"data missing",'Field information 2'!O18-'Field information 2'!N18)</f>
        <v>0</v>
      </c>
      <c r="C11" s="272">
        <f>IF(AND('Field information 2'!P18&gt;0, 'Field information 2'!Q18=0),"data missing",'Field information 2'!Q18-'Field information 2'!P18)</f>
        <v>0</v>
      </c>
      <c r="D11">
        <f>'Field information 2'!L18</f>
        <v>0</v>
      </c>
      <c r="E11" s="249" t="str">
        <f>IF(OR('Field information 2'!L18&gt;0,'Field information 2'!N18&gt;0,'Field information 2'!P18&gt;0),"Y","N")</f>
        <v>N</v>
      </c>
      <c r="F11" s="277" t="str">
        <f t="shared" si="12"/>
        <v/>
      </c>
      <c r="G11" t="str">
        <f>IF(OR(ISBLANK('Field information 1'!B12),AND(OR(ISBLANK('Field information 2'!L18), 'Field information 2'!L18=0),OR(ISBLANK('Field information 2'!N18), 'Field information 2'!N18=0), OR(ISBLANK('Field information 2'!P18), 'Field information 2'!P18=0))),"",
IF(ISTEXT('Field information 1'!B12), 'Field information 1'!B12, TEXT('Field information 1'!B12,"0")))</f>
        <v/>
      </c>
      <c r="H11" t="str">
        <f>IF(OR(ISBLANK('Field information 1'!B12),ISBLANK('Field information 2'!L18),ISBLANK('Field information 2'!F18)),"",'Field information 2'!F18)</f>
        <v/>
      </c>
      <c r="I11" s="91" t="str">
        <f>IF(OR(ISBLANK('Field information 1'!E12),G11=""),"",CEILING('Field information 1'!E12/10,1))</f>
        <v/>
      </c>
      <c r="J11" s="91" t="str">
        <f t="shared" si="13"/>
        <v>no</v>
      </c>
      <c r="K11" s="135" t="str">
        <f t="shared" ca="1" si="14"/>
        <v/>
      </c>
      <c r="L11" s="135" t="str">
        <f t="shared" ca="1" si="15"/>
        <v/>
      </c>
      <c r="M11" s="135" t="str">
        <f t="shared" ca="1" si="16"/>
        <v/>
      </c>
      <c r="N11" s="135" t="str">
        <f t="shared" ca="1" si="17"/>
        <v/>
      </c>
      <c r="O11" s="135" t="str">
        <f t="shared" ca="1" si="18"/>
        <v/>
      </c>
      <c r="P11" s="135" t="str">
        <f t="shared" ca="1" si="19"/>
        <v/>
      </c>
      <c r="Q11" s="135" t="str">
        <f t="shared" ca="1" si="20"/>
        <v/>
      </c>
      <c r="R11" s="135" t="str">
        <f t="shared" ca="1" si="21"/>
        <v/>
      </c>
      <c r="S11" s="135" t="str">
        <f t="shared" ca="1" si="22"/>
        <v/>
      </c>
      <c r="T11" s="135" t="str">
        <f t="shared" ca="1" si="23"/>
        <v/>
      </c>
      <c r="U11" s="49" t="str">
        <f t="shared" ca="1" si="24"/>
        <v/>
      </c>
      <c r="V11" s="7" t="str">
        <f t="shared" ca="1" si="25"/>
        <v/>
      </c>
      <c r="W11" s="7" t="str">
        <f t="shared" ca="1" si="26"/>
        <v/>
      </c>
      <c r="X11" s="7" t="str">
        <f t="shared" ca="1" si="27"/>
        <v/>
      </c>
      <c r="Y11" s="91"/>
      <c r="Z11" s="247" t="str">
        <f t="shared" si="28"/>
        <v/>
      </c>
      <c r="AA11" s="247" t="str">
        <f t="shared" ref="AA11:AI11" si="51">IF(AND(AA$4&lt;=$I11,$G11&lt;&gt;"",Z11&lt;&gt;""),$G11&amp;" "&amp;AA$3, "")</f>
        <v/>
      </c>
      <c r="AB11" s="247" t="str">
        <f t="shared" si="51"/>
        <v/>
      </c>
      <c r="AC11" s="247" t="str">
        <f t="shared" si="51"/>
        <v/>
      </c>
      <c r="AD11" s="247" t="str">
        <f t="shared" si="51"/>
        <v/>
      </c>
      <c r="AE11" s="247" t="str">
        <f t="shared" si="51"/>
        <v/>
      </c>
      <c r="AF11" s="247" t="str">
        <f t="shared" si="51"/>
        <v/>
      </c>
      <c r="AG11" s="247" t="str">
        <f t="shared" si="51"/>
        <v/>
      </c>
      <c r="AH11" s="247" t="str">
        <f t="shared" si="51"/>
        <v/>
      </c>
      <c r="AI11" s="247" t="str">
        <f t="shared" si="51"/>
        <v/>
      </c>
      <c r="AK11" s="247" t="str">
        <f t="shared" si="30"/>
        <v/>
      </c>
      <c r="AL11" s="247" t="str">
        <f t="shared" si="31"/>
        <v/>
      </c>
      <c r="AM11" s="247" t="str">
        <f t="shared" si="32"/>
        <v/>
      </c>
      <c r="AN11" s="247" t="str">
        <f t="shared" si="33"/>
        <v/>
      </c>
      <c r="AO11" s="247" t="str">
        <f t="shared" si="34"/>
        <v/>
      </c>
      <c r="AP11" s="247" t="str">
        <f t="shared" si="35"/>
        <v/>
      </c>
      <c r="AQ11" s="247" t="str">
        <f t="shared" si="36"/>
        <v/>
      </c>
      <c r="AR11" s="247" t="str">
        <f t="shared" si="37"/>
        <v/>
      </c>
      <c r="AS11" s="247" t="str">
        <f t="shared" si="38"/>
        <v/>
      </c>
      <c r="AT11" s="247" t="str">
        <f t="shared" si="39"/>
        <v/>
      </c>
      <c r="AV11" t="str">
        <f>IF(ISBLANK('Field information 1'!F12),"",'Field information 1'!F12)</f>
        <v/>
      </c>
      <c r="AX11" s="247" t="str" cm="1">
        <f t="array" aca="1" ref="AX11" ca="1">INDIRECT(TEXT(MIN(IF((Calc!$Z$5:$AI$104&lt;&gt;"")*(COUNTIF($AX$4:AX10,Calc!$Z$5:$AI$104)=0),ROW(Calc!$Z$5:$AI$104)*100+COLUMN(Calc!$Z$5:$AI$104),7^8)),"Calc!R0C00"),)&amp;""</f>
        <v/>
      </c>
      <c r="AY11" t="str" cm="1">
        <f t="array" aca="1" ref="AY11" ca="1">INDIRECT(TEXT(MIN(IF((Calc!$AK$5:$AT$104&lt;&gt;"")*(COUNTIF(AY$4:$AY10,Calc!$AK$5:$AT$104)=0),ROW(Calc!$AK$5:$AT$104)*100+COLUMN(Calc!$AK$5:$AT$104),7^8)),"Calc!R0C00"),)&amp;""</f>
        <v/>
      </c>
      <c r="AZ11" s="247" t="str">
        <f t="shared" ca="1" si="40"/>
        <v/>
      </c>
      <c r="BA11" s="324">
        <f t="shared" si="47"/>
        <v>7</v>
      </c>
      <c r="BB11">
        <f t="shared" ca="1" si="41"/>
        <v>0</v>
      </c>
      <c r="BC11" t="str">
        <f ca="1">IF($AX11="","",
VLOOKUP(LEFT($AX11,LEN($AX11)-2),'Field information 2'!$B$12:$P$111,11,FALSE))</f>
        <v/>
      </c>
      <c r="BD11" t="str">
        <f ca="1">IF($AX11="","",
VLOOKUP(LEFT($AX11,LEN($AX11)-2),'Field information 2'!$B$12:$P$111,13,FALSE))</f>
        <v/>
      </c>
      <c r="BE11" t="str">
        <f ca="1">IF($AX11="","",
VLOOKUP(LEFT($AX11,LEN($AX11)-2),'Field information 2'!$B$12:$P$111,15,FALSE))</f>
        <v/>
      </c>
      <c r="BF11">
        <f t="shared" ca="1" si="42"/>
        <v>0</v>
      </c>
      <c r="BG11" t="str">
        <f t="shared" ca="1" si="43"/>
        <v/>
      </c>
      <c r="BH11" s="7" t="str">
        <f ca="1">IF(OR(AX11="",'Soil results'!$D$7="",'Soil results'!$D$8=""),"",
IF('Soil results'!$D$7="LOI",
  IF('Soil results'!$D$8="mg/kg",'Soil results'!D16/10000,'Soil results'!D16),
IF('Soil results'!$D$7="Dumas",
  IF('Soil results'!$D$8="mg/kg",'Soil results'!D16*1.72/10000,'Soil results'!D16*1.72))))</f>
        <v/>
      </c>
      <c r="BI11" t="str">
        <f ca="1">IF($AX11="","",
VLOOKUP(LEFT($AX11,LEN($AX11)-2),'Field information 2'!$B$12:$I$111,8,FALSE))</f>
        <v/>
      </c>
      <c r="BJ11" t="str">
        <f ca="1">IF(BI11="","",
VLOOKUP(BI11,'Fertiliser recommendations'!$A$5:$B$62,2,FALSE))</f>
        <v/>
      </c>
      <c r="BK11" s="38" t="str">
        <f ca="1">IF($AX11="","",
IF(AND(BJ11="g",VLOOKUP(LEFT($AX11,LEN($AX11)-2),'Field information 2'!$B$12:$P$111,9,FALSE)&lt;&gt;"yes"),
IF(BG11="10-25% OM",6,IF(BG11="&gt;25% OM",12,IF(BG11="SCL; CL; ZCL; SC; ZC; C",6,IF(BG11="SL; SZL; ZL",5,IF(BG11="S; LS",4,"?"))))),
IF(OR(BJ11="a",AND(BJ11="g",VLOOKUP(LEFT($AX11,LEN($AX11)-2),'Field information 2'!$B$12:$P$111,9,FALSE)="yes")),
IF(BG11="10-25% OM",8,IF(BG11="&gt;25% OM",16,IF(BG11="SCL; CL; ZCL; SC; ZC; C",8,IF(BG11="SL; SZL; ZL",7,IF(BG11="S; LS",6,"?"))))),"")))</f>
        <v/>
      </c>
      <c r="BL11" t="str">
        <f ca="1">IF(AX11&lt;&gt;"",COUNTBLANK('Soil results'!D16:D16)+COUNTBLANK('Soil results'!F16:I16)+COUNTBLANK('Soil results'!K16:Q16),"")</f>
        <v/>
      </c>
      <c r="BM11" t="str">
        <f ca="1">IF(AX11&lt;&gt;"",
IF(OR(ISNUMBER(SEARCH("10*01*01",'Field information 2'!$M$5)),ISNUMBER(SEARCH("10*01*03",'Field information 2'!$M$5))),0.25,1),"")</f>
        <v/>
      </c>
      <c r="BN11" s="275" t="str">
        <f ca="1">IF(AX11&lt;&gt;"",
IF(COUNTIF('Soil results'!G17:G$159,"="&amp;'Soil results'!G16)+COUNTIF('Soil results'!H17:H$159,"="&amp;'Soil results'!H16)+COUNTIF('Soil results'!I17:I$159,"="&amp;'Soil results'!I16)=0,"no",
IF(MOD(COUNTIF('Soil results'!G17:G$159,"="&amp;'Soil results'!G16)+COUNTIF('Soil results'!H17:H$159,"="&amp;'Soil results'!H16)+COUNTIF('Soil results'!I17:I$159,"="&amp;'Soil results'!I16),3)=0,"yes","no")),"")</f>
        <v/>
      </c>
      <c r="BO11" s="276" t="str">
        <f t="shared" ca="1" si="44"/>
        <v/>
      </c>
      <c r="BP11" s="33"/>
      <c r="BQ11" s="276"/>
      <c r="BR11" s="276"/>
      <c r="BS11" s="276" t="str">
        <f t="shared" ca="1" si="45"/>
        <v/>
      </c>
      <c r="BT11" s="153" t="str">
        <f ca="1">IF(AX11="","",
IF(OR(Assessment!F13="limited benefit",Assessment!F13="benefit", Assessment!M13="limited benefit",Assessment!M13="benefit", Assessment!R13="limited benefit",Assessment!R13="benefit", Assessment!W13="limited benefit",Assessment!W13="benefit", Assessment!AB13="limited benefit",Assessment!AB13="benefit", AND(ISNUMBER(Assessment!AF13),Assessment!AG13="ok"), Assessment!AJ13="benefit"),"yes","no"))</f>
        <v/>
      </c>
      <c r="BV11" t="s">
        <v>220</v>
      </c>
      <c r="BW11" t="s">
        <v>332</v>
      </c>
    </row>
    <row r="12" spans="1:77" x14ac:dyDescent="0.35">
      <c r="A12" s="272">
        <f>IF(AND('Field information 2'!L19&gt;0, 'Field information 2'!M19=0),"data missing", 'Field information 2'!M19-'Field information 2'!L19)</f>
        <v>0</v>
      </c>
      <c r="B12" s="272">
        <f>IF(AND('Field information 2'!N19&gt;0,'Field information 2'!O19=0),"data missing",'Field information 2'!O19-'Field information 2'!N19)</f>
        <v>0</v>
      </c>
      <c r="C12" s="272">
        <f>IF(AND('Field information 2'!P19&gt;0, 'Field information 2'!Q19=0),"data missing",'Field information 2'!Q19-'Field information 2'!P19)</f>
        <v>0</v>
      </c>
      <c r="D12">
        <f>'Field information 2'!L19</f>
        <v>0</v>
      </c>
      <c r="E12" s="249" t="str">
        <f>IF(OR('Field information 2'!L19&gt;0,'Field information 2'!N19&gt;0,'Field information 2'!P19&gt;0),"Y","N")</f>
        <v>N</v>
      </c>
      <c r="F12" s="277" t="str">
        <f t="shared" si="12"/>
        <v/>
      </c>
      <c r="G12" t="str">
        <f>IF(OR(ISBLANK('Field information 1'!B13),AND(OR(ISBLANK('Field information 2'!L19), 'Field information 2'!L19=0),OR(ISBLANK('Field information 2'!N19), 'Field information 2'!N19=0), OR(ISBLANK('Field information 2'!P19), 'Field information 2'!P19=0))),"",
IF(ISTEXT('Field information 1'!B13), 'Field information 1'!B13, TEXT('Field information 1'!B13,"0")))</f>
        <v/>
      </c>
      <c r="H12" t="str">
        <f>IF(OR(ISBLANK('Field information 1'!B13),ISBLANK('Field information 2'!L19),ISBLANK('Field information 2'!F19)),"",'Field information 2'!F19)</f>
        <v/>
      </c>
      <c r="I12" s="91" t="str">
        <f>IF(OR(ISBLANK('Field information 1'!E13),G12=""),"",CEILING('Field information 1'!E13/10,1))</f>
        <v/>
      </c>
      <c r="J12" s="91" t="str">
        <f t="shared" si="13"/>
        <v>no</v>
      </c>
      <c r="K12" s="135" t="str">
        <f t="shared" ca="1" si="14"/>
        <v/>
      </c>
      <c r="L12" s="135" t="str">
        <f t="shared" ca="1" si="15"/>
        <v/>
      </c>
      <c r="M12" s="135" t="str">
        <f t="shared" ca="1" si="16"/>
        <v/>
      </c>
      <c r="N12" s="135" t="str">
        <f t="shared" ca="1" si="17"/>
        <v/>
      </c>
      <c r="O12" s="135" t="str">
        <f t="shared" ca="1" si="18"/>
        <v/>
      </c>
      <c r="P12" s="135" t="str">
        <f t="shared" ca="1" si="19"/>
        <v/>
      </c>
      <c r="Q12" s="135" t="str">
        <f t="shared" ca="1" si="20"/>
        <v/>
      </c>
      <c r="R12" s="135" t="str">
        <f t="shared" ca="1" si="21"/>
        <v/>
      </c>
      <c r="S12" s="135" t="str">
        <f t="shared" ca="1" si="22"/>
        <v/>
      </c>
      <c r="T12" s="135" t="str">
        <f t="shared" ca="1" si="23"/>
        <v/>
      </c>
      <c r="U12" s="49" t="str">
        <f t="shared" ca="1" si="24"/>
        <v/>
      </c>
      <c r="V12" s="7" t="str">
        <f t="shared" ca="1" si="25"/>
        <v/>
      </c>
      <c r="W12" s="7" t="str">
        <f t="shared" ca="1" si="26"/>
        <v/>
      </c>
      <c r="X12" s="7" t="str">
        <f t="shared" ca="1" si="27"/>
        <v/>
      </c>
      <c r="Y12" s="91"/>
      <c r="Z12" s="247" t="str">
        <f t="shared" si="28"/>
        <v/>
      </c>
      <c r="AA12" s="247" t="str">
        <f t="shared" ref="AA12:AI12" si="52">IF(AND(AA$4&lt;=$I12,$G12&lt;&gt;"",Z12&lt;&gt;""),$G12&amp;" "&amp;AA$3, "")</f>
        <v/>
      </c>
      <c r="AB12" s="247" t="str">
        <f t="shared" si="52"/>
        <v/>
      </c>
      <c r="AC12" s="247" t="str">
        <f t="shared" si="52"/>
        <v/>
      </c>
      <c r="AD12" s="247" t="str">
        <f t="shared" si="52"/>
        <v/>
      </c>
      <c r="AE12" s="247" t="str">
        <f t="shared" si="52"/>
        <v/>
      </c>
      <c r="AF12" s="247" t="str">
        <f t="shared" si="52"/>
        <v/>
      </c>
      <c r="AG12" s="247" t="str">
        <f t="shared" si="52"/>
        <v/>
      </c>
      <c r="AH12" s="247" t="str">
        <f t="shared" si="52"/>
        <v/>
      </c>
      <c r="AI12" s="247" t="str">
        <f t="shared" si="52"/>
        <v/>
      </c>
      <c r="AK12" s="247" t="str">
        <f t="shared" si="30"/>
        <v/>
      </c>
      <c r="AL12" s="247" t="str">
        <f t="shared" si="31"/>
        <v/>
      </c>
      <c r="AM12" s="247" t="str">
        <f t="shared" si="32"/>
        <v/>
      </c>
      <c r="AN12" s="247" t="str">
        <f t="shared" si="33"/>
        <v/>
      </c>
      <c r="AO12" s="247" t="str">
        <f t="shared" si="34"/>
        <v/>
      </c>
      <c r="AP12" s="247" t="str">
        <f t="shared" si="35"/>
        <v/>
      </c>
      <c r="AQ12" s="247" t="str">
        <f t="shared" si="36"/>
        <v/>
      </c>
      <c r="AR12" s="247" t="str">
        <f t="shared" si="37"/>
        <v/>
      </c>
      <c r="AS12" s="247" t="str">
        <f t="shared" si="38"/>
        <v/>
      </c>
      <c r="AT12" s="247" t="str">
        <f t="shared" si="39"/>
        <v/>
      </c>
      <c r="AV12" t="str">
        <f>IF(ISBLANK('Field information 1'!F13),"",'Field information 1'!F13)</f>
        <v/>
      </c>
      <c r="AX12" s="247" t="str" cm="1">
        <f t="array" aca="1" ref="AX12" ca="1">INDIRECT(TEXT(MIN(IF((Calc!$Z$5:$AI$104&lt;&gt;"")*(COUNTIF($AX$4:AX11,Calc!$Z$5:$AI$104)=0),ROW(Calc!$Z$5:$AI$104)*100+COLUMN(Calc!$Z$5:$AI$104),7^8)),"Calc!R0C00"),)&amp;""</f>
        <v/>
      </c>
      <c r="AY12" t="str" cm="1">
        <f t="array" aca="1" ref="AY12" ca="1">INDIRECT(TEXT(MIN(IF((Calc!$AK$5:$AT$104&lt;&gt;"")*(COUNTIF(AY$4:$AY11,Calc!$AK$5:$AT$104)=0),ROW(Calc!$AK$5:$AT$104)*100+COLUMN(Calc!$AK$5:$AT$104),7^8)),"Calc!R0C00"),)&amp;""</f>
        <v/>
      </c>
      <c r="AZ12" s="247" t="str">
        <f t="shared" ca="1" si="40"/>
        <v/>
      </c>
      <c r="BA12" s="324">
        <f t="shared" si="47"/>
        <v>8</v>
      </c>
      <c r="BB12">
        <f t="shared" ca="1" si="41"/>
        <v>0</v>
      </c>
      <c r="BC12" t="str">
        <f ca="1">IF($AX12="","",
VLOOKUP(LEFT($AX12,LEN($AX12)-2),'Field information 2'!$B$12:$P$111,11,FALSE))</f>
        <v/>
      </c>
      <c r="BD12" t="str">
        <f ca="1">IF($AX12="","",
VLOOKUP(LEFT($AX12,LEN($AX12)-2),'Field information 2'!$B$12:$P$111,13,FALSE))</f>
        <v/>
      </c>
      <c r="BE12" t="str">
        <f ca="1">IF($AX12="","",
VLOOKUP(LEFT($AX12,LEN($AX12)-2),'Field information 2'!$B$12:$P$111,15,FALSE))</f>
        <v/>
      </c>
      <c r="BF12">
        <f t="shared" ca="1" si="42"/>
        <v>0</v>
      </c>
      <c r="BG12" t="str">
        <f t="shared" ca="1" si="43"/>
        <v/>
      </c>
      <c r="BH12" s="7" t="str">
        <f ca="1">IF(OR(AX12="",'Soil results'!$D$7="",'Soil results'!$D$8=""),"",
IF('Soil results'!$D$7="LOI",
  IF('Soil results'!$D$8="mg/kg",'Soil results'!D17/10000,'Soil results'!D17),
IF('Soil results'!$D$7="Dumas",
  IF('Soil results'!$D$8="mg/kg",'Soil results'!D17*1.72/10000,'Soil results'!D17*1.72))))</f>
        <v/>
      </c>
      <c r="BI12" t="str">
        <f ca="1">IF($AX12="","",
VLOOKUP(LEFT($AX12,LEN($AX12)-2),'Field information 2'!$B$12:$I$111,8,FALSE))</f>
        <v/>
      </c>
      <c r="BJ12" t="str">
        <f ca="1">IF(BI12="","",
VLOOKUP(BI12,'Fertiliser recommendations'!$A$5:$B$62,2,FALSE))</f>
        <v/>
      </c>
      <c r="BK12" s="38" t="str">
        <f ca="1">IF($AX12="","",
IF(AND(BJ12="g",VLOOKUP(LEFT($AX12,LEN($AX12)-2),'Field information 2'!$B$12:$P$111,9,FALSE)&lt;&gt;"yes"),
IF(BG12="10-25% OM",6,IF(BG12="&gt;25% OM",12,IF(BG12="SCL; CL; ZCL; SC; ZC; C",6,IF(BG12="SL; SZL; ZL",5,IF(BG12="S; LS",4,"?"))))),
IF(OR(BJ12="a",AND(BJ12="g",VLOOKUP(LEFT($AX12,LEN($AX12)-2),'Field information 2'!$B$12:$P$111,9,FALSE)="yes")),
IF(BG12="10-25% OM",8,IF(BG12="&gt;25% OM",16,IF(BG12="SCL; CL; ZCL; SC; ZC; C",8,IF(BG12="SL; SZL; ZL",7,IF(BG12="S; LS",6,"?"))))),"")))</f>
        <v/>
      </c>
      <c r="BL12" t="str">
        <f ca="1">IF(AX12&lt;&gt;"",COUNTBLANK('Soil results'!D17:D17)+COUNTBLANK('Soil results'!F17:I17)+COUNTBLANK('Soil results'!K17:Q17),"")</f>
        <v/>
      </c>
      <c r="BM12" t="str">
        <f ca="1">IF(AX12&lt;&gt;"",
IF(OR(ISNUMBER(SEARCH("10*01*01",'Field information 2'!$M$5)),ISNUMBER(SEARCH("10*01*03",'Field information 2'!$M$5))),0.25,1),"")</f>
        <v/>
      </c>
      <c r="BN12" s="275" t="str">
        <f ca="1">IF(AX12&lt;&gt;"",
IF(COUNTIF('Soil results'!G18:G$159,"="&amp;'Soil results'!G17)+COUNTIF('Soil results'!H18:H$159,"="&amp;'Soil results'!H17)+COUNTIF('Soil results'!I18:I$159,"="&amp;'Soil results'!I17)=0,"no",
IF(MOD(COUNTIF('Soil results'!G18:G$159,"="&amp;'Soil results'!G17)+COUNTIF('Soil results'!H18:H$159,"="&amp;'Soil results'!H17)+COUNTIF('Soil results'!I18:I$159,"="&amp;'Soil results'!I17),3)=0,"yes","no")),"")</f>
        <v/>
      </c>
      <c r="BO12" s="276" t="str">
        <f t="shared" ca="1" si="44"/>
        <v/>
      </c>
      <c r="BP12" s="33"/>
      <c r="BQ12" s="276"/>
      <c r="BR12" s="276"/>
      <c r="BS12" s="276" t="str">
        <f t="shared" ca="1" si="45"/>
        <v/>
      </c>
      <c r="BT12" s="153" t="str">
        <f ca="1">IF(AX12="","",
IF(OR(Assessment!F14="limited benefit",Assessment!F14="benefit", Assessment!M14="limited benefit",Assessment!M14="benefit", Assessment!R14="limited benefit",Assessment!R14="benefit", Assessment!W14="limited benefit",Assessment!W14="benefit", Assessment!AB14="limited benefit",Assessment!AB14="benefit", AND(ISNUMBER(Assessment!AF14),Assessment!AG14="ok"), Assessment!AJ14="benefit"),"yes","no"))</f>
        <v/>
      </c>
      <c r="BV12" t="s">
        <v>221</v>
      </c>
      <c r="BW12" t="s">
        <v>333</v>
      </c>
    </row>
    <row r="13" spans="1:77" x14ac:dyDescent="0.35">
      <c r="A13" s="272">
        <f>IF(AND('Field information 2'!L20&gt;0, 'Field information 2'!M20=0),"data missing", 'Field information 2'!M20-'Field information 2'!L20)</f>
        <v>0</v>
      </c>
      <c r="B13" s="272">
        <f>IF(AND('Field information 2'!N20&gt;0,'Field information 2'!O20=0),"data missing",'Field information 2'!O20-'Field information 2'!N20)</f>
        <v>0</v>
      </c>
      <c r="C13" s="272">
        <f>IF(AND('Field information 2'!P20&gt;0, 'Field information 2'!Q20=0),"data missing",'Field information 2'!Q20-'Field information 2'!P20)</f>
        <v>0</v>
      </c>
      <c r="D13">
        <f>'Field information 2'!L20</f>
        <v>0</v>
      </c>
      <c r="E13" s="249" t="str">
        <f>IF(OR('Field information 2'!L20&gt;0,'Field information 2'!N20&gt;0,'Field information 2'!P20&gt;0),"Y","N")</f>
        <v>N</v>
      </c>
      <c r="F13" s="277" t="str">
        <f t="shared" si="12"/>
        <v/>
      </c>
      <c r="G13" t="str">
        <f>IF(OR(ISBLANK('Field information 1'!B14),AND(OR(ISBLANK('Field information 2'!L20), 'Field information 2'!L20=0),OR(ISBLANK('Field information 2'!N20), 'Field information 2'!N20=0), OR(ISBLANK('Field information 2'!P20), 'Field information 2'!P20=0))),"",
IF(ISTEXT('Field information 1'!B14), 'Field information 1'!B14, TEXT('Field information 1'!B14,"0")))</f>
        <v/>
      </c>
      <c r="H13" t="str">
        <f>IF(OR(ISBLANK('Field information 1'!B14),ISBLANK('Field information 2'!L20),ISBLANK('Field information 2'!F20)),"",'Field information 2'!F20)</f>
        <v/>
      </c>
      <c r="I13" s="91" t="str">
        <f>IF(OR(ISBLANK('Field information 1'!E14),G13=""),"",CEILING('Field information 1'!E14/10,1))</f>
        <v/>
      </c>
      <c r="J13" s="91" t="str">
        <f t="shared" si="13"/>
        <v>no</v>
      </c>
      <c r="K13" s="135" t="str">
        <f t="shared" ca="1" si="14"/>
        <v/>
      </c>
      <c r="L13" s="135" t="str">
        <f t="shared" ca="1" si="15"/>
        <v/>
      </c>
      <c r="M13" s="135" t="str">
        <f t="shared" ca="1" si="16"/>
        <v/>
      </c>
      <c r="N13" s="135" t="str">
        <f t="shared" ca="1" si="17"/>
        <v/>
      </c>
      <c r="O13" s="135" t="str">
        <f t="shared" ca="1" si="18"/>
        <v/>
      </c>
      <c r="P13" s="135" t="str">
        <f t="shared" ca="1" si="19"/>
        <v/>
      </c>
      <c r="Q13" s="135" t="str">
        <f t="shared" ca="1" si="20"/>
        <v/>
      </c>
      <c r="R13" s="135" t="str">
        <f t="shared" ca="1" si="21"/>
        <v/>
      </c>
      <c r="S13" s="135" t="str">
        <f t="shared" ca="1" si="22"/>
        <v/>
      </c>
      <c r="T13" s="135" t="str">
        <f t="shared" ca="1" si="23"/>
        <v/>
      </c>
      <c r="U13" s="49" t="str">
        <f t="shared" ca="1" si="24"/>
        <v/>
      </c>
      <c r="V13" s="7" t="str">
        <f t="shared" ca="1" si="25"/>
        <v/>
      </c>
      <c r="W13" s="7" t="str">
        <f t="shared" ca="1" si="26"/>
        <v/>
      </c>
      <c r="X13" s="7" t="str">
        <f t="shared" ca="1" si="27"/>
        <v/>
      </c>
      <c r="Y13" s="91"/>
      <c r="Z13" s="247" t="str">
        <f t="shared" si="28"/>
        <v/>
      </c>
      <c r="AA13" s="247" t="str">
        <f t="shared" ref="AA13:AI13" si="53">IF(AND(AA$4&lt;=$I13,$G13&lt;&gt;"",Z13&lt;&gt;""),$G13&amp;" "&amp;AA$3, "")</f>
        <v/>
      </c>
      <c r="AB13" s="247" t="str">
        <f t="shared" si="53"/>
        <v/>
      </c>
      <c r="AC13" s="247" t="str">
        <f t="shared" si="53"/>
        <v/>
      </c>
      <c r="AD13" s="247" t="str">
        <f t="shared" si="53"/>
        <v/>
      </c>
      <c r="AE13" s="247" t="str">
        <f t="shared" si="53"/>
        <v/>
      </c>
      <c r="AF13" s="247" t="str">
        <f t="shared" si="53"/>
        <v/>
      </c>
      <c r="AG13" s="247" t="str">
        <f t="shared" si="53"/>
        <v/>
      </c>
      <c r="AH13" s="247" t="str">
        <f t="shared" si="53"/>
        <v/>
      </c>
      <c r="AI13" s="247" t="str">
        <f t="shared" si="53"/>
        <v/>
      </c>
      <c r="AK13" s="247" t="str">
        <f t="shared" si="30"/>
        <v/>
      </c>
      <c r="AL13" s="247" t="str">
        <f t="shared" si="31"/>
        <v/>
      </c>
      <c r="AM13" s="247" t="str">
        <f t="shared" si="32"/>
        <v/>
      </c>
      <c r="AN13" s="247" t="str">
        <f t="shared" si="33"/>
        <v/>
      </c>
      <c r="AO13" s="247" t="str">
        <f t="shared" si="34"/>
        <v/>
      </c>
      <c r="AP13" s="247" t="str">
        <f t="shared" si="35"/>
        <v/>
      </c>
      <c r="AQ13" s="247" t="str">
        <f t="shared" si="36"/>
        <v/>
      </c>
      <c r="AR13" s="247" t="str">
        <f t="shared" si="37"/>
        <v/>
      </c>
      <c r="AS13" s="247" t="str">
        <f t="shared" si="38"/>
        <v/>
      </c>
      <c r="AT13" s="247" t="str">
        <f t="shared" si="39"/>
        <v/>
      </c>
      <c r="AV13" t="str">
        <f>IF(ISBLANK('Field information 1'!F14),"",'Field information 1'!F14)</f>
        <v/>
      </c>
      <c r="AX13" s="247" t="str" cm="1">
        <f t="array" aca="1" ref="AX13" ca="1">INDIRECT(TEXT(MIN(IF((Calc!$Z$5:$AI$104&lt;&gt;"")*(COUNTIF($AX$4:AX12,Calc!$Z$5:$AI$104)=0),ROW(Calc!$Z$5:$AI$104)*100+COLUMN(Calc!$Z$5:$AI$104),7^8)),"Calc!R0C00"),)&amp;""</f>
        <v/>
      </c>
      <c r="AY13" t="str" cm="1">
        <f t="array" aca="1" ref="AY13" ca="1">INDIRECT(TEXT(MIN(IF((Calc!$AK$5:$AT$104&lt;&gt;"")*(COUNTIF(AY$4:$AY12,Calc!$AK$5:$AT$104)=0),ROW(Calc!$AK$5:$AT$104)*100+COLUMN(Calc!$AK$5:$AT$104),7^8)),"Calc!R0C00"),)&amp;""</f>
        <v/>
      </c>
      <c r="AZ13" s="247" t="str">
        <f t="shared" ca="1" si="40"/>
        <v/>
      </c>
      <c r="BA13" s="324">
        <f t="shared" si="47"/>
        <v>9</v>
      </c>
      <c r="BB13">
        <f t="shared" ca="1" si="41"/>
        <v>0</v>
      </c>
      <c r="BC13" t="str">
        <f ca="1">IF($AX13="","",
VLOOKUP(LEFT($AX13,LEN($AX13)-2),'Field information 2'!$B$12:$P$111,11,FALSE))</f>
        <v/>
      </c>
      <c r="BD13" t="str">
        <f ca="1">IF($AX13="","",
VLOOKUP(LEFT($AX13,LEN($AX13)-2),'Field information 2'!$B$12:$P$111,13,FALSE))</f>
        <v/>
      </c>
      <c r="BE13" t="str">
        <f ca="1">IF($AX13="","",
VLOOKUP(LEFT($AX13,LEN($AX13)-2),'Field information 2'!$B$12:$P$111,15,FALSE))</f>
        <v/>
      </c>
      <c r="BF13">
        <f t="shared" ca="1" si="42"/>
        <v>0</v>
      </c>
      <c r="BG13" t="str">
        <f t="shared" ca="1" si="43"/>
        <v/>
      </c>
      <c r="BH13" s="7" t="str">
        <f ca="1">IF(OR(AX13="",'Soil results'!$D$7="",'Soil results'!$D$8=""),"",
IF('Soil results'!$D$7="LOI",
  IF('Soil results'!$D$8="mg/kg",'Soil results'!D18/10000,'Soil results'!D18),
IF('Soil results'!$D$7="Dumas",
  IF('Soil results'!$D$8="mg/kg",'Soil results'!D18*1.72/10000,'Soil results'!D18*1.72))))</f>
        <v/>
      </c>
      <c r="BI13" t="str">
        <f ca="1">IF($AX13="","",
VLOOKUP(LEFT($AX13,LEN($AX13)-2),'Field information 2'!$B$12:$I$111,8,FALSE))</f>
        <v/>
      </c>
      <c r="BJ13" t="str">
        <f ca="1">IF(BI13="","",
VLOOKUP(BI13,'Fertiliser recommendations'!$A$5:$B$62,2,FALSE))</f>
        <v/>
      </c>
      <c r="BK13" s="38" t="str">
        <f ca="1">IF($AX13="","",
IF(AND(BJ13="g",VLOOKUP(LEFT($AX13,LEN($AX13)-2),'Field information 2'!$B$12:$P$111,9,FALSE)&lt;&gt;"yes"),
IF(BG13="10-25% OM",6,IF(BG13="&gt;25% OM",12,IF(BG13="SCL; CL; ZCL; SC; ZC; C",6,IF(BG13="SL; SZL; ZL",5,IF(BG13="S; LS",4,"?"))))),
IF(OR(BJ13="a",AND(BJ13="g",VLOOKUP(LEFT($AX13,LEN($AX13)-2),'Field information 2'!$B$12:$P$111,9,FALSE)="yes")),
IF(BG13="10-25% OM",8,IF(BG13="&gt;25% OM",16,IF(BG13="SCL; CL; ZCL; SC; ZC; C",8,IF(BG13="SL; SZL; ZL",7,IF(BG13="S; LS",6,"?"))))),"")))</f>
        <v/>
      </c>
      <c r="BL13" t="str">
        <f ca="1">IF(AX13&lt;&gt;"",COUNTBLANK('Soil results'!D18:D18)+COUNTBLANK('Soil results'!F18:I18)+COUNTBLANK('Soil results'!K18:Q18),"")</f>
        <v/>
      </c>
      <c r="BM13" t="str">
        <f ca="1">IF(AX13&lt;&gt;"",
IF(OR(ISNUMBER(SEARCH("10*01*01",'Field information 2'!$M$5)),ISNUMBER(SEARCH("10*01*03",'Field information 2'!$M$5))),0.25,1),"")</f>
        <v/>
      </c>
      <c r="BN13" s="275" t="str">
        <f ca="1">IF(AX13&lt;&gt;"",
IF(COUNTIF('Soil results'!G19:G$159,"="&amp;'Soil results'!G18)+COUNTIF('Soil results'!H19:H$159,"="&amp;'Soil results'!H18)+COUNTIF('Soil results'!I19:I$159,"="&amp;'Soil results'!I18)=0,"no",
IF(MOD(COUNTIF('Soil results'!G19:G$159,"="&amp;'Soil results'!G18)+COUNTIF('Soil results'!H19:H$159,"="&amp;'Soil results'!H18)+COUNTIF('Soil results'!I19:I$159,"="&amp;'Soil results'!I18),3)=0,"yes","no")),"")</f>
        <v/>
      </c>
      <c r="BO13" s="276" t="str">
        <f t="shared" ca="1" si="44"/>
        <v/>
      </c>
      <c r="BP13" s="33"/>
      <c r="BQ13" s="276"/>
      <c r="BR13" s="276"/>
      <c r="BS13" s="276" t="str">
        <f t="shared" ca="1" si="45"/>
        <v/>
      </c>
      <c r="BT13" s="153" t="str">
        <f ca="1">IF(AX13="","",
IF(OR(Assessment!F15="limited benefit",Assessment!F15="benefit", Assessment!M15="limited benefit",Assessment!M15="benefit", Assessment!R15="limited benefit",Assessment!R15="benefit", Assessment!W15="limited benefit",Assessment!W15="benefit", Assessment!AB15="limited benefit",Assessment!AB15="benefit", AND(ISNUMBER(Assessment!AF15),Assessment!AG15="ok"), Assessment!AJ15="benefit"),"yes","no"))</f>
        <v/>
      </c>
      <c r="BV13" t="s">
        <v>608</v>
      </c>
      <c r="BW13" t="s">
        <v>334</v>
      </c>
    </row>
    <row r="14" spans="1:77" x14ac:dyDescent="0.35">
      <c r="A14" s="272">
        <f>IF(AND('Field information 2'!L21&gt;0, 'Field information 2'!M21=0),"data missing", 'Field information 2'!M21-'Field information 2'!L21)</f>
        <v>0</v>
      </c>
      <c r="B14" s="272">
        <f>IF(AND('Field information 2'!N21&gt;0,'Field information 2'!O21=0),"data missing",'Field information 2'!O21-'Field information 2'!N21)</f>
        <v>0</v>
      </c>
      <c r="C14" s="272">
        <f>IF(AND('Field information 2'!P21&gt;0, 'Field information 2'!Q21=0),"data missing",'Field information 2'!Q21-'Field information 2'!P21)</f>
        <v>0</v>
      </c>
      <c r="D14">
        <f>'Field information 2'!L21</f>
        <v>0</v>
      </c>
      <c r="E14" s="249" t="str">
        <f>IF(OR('Field information 2'!L21&gt;0,'Field information 2'!N21&gt;0,'Field information 2'!P21&gt;0),"Y","N")</f>
        <v>N</v>
      </c>
      <c r="F14" s="277" t="str">
        <f t="shared" si="12"/>
        <v/>
      </c>
      <c r="G14" t="str">
        <f>IF(OR(ISBLANK('Field information 1'!B15),AND(OR(ISBLANK('Field information 2'!L21), 'Field information 2'!L21=0),OR(ISBLANK('Field information 2'!N21), 'Field information 2'!N21=0), OR(ISBLANK('Field information 2'!P21), 'Field information 2'!P21=0))),"",
IF(ISTEXT('Field information 1'!B15), 'Field information 1'!B15, TEXT('Field information 1'!B15,"0")))</f>
        <v/>
      </c>
      <c r="H14" t="str">
        <f>IF(OR(ISBLANK('Field information 1'!B15),ISBLANK('Field information 2'!L21),ISBLANK('Field information 2'!F21)),"",'Field information 2'!F21)</f>
        <v/>
      </c>
      <c r="I14" s="91" t="str">
        <f>IF(OR(ISBLANK('Field information 1'!E15),G14=""),"",CEILING('Field information 1'!E15/10,1))</f>
        <v/>
      </c>
      <c r="J14" s="91" t="str">
        <f t="shared" si="13"/>
        <v>no</v>
      </c>
      <c r="K14" s="135" t="str">
        <f t="shared" ref="K14:K77" ca="1" si="54">VLOOKUP(Z14,$AX$5:$BH$154,11,FALSE)</f>
        <v/>
      </c>
      <c r="L14" s="135" t="str">
        <f t="shared" ref="L14:L77" ca="1" si="55">VLOOKUP(AA14,$AX$5:$BH$154,11,FALSE)</f>
        <v/>
      </c>
      <c r="M14" s="135" t="str">
        <f t="shared" ref="M14:M77" ca="1" si="56">VLOOKUP(AB14,$AX$5:$BH$154,11,FALSE)</f>
        <v/>
      </c>
      <c r="N14" s="135" t="str">
        <f t="shared" ref="N14:N77" ca="1" si="57">VLOOKUP(AC14,$AX$5:$BH$154,11,FALSE)</f>
        <v/>
      </c>
      <c r="O14" s="135" t="str">
        <f t="shared" ref="O14:O77" ca="1" si="58">VLOOKUP(AD14,$AX$5:$BH$154,11,FALSE)</f>
        <v/>
      </c>
      <c r="P14" s="135" t="str">
        <f t="shared" ref="P14:P77" ca="1" si="59">VLOOKUP(AE14,$AX$5:$BH$154,11,FALSE)</f>
        <v/>
      </c>
      <c r="Q14" s="135" t="str">
        <f t="shared" ref="Q14:Q77" ca="1" si="60">VLOOKUP(AF14,$AX$5:$BH$154,11,FALSE)</f>
        <v/>
      </c>
      <c r="R14" s="135" t="str">
        <f t="shared" ref="R14:R77" ca="1" si="61">VLOOKUP(AG14,$AX$5:$BH$154,11,FALSE)</f>
        <v/>
      </c>
      <c r="S14" s="135" t="str">
        <f t="shared" ref="S14:S77" ca="1" si="62">VLOOKUP(AH14,$AX$5:$BH$154,11,FALSE)</f>
        <v/>
      </c>
      <c r="T14" s="135" t="str">
        <f t="shared" ref="T14:T77" ca="1" si="63">VLOOKUP(AI14,$AX$5:$BH$154,11,FALSE)</f>
        <v/>
      </c>
      <c r="U14" s="49" t="str">
        <f t="shared" ca="1" si="24"/>
        <v/>
      </c>
      <c r="V14" s="7" t="str">
        <f t="shared" ca="1" si="25"/>
        <v/>
      </c>
      <c r="W14" s="7" t="str">
        <f t="shared" ca="1" si="26"/>
        <v/>
      </c>
      <c r="X14" s="7" t="str">
        <f t="shared" ca="1" si="27"/>
        <v/>
      </c>
      <c r="Y14" s="91"/>
      <c r="Z14" s="247" t="str">
        <f t="shared" si="28"/>
        <v/>
      </c>
      <c r="AA14" s="247" t="str">
        <f t="shared" ref="AA14:AI14" si="64">IF(AND(AA$4&lt;=$I14,$G14&lt;&gt;"",Z14&lt;&gt;""),$G14&amp;" "&amp;AA$3, "")</f>
        <v/>
      </c>
      <c r="AB14" s="247" t="str">
        <f t="shared" si="64"/>
        <v/>
      </c>
      <c r="AC14" s="247" t="str">
        <f t="shared" si="64"/>
        <v/>
      </c>
      <c r="AD14" s="247" t="str">
        <f t="shared" si="64"/>
        <v/>
      </c>
      <c r="AE14" s="247" t="str">
        <f t="shared" si="64"/>
        <v/>
      </c>
      <c r="AF14" s="247" t="str">
        <f t="shared" si="64"/>
        <v/>
      </c>
      <c r="AG14" s="247" t="str">
        <f t="shared" si="64"/>
        <v/>
      </c>
      <c r="AH14" s="247" t="str">
        <f t="shared" si="64"/>
        <v/>
      </c>
      <c r="AI14" s="247" t="str">
        <f t="shared" si="64"/>
        <v/>
      </c>
      <c r="AK14" s="247" t="str">
        <f t="shared" si="30"/>
        <v/>
      </c>
      <c r="AL14" s="247" t="str">
        <f t="shared" si="31"/>
        <v/>
      </c>
      <c r="AM14" s="247" t="str">
        <f t="shared" si="32"/>
        <v/>
      </c>
      <c r="AN14" s="247" t="str">
        <f t="shared" si="33"/>
        <v/>
      </c>
      <c r="AO14" s="247" t="str">
        <f t="shared" si="34"/>
        <v/>
      </c>
      <c r="AP14" s="247" t="str">
        <f t="shared" si="35"/>
        <v/>
      </c>
      <c r="AQ14" s="247" t="str">
        <f t="shared" si="36"/>
        <v/>
      </c>
      <c r="AR14" s="247" t="str">
        <f t="shared" si="37"/>
        <v/>
      </c>
      <c r="AS14" s="247" t="str">
        <f t="shared" si="38"/>
        <v/>
      </c>
      <c r="AT14" s="247" t="str">
        <f t="shared" si="39"/>
        <v/>
      </c>
      <c r="AV14" t="str">
        <f>IF(ISBLANK('Field information 1'!F15),"",'Field information 1'!F15)</f>
        <v/>
      </c>
      <c r="AX14" s="247" t="str" cm="1">
        <f t="array" aca="1" ref="AX14" ca="1">INDIRECT(TEXT(MIN(IF((Calc!$Z$5:$AI$104&lt;&gt;"")*(COUNTIF($AX$4:AX13,Calc!$Z$5:$AI$104)=0),ROW(Calc!$Z$5:$AI$104)*100+COLUMN(Calc!$Z$5:$AI$104),7^8)),"Calc!R0C00"),)&amp;""</f>
        <v/>
      </c>
      <c r="AY14" t="str" cm="1">
        <f t="array" aca="1" ref="AY14" ca="1">INDIRECT(TEXT(MIN(IF((Calc!$AK$5:$AT$104&lt;&gt;"")*(COUNTIF(AY$4:$AY13,Calc!$AK$5:$AT$104)=0),ROW(Calc!$AK$5:$AT$104)*100+COLUMN(Calc!$AK$5:$AT$104),7^8)),"Calc!R0C00"),)&amp;""</f>
        <v/>
      </c>
      <c r="AZ14" s="247" t="str">
        <f t="shared" ca="1" si="40"/>
        <v/>
      </c>
      <c r="BA14" s="324">
        <f t="shared" si="47"/>
        <v>10</v>
      </c>
      <c r="BB14">
        <f t="shared" ca="1" si="41"/>
        <v>0</v>
      </c>
      <c r="BC14" t="str">
        <f ca="1">IF($AX14="","",
VLOOKUP(LEFT($AX14,LEN($AX14)-2),'Field information 2'!$B$12:$P$111,11,FALSE))</f>
        <v/>
      </c>
      <c r="BD14" t="str">
        <f ca="1">IF($AX14="","",
VLOOKUP(LEFT($AX14,LEN($AX14)-2),'Field information 2'!$B$12:$P$111,13,FALSE))</f>
        <v/>
      </c>
      <c r="BE14" t="str">
        <f ca="1">IF($AX14="","",
VLOOKUP(LEFT($AX14,LEN($AX14)-2),'Field information 2'!$B$12:$P$111,15,FALSE))</f>
        <v/>
      </c>
      <c r="BF14">
        <f t="shared" ca="1" si="42"/>
        <v>0</v>
      </c>
      <c r="BG14" t="str">
        <f t="shared" ca="1" si="43"/>
        <v/>
      </c>
      <c r="BH14" s="7" t="str">
        <f ca="1">IF(OR(AX14="",'Soil results'!$D$7="",'Soil results'!$D$8=""),"",
IF('Soil results'!$D$7="LOI",
  IF('Soil results'!$D$8="mg/kg",'Soil results'!D19/10000,'Soil results'!D19),
IF('Soil results'!$D$7="Dumas",
  IF('Soil results'!$D$8="mg/kg",'Soil results'!D19*1.72/10000,'Soil results'!D19*1.72))))</f>
        <v/>
      </c>
      <c r="BI14" t="str">
        <f ca="1">IF($AX14="","",
VLOOKUP(LEFT($AX14,LEN($AX14)-2),'Field information 2'!$B$12:$I$111,8,FALSE))</f>
        <v/>
      </c>
      <c r="BJ14" t="str">
        <f ca="1">IF(BI14="","",
VLOOKUP(BI14,'Fertiliser recommendations'!$A$5:$B$62,2,FALSE))</f>
        <v/>
      </c>
      <c r="BK14" s="38" t="str">
        <f ca="1">IF($AX14="","",
IF(AND(BJ14="g",VLOOKUP(LEFT($AX14,LEN($AX14)-2),'Field information 2'!$B$12:$P$111,9,FALSE)&lt;&gt;"yes"),
IF(BG14="10-25% OM",6,IF(BG14="&gt;25% OM",12,IF(BG14="SCL; CL; ZCL; SC; ZC; C",6,IF(BG14="SL; SZL; ZL",5,IF(BG14="S; LS",4,"?"))))),
IF(OR(BJ14="a",AND(BJ14="g",VLOOKUP(LEFT($AX14,LEN($AX14)-2),'Field information 2'!$B$12:$P$111,9,FALSE)="yes")),
IF(BG14="10-25% OM",8,IF(BG14="&gt;25% OM",16,IF(BG14="SCL; CL; ZCL; SC; ZC; C",8,IF(BG14="SL; SZL; ZL",7,IF(BG14="S; LS",6,"?"))))),"")))</f>
        <v/>
      </c>
      <c r="BL14" t="str">
        <f ca="1">IF(AX14&lt;&gt;"",COUNTBLANK('Soil results'!D19:D19)+COUNTBLANK('Soil results'!F19:I19)+COUNTBLANK('Soil results'!K19:Q19),"")</f>
        <v/>
      </c>
      <c r="BM14" t="str">
        <f ca="1">IF(AX14&lt;&gt;"",
IF(OR(ISNUMBER(SEARCH("10*01*01",'Field information 2'!$M$5)),ISNUMBER(SEARCH("10*01*03",'Field information 2'!$M$5))),0.25,1),"")</f>
        <v/>
      </c>
      <c r="BN14" s="275" t="str">
        <f ca="1">IF(AX14&lt;&gt;"",
IF(COUNTIF('Soil results'!G20:G$159,"="&amp;'Soil results'!G19)+COUNTIF('Soil results'!H20:H$159,"="&amp;'Soil results'!H19)+COUNTIF('Soil results'!I20:I$159,"="&amp;'Soil results'!I19)=0,"no",
IF(MOD(COUNTIF('Soil results'!G20:G$159,"="&amp;'Soil results'!G19)+COUNTIF('Soil results'!H20:H$159,"="&amp;'Soil results'!H19)+COUNTIF('Soil results'!I20:I$159,"="&amp;'Soil results'!I19),3)=0,"yes","no")),"")</f>
        <v/>
      </c>
      <c r="BO14" s="276" t="str">
        <f t="shared" ca="1" si="44"/>
        <v/>
      </c>
      <c r="BP14" s="33"/>
      <c r="BQ14" s="276"/>
      <c r="BR14" s="276"/>
      <c r="BS14" s="276" t="str">
        <f t="shared" ca="1" si="45"/>
        <v/>
      </c>
      <c r="BT14" s="153" t="str">
        <f ca="1">IF(AX14="","",
IF(OR(Assessment!F16="limited benefit",Assessment!F16="benefit", Assessment!M16="limited benefit",Assessment!M16="benefit", Assessment!R16="limited benefit",Assessment!R16="benefit", Assessment!W16="limited benefit",Assessment!W16="benefit", Assessment!AB16="limited benefit",Assessment!AB16="benefit", AND(ISNUMBER(Assessment!AF16),Assessment!AG16="ok"), Assessment!AJ16="benefit"),"yes","no"))</f>
        <v/>
      </c>
      <c r="BV14" t="s">
        <v>223</v>
      </c>
      <c r="BW14" t="s">
        <v>335</v>
      </c>
    </row>
    <row r="15" spans="1:77" x14ac:dyDescent="0.35">
      <c r="A15" s="272">
        <f>IF(AND('Field information 2'!L22&gt;0, 'Field information 2'!M22=0),"data missing", 'Field information 2'!M22-'Field information 2'!L22)</f>
        <v>0</v>
      </c>
      <c r="B15" s="272">
        <f>IF(AND('Field information 2'!N22&gt;0,'Field information 2'!O22=0),"data missing",'Field information 2'!O22-'Field information 2'!N22)</f>
        <v>0</v>
      </c>
      <c r="C15" s="272">
        <f>IF(AND('Field information 2'!P22&gt;0, 'Field information 2'!Q22=0),"data missing",'Field information 2'!Q22-'Field information 2'!P22)</f>
        <v>0</v>
      </c>
      <c r="D15">
        <f>'Field information 2'!L22</f>
        <v>0</v>
      </c>
      <c r="E15" s="249" t="str">
        <f>IF(OR('Field information 2'!L22&gt;0,'Field information 2'!N22&gt;0,'Field information 2'!P22&gt;0),"Y","N")</f>
        <v>N</v>
      </c>
      <c r="F15" s="277" t="str">
        <f t="shared" si="12"/>
        <v/>
      </c>
      <c r="G15" t="str">
        <f>IF(OR(ISBLANK('Field information 1'!B16),AND(OR(ISBLANK('Field information 2'!L22), 'Field information 2'!L22=0),OR(ISBLANK('Field information 2'!N22), 'Field information 2'!N22=0), OR(ISBLANK('Field information 2'!P22), 'Field information 2'!P22=0))),"",
IF(ISTEXT('Field information 1'!B16), 'Field information 1'!B16, TEXT('Field information 1'!B16,"0")))</f>
        <v/>
      </c>
      <c r="H15" t="str">
        <f>IF(OR(ISBLANK('Field information 1'!B16),ISBLANK('Field information 2'!L22),ISBLANK('Field information 2'!F22)),"",'Field information 2'!F22)</f>
        <v/>
      </c>
      <c r="I15" s="91" t="str">
        <f>IF(OR(ISBLANK('Field information 1'!E16),G15=""),"",CEILING('Field information 1'!E16/10,1))</f>
        <v/>
      </c>
      <c r="J15" s="91" t="str">
        <f t="shared" si="13"/>
        <v>no</v>
      </c>
      <c r="K15" s="135" t="str">
        <f t="shared" ca="1" si="54"/>
        <v/>
      </c>
      <c r="L15" s="135" t="str">
        <f t="shared" ca="1" si="55"/>
        <v/>
      </c>
      <c r="M15" s="135" t="str">
        <f t="shared" ca="1" si="56"/>
        <v/>
      </c>
      <c r="N15" s="135" t="str">
        <f t="shared" ca="1" si="57"/>
        <v/>
      </c>
      <c r="O15" s="135" t="str">
        <f t="shared" ca="1" si="58"/>
        <v/>
      </c>
      <c r="P15" s="135" t="str">
        <f t="shared" ca="1" si="59"/>
        <v/>
      </c>
      <c r="Q15" s="135" t="str">
        <f t="shared" ca="1" si="60"/>
        <v/>
      </c>
      <c r="R15" s="135" t="str">
        <f t="shared" ca="1" si="61"/>
        <v/>
      </c>
      <c r="S15" s="135" t="str">
        <f t="shared" ca="1" si="62"/>
        <v/>
      </c>
      <c r="T15" s="135" t="str">
        <f t="shared" ca="1" si="63"/>
        <v/>
      </c>
      <c r="U15" s="49" t="str">
        <f t="shared" ca="1" si="24"/>
        <v/>
      </c>
      <c r="V15" s="7" t="str">
        <f t="shared" ca="1" si="25"/>
        <v/>
      </c>
      <c r="W15" s="7" t="str">
        <f t="shared" ca="1" si="26"/>
        <v/>
      </c>
      <c r="X15" s="7" t="str">
        <f t="shared" ca="1" si="27"/>
        <v/>
      </c>
      <c r="Y15" s="91"/>
      <c r="Z15" s="247" t="str">
        <f t="shared" si="28"/>
        <v/>
      </c>
      <c r="AA15" s="247" t="str">
        <f t="shared" ref="AA15:AI15" si="65">IF(AND(AA$4&lt;=$I15,$G15&lt;&gt;"",Z15&lt;&gt;""),$G15&amp;" "&amp;AA$3, "")</f>
        <v/>
      </c>
      <c r="AB15" s="247" t="str">
        <f t="shared" si="65"/>
        <v/>
      </c>
      <c r="AC15" s="247" t="str">
        <f t="shared" si="65"/>
        <v/>
      </c>
      <c r="AD15" s="247" t="str">
        <f t="shared" si="65"/>
        <v/>
      </c>
      <c r="AE15" s="247" t="str">
        <f t="shared" si="65"/>
        <v/>
      </c>
      <c r="AF15" s="247" t="str">
        <f t="shared" si="65"/>
        <v/>
      </c>
      <c r="AG15" s="247" t="str">
        <f t="shared" si="65"/>
        <v/>
      </c>
      <c r="AH15" s="247" t="str">
        <f t="shared" si="65"/>
        <v/>
      </c>
      <c r="AI15" s="247" t="str">
        <f t="shared" si="65"/>
        <v/>
      </c>
      <c r="AK15" s="247" t="str">
        <f t="shared" si="30"/>
        <v/>
      </c>
      <c r="AL15" s="247" t="str">
        <f t="shared" si="31"/>
        <v/>
      </c>
      <c r="AM15" s="247" t="str">
        <f t="shared" si="32"/>
        <v/>
      </c>
      <c r="AN15" s="247" t="str">
        <f t="shared" si="33"/>
        <v/>
      </c>
      <c r="AO15" s="247" t="str">
        <f t="shared" si="34"/>
        <v/>
      </c>
      <c r="AP15" s="247" t="str">
        <f t="shared" si="35"/>
        <v/>
      </c>
      <c r="AQ15" s="247" t="str">
        <f t="shared" si="36"/>
        <v/>
      </c>
      <c r="AR15" s="247" t="str">
        <f t="shared" si="37"/>
        <v/>
      </c>
      <c r="AS15" s="247" t="str">
        <f t="shared" si="38"/>
        <v/>
      </c>
      <c r="AT15" s="247" t="str">
        <f t="shared" si="39"/>
        <v/>
      </c>
      <c r="AV15" t="str">
        <f>IF(ISBLANK('Field information 1'!F16),"",'Field information 1'!F16)</f>
        <v/>
      </c>
      <c r="AX15" s="247" t="str" cm="1">
        <f t="array" aca="1" ref="AX15" ca="1">INDIRECT(TEXT(MIN(IF((Calc!$Z$5:$AI$104&lt;&gt;"")*(COUNTIF($AX$4:AX14,Calc!$Z$5:$AI$104)=0),ROW(Calc!$Z$5:$AI$104)*100+COLUMN(Calc!$Z$5:$AI$104),7^8)),"Calc!R0C00"),)&amp;""</f>
        <v/>
      </c>
      <c r="AY15" t="str" cm="1">
        <f t="array" aca="1" ref="AY15" ca="1">INDIRECT(TEXT(MIN(IF((Calc!$AK$5:$AT$104&lt;&gt;"")*(COUNTIF(AY$4:$AY14,Calc!$AK$5:$AT$104)=0),ROW(Calc!$AK$5:$AT$104)*100+COLUMN(Calc!$AK$5:$AT$104),7^8)),"Calc!R0C00"),)&amp;""</f>
        <v/>
      </c>
      <c r="AZ15" s="247" t="str">
        <f t="shared" ca="1" si="40"/>
        <v/>
      </c>
      <c r="BA15" s="324">
        <f t="shared" si="47"/>
        <v>11</v>
      </c>
      <c r="BB15">
        <f t="shared" ca="1" si="41"/>
        <v>0</v>
      </c>
      <c r="BC15" t="str">
        <f ca="1">IF($AX15="","",
VLOOKUP(LEFT($AX15,LEN($AX15)-2),'Field information 2'!$B$12:$P$111,11,FALSE))</f>
        <v/>
      </c>
      <c r="BD15" t="str">
        <f ca="1">IF($AX15="","",
VLOOKUP(LEFT($AX15,LEN($AX15)-2),'Field information 2'!$B$12:$P$111,13,FALSE))</f>
        <v/>
      </c>
      <c r="BE15" t="str">
        <f ca="1">IF($AX15="","",
VLOOKUP(LEFT($AX15,LEN($AX15)-2),'Field information 2'!$B$12:$P$111,15,FALSE))</f>
        <v/>
      </c>
      <c r="BF15">
        <f t="shared" ca="1" si="42"/>
        <v>0</v>
      </c>
      <c r="BG15" t="str">
        <f t="shared" ca="1" si="43"/>
        <v/>
      </c>
      <c r="BH15" s="7" t="str">
        <f ca="1">IF(OR(AX15="",'Soil results'!$D$7="",'Soil results'!$D$8=""),"",
IF('Soil results'!$D$7="LOI",
  IF('Soil results'!$D$8="mg/kg",'Soil results'!D20/10000,'Soil results'!D20),
IF('Soil results'!$D$7="Dumas",
  IF('Soil results'!$D$8="mg/kg",'Soil results'!D20*1.72/10000,'Soil results'!D20*1.72))))</f>
        <v/>
      </c>
      <c r="BI15" t="str">
        <f ca="1">IF($AX15="","",
VLOOKUP(LEFT($AX15,LEN($AX15)-2),'Field information 2'!$B$12:$I$111,8,FALSE))</f>
        <v/>
      </c>
      <c r="BJ15" t="str">
        <f ca="1">IF(BI15="","",
VLOOKUP(BI15,'Fertiliser recommendations'!$A$5:$B$62,2,FALSE))</f>
        <v/>
      </c>
      <c r="BK15" s="38" t="str">
        <f ca="1">IF($AX15="","",
IF(AND(BJ15="g",VLOOKUP(LEFT($AX15,LEN($AX15)-2),'Field information 2'!$B$12:$P$111,9,FALSE)&lt;&gt;"yes"),
IF(BG15="10-25% OM",6,IF(BG15="&gt;25% OM",12,IF(BG15="SCL; CL; ZCL; SC; ZC; C",6,IF(BG15="SL; SZL; ZL",5,IF(BG15="S; LS",4,"?"))))),
IF(OR(BJ15="a",AND(BJ15="g",VLOOKUP(LEFT($AX15,LEN($AX15)-2),'Field information 2'!$B$12:$P$111,9,FALSE)="yes")),
IF(BG15="10-25% OM",8,IF(BG15="&gt;25% OM",16,IF(BG15="SCL; CL; ZCL; SC; ZC; C",8,IF(BG15="SL; SZL; ZL",7,IF(BG15="S; LS",6,"?"))))),"")))</f>
        <v/>
      </c>
      <c r="BL15" t="str">
        <f ca="1">IF(AX15&lt;&gt;"",COUNTBLANK('Soil results'!D20:D20)+COUNTBLANK('Soil results'!F20:I20)+COUNTBLANK('Soil results'!K20:Q20),"")</f>
        <v/>
      </c>
      <c r="BM15" t="str">
        <f ca="1">IF(AX15&lt;&gt;"",
IF(OR(ISNUMBER(SEARCH("10*01*01",'Field information 2'!$M$5)),ISNUMBER(SEARCH("10*01*03",'Field information 2'!$M$5))),0.25,1),"")</f>
        <v/>
      </c>
      <c r="BN15" s="275" t="str">
        <f ca="1">IF(AX15&lt;&gt;"",
IF(COUNTIF('Soil results'!G21:G$159,"="&amp;'Soil results'!G20)+COUNTIF('Soil results'!H21:H$159,"="&amp;'Soil results'!H20)+COUNTIF('Soil results'!I21:I$159,"="&amp;'Soil results'!I20)=0,"no",
IF(MOD(COUNTIF('Soil results'!G21:G$159,"="&amp;'Soil results'!G20)+COUNTIF('Soil results'!H21:H$159,"="&amp;'Soil results'!H20)+COUNTIF('Soil results'!I21:I$159,"="&amp;'Soil results'!I20),3)=0,"yes","no")),"")</f>
        <v/>
      </c>
      <c r="BO15" s="276" t="str">
        <f t="shared" ca="1" si="44"/>
        <v/>
      </c>
      <c r="BP15" s="33"/>
      <c r="BQ15" s="276"/>
      <c r="BR15" s="276"/>
      <c r="BS15" s="276" t="str">
        <f t="shared" ca="1" si="45"/>
        <v/>
      </c>
      <c r="BT15" s="153" t="str">
        <f ca="1">IF(AX15="","",
IF(OR(Assessment!F17="limited benefit",Assessment!F17="benefit", Assessment!M17="limited benefit",Assessment!M17="benefit", Assessment!R17="limited benefit",Assessment!R17="benefit", Assessment!W17="limited benefit",Assessment!W17="benefit", Assessment!AB17="limited benefit",Assessment!AB17="benefit", AND(ISNUMBER(Assessment!AF17),Assessment!AG17="ok"), Assessment!AJ17="benefit"),"yes","no"))</f>
        <v/>
      </c>
      <c r="BV15" t="s">
        <v>225</v>
      </c>
      <c r="BW15" t="s">
        <v>336</v>
      </c>
    </row>
    <row r="16" spans="1:77" x14ac:dyDescent="0.35">
      <c r="A16" s="272">
        <f>IF(AND('Field information 2'!L23&gt;0, 'Field information 2'!M23=0),"data missing", 'Field information 2'!M23-'Field information 2'!L23)</f>
        <v>0</v>
      </c>
      <c r="B16" s="272">
        <f>IF(AND('Field information 2'!N23&gt;0,'Field information 2'!O23=0),"data missing",'Field information 2'!O23-'Field information 2'!N23)</f>
        <v>0</v>
      </c>
      <c r="C16" s="272">
        <f>IF(AND('Field information 2'!P23&gt;0, 'Field information 2'!Q23=0),"data missing",'Field information 2'!Q23-'Field information 2'!P23)</f>
        <v>0</v>
      </c>
      <c r="D16">
        <f>'Field information 2'!L23</f>
        <v>0</v>
      </c>
      <c r="E16" s="249" t="str">
        <f>IF(OR('Field information 2'!L23&gt;0,'Field information 2'!N23&gt;0,'Field information 2'!P23&gt;0),"Y","N")</f>
        <v>N</v>
      </c>
      <c r="F16" s="277" t="str">
        <f t="shared" si="12"/>
        <v/>
      </c>
      <c r="G16" t="str">
        <f>IF(OR(ISBLANK('Field information 1'!B17),AND(OR(ISBLANK('Field information 2'!L23), 'Field information 2'!L23=0),OR(ISBLANK('Field information 2'!N23), 'Field information 2'!N23=0), OR(ISBLANK('Field information 2'!P23), 'Field information 2'!P23=0))),"",
IF(ISTEXT('Field information 1'!B17), 'Field information 1'!B17, TEXT('Field information 1'!B17,"0")))</f>
        <v/>
      </c>
      <c r="H16" t="str">
        <f>IF(OR(ISBLANK('Field information 1'!B17),ISBLANK('Field information 2'!L23),ISBLANK('Field information 2'!F23)),"",'Field information 2'!F23)</f>
        <v/>
      </c>
      <c r="I16" s="91" t="str">
        <f>IF(OR(ISBLANK('Field information 1'!E17),G16=""),"",CEILING('Field information 1'!E17/10,1))</f>
        <v/>
      </c>
      <c r="J16" s="91" t="str">
        <f t="shared" si="13"/>
        <v>no</v>
      </c>
      <c r="K16" s="135" t="str">
        <f t="shared" ca="1" si="54"/>
        <v/>
      </c>
      <c r="L16" s="135" t="str">
        <f t="shared" ca="1" si="55"/>
        <v/>
      </c>
      <c r="M16" s="135" t="str">
        <f t="shared" ca="1" si="56"/>
        <v/>
      </c>
      <c r="N16" s="135" t="str">
        <f t="shared" ca="1" si="57"/>
        <v/>
      </c>
      <c r="O16" s="135" t="str">
        <f t="shared" ca="1" si="58"/>
        <v/>
      </c>
      <c r="P16" s="135" t="str">
        <f t="shared" ca="1" si="59"/>
        <v/>
      </c>
      <c r="Q16" s="135" t="str">
        <f t="shared" ca="1" si="60"/>
        <v/>
      </c>
      <c r="R16" s="135" t="str">
        <f t="shared" ca="1" si="61"/>
        <v/>
      </c>
      <c r="S16" s="135" t="str">
        <f t="shared" ca="1" si="62"/>
        <v/>
      </c>
      <c r="T16" s="135" t="str">
        <f t="shared" ca="1" si="63"/>
        <v/>
      </c>
      <c r="U16" s="49" t="str">
        <f t="shared" ca="1" si="24"/>
        <v/>
      </c>
      <c r="V16" s="7" t="str">
        <f t="shared" ca="1" si="25"/>
        <v/>
      </c>
      <c r="W16" s="7" t="str">
        <f t="shared" ca="1" si="26"/>
        <v/>
      </c>
      <c r="X16" s="7" t="str">
        <f t="shared" ca="1" si="27"/>
        <v/>
      </c>
      <c r="Y16" s="91"/>
      <c r="Z16" s="247" t="str">
        <f t="shared" si="28"/>
        <v/>
      </c>
      <c r="AA16" s="247" t="str">
        <f t="shared" ref="AA16:AI16" si="66">IF(AND(AA$4&lt;=$I16,$G16&lt;&gt;"",Z16&lt;&gt;""),$G16&amp;" "&amp;AA$3, "")</f>
        <v/>
      </c>
      <c r="AB16" s="247" t="str">
        <f t="shared" si="66"/>
        <v/>
      </c>
      <c r="AC16" s="247" t="str">
        <f t="shared" si="66"/>
        <v/>
      </c>
      <c r="AD16" s="247" t="str">
        <f t="shared" si="66"/>
        <v/>
      </c>
      <c r="AE16" s="247" t="str">
        <f t="shared" si="66"/>
        <v/>
      </c>
      <c r="AF16" s="247" t="str">
        <f t="shared" si="66"/>
        <v/>
      </c>
      <c r="AG16" s="247" t="str">
        <f t="shared" si="66"/>
        <v/>
      </c>
      <c r="AH16" s="247" t="str">
        <f t="shared" si="66"/>
        <v/>
      </c>
      <c r="AI16" s="247" t="str">
        <f t="shared" si="66"/>
        <v/>
      </c>
      <c r="AK16" s="247" t="str">
        <f t="shared" si="30"/>
        <v/>
      </c>
      <c r="AL16" s="247" t="str">
        <f t="shared" si="31"/>
        <v/>
      </c>
      <c r="AM16" s="247" t="str">
        <f t="shared" si="32"/>
        <v/>
      </c>
      <c r="AN16" s="247" t="str">
        <f t="shared" si="33"/>
        <v/>
      </c>
      <c r="AO16" s="247" t="str">
        <f t="shared" si="34"/>
        <v/>
      </c>
      <c r="AP16" s="247" t="str">
        <f t="shared" si="35"/>
        <v/>
      </c>
      <c r="AQ16" s="247" t="str">
        <f t="shared" si="36"/>
        <v/>
      </c>
      <c r="AR16" s="247" t="str">
        <f t="shared" si="37"/>
        <v/>
      </c>
      <c r="AS16" s="247" t="str">
        <f t="shared" si="38"/>
        <v/>
      </c>
      <c r="AT16" s="247" t="str">
        <f t="shared" si="39"/>
        <v/>
      </c>
      <c r="AV16" t="str">
        <f>IF(ISBLANK('Field information 1'!F17),"",'Field information 1'!F17)</f>
        <v/>
      </c>
      <c r="AX16" s="247" t="str" cm="1">
        <f t="array" aca="1" ref="AX16" ca="1">INDIRECT(TEXT(MIN(IF((Calc!$Z$5:$AI$104&lt;&gt;"")*(COUNTIF($AX$4:AX15,Calc!$Z$5:$AI$104)=0),ROW(Calc!$Z$5:$AI$104)*100+COLUMN(Calc!$Z$5:$AI$104),7^8)),"Calc!R0C00"),)&amp;""</f>
        <v/>
      </c>
      <c r="AY16" t="str" cm="1">
        <f t="array" aca="1" ref="AY16" ca="1">INDIRECT(TEXT(MIN(IF((Calc!$AK$5:$AT$104&lt;&gt;"")*(COUNTIF(AY$4:$AY15,Calc!$AK$5:$AT$104)=0),ROW(Calc!$AK$5:$AT$104)*100+COLUMN(Calc!$AK$5:$AT$104),7^8)),"Calc!R0C00"),)&amp;""</f>
        <v/>
      </c>
      <c r="AZ16" s="247" t="str">
        <f t="shared" ca="1" si="40"/>
        <v/>
      </c>
      <c r="BA16" s="324">
        <f t="shared" si="47"/>
        <v>12</v>
      </c>
      <c r="BB16">
        <f t="shared" ca="1" si="41"/>
        <v>0</v>
      </c>
      <c r="BC16" t="str">
        <f ca="1">IF($AX16="","",
VLOOKUP(LEFT($AX16,LEN($AX16)-2),'Field information 2'!$B$12:$P$111,11,FALSE))</f>
        <v/>
      </c>
      <c r="BD16" t="str">
        <f ca="1">IF($AX16="","",
VLOOKUP(LEFT($AX16,LEN($AX16)-2),'Field information 2'!$B$12:$P$111,13,FALSE))</f>
        <v/>
      </c>
      <c r="BE16" t="str">
        <f ca="1">IF($AX16="","",
VLOOKUP(LEFT($AX16,LEN($AX16)-2),'Field information 2'!$B$12:$P$111,15,FALSE))</f>
        <v/>
      </c>
      <c r="BF16">
        <f t="shared" ca="1" si="42"/>
        <v>0</v>
      </c>
      <c r="BG16" t="str">
        <f t="shared" ca="1" si="43"/>
        <v/>
      </c>
      <c r="BH16" s="7" t="str">
        <f ca="1">IF(OR(AX16="",'Soil results'!$D$7="",'Soil results'!$D$8=""),"",
IF('Soil results'!$D$7="LOI",
  IF('Soil results'!$D$8="mg/kg",'Soil results'!D21/10000,'Soil results'!D21),
IF('Soil results'!$D$7="Dumas",
  IF('Soil results'!$D$8="mg/kg",'Soil results'!D21*1.72/10000,'Soil results'!D21*1.72))))</f>
        <v/>
      </c>
      <c r="BI16" t="str">
        <f ca="1">IF($AX16="","",
VLOOKUP(LEFT($AX16,LEN($AX16)-2),'Field information 2'!$B$12:$I$111,8,FALSE))</f>
        <v/>
      </c>
      <c r="BJ16" t="str">
        <f ca="1">IF(BI16="","",
VLOOKUP(BI16,'Fertiliser recommendations'!$A$5:$B$62,2,FALSE))</f>
        <v/>
      </c>
      <c r="BK16" s="38" t="str">
        <f ca="1">IF($AX16="","",
IF(AND(BJ16="g",VLOOKUP(LEFT($AX16,LEN($AX16)-2),'Field information 2'!$B$12:$P$111,9,FALSE)&lt;&gt;"yes"),
IF(BG16="10-25% OM",6,IF(BG16="&gt;25% OM",12,IF(BG16="SCL; CL; ZCL; SC; ZC; C",6,IF(BG16="SL; SZL; ZL",5,IF(BG16="S; LS",4,"?"))))),
IF(OR(BJ16="a",AND(BJ16="g",VLOOKUP(LEFT($AX16,LEN($AX16)-2),'Field information 2'!$B$12:$P$111,9,FALSE)="yes")),
IF(BG16="10-25% OM",8,IF(BG16="&gt;25% OM",16,IF(BG16="SCL; CL; ZCL; SC; ZC; C",8,IF(BG16="SL; SZL; ZL",7,IF(BG16="S; LS",6,"?"))))),"")))</f>
        <v/>
      </c>
      <c r="BL16" t="str">
        <f ca="1">IF(AX16&lt;&gt;"",COUNTBLANK('Soil results'!D21:D21)+COUNTBLANK('Soil results'!F21:I21)+COUNTBLANK('Soil results'!K21:Q21),"")</f>
        <v/>
      </c>
      <c r="BM16" t="str">
        <f ca="1">IF(AX16&lt;&gt;"",
IF(OR(ISNUMBER(SEARCH("10*01*01",'Field information 2'!$M$5)),ISNUMBER(SEARCH("10*01*03",'Field information 2'!$M$5))),0.25,1),"")</f>
        <v/>
      </c>
      <c r="BN16" s="275" t="str">
        <f ca="1">IF(AX16&lt;&gt;"",
IF(COUNTIF('Soil results'!G22:G$159,"="&amp;'Soil results'!G21)+COUNTIF('Soil results'!H22:H$159,"="&amp;'Soil results'!H21)+COUNTIF('Soil results'!I22:I$159,"="&amp;'Soil results'!I21)=0,"no",
IF(MOD(COUNTIF('Soil results'!G22:G$159,"="&amp;'Soil results'!G21)+COUNTIF('Soil results'!H22:H$159,"="&amp;'Soil results'!H21)+COUNTIF('Soil results'!I22:I$159,"="&amp;'Soil results'!I21),3)=0,"yes","no")),"")</f>
        <v/>
      </c>
      <c r="BO16" s="276" t="str">
        <f t="shared" ca="1" si="44"/>
        <v/>
      </c>
      <c r="BP16" s="33"/>
      <c r="BQ16" s="276"/>
      <c r="BR16" s="276"/>
      <c r="BS16" s="276" t="str">
        <f t="shared" ca="1" si="45"/>
        <v/>
      </c>
      <c r="BT16" s="153" t="str">
        <f ca="1">IF(AX16="","",
IF(OR(Assessment!F18="limited benefit",Assessment!F18="benefit", Assessment!M18="limited benefit",Assessment!M18="benefit", Assessment!R18="limited benefit",Assessment!R18="benefit", Assessment!W18="limited benefit",Assessment!W18="benefit", Assessment!AB18="limited benefit",Assessment!AB18="benefit", AND(ISNUMBER(Assessment!AF18),Assessment!AG18="ok"), Assessment!AJ18="benefit"),"yes","no"))</f>
        <v/>
      </c>
      <c r="BW16" t="s">
        <v>337</v>
      </c>
    </row>
    <row r="17" spans="1:75" x14ac:dyDescent="0.35">
      <c r="A17" s="272">
        <f>IF(AND('Field information 2'!L24&gt;0, 'Field information 2'!M24=0),"data missing", 'Field information 2'!M24-'Field information 2'!L24)</f>
        <v>0</v>
      </c>
      <c r="B17" s="272">
        <f>IF(AND('Field information 2'!N24&gt;0,'Field information 2'!O24=0),"data missing",'Field information 2'!O24-'Field information 2'!N24)</f>
        <v>0</v>
      </c>
      <c r="C17" s="272">
        <f>IF(AND('Field information 2'!P24&gt;0, 'Field information 2'!Q24=0),"data missing",'Field information 2'!Q24-'Field information 2'!P24)</f>
        <v>0</v>
      </c>
      <c r="D17">
        <f>'Field information 2'!L24</f>
        <v>0</v>
      </c>
      <c r="E17" s="249" t="str">
        <f>IF(OR('Field information 2'!L24&gt;0,'Field information 2'!N24&gt;0,'Field information 2'!P24&gt;0),"Y","N")</f>
        <v>N</v>
      </c>
      <c r="F17" s="277" t="str">
        <f t="shared" si="12"/>
        <v/>
      </c>
      <c r="G17" t="str">
        <f>IF(OR(ISBLANK('Field information 1'!B18),AND(OR(ISBLANK('Field information 2'!L24), 'Field information 2'!L24=0),OR(ISBLANK('Field information 2'!N24), 'Field information 2'!N24=0), OR(ISBLANK('Field information 2'!P24), 'Field information 2'!P24=0))),"",
IF(ISTEXT('Field information 1'!B18), 'Field information 1'!B18, TEXT('Field information 1'!B18,"0")))</f>
        <v/>
      </c>
      <c r="H17" t="str">
        <f>IF(OR(ISBLANK('Field information 1'!B18),ISBLANK('Field information 2'!L24),ISBLANK('Field information 2'!F24)),"",'Field information 2'!F24)</f>
        <v/>
      </c>
      <c r="I17" s="91" t="str">
        <f>IF(OR(ISBLANK('Field information 1'!E18),G17=""),"",CEILING('Field information 1'!E18/10,1))</f>
        <v/>
      </c>
      <c r="J17" s="91" t="str">
        <f t="shared" si="13"/>
        <v>no</v>
      </c>
      <c r="K17" s="135" t="str">
        <f t="shared" ca="1" si="54"/>
        <v/>
      </c>
      <c r="L17" s="135" t="str">
        <f t="shared" ca="1" si="55"/>
        <v/>
      </c>
      <c r="M17" s="135" t="str">
        <f t="shared" ca="1" si="56"/>
        <v/>
      </c>
      <c r="N17" s="135" t="str">
        <f t="shared" ca="1" si="57"/>
        <v/>
      </c>
      <c r="O17" s="135" t="str">
        <f t="shared" ca="1" si="58"/>
        <v/>
      </c>
      <c r="P17" s="135" t="str">
        <f t="shared" ca="1" si="59"/>
        <v/>
      </c>
      <c r="Q17" s="135" t="str">
        <f t="shared" ca="1" si="60"/>
        <v/>
      </c>
      <c r="R17" s="135" t="str">
        <f t="shared" ca="1" si="61"/>
        <v/>
      </c>
      <c r="S17" s="135" t="str">
        <f t="shared" ca="1" si="62"/>
        <v/>
      </c>
      <c r="T17" s="135" t="str">
        <f t="shared" ca="1" si="63"/>
        <v/>
      </c>
      <c r="U17" s="49" t="str">
        <f t="shared" ca="1" si="24"/>
        <v/>
      </c>
      <c r="V17" s="7" t="str">
        <f t="shared" ca="1" si="25"/>
        <v/>
      </c>
      <c r="W17" s="7" t="str">
        <f t="shared" ca="1" si="26"/>
        <v/>
      </c>
      <c r="X17" s="7" t="str">
        <f t="shared" ca="1" si="27"/>
        <v/>
      </c>
      <c r="Y17" s="91"/>
      <c r="Z17" s="247" t="str">
        <f t="shared" si="28"/>
        <v/>
      </c>
      <c r="AA17" s="247" t="str">
        <f t="shared" ref="AA17:AI17" si="67">IF(AND(AA$4&lt;=$I17,$G17&lt;&gt;"",Z17&lt;&gt;""),$G17&amp;" "&amp;AA$3, "")</f>
        <v/>
      </c>
      <c r="AB17" s="247" t="str">
        <f t="shared" si="67"/>
        <v/>
      </c>
      <c r="AC17" s="247" t="str">
        <f t="shared" si="67"/>
        <v/>
      </c>
      <c r="AD17" s="247" t="str">
        <f t="shared" si="67"/>
        <v/>
      </c>
      <c r="AE17" s="247" t="str">
        <f t="shared" si="67"/>
        <v/>
      </c>
      <c r="AF17" s="247" t="str">
        <f t="shared" si="67"/>
        <v/>
      </c>
      <c r="AG17" s="247" t="str">
        <f t="shared" si="67"/>
        <v/>
      </c>
      <c r="AH17" s="247" t="str">
        <f t="shared" si="67"/>
        <v/>
      </c>
      <c r="AI17" s="247" t="str">
        <f t="shared" si="67"/>
        <v/>
      </c>
      <c r="AK17" s="247" t="str">
        <f t="shared" si="30"/>
        <v/>
      </c>
      <c r="AL17" s="247" t="str">
        <f t="shared" si="31"/>
        <v/>
      </c>
      <c r="AM17" s="247" t="str">
        <f t="shared" si="32"/>
        <v/>
      </c>
      <c r="AN17" s="247" t="str">
        <f t="shared" si="33"/>
        <v/>
      </c>
      <c r="AO17" s="247" t="str">
        <f t="shared" si="34"/>
        <v/>
      </c>
      <c r="AP17" s="247" t="str">
        <f t="shared" si="35"/>
        <v/>
      </c>
      <c r="AQ17" s="247" t="str">
        <f t="shared" si="36"/>
        <v/>
      </c>
      <c r="AR17" s="247" t="str">
        <f t="shared" si="37"/>
        <v/>
      </c>
      <c r="AS17" s="247" t="str">
        <f t="shared" si="38"/>
        <v/>
      </c>
      <c r="AT17" s="247" t="str">
        <f t="shared" si="39"/>
        <v/>
      </c>
      <c r="AV17" t="str">
        <f>IF(ISBLANK('Field information 1'!F18),"",'Field information 1'!F18)</f>
        <v/>
      </c>
      <c r="AX17" s="247" t="str" cm="1">
        <f t="array" aca="1" ref="AX17" ca="1">INDIRECT(TEXT(MIN(IF((Calc!$Z$5:$AI$104&lt;&gt;"")*(COUNTIF($AX$4:AX16,Calc!$Z$5:$AI$104)=0),ROW(Calc!$Z$5:$AI$104)*100+COLUMN(Calc!$Z$5:$AI$104),7^8)),"Calc!R0C00"),)&amp;""</f>
        <v/>
      </c>
      <c r="AY17" t="str" cm="1">
        <f t="array" aca="1" ref="AY17" ca="1">INDIRECT(TEXT(MIN(IF((Calc!$AK$5:$AT$104&lt;&gt;"")*(COUNTIF(AY$4:$AY16,Calc!$AK$5:$AT$104)=0),ROW(Calc!$AK$5:$AT$104)*100+COLUMN(Calc!$AK$5:$AT$104),7^8)),"Calc!R0C00"),)&amp;""</f>
        <v/>
      </c>
      <c r="AZ17" s="247" t="str">
        <f t="shared" ca="1" si="40"/>
        <v/>
      </c>
      <c r="BA17" s="324">
        <f t="shared" si="47"/>
        <v>13</v>
      </c>
      <c r="BB17">
        <f t="shared" ca="1" si="41"/>
        <v>0</v>
      </c>
      <c r="BC17" t="str">
        <f ca="1">IF($AX17="","",
VLOOKUP(LEFT($AX17,LEN($AX17)-2),'Field information 2'!$B$12:$P$111,11,FALSE))</f>
        <v/>
      </c>
      <c r="BD17" t="str">
        <f ca="1">IF($AX17="","",
VLOOKUP(LEFT($AX17,LEN($AX17)-2),'Field information 2'!$B$12:$P$111,13,FALSE))</f>
        <v/>
      </c>
      <c r="BE17" t="str">
        <f ca="1">IF($AX17="","",
VLOOKUP(LEFT($AX17,LEN($AX17)-2),'Field information 2'!$B$12:$P$111,15,FALSE))</f>
        <v/>
      </c>
      <c r="BF17">
        <f t="shared" ca="1" si="42"/>
        <v>0</v>
      </c>
      <c r="BG17" t="str">
        <f t="shared" ca="1" si="43"/>
        <v/>
      </c>
      <c r="BH17" s="7" t="str">
        <f ca="1">IF(OR(AX17="",'Soil results'!$D$7="",'Soil results'!$D$8=""),"",
IF('Soil results'!$D$7="LOI",
  IF('Soil results'!$D$8="mg/kg",'Soil results'!D22/10000,'Soil results'!D22),
IF('Soil results'!$D$7="Dumas",
  IF('Soil results'!$D$8="mg/kg",'Soil results'!D22*1.72/10000,'Soil results'!D22*1.72))))</f>
        <v/>
      </c>
      <c r="BI17" t="str">
        <f ca="1">IF($AX17="","",
VLOOKUP(LEFT($AX17,LEN($AX17)-2),'Field information 2'!$B$12:$I$111,8,FALSE))</f>
        <v/>
      </c>
      <c r="BJ17" t="str">
        <f ca="1">IF(BI17="","",
VLOOKUP(BI17,'Fertiliser recommendations'!$A$5:$B$62,2,FALSE))</f>
        <v/>
      </c>
      <c r="BK17" s="38" t="str">
        <f ca="1">IF($AX17="","",
IF(AND(BJ17="g",VLOOKUP(LEFT($AX17,LEN($AX17)-2),'Field information 2'!$B$12:$P$111,9,FALSE)&lt;&gt;"yes"),
IF(BG17="10-25% OM",6,IF(BG17="&gt;25% OM",12,IF(BG17="SCL; CL; ZCL; SC; ZC; C",6,IF(BG17="SL; SZL; ZL",5,IF(BG17="S; LS",4,"?"))))),
IF(OR(BJ17="a",AND(BJ17="g",VLOOKUP(LEFT($AX17,LEN($AX17)-2),'Field information 2'!$B$12:$P$111,9,FALSE)="yes")),
IF(BG17="10-25% OM",8,IF(BG17="&gt;25% OM",16,IF(BG17="SCL; CL; ZCL; SC; ZC; C",8,IF(BG17="SL; SZL; ZL",7,IF(BG17="S; LS",6,"?"))))),"")))</f>
        <v/>
      </c>
      <c r="BL17" t="str">
        <f ca="1">IF(AX17&lt;&gt;"",COUNTBLANK('Soil results'!D22:D22)+COUNTBLANK('Soil results'!F22:I22)+COUNTBLANK('Soil results'!K22:Q22),"")</f>
        <v/>
      </c>
      <c r="BM17" t="str">
        <f ca="1">IF(AX17&lt;&gt;"",
IF(OR(ISNUMBER(SEARCH("10*01*01",'Field information 2'!$M$5)),ISNUMBER(SEARCH("10*01*03",'Field information 2'!$M$5))),0.25,1),"")</f>
        <v/>
      </c>
      <c r="BN17" s="275" t="str">
        <f ca="1">IF(AX17&lt;&gt;"",
IF(COUNTIF('Soil results'!G23:G$159,"="&amp;'Soil results'!G22)+COUNTIF('Soil results'!H23:H$159,"="&amp;'Soil results'!H22)+COUNTIF('Soil results'!I23:I$159,"="&amp;'Soil results'!I22)=0,"no",
IF(MOD(COUNTIF('Soil results'!G23:G$159,"="&amp;'Soil results'!G22)+COUNTIF('Soil results'!H23:H$159,"="&amp;'Soil results'!H22)+COUNTIF('Soil results'!I23:I$159,"="&amp;'Soil results'!I22),3)=0,"yes","no")),"")</f>
        <v/>
      </c>
      <c r="BO17" s="276" t="str">
        <f t="shared" ca="1" si="44"/>
        <v/>
      </c>
      <c r="BP17" s="33"/>
      <c r="BQ17" s="276"/>
      <c r="BR17" s="276"/>
      <c r="BS17" s="276" t="str">
        <f t="shared" ca="1" si="45"/>
        <v/>
      </c>
      <c r="BT17" s="153" t="str">
        <f ca="1">IF(AX17="","",
IF(OR(Assessment!F19="limited benefit",Assessment!F19="benefit", Assessment!M19="limited benefit",Assessment!M19="benefit", Assessment!R19="limited benefit",Assessment!R19="benefit", Assessment!W19="limited benefit",Assessment!W19="benefit", Assessment!AB19="limited benefit",Assessment!AB19="benefit", AND(ISNUMBER(Assessment!AF19),Assessment!AG19="ok"), Assessment!AJ19="benefit"),"yes","no"))</f>
        <v/>
      </c>
      <c r="BV17" t="s">
        <v>229</v>
      </c>
    </row>
    <row r="18" spans="1:75" x14ac:dyDescent="0.35">
      <c r="A18" s="272">
        <f>IF(AND('Field information 2'!L25&gt;0, 'Field information 2'!M25=0),"data missing", 'Field information 2'!M25-'Field information 2'!L25)</f>
        <v>0</v>
      </c>
      <c r="B18" s="272">
        <f>IF(AND('Field information 2'!N25&gt;0,'Field information 2'!O25=0),"data missing",'Field information 2'!O25-'Field information 2'!N25)</f>
        <v>0</v>
      </c>
      <c r="C18" s="272">
        <f>IF(AND('Field information 2'!P25&gt;0, 'Field information 2'!Q25=0),"data missing",'Field information 2'!Q25-'Field information 2'!P25)</f>
        <v>0</v>
      </c>
      <c r="D18">
        <f>'Field information 2'!L25</f>
        <v>0</v>
      </c>
      <c r="E18" s="249" t="str">
        <f>IF(OR('Field information 2'!L25&gt;0,'Field information 2'!N25&gt;0,'Field information 2'!P25&gt;0),"Y","N")</f>
        <v>N</v>
      </c>
      <c r="F18" s="277" t="str">
        <f t="shared" si="12"/>
        <v/>
      </c>
      <c r="G18" t="str">
        <f>IF(OR(ISBLANK('Field information 1'!B19),AND(OR(ISBLANK('Field information 2'!L25), 'Field information 2'!L25=0),OR(ISBLANK('Field information 2'!N25), 'Field information 2'!N25=0), OR(ISBLANK('Field information 2'!P25), 'Field information 2'!P25=0))),"",
IF(ISTEXT('Field information 1'!B19), 'Field information 1'!B19, TEXT('Field information 1'!B19,"0")))</f>
        <v/>
      </c>
      <c r="H18" t="str">
        <f>IF(OR(ISBLANK('Field information 1'!B19),ISBLANK('Field information 2'!L25),ISBLANK('Field information 2'!F25)),"",'Field information 2'!F25)</f>
        <v/>
      </c>
      <c r="I18" s="91" t="str">
        <f>IF(OR(ISBLANK('Field information 1'!E19),G18=""),"",CEILING('Field information 1'!E19/10,1))</f>
        <v/>
      </c>
      <c r="J18" s="91" t="str">
        <f t="shared" si="13"/>
        <v>no</v>
      </c>
      <c r="K18" s="135" t="str">
        <f t="shared" ca="1" si="54"/>
        <v/>
      </c>
      <c r="L18" s="135" t="str">
        <f t="shared" ca="1" si="55"/>
        <v/>
      </c>
      <c r="M18" s="135" t="str">
        <f t="shared" ca="1" si="56"/>
        <v/>
      </c>
      <c r="N18" s="135" t="str">
        <f t="shared" ca="1" si="57"/>
        <v/>
      </c>
      <c r="O18" s="135" t="str">
        <f t="shared" ca="1" si="58"/>
        <v/>
      </c>
      <c r="P18" s="135" t="str">
        <f t="shared" ca="1" si="59"/>
        <v/>
      </c>
      <c r="Q18" s="135" t="str">
        <f t="shared" ca="1" si="60"/>
        <v/>
      </c>
      <c r="R18" s="135" t="str">
        <f t="shared" ca="1" si="61"/>
        <v/>
      </c>
      <c r="S18" s="135" t="str">
        <f t="shared" ca="1" si="62"/>
        <v/>
      </c>
      <c r="T18" s="135" t="str">
        <f t="shared" ca="1" si="63"/>
        <v/>
      </c>
      <c r="U18" s="49" t="str">
        <f t="shared" ca="1" si="24"/>
        <v/>
      </c>
      <c r="V18" s="7" t="str">
        <f t="shared" ca="1" si="25"/>
        <v/>
      </c>
      <c r="W18" s="7" t="str">
        <f t="shared" ca="1" si="26"/>
        <v/>
      </c>
      <c r="X18" s="7" t="str">
        <f t="shared" ca="1" si="27"/>
        <v/>
      </c>
      <c r="Y18" s="91"/>
      <c r="Z18" s="247" t="str">
        <f t="shared" si="28"/>
        <v/>
      </c>
      <c r="AA18" s="247" t="str">
        <f t="shared" ref="AA18:AI18" si="68">IF(AND(AA$4&lt;=$I18,$G18&lt;&gt;"",Z18&lt;&gt;""),$G18&amp;" "&amp;AA$3, "")</f>
        <v/>
      </c>
      <c r="AB18" s="247" t="str">
        <f t="shared" si="68"/>
        <v/>
      </c>
      <c r="AC18" s="247" t="str">
        <f t="shared" si="68"/>
        <v/>
      </c>
      <c r="AD18" s="247" t="str">
        <f t="shared" si="68"/>
        <v/>
      </c>
      <c r="AE18" s="247" t="str">
        <f t="shared" si="68"/>
        <v/>
      </c>
      <c r="AF18" s="247" t="str">
        <f t="shared" si="68"/>
        <v/>
      </c>
      <c r="AG18" s="247" t="str">
        <f t="shared" si="68"/>
        <v/>
      </c>
      <c r="AH18" s="247" t="str">
        <f t="shared" si="68"/>
        <v/>
      </c>
      <c r="AI18" s="247" t="str">
        <f t="shared" si="68"/>
        <v/>
      </c>
      <c r="AK18" s="247" t="str">
        <f t="shared" si="30"/>
        <v/>
      </c>
      <c r="AL18" s="247" t="str">
        <f t="shared" si="31"/>
        <v/>
      </c>
      <c r="AM18" s="247" t="str">
        <f t="shared" si="32"/>
        <v/>
      </c>
      <c r="AN18" s="247" t="str">
        <f t="shared" si="33"/>
        <v/>
      </c>
      <c r="AO18" s="247" t="str">
        <f t="shared" si="34"/>
        <v/>
      </c>
      <c r="AP18" s="247" t="str">
        <f t="shared" si="35"/>
        <v/>
      </c>
      <c r="AQ18" s="247" t="str">
        <f t="shared" si="36"/>
        <v/>
      </c>
      <c r="AR18" s="247" t="str">
        <f t="shared" si="37"/>
        <v/>
      </c>
      <c r="AS18" s="247" t="str">
        <f t="shared" si="38"/>
        <v/>
      </c>
      <c r="AT18" s="247" t="str">
        <f t="shared" si="39"/>
        <v/>
      </c>
      <c r="AV18" t="str">
        <f>IF(ISBLANK('Field information 1'!F19),"",'Field information 1'!F19)</f>
        <v/>
      </c>
      <c r="AX18" s="247" t="str" cm="1">
        <f t="array" aca="1" ref="AX18" ca="1">INDIRECT(TEXT(MIN(IF((Calc!$Z$5:$AI$104&lt;&gt;"")*(COUNTIF($AX$4:AX17,Calc!$Z$5:$AI$104)=0),ROW(Calc!$Z$5:$AI$104)*100+COLUMN(Calc!$Z$5:$AI$104),7^8)),"Calc!R0C00"),)&amp;""</f>
        <v/>
      </c>
      <c r="AY18" t="str" cm="1">
        <f t="array" aca="1" ref="AY18" ca="1">INDIRECT(TEXT(MIN(IF((Calc!$AK$5:$AT$104&lt;&gt;"")*(COUNTIF(AY$4:$AY17,Calc!$AK$5:$AT$104)=0),ROW(Calc!$AK$5:$AT$104)*100+COLUMN(Calc!$AK$5:$AT$104),7^8)),"Calc!R0C00"),)&amp;""</f>
        <v/>
      </c>
      <c r="AZ18" s="247" t="str">
        <f t="shared" ca="1" si="40"/>
        <v/>
      </c>
      <c r="BA18" s="324">
        <f t="shared" si="47"/>
        <v>14</v>
      </c>
      <c r="BB18">
        <f t="shared" ca="1" si="41"/>
        <v>0</v>
      </c>
      <c r="BC18" t="str">
        <f ca="1">IF($AX18="","",
VLOOKUP(LEFT($AX18,LEN($AX18)-2),'Field information 2'!$B$12:$P$111,11,FALSE))</f>
        <v/>
      </c>
      <c r="BD18" t="str">
        <f ca="1">IF($AX18="","",
VLOOKUP(LEFT($AX18,LEN($AX18)-2),'Field information 2'!$B$12:$P$111,13,FALSE))</f>
        <v/>
      </c>
      <c r="BE18" t="str">
        <f ca="1">IF($AX18="","",
VLOOKUP(LEFT($AX18,LEN($AX18)-2),'Field information 2'!$B$12:$P$111,15,FALSE))</f>
        <v/>
      </c>
      <c r="BF18">
        <f t="shared" ca="1" si="42"/>
        <v>0</v>
      </c>
      <c r="BG18" t="str">
        <f t="shared" ca="1" si="43"/>
        <v/>
      </c>
      <c r="BH18" s="7" t="str">
        <f ca="1">IF(OR(AX18="",'Soil results'!$D$7="",'Soil results'!$D$8=""),"",
IF('Soil results'!$D$7="LOI",
  IF('Soil results'!$D$8="mg/kg",'Soil results'!D23/10000,'Soil results'!D23),
IF('Soil results'!$D$7="Dumas",
  IF('Soil results'!$D$8="mg/kg",'Soil results'!D23*1.72/10000,'Soil results'!D23*1.72))))</f>
        <v/>
      </c>
      <c r="BI18" t="str">
        <f ca="1">IF($AX18="","",
VLOOKUP(LEFT($AX18,LEN($AX18)-2),'Field information 2'!$B$12:$I$111,8,FALSE))</f>
        <v/>
      </c>
      <c r="BJ18" t="str">
        <f ca="1">IF(BI18="","",
VLOOKUP(BI18,'Fertiliser recommendations'!$A$5:$B$62,2,FALSE))</f>
        <v/>
      </c>
      <c r="BK18" s="38" t="str">
        <f ca="1">IF($AX18="","",
IF(AND(BJ18="g",VLOOKUP(LEFT($AX18,LEN($AX18)-2),'Field information 2'!$B$12:$P$111,9,FALSE)&lt;&gt;"yes"),
IF(BG18="10-25% OM",6,IF(BG18="&gt;25% OM",12,IF(BG18="SCL; CL; ZCL; SC; ZC; C",6,IF(BG18="SL; SZL; ZL",5,IF(BG18="S; LS",4,"?"))))),
IF(OR(BJ18="a",AND(BJ18="g",VLOOKUP(LEFT($AX18,LEN($AX18)-2),'Field information 2'!$B$12:$P$111,9,FALSE)="yes")),
IF(BG18="10-25% OM",8,IF(BG18="&gt;25% OM",16,IF(BG18="SCL; CL; ZCL; SC; ZC; C",8,IF(BG18="SL; SZL; ZL",7,IF(BG18="S; LS",6,"?"))))),"")))</f>
        <v/>
      </c>
      <c r="BL18" t="str">
        <f ca="1">IF(AX18&lt;&gt;"",COUNTBLANK('Soil results'!D23:D23)+COUNTBLANK('Soil results'!F23:I23)+COUNTBLANK('Soil results'!K23:Q23),"")</f>
        <v/>
      </c>
      <c r="BM18" t="str">
        <f ca="1">IF(AX18&lt;&gt;"",
IF(OR(ISNUMBER(SEARCH("10*01*01",'Field information 2'!$M$5)),ISNUMBER(SEARCH("10*01*03",'Field information 2'!$M$5))),0.25,1),"")</f>
        <v/>
      </c>
      <c r="BN18" s="275" t="str">
        <f ca="1">IF(AX18&lt;&gt;"",
IF(COUNTIF('Soil results'!G24:G$159,"="&amp;'Soil results'!G23)+COUNTIF('Soil results'!H24:H$159,"="&amp;'Soil results'!H23)+COUNTIF('Soil results'!I24:I$159,"="&amp;'Soil results'!I23)=0,"no",
IF(MOD(COUNTIF('Soil results'!G24:G$159,"="&amp;'Soil results'!G23)+COUNTIF('Soil results'!H24:H$159,"="&amp;'Soil results'!H23)+COUNTIF('Soil results'!I24:I$159,"="&amp;'Soil results'!I23),3)=0,"yes","no")),"")</f>
        <v/>
      </c>
      <c r="BO18" s="276" t="str">
        <f t="shared" ca="1" si="44"/>
        <v/>
      </c>
      <c r="BP18" s="33"/>
      <c r="BQ18" s="276"/>
      <c r="BR18" s="276"/>
      <c r="BS18" s="276" t="str">
        <f t="shared" ca="1" si="45"/>
        <v/>
      </c>
      <c r="BT18" s="153" t="str">
        <f ca="1">IF(AX18="","",
IF(OR(Assessment!F20="limited benefit",Assessment!F20="benefit", Assessment!M20="limited benefit",Assessment!M20="benefit", Assessment!R20="limited benefit",Assessment!R20="benefit", Assessment!W20="limited benefit",Assessment!W20="benefit", Assessment!AB20="limited benefit",Assessment!AB20="benefit", AND(ISNUMBER(Assessment!AF20),Assessment!AG20="ok"), Assessment!AJ20="benefit"),"yes","no"))</f>
        <v/>
      </c>
      <c r="BV18" t="s">
        <v>233</v>
      </c>
      <c r="BW18" t="s">
        <v>338</v>
      </c>
    </row>
    <row r="19" spans="1:75" x14ac:dyDescent="0.35">
      <c r="A19" s="272">
        <f>IF(AND('Field information 2'!L26&gt;0, 'Field information 2'!M26=0),"data missing", 'Field information 2'!M26-'Field information 2'!L26)</f>
        <v>0</v>
      </c>
      <c r="B19" s="272">
        <f>IF(AND('Field information 2'!N26&gt;0,'Field information 2'!O26=0),"data missing",'Field information 2'!O26-'Field information 2'!N26)</f>
        <v>0</v>
      </c>
      <c r="C19" s="272">
        <f>IF(AND('Field information 2'!P26&gt;0, 'Field information 2'!Q26=0),"data missing",'Field information 2'!Q26-'Field information 2'!P26)</f>
        <v>0</v>
      </c>
      <c r="D19">
        <f>'Field information 2'!L26</f>
        <v>0</v>
      </c>
      <c r="E19" s="249" t="str">
        <f>IF(OR('Field information 2'!L26&gt;0,'Field information 2'!N26&gt;0,'Field information 2'!P26&gt;0),"Y","N")</f>
        <v>N</v>
      </c>
      <c r="F19" s="277" t="str">
        <f t="shared" si="12"/>
        <v/>
      </c>
      <c r="G19" t="str">
        <f>IF(OR(ISBLANK('Field information 1'!B20),AND(OR(ISBLANK('Field information 2'!L26), 'Field information 2'!L26=0),OR(ISBLANK('Field information 2'!N26), 'Field information 2'!N26=0), OR(ISBLANK('Field information 2'!P26), 'Field information 2'!P26=0))),"",
IF(ISTEXT('Field information 1'!B20), 'Field information 1'!B20, TEXT('Field information 1'!B20,"0")))</f>
        <v/>
      </c>
      <c r="H19" t="str">
        <f>IF(OR(ISBLANK('Field information 1'!B20),ISBLANK('Field information 2'!L26),ISBLANK('Field information 2'!F26)),"",'Field information 2'!F26)</f>
        <v/>
      </c>
      <c r="I19" s="91" t="str">
        <f>IF(OR(ISBLANK('Field information 1'!E20),G19=""),"",CEILING('Field information 1'!E20/10,1))</f>
        <v/>
      </c>
      <c r="J19" s="91" t="str">
        <f t="shared" si="13"/>
        <v>no</v>
      </c>
      <c r="K19" s="135" t="str">
        <f t="shared" ca="1" si="54"/>
        <v/>
      </c>
      <c r="L19" s="135" t="str">
        <f t="shared" ca="1" si="55"/>
        <v/>
      </c>
      <c r="M19" s="135" t="str">
        <f t="shared" ca="1" si="56"/>
        <v/>
      </c>
      <c r="N19" s="135" t="str">
        <f t="shared" ca="1" si="57"/>
        <v/>
      </c>
      <c r="O19" s="135" t="str">
        <f t="shared" ca="1" si="58"/>
        <v/>
      </c>
      <c r="P19" s="135" t="str">
        <f t="shared" ca="1" si="59"/>
        <v/>
      </c>
      <c r="Q19" s="135" t="str">
        <f t="shared" ca="1" si="60"/>
        <v/>
      </c>
      <c r="R19" s="135" t="str">
        <f t="shared" ca="1" si="61"/>
        <v/>
      </c>
      <c r="S19" s="135" t="str">
        <f t="shared" ca="1" si="62"/>
        <v/>
      </c>
      <c r="T19" s="135" t="str">
        <f t="shared" ca="1" si="63"/>
        <v/>
      </c>
      <c r="U19" s="49" t="str">
        <f t="shared" ca="1" si="24"/>
        <v/>
      </c>
      <c r="V19" s="7" t="str">
        <f t="shared" ca="1" si="25"/>
        <v/>
      </c>
      <c r="W19" s="7" t="str">
        <f t="shared" ca="1" si="26"/>
        <v/>
      </c>
      <c r="X19" s="7" t="str">
        <f t="shared" ca="1" si="27"/>
        <v/>
      </c>
      <c r="Y19" s="91"/>
      <c r="Z19" s="247" t="str">
        <f t="shared" si="28"/>
        <v/>
      </c>
      <c r="AA19" s="247" t="str">
        <f t="shared" ref="AA19:AI19" si="69">IF(AND(AA$4&lt;=$I19,$G19&lt;&gt;"",Z19&lt;&gt;""),$G19&amp;" "&amp;AA$3, "")</f>
        <v/>
      </c>
      <c r="AB19" s="247" t="str">
        <f t="shared" si="69"/>
        <v/>
      </c>
      <c r="AC19" s="247" t="str">
        <f t="shared" si="69"/>
        <v/>
      </c>
      <c r="AD19" s="247" t="str">
        <f t="shared" si="69"/>
        <v/>
      </c>
      <c r="AE19" s="247" t="str">
        <f t="shared" si="69"/>
        <v/>
      </c>
      <c r="AF19" s="247" t="str">
        <f t="shared" si="69"/>
        <v/>
      </c>
      <c r="AG19" s="247" t="str">
        <f t="shared" si="69"/>
        <v/>
      </c>
      <c r="AH19" s="247" t="str">
        <f t="shared" si="69"/>
        <v/>
      </c>
      <c r="AI19" s="247" t="str">
        <f t="shared" si="69"/>
        <v/>
      </c>
      <c r="AK19" s="247" t="str">
        <f t="shared" si="30"/>
        <v/>
      </c>
      <c r="AL19" s="247" t="str">
        <f t="shared" si="31"/>
        <v/>
      </c>
      <c r="AM19" s="247" t="str">
        <f t="shared" si="32"/>
        <v/>
      </c>
      <c r="AN19" s="247" t="str">
        <f t="shared" si="33"/>
        <v/>
      </c>
      <c r="AO19" s="247" t="str">
        <f t="shared" si="34"/>
        <v/>
      </c>
      <c r="AP19" s="247" t="str">
        <f t="shared" si="35"/>
        <v/>
      </c>
      <c r="AQ19" s="247" t="str">
        <f t="shared" si="36"/>
        <v/>
      </c>
      <c r="AR19" s="247" t="str">
        <f t="shared" si="37"/>
        <v/>
      </c>
      <c r="AS19" s="247" t="str">
        <f t="shared" si="38"/>
        <v/>
      </c>
      <c r="AT19" s="247" t="str">
        <f t="shared" si="39"/>
        <v/>
      </c>
      <c r="AV19" t="str">
        <f>IF(ISBLANK('Field information 1'!F20),"",'Field information 1'!F20)</f>
        <v/>
      </c>
      <c r="AX19" s="247" t="str" cm="1">
        <f t="array" aca="1" ref="AX19" ca="1">INDIRECT(TEXT(MIN(IF((Calc!$Z$5:$AI$104&lt;&gt;"")*(COUNTIF($AX$4:AX18,Calc!$Z$5:$AI$104)=0),ROW(Calc!$Z$5:$AI$104)*100+COLUMN(Calc!$Z$5:$AI$104),7^8)),"Calc!R0C00"),)&amp;""</f>
        <v/>
      </c>
      <c r="AY19" t="str" cm="1">
        <f t="array" aca="1" ref="AY19" ca="1">INDIRECT(TEXT(MIN(IF((Calc!$AK$5:$AT$104&lt;&gt;"")*(COUNTIF(AY$4:$AY18,Calc!$AK$5:$AT$104)=0),ROW(Calc!$AK$5:$AT$104)*100+COLUMN(Calc!$AK$5:$AT$104),7^8)),"Calc!R0C00"),)&amp;""</f>
        <v/>
      </c>
      <c r="AZ19" s="247" t="str">
        <f t="shared" ca="1" si="40"/>
        <v/>
      </c>
      <c r="BA19" s="324">
        <f t="shared" si="47"/>
        <v>15</v>
      </c>
      <c r="BB19">
        <f t="shared" ca="1" si="41"/>
        <v>0</v>
      </c>
      <c r="BC19" t="str">
        <f ca="1">IF($AX19="","",
VLOOKUP(LEFT($AX19,LEN($AX19)-2),'Field information 2'!$B$12:$P$111,11,FALSE))</f>
        <v/>
      </c>
      <c r="BD19" t="str">
        <f ca="1">IF($AX19="","",
VLOOKUP(LEFT($AX19,LEN($AX19)-2),'Field information 2'!$B$12:$P$111,13,FALSE))</f>
        <v/>
      </c>
      <c r="BE19" t="str">
        <f ca="1">IF($AX19="","",
VLOOKUP(LEFT($AX19,LEN($AX19)-2),'Field information 2'!$B$12:$P$111,15,FALSE))</f>
        <v/>
      </c>
      <c r="BF19">
        <f t="shared" ca="1" si="42"/>
        <v>0</v>
      </c>
      <c r="BG19" t="str">
        <f t="shared" ca="1" si="43"/>
        <v/>
      </c>
      <c r="BH19" s="7" t="str">
        <f ca="1">IF(OR(AX19="",'Soil results'!$D$7="",'Soil results'!$D$8=""),"",
IF('Soil results'!$D$7="LOI",
  IF('Soil results'!$D$8="mg/kg",'Soil results'!D24/10000,'Soil results'!D24),
IF('Soil results'!$D$7="Dumas",
  IF('Soil results'!$D$8="mg/kg",'Soil results'!D24*1.72/10000,'Soil results'!D24*1.72))))</f>
        <v/>
      </c>
      <c r="BI19" t="str">
        <f ca="1">IF($AX19="","",
VLOOKUP(LEFT($AX19,LEN($AX19)-2),'Field information 2'!$B$12:$I$111,8,FALSE))</f>
        <v/>
      </c>
      <c r="BJ19" t="str">
        <f ca="1">IF(BI19="","",
VLOOKUP(BI19,'Fertiliser recommendations'!$A$5:$B$62,2,FALSE))</f>
        <v/>
      </c>
      <c r="BK19" s="38" t="str">
        <f ca="1">IF($AX19="","",
IF(AND(BJ19="g",VLOOKUP(LEFT($AX19,LEN($AX19)-2),'Field information 2'!$B$12:$P$111,9,FALSE)&lt;&gt;"yes"),
IF(BG19="10-25% OM",6,IF(BG19="&gt;25% OM",12,IF(BG19="SCL; CL; ZCL; SC; ZC; C",6,IF(BG19="SL; SZL; ZL",5,IF(BG19="S; LS",4,"?"))))),
IF(OR(BJ19="a",AND(BJ19="g",VLOOKUP(LEFT($AX19,LEN($AX19)-2),'Field information 2'!$B$12:$P$111,9,FALSE)="yes")),
IF(BG19="10-25% OM",8,IF(BG19="&gt;25% OM",16,IF(BG19="SCL; CL; ZCL; SC; ZC; C",8,IF(BG19="SL; SZL; ZL",7,IF(BG19="S; LS",6,"?"))))),"")))</f>
        <v/>
      </c>
      <c r="BL19" t="str">
        <f ca="1">IF(AX19&lt;&gt;"",COUNTBLANK('Soil results'!D24:D24)+COUNTBLANK('Soil results'!F24:I24)+COUNTBLANK('Soil results'!K24:Q24),"")</f>
        <v/>
      </c>
      <c r="BM19" t="str">
        <f ca="1">IF(AX19&lt;&gt;"",
IF(OR(ISNUMBER(SEARCH("10*01*01",'Field information 2'!$M$5)),ISNUMBER(SEARCH("10*01*03",'Field information 2'!$M$5))),0.25,1),"")</f>
        <v/>
      </c>
      <c r="BN19" s="275" t="str">
        <f ca="1">IF(AX19&lt;&gt;"",
IF(COUNTIF('Soil results'!G25:G$159,"="&amp;'Soil results'!G24)+COUNTIF('Soil results'!H25:H$159,"="&amp;'Soil results'!H24)+COUNTIF('Soil results'!I25:I$159,"="&amp;'Soil results'!I24)=0,"no",
IF(MOD(COUNTIF('Soil results'!G25:G$159,"="&amp;'Soil results'!G24)+COUNTIF('Soil results'!H25:H$159,"="&amp;'Soil results'!H24)+COUNTIF('Soil results'!I25:I$159,"="&amp;'Soil results'!I24),3)=0,"yes","no")),"")</f>
        <v/>
      </c>
      <c r="BO19" s="276" t="str">
        <f t="shared" ca="1" si="44"/>
        <v/>
      </c>
      <c r="BP19" s="33"/>
      <c r="BQ19" s="276"/>
      <c r="BR19" s="276"/>
      <c r="BS19" s="276" t="str">
        <f t="shared" ca="1" si="45"/>
        <v/>
      </c>
      <c r="BT19" s="153" t="str">
        <f ca="1">IF(AX19="","",
IF(OR(Assessment!F21="limited benefit",Assessment!F21="benefit", Assessment!M21="limited benefit",Assessment!M21="benefit", Assessment!R21="limited benefit",Assessment!R21="benefit", Assessment!W21="limited benefit",Assessment!W21="benefit", Assessment!AB21="limited benefit",Assessment!AB21="benefit", AND(ISNUMBER(Assessment!AF21),Assessment!AG21="ok"), Assessment!AJ21="benefit"),"yes","no"))</f>
        <v/>
      </c>
      <c r="BV19" t="s">
        <v>234</v>
      </c>
      <c r="BW19" t="s">
        <v>339</v>
      </c>
    </row>
    <row r="20" spans="1:75" x14ac:dyDescent="0.35">
      <c r="A20" s="272">
        <f>IF(AND('Field information 2'!L27&gt;0, 'Field information 2'!M27=0),"data missing", 'Field information 2'!M27-'Field information 2'!L27)</f>
        <v>0</v>
      </c>
      <c r="B20" s="272">
        <f>IF(AND('Field information 2'!N27&gt;0,'Field information 2'!O27=0),"data missing",'Field information 2'!O27-'Field information 2'!N27)</f>
        <v>0</v>
      </c>
      <c r="C20" s="272">
        <f>IF(AND('Field information 2'!P27&gt;0, 'Field information 2'!Q27=0),"data missing",'Field information 2'!Q27-'Field information 2'!P27)</f>
        <v>0</v>
      </c>
      <c r="D20">
        <f>'Field information 2'!L27</f>
        <v>0</v>
      </c>
      <c r="E20" s="249" t="str">
        <f>IF(OR('Field information 2'!L27&gt;0,'Field information 2'!N27&gt;0,'Field information 2'!P27&gt;0),"Y","N")</f>
        <v>N</v>
      </c>
      <c r="F20" s="277" t="str">
        <f t="shared" si="12"/>
        <v/>
      </c>
      <c r="G20" t="str">
        <f>IF(OR(ISBLANK('Field information 1'!B21),AND(OR(ISBLANK('Field information 2'!L27), 'Field information 2'!L27=0),OR(ISBLANK('Field information 2'!N27), 'Field information 2'!N27=0), OR(ISBLANK('Field information 2'!P27), 'Field information 2'!P27=0))),"",
IF(ISTEXT('Field information 1'!B21), 'Field information 1'!B21, TEXT('Field information 1'!B21,"0")))</f>
        <v/>
      </c>
      <c r="H20" t="str">
        <f>IF(OR(ISBLANK('Field information 1'!B21),ISBLANK('Field information 2'!L27),ISBLANK('Field information 2'!F27)),"",'Field information 2'!F27)</f>
        <v/>
      </c>
      <c r="I20" s="91" t="str">
        <f>IF(OR(ISBLANK('Field information 1'!E21),G20=""),"",CEILING('Field information 1'!E21/10,1))</f>
        <v/>
      </c>
      <c r="J20" s="91" t="str">
        <f t="shared" si="13"/>
        <v>no</v>
      </c>
      <c r="K20" s="135" t="str">
        <f t="shared" ca="1" si="54"/>
        <v/>
      </c>
      <c r="L20" s="135" t="str">
        <f t="shared" ca="1" si="55"/>
        <v/>
      </c>
      <c r="M20" s="135" t="str">
        <f t="shared" ca="1" si="56"/>
        <v/>
      </c>
      <c r="N20" s="135" t="str">
        <f t="shared" ca="1" si="57"/>
        <v/>
      </c>
      <c r="O20" s="135" t="str">
        <f t="shared" ca="1" si="58"/>
        <v/>
      </c>
      <c r="P20" s="135" t="str">
        <f t="shared" ca="1" si="59"/>
        <v/>
      </c>
      <c r="Q20" s="135" t="str">
        <f t="shared" ca="1" si="60"/>
        <v/>
      </c>
      <c r="R20" s="135" t="str">
        <f t="shared" ca="1" si="61"/>
        <v/>
      </c>
      <c r="S20" s="135" t="str">
        <f t="shared" ca="1" si="62"/>
        <v/>
      </c>
      <c r="T20" s="135" t="str">
        <f t="shared" ca="1" si="63"/>
        <v/>
      </c>
      <c r="U20" s="49" t="str">
        <f t="shared" ca="1" si="24"/>
        <v/>
      </c>
      <c r="V20" s="7" t="str">
        <f t="shared" ca="1" si="25"/>
        <v/>
      </c>
      <c r="W20" s="7" t="str">
        <f t="shared" ca="1" si="26"/>
        <v/>
      </c>
      <c r="X20" s="7" t="str">
        <f t="shared" ca="1" si="27"/>
        <v/>
      </c>
      <c r="Y20" s="91"/>
      <c r="Z20" s="247" t="str">
        <f t="shared" si="28"/>
        <v/>
      </c>
      <c r="AA20" s="247" t="str">
        <f t="shared" ref="AA20:AI20" si="70">IF(AND(AA$4&lt;=$I20,$G20&lt;&gt;"",Z20&lt;&gt;""),$G20&amp;" "&amp;AA$3, "")</f>
        <v/>
      </c>
      <c r="AB20" s="247" t="str">
        <f t="shared" si="70"/>
        <v/>
      </c>
      <c r="AC20" s="247" t="str">
        <f t="shared" si="70"/>
        <v/>
      </c>
      <c r="AD20" s="247" t="str">
        <f t="shared" si="70"/>
        <v/>
      </c>
      <c r="AE20" s="247" t="str">
        <f t="shared" si="70"/>
        <v/>
      </c>
      <c r="AF20" s="247" t="str">
        <f t="shared" si="70"/>
        <v/>
      </c>
      <c r="AG20" s="247" t="str">
        <f t="shared" si="70"/>
        <v/>
      </c>
      <c r="AH20" s="247" t="str">
        <f t="shared" si="70"/>
        <v/>
      </c>
      <c r="AI20" s="247" t="str">
        <f t="shared" si="70"/>
        <v/>
      </c>
      <c r="AK20" s="247" t="str">
        <f t="shared" si="30"/>
        <v/>
      </c>
      <c r="AL20" s="247" t="str">
        <f t="shared" si="31"/>
        <v/>
      </c>
      <c r="AM20" s="247" t="str">
        <f t="shared" si="32"/>
        <v/>
      </c>
      <c r="AN20" s="247" t="str">
        <f t="shared" si="33"/>
        <v/>
      </c>
      <c r="AO20" s="247" t="str">
        <f t="shared" si="34"/>
        <v/>
      </c>
      <c r="AP20" s="247" t="str">
        <f t="shared" si="35"/>
        <v/>
      </c>
      <c r="AQ20" s="247" t="str">
        <f t="shared" si="36"/>
        <v/>
      </c>
      <c r="AR20" s="247" t="str">
        <f t="shared" si="37"/>
        <v/>
      </c>
      <c r="AS20" s="247" t="str">
        <f t="shared" si="38"/>
        <v/>
      </c>
      <c r="AT20" s="247" t="str">
        <f t="shared" si="39"/>
        <v/>
      </c>
      <c r="AV20" t="str">
        <f>IF(ISBLANK('Field information 1'!F21),"",'Field information 1'!F21)</f>
        <v/>
      </c>
      <c r="AX20" s="247" t="str" cm="1">
        <f t="array" aca="1" ref="AX20" ca="1">INDIRECT(TEXT(MIN(IF((Calc!$Z$5:$AI$104&lt;&gt;"")*(COUNTIF($AX$4:AX19,Calc!$Z$5:$AI$104)=0),ROW(Calc!$Z$5:$AI$104)*100+COLUMN(Calc!$Z$5:$AI$104),7^8)),"Calc!R0C00"),)&amp;""</f>
        <v/>
      </c>
      <c r="AY20" t="str" cm="1">
        <f t="array" aca="1" ref="AY20" ca="1">INDIRECT(TEXT(MIN(IF((Calc!$AK$5:$AT$104&lt;&gt;"")*(COUNTIF(AY$4:$AY19,Calc!$AK$5:$AT$104)=0),ROW(Calc!$AK$5:$AT$104)*100+COLUMN(Calc!$AK$5:$AT$104),7^8)),"Calc!R0C00"),)&amp;""</f>
        <v/>
      </c>
      <c r="AZ20" s="247" t="str">
        <f t="shared" ca="1" si="40"/>
        <v/>
      </c>
      <c r="BA20" s="324">
        <f t="shared" si="47"/>
        <v>16</v>
      </c>
      <c r="BB20">
        <f t="shared" ca="1" si="41"/>
        <v>0</v>
      </c>
      <c r="BC20" t="str">
        <f ca="1">IF($AX20="","",
VLOOKUP(LEFT($AX20,LEN($AX20)-2),'Field information 2'!$B$12:$P$111,11,FALSE))</f>
        <v/>
      </c>
      <c r="BD20" t="str">
        <f ca="1">IF($AX20="","",
VLOOKUP(LEFT($AX20,LEN($AX20)-2),'Field information 2'!$B$12:$P$111,13,FALSE))</f>
        <v/>
      </c>
      <c r="BE20" t="str">
        <f ca="1">IF($AX20="","",
VLOOKUP(LEFT($AX20,LEN($AX20)-2),'Field information 2'!$B$12:$P$111,15,FALSE))</f>
        <v/>
      </c>
      <c r="BF20">
        <f t="shared" ca="1" si="42"/>
        <v>0</v>
      </c>
      <c r="BG20" t="str">
        <f t="shared" ca="1" si="43"/>
        <v/>
      </c>
      <c r="BH20" s="7" t="str">
        <f ca="1">IF(OR(AX20="",'Soil results'!$D$7="",'Soil results'!$D$8=""),"",
IF('Soil results'!$D$7="LOI",
  IF('Soil results'!$D$8="mg/kg",'Soil results'!D25/10000,'Soil results'!D25),
IF('Soil results'!$D$7="Dumas",
  IF('Soil results'!$D$8="mg/kg",'Soil results'!D25*1.72/10000,'Soil results'!D25*1.72))))</f>
        <v/>
      </c>
      <c r="BI20" t="str">
        <f ca="1">IF($AX20="","",
VLOOKUP(LEFT($AX20,LEN($AX20)-2),'Field information 2'!$B$12:$I$111,8,FALSE))</f>
        <v/>
      </c>
      <c r="BJ20" t="str">
        <f ca="1">IF(BI20="","",
VLOOKUP(BI20,'Fertiliser recommendations'!$A$5:$B$62,2,FALSE))</f>
        <v/>
      </c>
      <c r="BK20" s="38" t="str">
        <f ca="1">IF($AX20="","",
IF(AND(BJ20="g",VLOOKUP(LEFT($AX20,LEN($AX20)-2),'Field information 2'!$B$12:$P$111,9,FALSE)&lt;&gt;"yes"),
IF(BG20="10-25% OM",6,IF(BG20="&gt;25% OM",12,IF(BG20="SCL; CL; ZCL; SC; ZC; C",6,IF(BG20="SL; SZL; ZL",5,IF(BG20="S; LS",4,"?"))))),
IF(OR(BJ20="a",AND(BJ20="g",VLOOKUP(LEFT($AX20,LEN($AX20)-2),'Field information 2'!$B$12:$P$111,9,FALSE)="yes")),
IF(BG20="10-25% OM",8,IF(BG20="&gt;25% OM",16,IF(BG20="SCL; CL; ZCL; SC; ZC; C",8,IF(BG20="SL; SZL; ZL",7,IF(BG20="S; LS",6,"?"))))),"")))</f>
        <v/>
      </c>
      <c r="BL20" t="str">
        <f ca="1">IF(AX20&lt;&gt;"",COUNTBLANK('Soil results'!D25:D25)+COUNTBLANK('Soil results'!F25:I25)+COUNTBLANK('Soil results'!K25:Q25),"")</f>
        <v/>
      </c>
      <c r="BM20" t="str">
        <f ca="1">IF(AX20&lt;&gt;"",
IF(OR(ISNUMBER(SEARCH("10*01*01",'Field information 2'!$M$5)),ISNUMBER(SEARCH("10*01*03",'Field information 2'!$M$5))),0.25,1),"")</f>
        <v/>
      </c>
      <c r="BN20" s="275" t="str">
        <f ca="1">IF(AX20&lt;&gt;"",
IF(COUNTIF('Soil results'!G26:G$159,"="&amp;'Soil results'!G25)+COUNTIF('Soil results'!H26:H$159,"="&amp;'Soil results'!H25)+COUNTIF('Soil results'!I26:I$159,"="&amp;'Soil results'!I25)=0,"no",
IF(MOD(COUNTIF('Soil results'!G26:G$159,"="&amp;'Soil results'!G25)+COUNTIF('Soil results'!H26:H$159,"="&amp;'Soil results'!H25)+COUNTIF('Soil results'!I26:I$159,"="&amp;'Soil results'!I25),3)=0,"yes","no")),"")</f>
        <v/>
      </c>
      <c r="BO20" s="276" t="str">
        <f t="shared" ca="1" si="44"/>
        <v/>
      </c>
      <c r="BP20" s="33"/>
      <c r="BQ20" s="276"/>
      <c r="BR20" s="276"/>
      <c r="BS20" s="276" t="str">
        <f t="shared" ca="1" si="45"/>
        <v/>
      </c>
      <c r="BT20" s="153" t="str">
        <f ca="1">IF(AX20="","",
IF(OR(Assessment!F22="limited benefit",Assessment!F22="benefit", Assessment!M22="limited benefit",Assessment!M22="benefit", Assessment!R22="limited benefit",Assessment!R22="benefit", Assessment!W22="limited benefit",Assessment!W22="benefit", Assessment!AB22="limited benefit",Assessment!AB22="benefit", AND(ISNUMBER(Assessment!AF22),Assessment!AG22="ok"), Assessment!AJ22="benefit"),"yes","no"))</f>
        <v/>
      </c>
      <c r="BV20" t="s">
        <v>236</v>
      </c>
      <c r="BW20" t="s">
        <v>340</v>
      </c>
    </row>
    <row r="21" spans="1:75" x14ac:dyDescent="0.35">
      <c r="A21" s="272">
        <f>IF(AND('Field information 2'!L28&gt;0, 'Field information 2'!M28=0),"data missing", 'Field information 2'!M28-'Field information 2'!L28)</f>
        <v>0</v>
      </c>
      <c r="B21" s="272">
        <f>IF(AND('Field information 2'!N28&gt;0,'Field information 2'!O28=0),"data missing",'Field information 2'!O28-'Field information 2'!N28)</f>
        <v>0</v>
      </c>
      <c r="C21" s="272">
        <f>IF(AND('Field information 2'!P28&gt;0, 'Field information 2'!Q28=0),"data missing",'Field information 2'!Q28-'Field information 2'!P28)</f>
        <v>0</v>
      </c>
      <c r="D21">
        <f>'Field information 2'!L28</f>
        <v>0</v>
      </c>
      <c r="E21" s="249" t="str">
        <f>IF(OR('Field information 2'!L28&gt;0,'Field information 2'!N28&gt;0,'Field information 2'!P28&gt;0),"Y","N")</f>
        <v>N</v>
      </c>
      <c r="F21" s="277" t="str">
        <f t="shared" si="12"/>
        <v/>
      </c>
      <c r="G21" t="str">
        <f>IF(OR(ISBLANK('Field information 1'!B22),AND(OR(ISBLANK('Field information 2'!L28), 'Field information 2'!L28=0),OR(ISBLANK('Field information 2'!N28), 'Field information 2'!N28=0), OR(ISBLANK('Field information 2'!P28), 'Field information 2'!P28=0))),"",
IF(ISTEXT('Field information 1'!B22), 'Field information 1'!B22, TEXT('Field information 1'!B22,"0")))</f>
        <v/>
      </c>
      <c r="H21" t="str">
        <f>IF(OR(ISBLANK('Field information 1'!B22),ISBLANK('Field information 2'!L28),ISBLANK('Field information 2'!F28)),"",'Field information 2'!F28)</f>
        <v/>
      </c>
      <c r="I21" s="91" t="str">
        <f>IF(OR(ISBLANK('Field information 1'!E22),G21=""),"",CEILING('Field information 1'!E22/10,1))</f>
        <v/>
      </c>
      <c r="J21" s="91" t="str">
        <f t="shared" si="13"/>
        <v>no</v>
      </c>
      <c r="K21" s="135" t="str">
        <f t="shared" ca="1" si="54"/>
        <v/>
      </c>
      <c r="L21" s="135" t="str">
        <f t="shared" ca="1" si="55"/>
        <v/>
      </c>
      <c r="M21" s="135" t="str">
        <f t="shared" ca="1" si="56"/>
        <v/>
      </c>
      <c r="N21" s="135" t="str">
        <f t="shared" ca="1" si="57"/>
        <v/>
      </c>
      <c r="O21" s="135" t="str">
        <f t="shared" ca="1" si="58"/>
        <v/>
      </c>
      <c r="P21" s="135" t="str">
        <f t="shared" ca="1" si="59"/>
        <v/>
      </c>
      <c r="Q21" s="135" t="str">
        <f t="shared" ca="1" si="60"/>
        <v/>
      </c>
      <c r="R21" s="135" t="str">
        <f t="shared" ca="1" si="61"/>
        <v/>
      </c>
      <c r="S21" s="135" t="str">
        <f t="shared" ca="1" si="62"/>
        <v/>
      </c>
      <c r="T21" s="135" t="str">
        <f t="shared" ca="1" si="63"/>
        <v/>
      </c>
      <c r="U21" s="49" t="str">
        <f t="shared" ca="1" si="24"/>
        <v/>
      </c>
      <c r="V21" s="7" t="str">
        <f t="shared" ca="1" si="25"/>
        <v/>
      </c>
      <c r="W21" s="7" t="str">
        <f t="shared" ca="1" si="26"/>
        <v/>
      </c>
      <c r="X21" s="7" t="str">
        <f t="shared" ca="1" si="27"/>
        <v/>
      </c>
      <c r="Y21" s="91"/>
      <c r="Z21" s="247" t="str">
        <f t="shared" si="28"/>
        <v/>
      </c>
      <c r="AA21" s="247" t="str">
        <f t="shared" ref="AA21:AI21" si="71">IF(AND(AA$4&lt;=$I21,$G21&lt;&gt;"",Z21&lt;&gt;""),$G21&amp;" "&amp;AA$3, "")</f>
        <v/>
      </c>
      <c r="AB21" s="247" t="str">
        <f t="shared" si="71"/>
        <v/>
      </c>
      <c r="AC21" s="247" t="str">
        <f t="shared" si="71"/>
        <v/>
      </c>
      <c r="AD21" s="247" t="str">
        <f t="shared" si="71"/>
        <v/>
      </c>
      <c r="AE21" s="247" t="str">
        <f t="shared" si="71"/>
        <v/>
      </c>
      <c r="AF21" s="247" t="str">
        <f t="shared" si="71"/>
        <v/>
      </c>
      <c r="AG21" s="247" t="str">
        <f t="shared" si="71"/>
        <v/>
      </c>
      <c r="AH21" s="247" t="str">
        <f t="shared" si="71"/>
        <v/>
      </c>
      <c r="AI21" s="247" t="str">
        <f t="shared" si="71"/>
        <v/>
      </c>
      <c r="AK21" s="247" t="str">
        <f t="shared" si="30"/>
        <v/>
      </c>
      <c r="AL21" s="247" t="str">
        <f t="shared" si="31"/>
        <v/>
      </c>
      <c r="AM21" s="247" t="str">
        <f t="shared" si="32"/>
        <v/>
      </c>
      <c r="AN21" s="247" t="str">
        <f t="shared" si="33"/>
        <v/>
      </c>
      <c r="AO21" s="247" t="str">
        <f t="shared" si="34"/>
        <v/>
      </c>
      <c r="AP21" s="247" t="str">
        <f t="shared" si="35"/>
        <v/>
      </c>
      <c r="AQ21" s="247" t="str">
        <f t="shared" si="36"/>
        <v/>
      </c>
      <c r="AR21" s="247" t="str">
        <f t="shared" si="37"/>
        <v/>
      </c>
      <c r="AS21" s="247" t="str">
        <f t="shared" si="38"/>
        <v/>
      </c>
      <c r="AT21" s="247" t="str">
        <f t="shared" si="39"/>
        <v/>
      </c>
      <c r="AV21" t="str">
        <f>IF(ISBLANK('Field information 1'!F22),"",'Field information 1'!F22)</f>
        <v/>
      </c>
      <c r="AX21" s="247" t="str" cm="1">
        <f t="array" aca="1" ref="AX21" ca="1">INDIRECT(TEXT(MIN(IF((Calc!$Z$5:$AI$104&lt;&gt;"")*(COUNTIF($AX$4:AX20,Calc!$Z$5:$AI$104)=0),ROW(Calc!$Z$5:$AI$104)*100+COLUMN(Calc!$Z$5:$AI$104),7^8)),"Calc!R0C00"),)&amp;""</f>
        <v/>
      </c>
      <c r="AY21" t="str" cm="1">
        <f t="array" aca="1" ref="AY21" ca="1">INDIRECT(TEXT(MIN(IF((Calc!$AK$5:$AT$104&lt;&gt;"")*(COUNTIF(AY$4:$AY20,Calc!$AK$5:$AT$104)=0),ROW(Calc!$AK$5:$AT$104)*100+COLUMN(Calc!$AK$5:$AT$104),7^8)),"Calc!R0C00"),)&amp;""</f>
        <v/>
      </c>
      <c r="AZ21" s="247" t="str">
        <f t="shared" ca="1" si="40"/>
        <v/>
      </c>
      <c r="BA21" s="324">
        <f t="shared" si="47"/>
        <v>17</v>
      </c>
      <c r="BB21">
        <f t="shared" ca="1" si="41"/>
        <v>0</v>
      </c>
      <c r="BC21" t="str">
        <f ca="1">IF($AX21="","",
VLOOKUP(LEFT($AX21,LEN($AX21)-2),'Field information 2'!$B$12:$P$111,11,FALSE))</f>
        <v/>
      </c>
      <c r="BD21" t="str">
        <f ca="1">IF($AX21="","",
VLOOKUP(LEFT($AX21,LEN($AX21)-2),'Field information 2'!$B$12:$P$111,13,FALSE))</f>
        <v/>
      </c>
      <c r="BE21" t="str">
        <f ca="1">IF($AX21="","",
VLOOKUP(LEFT($AX21,LEN($AX21)-2),'Field information 2'!$B$12:$P$111,15,FALSE))</f>
        <v/>
      </c>
      <c r="BF21">
        <f t="shared" ca="1" si="42"/>
        <v>0</v>
      </c>
      <c r="BG21" t="str">
        <f t="shared" ca="1" si="43"/>
        <v/>
      </c>
      <c r="BH21" s="7" t="str">
        <f ca="1">IF(OR(AX21="",'Soil results'!$D$7="",'Soil results'!$D$8=""),"",
IF('Soil results'!$D$7="LOI",
  IF('Soil results'!$D$8="mg/kg",'Soil results'!D26/10000,'Soil results'!D26),
IF('Soil results'!$D$7="Dumas",
  IF('Soil results'!$D$8="mg/kg",'Soil results'!D26*1.72/10000,'Soil results'!D26*1.72))))</f>
        <v/>
      </c>
      <c r="BI21" t="str">
        <f ca="1">IF($AX21="","",
VLOOKUP(LEFT($AX21,LEN($AX21)-2),'Field information 2'!$B$12:$I$111,8,FALSE))</f>
        <v/>
      </c>
      <c r="BJ21" t="str">
        <f ca="1">IF(BI21="","",
VLOOKUP(BI21,'Fertiliser recommendations'!$A$5:$B$62,2,FALSE))</f>
        <v/>
      </c>
      <c r="BK21" s="38" t="str">
        <f ca="1">IF($AX21="","",
IF(AND(BJ21="g",VLOOKUP(LEFT($AX21,LEN($AX21)-2),'Field information 2'!$B$12:$P$111,9,FALSE)&lt;&gt;"yes"),
IF(BG21="10-25% OM",6,IF(BG21="&gt;25% OM",12,IF(BG21="SCL; CL; ZCL; SC; ZC; C",6,IF(BG21="SL; SZL; ZL",5,IF(BG21="S; LS",4,"?"))))),
IF(OR(BJ21="a",AND(BJ21="g",VLOOKUP(LEFT($AX21,LEN($AX21)-2),'Field information 2'!$B$12:$P$111,9,FALSE)="yes")),
IF(BG21="10-25% OM",8,IF(BG21="&gt;25% OM",16,IF(BG21="SCL; CL; ZCL; SC; ZC; C",8,IF(BG21="SL; SZL; ZL",7,IF(BG21="S; LS",6,"?"))))),"")))</f>
        <v/>
      </c>
      <c r="BL21" t="str">
        <f ca="1">IF(AX21&lt;&gt;"",COUNTBLANK('Soil results'!D26:D26)+COUNTBLANK('Soil results'!F26:I26)+COUNTBLANK('Soil results'!K26:Q26),"")</f>
        <v/>
      </c>
      <c r="BM21" t="str">
        <f ca="1">IF(AX21&lt;&gt;"",
IF(OR(ISNUMBER(SEARCH("10*01*01",'Field information 2'!$M$5)),ISNUMBER(SEARCH("10*01*03",'Field information 2'!$M$5))),0.25,1),"")</f>
        <v/>
      </c>
      <c r="BN21" s="275" t="str">
        <f ca="1">IF(AX21&lt;&gt;"",
IF(COUNTIF('Soil results'!G27:G$159,"="&amp;'Soil results'!G26)+COUNTIF('Soil results'!H27:H$159,"="&amp;'Soil results'!H26)+COUNTIF('Soil results'!I27:I$159,"="&amp;'Soil results'!I26)=0,"no",
IF(MOD(COUNTIF('Soil results'!G27:G$159,"="&amp;'Soil results'!G26)+COUNTIF('Soil results'!H27:H$159,"="&amp;'Soil results'!H26)+COUNTIF('Soil results'!I27:I$159,"="&amp;'Soil results'!I26),3)=0,"yes","no")),"")</f>
        <v/>
      </c>
      <c r="BO21" s="276" t="str">
        <f t="shared" ca="1" si="44"/>
        <v/>
      </c>
      <c r="BP21" s="33"/>
      <c r="BQ21" s="276"/>
      <c r="BR21" s="276"/>
      <c r="BS21" s="276" t="str">
        <f t="shared" ca="1" si="45"/>
        <v/>
      </c>
      <c r="BT21" s="153" t="str">
        <f ca="1">IF(AX21="","",
IF(OR(Assessment!F23="limited benefit",Assessment!F23="benefit", Assessment!M23="limited benefit",Assessment!M23="benefit", Assessment!R23="limited benefit",Assessment!R23="benefit", Assessment!W23="limited benefit",Assessment!W23="benefit", Assessment!AB23="limited benefit",Assessment!AB23="benefit", AND(ISNUMBER(Assessment!AF23),Assessment!AG23="ok"), Assessment!AJ23="benefit"),"yes","no"))</f>
        <v/>
      </c>
      <c r="BV21" t="s">
        <v>237</v>
      </c>
      <c r="BW21" t="s">
        <v>341</v>
      </c>
    </row>
    <row r="22" spans="1:75" x14ac:dyDescent="0.35">
      <c r="A22" s="272">
        <f>IF(AND('Field information 2'!L29&gt;0, 'Field information 2'!M29=0),"data missing", 'Field information 2'!M29-'Field information 2'!L29)</f>
        <v>0</v>
      </c>
      <c r="B22" s="272">
        <f>IF(AND('Field information 2'!N29&gt;0,'Field information 2'!O29=0),"data missing",'Field information 2'!O29-'Field information 2'!N29)</f>
        <v>0</v>
      </c>
      <c r="C22" s="272">
        <f>IF(AND('Field information 2'!P29&gt;0, 'Field information 2'!Q29=0),"data missing",'Field information 2'!Q29-'Field information 2'!P29)</f>
        <v>0</v>
      </c>
      <c r="D22">
        <f>'Field information 2'!L29</f>
        <v>0</v>
      </c>
      <c r="E22" s="249" t="str">
        <f>IF(OR('Field information 2'!L29&gt;0,'Field information 2'!N29&gt;0,'Field information 2'!P29&gt;0),"Y","N")</f>
        <v>N</v>
      </c>
      <c r="F22" s="277" t="str">
        <f t="shared" si="12"/>
        <v/>
      </c>
      <c r="G22" t="str">
        <f>IF(OR(ISBLANK('Field information 1'!B23),AND(OR(ISBLANK('Field information 2'!L29), 'Field information 2'!L29=0),OR(ISBLANK('Field information 2'!N29), 'Field information 2'!N29=0), OR(ISBLANK('Field information 2'!P29), 'Field information 2'!P29=0))),"",
IF(ISTEXT('Field information 1'!B23), 'Field information 1'!B23, TEXT('Field information 1'!B23,"0")))</f>
        <v/>
      </c>
      <c r="H22" t="str">
        <f>IF(OR(ISBLANK('Field information 1'!B23),ISBLANK('Field information 2'!L29),ISBLANK('Field information 2'!F29)),"",'Field information 2'!F29)</f>
        <v/>
      </c>
      <c r="I22" s="91" t="str">
        <f>IF(OR(ISBLANK('Field information 1'!E23),G22=""),"",CEILING('Field information 1'!E23/10,1))</f>
        <v/>
      </c>
      <c r="J22" s="91" t="str">
        <f t="shared" si="13"/>
        <v>no</v>
      </c>
      <c r="K22" s="135" t="str">
        <f t="shared" ca="1" si="54"/>
        <v/>
      </c>
      <c r="L22" s="135" t="str">
        <f t="shared" ca="1" si="55"/>
        <v/>
      </c>
      <c r="M22" s="135" t="str">
        <f t="shared" ca="1" si="56"/>
        <v/>
      </c>
      <c r="N22" s="135" t="str">
        <f t="shared" ca="1" si="57"/>
        <v/>
      </c>
      <c r="O22" s="135" t="str">
        <f t="shared" ca="1" si="58"/>
        <v/>
      </c>
      <c r="P22" s="135" t="str">
        <f t="shared" ca="1" si="59"/>
        <v/>
      </c>
      <c r="Q22" s="135" t="str">
        <f t="shared" ca="1" si="60"/>
        <v/>
      </c>
      <c r="R22" s="135" t="str">
        <f t="shared" ca="1" si="61"/>
        <v/>
      </c>
      <c r="S22" s="135" t="str">
        <f t="shared" ca="1" si="62"/>
        <v/>
      </c>
      <c r="T22" s="135" t="str">
        <f t="shared" ca="1" si="63"/>
        <v/>
      </c>
      <c r="U22" s="49" t="str">
        <f t="shared" ca="1" si="24"/>
        <v/>
      </c>
      <c r="V22" s="7" t="str">
        <f t="shared" ca="1" si="25"/>
        <v/>
      </c>
      <c r="W22" s="7" t="str">
        <f t="shared" ca="1" si="26"/>
        <v/>
      </c>
      <c r="X22" s="7" t="str">
        <f t="shared" ca="1" si="27"/>
        <v/>
      </c>
      <c r="Y22" s="91"/>
      <c r="Z22" s="247" t="str">
        <f t="shared" si="28"/>
        <v/>
      </c>
      <c r="AA22" s="247" t="str">
        <f t="shared" ref="AA22:AI22" si="72">IF(AND(AA$4&lt;=$I22,$G22&lt;&gt;"",Z22&lt;&gt;""),$G22&amp;" "&amp;AA$3, "")</f>
        <v/>
      </c>
      <c r="AB22" s="247" t="str">
        <f t="shared" si="72"/>
        <v/>
      </c>
      <c r="AC22" s="247" t="str">
        <f t="shared" si="72"/>
        <v/>
      </c>
      <c r="AD22" s="247" t="str">
        <f t="shared" si="72"/>
        <v/>
      </c>
      <c r="AE22" s="247" t="str">
        <f t="shared" si="72"/>
        <v/>
      </c>
      <c r="AF22" s="247" t="str">
        <f t="shared" si="72"/>
        <v/>
      </c>
      <c r="AG22" s="247" t="str">
        <f t="shared" si="72"/>
        <v/>
      </c>
      <c r="AH22" s="247" t="str">
        <f t="shared" si="72"/>
        <v/>
      </c>
      <c r="AI22" s="247" t="str">
        <f t="shared" si="72"/>
        <v/>
      </c>
      <c r="AK22" s="247" t="str">
        <f t="shared" si="30"/>
        <v/>
      </c>
      <c r="AL22" s="247" t="str">
        <f t="shared" si="31"/>
        <v/>
      </c>
      <c r="AM22" s="247" t="str">
        <f t="shared" si="32"/>
        <v/>
      </c>
      <c r="AN22" s="247" t="str">
        <f t="shared" si="33"/>
        <v/>
      </c>
      <c r="AO22" s="247" t="str">
        <f t="shared" si="34"/>
        <v/>
      </c>
      <c r="AP22" s="247" t="str">
        <f t="shared" si="35"/>
        <v/>
      </c>
      <c r="AQ22" s="247" t="str">
        <f t="shared" si="36"/>
        <v/>
      </c>
      <c r="AR22" s="247" t="str">
        <f t="shared" si="37"/>
        <v/>
      </c>
      <c r="AS22" s="247" t="str">
        <f t="shared" si="38"/>
        <v/>
      </c>
      <c r="AT22" s="247" t="str">
        <f t="shared" si="39"/>
        <v/>
      </c>
      <c r="AV22" t="str">
        <f>IF(ISBLANK('Field information 1'!F23),"",'Field information 1'!F23)</f>
        <v/>
      </c>
      <c r="AX22" s="247" t="str" cm="1">
        <f t="array" aca="1" ref="AX22" ca="1">INDIRECT(TEXT(MIN(IF((Calc!$Z$5:$AI$104&lt;&gt;"")*(COUNTIF($AX$4:AX21,Calc!$Z$5:$AI$104)=0),ROW(Calc!$Z$5:$AI$104)*100+COLUMN(Calc!$Z$5:$AI$104),7^8)),"Calc!R0C00"),)&amp;""</f>
        <v/>
      </c>
      <c r="AY22" t="str" cm="1">
        <f t="array" aca="1" ref="AY22" ca="1">INDIRECT(TEXT(MIN(IF((Calc!$AK$5:$AT$104&lt;&gt;"")*(COUNTIF(AY$4:$AY21,Calc!$AK$5:$AT$104)=0),ROW(Calc!$AK$5:$AT$104)*100+COLUMN(Calc!$AK$5:$AT$104),7^8)),"Calc!R0C00"),)&amp;""</f>
        <v/>
      </c>
      <c r="AZ22" s="247" t="str">
        <f t="shared" ca="1" si="40"/>
        <v/>
      </c>
      <c r="BA22" s="324">
        <f t="shared" si="47"/>
        <v>18</v>
      </c>
      <c r="BB22">
        <f t="shared" ca="1" si="41"/>
        <v>0</v>
      </c>
      <c r="BC22" t="str">
        <f ca="1">IF($AX22="","",
VLOOKUP(LEFT($AX22,LEN($AX22)-2),'Field information 2'!$B$12:$P$111,11,FALSE))</f>
        <v/>
      </c>
      <c r="BD22" t="str">
        <f ca="1">IF($AX22="","",
VLOOKUP(LEFT($AX22,LEN($AX22)-2),'Field information 2'!$B$12:$P$111,13,FALSE))</f>
        <v/>
      </c>
      <c r="BE22" t="str">
        <f ca="1">IF($AX22="","",
VLOOKUP(LEFT($AX22,LEN($AX22)-2),'Field information 2'!$B$12:$P$111,15,FALSE))</f>
        <v/>
      </c>
      <c r="BF22">
        <f t="shared" ca="1" si="42"/>
        <v>0</v>
      </c>
      <c r="BG22" t="str">
        <f t="shared" ca="1" si="43"/>
        <v/>
      </c>
      <c r="BH22" s="7" t="str">
        <f ca="1">IF(OR(AX22="",'Soil results'!$D$7="",'Soil results'!$D$8=""),"",
IF('Soil results'!$D$7="LOI",
  IF('Soil results'!$D$8="mg/kg",'Soil results'!D27/10000,'Soil results'!D27),
IF('Soil results'!$D$7="Dumas",
  IF('Soil results'!$D$8="mg/kg",'Soil results'!D27*1.72/10000,'Soil results'!D27*1.72))))</f>
        <v/>
      </c>
      <c r="BI22" t="str">
        <f ca="1">IF($AX22="","",
VLOOKUP(LEFT($AX22,LEN($AX22)-2),'Field information 2'!$B$12:$I$111,8,FALSE))</f>
        <v/>
      </c>
      <c r="BJ22" t="str">
        <f ca="1">IF(BI22="","",
VLOOKUP(BI22,'Fertiliser recommendations'!$A$5:$B$62,2,FALSE))</f>
        <v/>
      </c>
      <c r="BK22" s="38" t="str">
        <f ca="1">IF($AX22="","",
IF(AND(BJ22="g",VLOOKUP(LEFT($AX22,LEN($AX22)-2),'Field information 2'!$B$12:$P$111,9,FALSE)&lt;&gt;"yes"),
IF(BG22="10-25% OM",6,IF(BG22="&gt;25% OM",12,IF(BG22="SCL; CL; ZCL; SC; ZC; C",6,IF(BG22="SL; SZL; ZL",5,IF(BG22="S; LS",4,"?"))))),
IF(OR(BJ22="a",AND(BJ22="g",VLOOKUP(LEFT($AX22,LEN($AX22)-2),'Field information 2'!$B$12:$P$111,9,FALSE)="yes")),
IF(BG22="10-25% OM",8,IF(BG22="&gt;25% OM",16,IF(BG22="SCL; CL; ZCL; SC; ZC; C",8,IF(BG22="SL; SZL; ZL",7,IF(BG22="S; LS",6,"?"))))),"")))</f>
        <v/>
      </c>
      <c r="BL22" t="str">
        <f ca="1">IF(AX22&lt;&gt;"",COUNTBLANK('Soil results'!D27:D27)+COUNTBLANK('Soil results'!F27:I27)+COUNTBLANK('Soil results'!K27:Q27),"")</f>
        <v/>
      </c>
      <c r="BM22" t="str">
        <f ca="1">IF(AX22&lt;&gt;"",
IF(OR(ISNUMBER(SEARCH("10*01*01",'Field information 2'!$M$5)),ISNUMBER(SEARCH("10*01*03",'Field information 2'!$M$5))),0.25,1),"")</f>
        <v/>
      </c>
      <c r="BN22" s="275" t="str">
        <f ca="1">IF(AX22&lt;&gt;"",
IF(COUNTIF('Soil results'!G28:G$159,"="&amp;'Soil results'!G27)+COUNTIF('Soil results'!H28:H$159,"="&amp;'Soil results'!H27)+COUNTIF('Soil results'!I28:I$159,"="&amp;'Soil results'!I27)=0,"no",
IF(MOD(COUNTIF('Soil results'!G28:G$159,"="&amp;'Soil results'!G27)+COUNTIF('Soil results'!H28:H$159,"="&amp;'Soil results'!H27)+COUNTIF('Soil results'!I28:I$159,"="&amp;'Soil results'!I27),3)=0,"yes","no")),"")</f>
        <v/>
      </c>
      <c r="BO22" s="276" t="str">
        <f t="shared" ca="1" si="44"/>
        <v/>
      </c>
      <c r="BP22" s="33"/>
      <c r="BQ22" s="276"/>
      <c r="BR22" s="276"/>
      <c r="BS22" s="276" t="str">
        <f t="shared" ca="1" si="45"/>
        <v/>
      </c>
      <c r="BT22" s="153" t="str">
        <f ca="1">IF(AX22="","",
IF(OR(Assessment!F24="limited benefit",Assessment!F24="benefit", Assessment!M24="limited benefit",Assessment!M24="benefit", Assessment!R24="limited benefit",Assessment!R24="benefit", Assessment!W24="limited benefit",Assessment!W24="benefit", Assessment!AB24="limited benefit",Assessment!AB24="benefit", AND(ISNUMBER(Assessment!AF24),Assessment!AG24="ok"), Assessment!AJ24="benefit"),"yes","no"))</f>
        <v/>
      </c>
      <c r="BV22" t="s">
        <v>239</v>
      </c>
    </row>
    <row r="23" spans="1:75" x14ac:dyDescent="0.35">
      <c r="A23" s="272">
        <f>IF(AND('Field information 2'!L30&gt;0, 'Field information 2'!M30=0),"data missing", 'Field information 2'!M30-'Field information 2'!L30)</f>
        <v>0</v>
      </c>
      <c r="B23" s="272">
        <f>IF(AND('Field information 2'!N30&gt;0,'Field information 2'!O30=0),"data missing",'Field information 2'!O30-'Field information 2'!N30)</f>
        <v>0</v>
      </c>
      <c r="C23" s="272">
        <f>IF(AND('Field information 2'!P30&gt;0, 'Field information 2'!Q30=0),"data missing",'Field information 2'!Q30-'Field information 2'!P30)</f>
        <v>0</v>
      </c>
      <c r="D23">
        <f>'Field information 2'!L30</f>
        <v>0</v>
      </c>
      <c r="E23" s="249" t="str">
        <f>IF(OR('Field information 2'!L30&gt;0,'Field information 2'!N30&gt;0,'Field information 2'!P30&gt;0),"Y","N")</f>
        <v>N</v>
      </c>
      <c r="F23" s="277" t="str">
        <f t="shared" si="12"/>
        <v/>
      </c>
      <c r="G23" t="str">
        <f>IF(OR(ISBLANK('Field information 1'!B24),AND(OR(ISBLANK('Field information 2'!L30), 'Field information 2'!L30=0),OR(ISBLANK('Field information 2'!N30), 'Field information 2'!N30=0), OR(ISBLANK('Field information 2'!P30), 'Field information 2'!P30=0))),"",
IF(ISTEXT('Field information 1'!B24), 'Field information 1'!B24, TEXT('Field information 1'!B24,"0")))</f>
        <v/>
      </c>
      <c r="H23" t="str">
        <f>IF(OR(ISBLANK('Field information 1'!B24),ISBLANK('Field information 2'!L30),ISBLANK('Field information 2'!F30)),"",'Field information 2'!F30)</f>
        <v/>
      </c>
      <c r="I23" s="91" t="str">
        <f>IF(OR(ISBLANK('Field information 1'!E24),G23=""),"",CEILING('Field information 1'!E24/10,1))</f>
        <v/>
      </c>
      <c r="J23" s="91" t="str">
        <f t="shared" si="13"/>
        <v>no</v>
      </c>
      <c r="K23" s="135" t="str">
        <f t="shared" ca="1" si="54"/>
        <v/>
      </c>
      <c r="L23" s="135" t="str">
        <f t="shared" ca="1" si="55"/>
        <v/>
      </c>
      <c r="M23" s="135" t="str">
        <f t="shared" ca="1" si="56"/>
        <v/>
      </c>
      <c r="N23" s="135" t="str">
        <f t="shared" ca="1" si="57"/>
        <v/>
      </c>
      <c r="O23" s="135" t="str">
        <f t="shared" ca="1" si="58"/>
        <v/>
      </c>
      <c r="P23" s="135" t="str">
        <f t="shared" ca="1" si="59"/>
        <v/>
      </c>
      <c r="Q23" s="135" t="str">
        <f t="shared" ca="1" si="60"/>
        <v/>
      </c>
      <c r="R23" s="135" t="str">
        <f t="shared" ca="1" si="61"/>
        <v/>
      </c>
      <c r="S23" s="135" t="str">
        <f t="shared" ca="1" si="62"/>
        <v/>
      </c>
      <c r="T23" s="135" t="str">
        <f t="shared" ca="1" si="63"/>
        <v/>
      </c>
      <c r="U23" s="49" t="str">
        <f t="shared" ca="1" si="24"/>
        <v/>
      </c>
      <c r="V23" s="7" t="str">
        <f t="shared" ca="1" si="25"/>
        <v/>
      </c>
      <c r="W23" s="7" t="str">
        <f t="shared" ca="1" si="26"/>
        <v/>
      </c>
      <c r="X23" s="7" t="str">
        <f t="shared" ca="1" si="27"/>
        <v/>
      </c>
      <c r="Y23" s="91"/>
      <c r="Z23" s="247" t="str">
        <f t="shared" si="28"/>
        <v/>
      </c>
      <c r="AA23" s="247" t="str">
        <f t="shared" ref="AA23:AI23" si="73">IF(AND(AA$4&lt;=$I23,$G23&lt;&gt;"",Z23&lt;&gt;""),$G23&amp;" "&amp;AA$3, "")</f>
        <v/>
      </c>
      <c r="AB23" s="247" t="str">
        <f t="shared" si="73"/>
        <v/>
      </c>
      <c r="AC23" s="247" t="str">
        <f t="shared" si="73"/>
        <v/>
      </c>
      <c r="AD23" s="247" t="str">
        <f t="shared" si="73"/>
        <v/>
      </c>
      <c r="AE23" s="247" t="str">
        <f t="shared" si="73"/>
        <v/>
      </c>
      <c r="AF23" s="247" t="str">
        <f t="shared" si="73"/>
        <v/>
      </c>
      <c r="AG23" s="247" t="str">
        <f t="shared" si="73"/>
        <v/>
      </c>
      <c r="AH23" s="247" t="str">
        <f t="shared" si="73"/>
        <v/>
      </c>
      <c r="AI23" s="247" t="str">
        <f t="shared" si="73"/>
        <v/>
      </c>
      <c r="AK23" s="247" t="str">
        <f t="shared" si="30"/>
        <v/>
      </c>
      <c r="AL23" s="247" t="str">
        <f t="shared" si="31"/>
        <v/>
      </c>
      <c r="AM23" s="247" t="str">
        <f t="shared" si="32"/>
        <v/>
      </c>
      <c r="AN23" s="247" t="str">
        <f t="shared" si="33"/>
        <v/>
      </c>
      <c r="AO23" s="247" t="str">
        <f t="shared" si="34"/>
        <v/>
      </c>
      <c r="AP23" s="247" t="str">
        <f t="shared" si="35"/>
        <v/>
      </c>
      <c r="AQ23" s="247" t="str">
        <f t="shared" si="36"/>
        <v/>
      </c>
      <c r="AR23" s="247" t="str">
        <f t="shared" si="37"/>
        <v/>
      </c>
      <c r="AS23" s="247" t="str">
        <f t="shared" si="38"/>
        <v/>
      </c>
      <c r="AT23" s="247" t="str">
        <f t="shared" si="39"/>
        <v/>
      </c>
      <c r="AV23" t="str">
        <f>IF(ISBLANK('Field information 1'!F24),"",'Field information 1'!F24)</f>
        <v/>
      </c>
      <c r="AX23" s="247" t="str" cm="1">
        <f t="array" aca="1" ref="AX23" ca="1">INDIRECT(TEXT(MIN(IF((Calc!$Z$5:$AI$104&lt;&gt;"")*(COUNTIF($AX$4:AX22,Calc!$Z$5:$AI$104)=0),ROW(Calc!$Z$5:$AI$104)*100+COLUMN(Calc!$Z$5:$AI$104),7^8)),"Calc!R0C00"),)&amp;""</f>
        <v/>
      </c>
      <c r="AY23" t="str" cm="1">
        <f t="array" aca="1" ref="AY23" ca="1">INDIRECT(TEXT(MIN(IF((Calc!$AK$5:$AT$104&lt;&gt;"")*(COUNTIF(AY$4:$AY22,Calc!$AK$5:$AT$104)=0),ROW(Calc!$AK$5:$AT$104)*100+COLUMN(Calc!$AK$5:$AT$104),7^8)),"Calc!R0C00"),)&amp;""</f>
        <v/>
      </c>
      <c r="AZ23" s="247" t="str">
        <f t="shared" ca="1" si="40"/>
        <v/>
      </c>
      <c r="BA23" s="324">
        <f t="shared" si="47"/>
        <v>19</v>
      </c>
      <c r="BB23">
        <f t="shared" ca="1" si="41"/>
        <v>0</v>
      </c>
      <c r="BC23" t="str">
        <f ca="1">IF($AX23="","",
VLOOKUP(LEFT($AX23,LEN($AX23)-2),'Field information 2'!$B$12:$P$111,11,FALSE))</f>
        <v/>
      </c>
      <c r="BD23" t="str">
        <f ca="1">IF($AX23="","",
VLOOKUP(LEFT($AX23,LEN($AX23)-2),'Field information 2'!$B$12:$P$111,13,FALSE))</f>
        <v/>
      </c>
      <c r="BE23" t="str">
        <f ca="1">IF($AX23="","",
VLOOKUP(LEFT($AX23,LEN($AX23)-2),'Field information 2'!$B$12:$P$111,15,FALSE))</f>
        <v/>
      </c>
      <c r="BF23">
        <f t="shared" ca="1" si="42"/>
        <v>0</v>
      </c>
      <c r="BG23" t="str">
        <f t="shared" ca="1" si="43"/>
        <v/>
      </c>
      <c r="BH23" s="7" t="str">
        <f ca="1">IF(OR(AX23="",'Soil results'!$D$7="",'Soil results'!$D$8=""),"",
IF('Soil results'!$D$7="LOI",
  IF('Soil results'!$D$8="mg/kg",'Soil results'!D28/10000,'Soil results'!D28),
IF('Soil results'!$D$7="Dumas",
  IF('Soil results'!$D$8="mg/kg",'Soil results'!D28*1.72/10000,'Soil results'!D28*1.72))))</f>
        <v/>
      </c>
      <c r="BI23" t="str">
        <f ca="1">IF($AX23="","",
VLOOKUP(LEFT($AX23,LEN($AX23)-2),'Field information 2'!$B$12:$I$111,8,FALSE))</f>
        <v/>
      </c>
      <c r="BJ23" t="str">
        <f ca="1">IF(BI23="","",
VLOOKUP(BI23,'Fertiliser recommendations'!$A$5:$B$62,2,FALSE))</f>
        <v/>
      </c>
      <c r="BK23" s="38" t="str">
        <f ca="1">IF($AX23="","",
IF(AND(BJ23="g",VLOOKUP(LEFT($AX23,LEN($AX23)-2),'Field information 2'!$B$12:$P$111,9,FALSE)&lt;&gt;"yes"),
IF(BG23="10-25% OM",6,IF(BG23="&gt;25% OM",12,IF(BG23="SCL; CL; ZCL; SC; ZC; C",6,IF(BG23="SL; SZL; ZL",5,IF(BG23="S; LS",4,"?"))))),
IF(OR(BJ23="a",AND(BJ23="g",VLOOKUP(LEFT($AX23,LEN($AX23)-2),'Field information 2'!$B$12:$P$111,9,FALSE)="yes")),
IF(BG23="10-25% OM",8,IF(BG23="&gt;25% OM",16,IF(BG23="SCL; CL; ZCL; SC; ZC; C",8,IF(BG23="SL; SZL; ZL",7,IF(BG23="S; LS",6,"?"))))),"")))</f>
        <v/>
      </c>
      <c r="BL23" t="str">
        <f ca="1">IF(AX23&lt;&gt;"",COUNTBLANK('Soil results'!D28:D28)+COUNTBLANK('Soil results'!F28:I28)+COUNTBLANK('Soil results'!K28:Q28),"")</f>
        <v/>
      </c>
      <c r="BM23" t="str">
        <f ca="1">IF(AX23&lt;&gt;"",
IF(OR(ISNUMBER(SEARCH("10*01*01",'Field information 2'!$M$5)),ISNUMBER(SEARCH("10*01*03",'Field information 2'!$M$5))),0.25,1),"")</f>
        <v/>
      </c>
      <c r="BN23" s="275" t="str">
        <f ca="1">IF(AX23&lt;&gt;"",
IF(COUNTIF('Soil results'!G29:G$159,"="&amp;'Soil results'!G28)+COUNTIF('Soil results'!H29:H$159,"="&amp;'Soil results'!H28)+COUNTIF('Soil results'!I29:I$159,"="&amp;'Soil results'!I28)=0,"no",
IF(MOD(COUNTIF('Soil results'!G29:G$159,"="&amp;'Soil results'!G28)+COUNTIF('Soil results'!H29:H$159,"="&amp;'Soil results'!H28)+COUNTIF('Soil results'!I29:I$159,"="&amp;'Soil results'!I28),3)=0,"yes","no")),"")</f>
        <v/>
      </c>
      <c r="BO23" s="276" t="str">
        <f t="shared" ca="1" si="44"/>
        <v/>
      </c>
      <c r="BP23" s="33"/>
      <c r="BQ23" s="276"/>
      <c r="BR23" s="276"/>
      <c r="BS23" s="276" t="str">
        <f t="shared" ca="1" si="45"/>
        <v/>
      </c>
      <c r="BT23" s="153" t="str">
        <f ca="1">IF(AX23="","",
IF(OR(Assessment!F25="limited benefit",Assessment!F25="benefit", Assessment!M25="limited benefit",Assessment!M25="benefit", Assessment!R25="limited benefit",Assessment!R25="benefit", Assessment!W25="limited benefit",Assessment!W25="benefit", Assessment!AB25="limited benefit",Assessment!AB25="benefit", AND(ISNUMBER(Assessment!AF25),Assessment!AG25="ok"), Assessment!AJ25="benefit"),"yes","no"))</f>
        <v/>
      </c>
      <c r="BV23" t="s">
        <v>240</v>
      </c>
      <c r="BW23" s="216" t="s">
        <v>342</v>
      </c>
    </row>
    <row r="24" spans="1:75" x14ac:dyDescent="0.35">
      <c r="A24" s="272">
        <f>IF(AND('Field information 2'!L31&gt;0, 'Field information 2'!M31=0),"data missing", 'Field information 2'!M31-'Field information 2'!L31)</f>
        <v>0</v>
      </c>
      <c r="B24" s="272">
        <f>IF(AND('Field information 2'!N31&gt;0,'Field information 2'!O31=0),"data missing",'Field information 2'!O31-'Field information 2'!N31)</f>
        <v>0</v>
      </c>
      <c r="C24" s="272">
        <f>IF(AND('Field information 2'!P31&gt;0, 'Field information 2'!Q31=0),"data missing",'Field information 2'!Q31-'Field information 2'!P31)</f>
        <v>0</v>
      </c>
      <c r="D24">
        <f>'Field information 2'!L31</f>
        <v>0</v>
      </c>
      <c r="E24" s="249" t="str">
        <f>IF(OR('Field information 2'!L31&gt;0,'Field information 2'!N31&gt;0,'Field information 2'!P31&gt;0),"Y","N")</f>
        <v>N</v>
      </c>
      <c r="F24" s="277" t="str">
        <f t="shared" si="12"/>
        <v/>
      </c>
      <c r="G24" t="str">
        <f>IF(OR(ISBLANK('Field information 1'!B25),AND(OR(ISBLANK('Field information 2'!L31), 'Field information 2'!L31=0),OR(ISBLANK('Field information 2'!N31), 'Field information 2'!N31=0), OR(ISBLANK('Field information 2'!P31), 'Field information 2'!P31=0))),"",
IF(ISTEXT('Field information 1'!B25), 'Field information 1'!B25, TEXT('Field information 1'!B25,"0")))</f>
        <v/>
      </c>
      <c r="H24" t="str">
        <f>IF(OR(ISBLANK('Field information 1'!B25),ISBLANK('Field information 2'!L31),ISBLANK('Field information 2'!F31)),"",'Field information 2'!F31)</f>
        <v/>
      </c>
      <c r="I24" s="91" t="str">
        <f>IF(OR(ISBLANK('Field information 1'!E25),G24=""),"",CEILING('Field information 1'!E25/10,1))</f>
        <v/>
      </c>
      <c r="J24" s="91" t="str">
        <f t="shared" si="13"/>
        <v>no</v>
      </c>
      <c r="K24" s="135" t="str">
        <f t="shared" ca="1" si="54"/>
        <v/>
      </c>
      <c r="L24" s="135" t="str">
        <f t="shared" ca="1" si="55"/>
        <v/>
      </c>
      <c r="M24" s="135" t="str">
        <f t="shared" ca="1" si="56"/>
        <v/>
      </c>
      <c r="N24" s="135" t="str">
        <f t="shared" ca="1" si="57"/>
        <v/>
      </c>
      <c r="O24" s="135" t="str">
        <f t="shared" ca="1" si="58"/>
        <v/>
      </c>
      <c r="P24" s="135" t="str">
        <f t="shared" ca="1" si="59"/>
        <v/>
      </c>
      <c r="Q24" s="135" t="str">
        <f t="shared" ca="1" si="60"/>
        <v/>
      </c>
      <c r="R24" s="135" t="str">
        <f t="shared" ca="1" si="61"/>
        <v/>
      </c>
      <c r="S24" s="135" t="str">
        <f t="shared" ca="1" si="62"/>
        <v/>
      </c>
      <c r="T24" s="135" t="str">
        <f t="shared" ca="1" si="63"/>
        <v/>
      </c>
      <c r="U24" s="49" t="str">
        <f t="shared" ca="1" si="24"/>
        <v/>
      </c>
      <c r="V24" s="7" t="str">
        <f t="shared" ca="1" si="25"/>
        <v/>
      </c>
      <c r="W24" s="7" t="str">
        <f t="shared" ca="1" si="26"/>
        <v/>
      </c>
      <c r="X24" s="7" t="str">
        <f t="shared" ca="1" si="27"/>
        <v/>
      </c>
      <c r="Y24" s="91"/>
      <c r="Z24" s="247" t="str">
        <f t="shared" si="28"/>
        <v/>
      </c>
      <c r="AA24" s="247" t="str">
        <f t="shared" ref="AA24:AI24" si="74">IF(AND(AA$4&lt;=$I24,$G24&lt;&gt;"",Z24&lt;&gt;""),$G24&amp;" "&amp;AA$3, "")</f>
        <v/>
      </c>
      <c r="AB24" s="247" t="str">
        <f t="shared" si="74"/>
        <v/>
      </c>
      <c r="AC24" s="247" t="str">
        <f t="shared" si="74"/>
        <v/>
      </c>
      <c r="AD24" s="247" t="str">
        <f t="shared" si="74"/>
        <v/>
      </c>
      <c r="AE24" s="247" t="str">
        <f t="shared" si="74"/>
        <v/>
      </c>
      <c r="AF24" s="247" t="str">
        <f t="shared" si="74"/>
        <v/>
      </c>
      <c r="AG24" s="247" t="str">
        <f t="shared" si="74"/>
        <v/>
      </c>
      <c r="AH24" s="247" t="str">
        <f t="shared" si="74"/>
        <v/>
      </c>
      <c r="AI24" s="247" t="str">
        <f t="shared" si="74"/>
        <v/>
      </c>
      <c r="AK24" s="247" t="str">
        <f t="shared" si="30"/>
        <v/>
      </c>
      <c r="AL24" s="247" t="str">
        <f t="shared" si="31"/>
        <v/>
      </c>
      <c r="AM24" s="247" t="str">
        <f t="shared" si="32"/>
        <v/>
      </c>
      <c r="AN24" s="247" t="str">
        <f t="shared" si="33"/>
        <v/>
      </c>
      <c r="AO24" s="247" t="str">
        <f t="shared" si="34"/>
        <v/>
      </c>
      <c r="AP24" s="247" t="str">
        <f t="shared" si="35"/>
        <v/>
      </c>
      <c r="AQ24" s="247" t="str">
        <f t="shared" si="36"/>
        <v/>
      </c>
      <c r="AR24" s="247" t="str">
        <f t="shared" si="37"/>
        <v/>
      </c>
      <c r="AS24" s="247" t="str">
        <f t="shared" si="38"/>
        <v/>
      </c>
      <c r="AT24" s="247" t="str">
        <f t="shared" si="39"/>
        <v/>
      </c>
      <c r="AV24" t="str">
        <f>IF(ISBLANK('Field information 1'!F25),"",'Field information 1'!F25)</f>
        <v/>
      </c>
      <c r="AX24" s="247" t="str" cm="1">
        <f t="array" aca="1" ref="AX24" ca="1">INDIRECT(TEXT(MIN(IF((Calc!$Z$5:$AI$104&lt;&gt;"")*(COUNTIF($AX$4:AX23,Calc!$Z$5:$AI$104)=0),ROW(Calc!$Z$5:$AI$104)*100+COLUMN(Calc!$Z$5:$AI$104),7^8)),"Calc!R0C00"),)&amp;""</f>
        <v/>
      </c>
      <c r="AY24" t="str" cm="1">
        <f t="array" aca="1" ref="AY24" ca="1">INDIRECT(TEXT(MIN(IF((Calc!$AK$5:$AT$104&lt;&gt;"")*(COUNTIF(AY$4:$AY23,Calc!$AK$5:$AT$104)=0),ROW(Calc!$AK$5:$AT$104)*100+COLUMN(Calc!$AK$5:$AT$104),7^8)),"Calc!R0C00"),)&amp;""</f>
        <v/>
      </c>
      <c r="AZ24" s="247" t="str">
        <f t="shared" ca="1" si="40"/>
        <v/>
      </c>
      <c r="BA24" s="324">
        <f t="shared" si="47"/>
        <v>20</v>
      </c>
      <c r="BB24">
        <f t="shared" ca="1" si="41"/>
        <v>0</v>
      </c>
      <c r="BC24" t="str">
        <f ca="1">IF($AX24="","",
VLOOKUP(LEFT($AX24,LEN($AX24)-2),'Field information 2'!$B$12:$P$111,11,FALSE))</f>
        <v/>
      </c>
      <c r="BD24" t="str">
        <f ca="1">IF($AX24="","",
VLOOKUP(LEFT($AX24,LEN($AX24)-2),'Field information 2'!$B$12:$P$111,13,FALSE))</f>
        <v/>
      </c>
      <c r="BE24" t="str">
        <f ca="1">IF($AX24="","",
VLOOKUP(LEFT($AX24,LEN($AX24)-2),'Field information 2'!$B$12:$P$111,15,FALSE))</f>
        <v/>
      </c>
      <c r="BF24">
        <f t="shared" ca="1" si="42"/>
        <v>0</v>
      </c>
      <c r="BG24" t="str">
        <f t="shared" ca="1" si="43"/>
        <v/>
      </c>
      <c r="BH24" s="7" t="str">
        <f ca="1">IF(OR(AX24="",'Soil results'!$D$7="",'Soil results'!$D$8=""),"",
IF('Soil results'!$D$7="LOI",
  IF('Soil results'!$D$8="mg/kg",'Soil results'!D29/10000,'Soil results'!D29),
IF('Soil results'!$D$7="Dumas",
  IF('Soil results'!$D$8="mg/kg",'Soil results'!D29*1.72/10000,'Soil results'!D29*1.72))))</f>
        <v/>
      </c>
      <c r="BI24" t="str">
        <f ca="1">IF($AX24="","",
VLOOKUP(LEFT($AX24,LEN($AX24)-2),'Field information 2'!$B$12:$I$111,8,FALSE))</f>
        <v/>
      </c>
      <c r="BJ24" t="str">
        <f ca="1">IF(BI24="","",
VLOOKUP(BI24,'Fertiliser recommendations'!$A$5:$B$62,2,FALSE))</f>
        <v/>
      </c>
      <c r="BK24" s="38" t="str">
        <f ca="1">IF($AX24="","",
IF(AND(BJ24="g",VLOOKUP(LEFT($AX24,LEN($AX24)-2),'Field information 2'!$B$12:$P$111,9,FALSE)&lt;&gt;"yes"),
IF(BG24="10-25% OM",6,IF(BG24="&gt;25% OM",12,IF(BG24="SCL; CL; ZCL; SC; ZC; C",6,IF(BG24="SL; SZL; ZL",5,IF(BG24="S; LS",4,"?"))))),
IF(OR(BJ24="a",AND(BJ24="g",VLOOKUP(LEFT($AX24,LEN($AX24)-2),'Field information 2'!$B$12:$P$111,9,FALSE)="yes")),
IF(BG24="10-25% OM",8,IF(BG24="&gt;25% OM",16,IF(BG24="SCL; CL; ZCL; SC; ZC; C",8,IF(BG24="SL; SZL; ZL",7,IF(BG24="S; LS",6,"?"))))),"")))</f>
        <v/>
      </c>
      <c r="BL24" t="str">
        <f ca="1">IF(AX24&lt;&gt;"",COUNTBLANK('Soil results'!D29:D29)+COUNTBLANK('Soil results'!F29:I29)+COUNTBLANK('Soil results'!K29:Q29),"")</f>
        <v/>
      </c>
      <c r="BM24" t="str">
        <f ca="1">IF(AX24&lt;&gt;"",
IF(OR(ISNUMBER(SEARCH("10*01*01",'Field information 2'!$M$5)),ISNUMBER(SEARCH("10*01*03",'Field information 2'!$M$5))),0.25,1),"")</f>
        <v/>
      </c>
      <c r="BN24" s="275" t="str">
        <f ca="1">IF(AX24&lt;&gt;"",
IF(COUNTIF('Soil results'!G30:G$159,"="&amp;'Soil results'!G29)+COUNTIF('Soil results'!H30:H$159,"="&amp;'Soil results'!H29)+COUNTIF('Soil results'!I30:I$159,"="&amp;'Soil results'!I29)=0,"no",
IF(MOD(COUNTIF('Soil results'!G30:G$159,"="&amp;'Soil results'!G29)+COUNTIF('Soil results'!H30:H$159,"="&amp;'Soil results'!H29)+COUNTIF('Soil results'!I30:I$159,"="&amp;'Soil results'!I29),3)=0,"yes","no")),"")</f>
        <v/>
      </c>
      <c r="BO24" s="276" t="str">
        <f t="shared" ca="1" si="44"/>
        <v/>
      </c>
      <c r="BP24" s="33"/>
      <c r="BQ24" s="276"/>
      <c r="BR24" s="276"/>
      <c r="BS24" s="276" t="str">
        <f t="shared" ca="1" si="45"/>
        <v/>
      </c>
      <c r="BT24" s="153" t="str">
        <f ca="1">IF(AX24="","",
IF(OR(Assessment!F26="limited benefit",Assessment!F26="benefit", Assessment!M26="limited benefit",Assessment!M26="benefit", Assessment!R26="limited benefit",Assessment!R26="benefit", Assessment!W26="limited benefit",Assessment!W26="benefit", Assessment!AB26="limited benefit",Assessment!AB26="benefit", AND(ISNUMBER(Assessment!AF26),Assessment!AG26="ok"), Assessment!AJ26="benefit"),"yes","no"))</f>
        <v/>
      </c>
      <c r="BV24" t="s">
        <v>241</v>
      </c>
      <c r="BW24" t="s">
        <v>343</v>
      </c>
    </row>
    <row r="25" spans="1:75" x14ac:dyDescent="0.35">
      <c r="A25" s="272">
        <f>IF(AND('Field information 2'!L32&gt;0, 'Field information 2'!M32=0),"data missing", 'Field information 2'!M32-'Field information 2'!L32)</f>
        <v>0</v>
      </c>
      <c r="B25" s="272">
        <f>IF(AND('Field information 2'!N32&gt;0,'Field information 2'!O32=0),"data missing",'Field information 2'!O32-'Field information 2'!N32)</f>
        <v>0</v>
      </c>
      <c r="C25" s="272">
        <f>IF(AND('Field information 2'!P32&gt;0, 'Field information 2'!Q32=0),"data missing",'Field information 2'!Q32-'Field information 2'!P32)</f>
        <v>0</v>
      </c>
      <c r="D25">
        <f>'Field information 2'!L32</f>
        <v>0</v>
      </c>
      <c r="E25" s="249" t="str">
        <f>IF(OR('Field information 2'!L32&gt;0,'Field information 2'!N32&gt;0,'Field information 2'!P32&gt;0),"Y","N")</f>
        <v>N</v>
      </c>
      <c r="F25" s="277" t="str">
        <f t="shared" si="12"/>
        <v/>
      </c>
      <c r="G25" t="str">
        <f>IF(OR(ISBLANK('Field information 1'!B26),AND(OR(ISBLANK('Field information 2'!L32), 'Field information 2'!L32=0),OR(ISBLANK('Field information 2'!N32), 'Field information 2'!N32=0), OR(ISBLANK('Field information 2'!P32), 'Field information 2'!P32=0))),"",
IF(ISTEXT('Field information 1'!B26), 'Field information 1'!B26, TEXT('Field information 1'!B26,"0")))</f>
        <v/>
      </c>
      <c r="H25" t="str">
        <f>IF(OR(ISBLANK('Field information 1'!B26),ISBLANK('Field information 2'!L32),ISBLANK('Field information 2'!F32)),"",'Field information 2'!F32)</f>
        <v/>
      </c>
      <c r="I25" s="91" t="str">
        <f>IF(OR(ISBLANK('Field information 1'!E26),G25=""),"",CEILING('Field information 1'!E26/10,1))</f>
        <v/>
      </c>
      <c r="J25" s="91" t="str">
        <f t="shared" si="13"/>
        <v>no</v>
      </c>
      <c r="K25" s="135" t="str">
        <f t="shared" ca="1" si="54"/>
        <v/>
      </c>
      <c r="L25" s="135" t="str">
        <f t="shared" ca="1" si="55"/>
        <v/>
      </c>
      <c r="M25" s="135" t="str">
        <f t="shared" ca="1" si="56"/>
        <v/>
      </c>
      <c r="N25" s="135" t="str">
        <f t="shared" ca="1" si="57"/>
        <v/>
      </c>
      <c r="O25" s="135" t="str">
        <f t="shared" ca="1" si="58"/>
        <v/>
      </c>
      <c r="P25" s="135" t="str">
        <f t="shared" ca="1" si="59"/>
        <v/>
      </c>
      <c r="Q25" s="135" t="str">
        <f t="shared" ca="1" si="60"/>
        <v/>
      </c>
      <c r="R25" s="135" t="str">
        <f t="shared" ca="1" si="61"/>
        <v/>
      </c>
      <c r="S25" s="135" t="str">
        <f t="shared" ca="1" si="62"/>
        <v/>
      </c>
      <c r="T25" s="135" t="str">
        <f t="shared" ca="1" si="63"/>
        <v/>
      </c>
      <c r="U25" s="49" t="str">
        <f t="shared" ca="1" si="24"/>
        <v/>
      </c>
      <c r="V25" s="7" t="str">
        <f t="shared" ca="1" si="25"/>
        <v/>
      </c>
      <c r="W25" s="7" t="str">
        <f t="shared" ca="1" si="26"/>
        <v/>
      </c>
      <c r="X25" s="7" t="str">
        <f t="shared" ca="1" si="27"/>
        <v/>
      </c>
      <c r="Y25" s="91"/>
      <c r="Z25" s="247" t="str">
        <f t="shared" si="28"/>
        <v/>
      </c>
      <c r="AA25" s="247" t="str">
        <f t="shared" ref="AA25:AI25" si="75">IF(AND(AA$4&lt;=$I25,$G25&lt;&gt;"",Z25&lt;&gt;""),$G25&amp;" "&amp;AA$3, "")</f>
        <v/>
      </c>
      <c r="AB25" s="247" t="str">
        <f t="shared" si="75"/>
        <v/>
      </c>
      <c r="AC25" s="247" t="str">
        <f t="shared" si="75"/>
        <v/>
      </c>
      <c r="AD25" s="247" t="str">
        <f t="shared" si="75"/>
        <v/>
      </c>
      <c r="AE25" s="247" t="str">
        <f t="shared" si="75"/>
        <v/>
      </c>
      <c r="AF25" s="247" t="str">
        <f t="shared" si="75"/>
        <v/>
      </c>
      <c r="AG25" s="247" t="str">
        <f t="shared" si="75"/>
        <v/>
      </c>
      <c r="AH25" s="247" t="str">
        <f t="shared" si="75"/>
        <v/>
      </c>
      <c r="AI25" s="247" t="str">
        <f t="shared" si="75"/>
        <v/>
      </c>
      <c r="AK25" s="247" t="str">
        <f t="shared" si="30"/>
        <v/>
      </c>
      <c r="AL25" s="247" t="str">
        <f t="shared" si="31"/>
        <v/>
      </c>
      <c r="AM25" s="247" t="str">
        <f t="shared" si="32"/>
        <v/>
      </c>
      <c r="AN25" s="247" t="str">
        <f t="shared" si="33"/>
        <v/>
      </c>
      <c r="AO25" s="247" t="str">
        <f t="shared" si="34"/>
        <v/>
      </c>
      <c r="AP25" s="247" t="str">
        <f t="shared" si="35"/>
        <v/>
      </c>
      <c r="AQ25" s="247" t="str">
        <f t="shared" si="36"/>
        <v/>
      </c>
      <c r="AR25" s="247" t="str">
        <f t="shared" si="37"/>
        <v/>
      </c>
      <c r="AS25" s="247" t="str">
        <f t="shared" si="38"/>
        <v/>
      </c>
      <c r="AT25" s="247" t="str">
        <f t="shared" si="39"/>
        <v/>
      </c>
      <c r="AV25" t="str">
        <f>IF(ISBLANK('Field information 1'!F26),"",'Field information 1'!F26)</f>
        <v/>
      </c>
      <c r="AX25" s="247" t="str" cm="1">
        <f t="array" aca="1" ref="AX25" ca="1">INDIRECT(TEXT(MIN(IF((Calc!$Z$5:$AI$104&lt;&gt;"")*(COUNTIF($AX$4:AX24,Calc!$Z$5:$AI$104)=0),ROW(Calc!$Z$5:$AI$104)*100+COLUMN(Calc!$Z$5:$AI$104),7^8)),"Calc!R0C00"),)&amp;""</f>
        <v/>
      </c>
      <c r="AY25" t="str" cm="1">
        <f t="array" aca="1" ref="AY25" ca="1">INDIRECT(TEXT(MIN(IF((Calc!$AK$5:$AT$104&lt;&gt;"")*(COUNTIF(AY$4:$AY24,Calc!$AK$5:$AT$104)=0),ROW(Calc!$AK$5:$AT$104)*100+COLUMN(Calc!$AK$5:$AT$104),7^8)),"Calc!R0C00"),)&amp;""</f>
        <v/>
      </c>
      <c r="AZ25" s="247" t="str">
        <f t="shared" ca="1" si="40"/>
        <v/>
      </c>
      <c r="BA25" s="324">
        <f t="shared" si="47"/>
        <v>21</v>
      </c>
      <c r="BB25">
        <f t="shared" ca="1" si="41"/>
        <v>0</v>
      </c>
      <c r="BC25" t="str">
        <f ca="1">IF($AX25="","",
VLOOKUP(LEFT($AX25,LEN($AX25)-2),'Field information 2'!$B$12:$P$111,11,FALSE))</f>
        <v/>
      </c>
      <c r="BD25" t="str">
        <f ca="1">IF($AX25="","",
VLOOKUP(LEFT($AX25,LEN($AX25)-2),'Field information 2'!$B$12:$P$111,13,FALSE))</f>
        <v/>
      </c>
      <c r="BE25" t="str">
        <f ca="1">IF($AX25="","",
VLOOKUP(LEFT($AX25,LEN($AX25)-2),'Field information 2'!$B$12:$P$111,15,FALSE))</f>
        <v/>
      </c>
      <c r="BF25">
        <f t="shared" ca="1" si="42"/>
        <v>0</v>
      </c>
      <c r="BG25" t="str">
        <f t="shared" ca="1" si="43"/>
        <v/>
      </c>
      <c r="BH25" s="7" t="str">
        <f ca="1">IF(OR(AX25="",'Soil results'!$D$7="",'Soil results'!$D$8=""),"",
IF('Soil results'!$D$7="LOI",
  IF('Soil results'!$D$8="mg/kg",'Soil results'!D30/10000,'Soil results'!D30),
IF('Soil results'!$D$7="Dumas",
  IF('Soil results'!$D$8="mg/kg",'Soil results'!D30*1.72/10000,'Soil results'!D30*1.72))))</f>
        <v/>
      </c>
      <c r="BI25" t="str">
        <f ca="1">IF($AX25="","",
VLOOKUP(LEFT($AX25,LEN($AX25)-2),'Field information 2'!$B$12:$I$111,8,FALSE))</f>
        <v/>
      </c>
      <c r="BJ25" t="str">
        <f ca="1">IF(BI25="","",
VLOOKUP(BI25,'Fertiliser recommendations'!$A$5:$B$62,2,FALSE))</f>
        <v/>
      </c>
      <c r="BK25" s="38" t="str">
        <f ca="1">IF($AX25="","",
IF(AND(BJ25="g",VLOOKUP(LEFT($AX25,LEN($AX25)-2),'Field information 2'!$B$12:$P$111,9,FALSE)&lt;&gt;"yes"),
IF(BG25="10-25% OM",6,IF(BG25="&gt;25% OM",12,IF(BG25="SCL; CL; ZCL; SC; ZC; C",6,IF(BG25="SL; SZL; ZL",5,IF(BG25="S; LS",4,"?"))))),
IF(OR(BJ25="a",AND(BJ25="g",VLOOKUP(LEFT($AX25,LEN($AX25)-2),'Field information 2'!$B$12:$P$111,9,FALSE)="yes")),
IF(BG25="10-25% OM",8,IF(BG25="&gt;25% OM",16,IF(BG25="SCL; CL; ZCL; SC; ZC; C",8,IF(BG25="SL; SZL; ZL",7,IF(BG25="S; LS",6,"?"))))),"")))</f>
        <v/>
      </c>
      <c r="BL25" t="str">
        <f ca="1">IF(AX25&lt;&gt;"",COUNTBLANK('Soil results'!D30:D30)+COUNTBLANK('Soil results'!F30:I30)+COUNTBLANK('Soil results'!K30:Q30),"")</f>
        <v/>
      </c>
      <c r="BM25" t="str">
        <f ca="1">IF(AX25&lt;&gt;"",
IF(OR(ISNUMBER(SEARCH("10*01*01",'Field information 2'!$M$5)),ISNUMBER(SEARCH("10*01*03",'Field information 2'!$M$5))),0.25,1),"")</f>
        <v/>
      </c>
      <c r="BN25" s="275" t="str">
        <f ca="1">IF(AX25&lt;&gt;"",
IF(COUNTIF('Soil results'!G31:G$159,"="&amp;'Soil results'!G30)+COUNTIF('Soil results'!H31:H$159,"="&amp;'Soil results'!H30)+COUNTIF('Soil results'!I31:I$159,"="&amp;'Soil results'!I30)=0,"no",
IF(MOD(COUNTIF('Soil results'!G31:G$159,"="&amp;'Soil results'!G30)+COUNTIF('Soil results'!H31:H$159,"="&amp;'Soil results'!H30)+COUNTIF('Soil results'!I31:I$159,"="&amp;'Soil results'!I30),3)=0,"yes","no")),"")</f>
        <v/>
      </c>
      <c r="BO25" s="276" t="str">
        <f t="shared" ca="1" si="44"/>
        <v/>
      </c>
      <c r="BP25" s="33"/>
      <c r="BQ25" s="276"/>
      <c r="BR25" s="276"/>
      <c r="BS25" s="276" t="str">
        <f t="shared" ca="1" si="45"/>
        <v/>
      </c>
      <c r="BT25" s="153" t="str">
        <f ca="1">IF(AX25="","",
IF(OR(Assessment!F27="limited benefit",Assessment!F27="benefit", Assessment!M27="limited benefit",Assessment!M27="benefit", Assessment!R27="limited benefit",Assessment!R27="benefit", Assessment!W27="limited benefit",Assessment!W27="benefit", Assessment!AB27="limited benefit",Assessment!AB27="benefit", AND(ISNUMBER(Assessment!AF27),Assessment!AG27="ok"), Assessment!AJ27="benefit"),"yes","no"))</f>
        <v/>
      </c>
      <c r="BV25" t="s">
        <v>242</v>
      </c>
      <c r="BW25" t="s">
        <v>344</v>
      </c>
    </row>
    <row r="26" spans="1:75" x14ac:dyDescent="0.35">
      <c r="A26" s="272">
        <f>IF(AND('Field information 2'!L33&gt;0, 'Field information 2'!M33=0),"data missing", 'Field information 2'!M33-'Field information 2'!L33)</f>
        <v>0</v>
      </c>
      <c r="B26" s="272">
        <f>IF(AND('Field information 2'!N33&gt;0,'Field information 2'!O33=0),"data missing",'Field information 2'!O33-'Field information 2'!N33)</f>
        <v>0</v>
      </c>
      <c r="C26" s="272">
        <f>IF(AND('Field information 2'!P33&gt;0, 'Field information 2'!Q33=0),"data missing",'Field information 2'!Q33-'Field information 2'!P33)</f>
        <v>0</v>
      </c>
      <c r="D26">
        <f>'Field information 2'!L33</f>
        <v>0</v>
      </c>
      <c r="E26" s="249" t="str">
        <f>IF(OR('Field information 2'!L33&gt;0,'Field information 2'!N33&gt;0,'Field information 2'!P33&gt;0),"Y","N")</f>
        <v>N</v>
      </c>
      <c r="F26" s="277" t="str">
        <f t="shared" si="12"/>
        <v/>
      </c>
      <c r="G26" t="str">
        <f>IF(OR(ISBLANK('Field information 1'!B27),AND(OR(ISBLANK('Field information 2'!L33), 'Field information 2'!L33=0),OR(ISBLANK('Field information 2'!N33), 'Field information 2'!N33=0), OR(ISBLANK('Field information 2'!P33), 'Field information 2'!P33=0))),"",
IF(ISTEXT('Field information 1'!B27), 'Field information 1'!B27, TEXT('Field information 1'!B27,"0")))</f>
        <v/>
      </c>
      <c r="H26" t="str">
        <f>IF(OR(ISBLANK('Field information 1'!B27),ISBLANK('Field information 2'!L33),ISBLANK('Field information 2'!F33)),"",'Field information 2'!F33)</f>
        <v/>
      </c>
      <c r="I26" s="91" t="str">
        <f>IF(OR(ISBLANK('Field information 1'!E27),G26=""),"",CEILING('Field information 1'!E27/10,1))</f>
        <v/>
      </c>
      <c r="J26" s="91" t="str">
        <f t="shared" si="13"/>
        <v>no</v>
      </c>
      <c r="K26" s="135" t="str">
        <f t="shared" ca="1" si="54"/>
        <v/>
      </c>
      <c r="L26" s="135" t="str">
        <f t="shared" ca="1" si="55"/>
        <v/>
      </c>
      <c r="M26" s="135" t="str">
        <f t="shared" ca="1" si="56"/>
        <v/>
      </c>
      <c r="N26" s="135" t="str">
        <f t="shared" ca="1" si="57"/>
        <v/>
      </c>
      <c r="O26" s="135" t="str">
        <f t="shared" ca="1" si="58"/>
        <v/>
      </c>
      <c r="P26" s="135" t="str">
        <f t="shared" ca="1" si="59"/>
        <v/>
      </c>
      <c r="Q26" s="135" t="str">
        <f t="shared" ca="1" si="60"/>
        <v/>
      </c>
      <c r="R26" s="135" t="str">
        <f t="shared" ca="1" si="61"/>
        <v/>
      </c>
      <c r="S26" s="135" t="str">
        <f t="shared" ca="1" si="62"/>
        <v/>
      </c>
      <c r="T26" s="135" t="str">
        <f t="shared" ca="1" si="63"/>
        <v/>
      </c>
      <c r="U26" s="49" t="str">
        <f t="shared" ca="1" si="24"/>
        <v/>
      </c>
      <c r="V26" s="7" t="str">
        <f t="shared" ca="1" si="25"/>
        <v/>
      </c>
      <c r="W26" s="7" t="str">
        <f t="shared" ca="1" si="26"/>
        <v/>
      </c>
      <c r="X26" s="7" t="str">
        <f t="shared" ca="1" si="27"/>
        <v/>
      </c>
      <c r="Y26" s="91"/>
      <c r="Z26" s="247" t="str">
        <f t="shared" si="28"/>
        <v/>
      </c>
      <c r="AA26" s="247" t="str">
        <f t="shared" ref="AA26:AI26" si="76">IF(AND(AA$4&lt;=$I26,$G26&lt;&gt;"",Z26&lt;&gt;""),$G26&amp;" "&amp;AA$3, "")</f>
        <v/>
      </c>
      <c r="AB26" s="247" t="str">
        <f t="shared" si="76"/>
        <v/>
      </c>
      <c r="AC26" s="247" t="str">
        <f t="shared" si="76"/>
        <v/>
      </c>
      <c r="AD26" s="247" t="str">
        <f t="shared" si="76"/>
        <v/>
      </c>
      <c r="AE26" s="247" t="str">
        <f t="shared" si="76"/>
        <v/>
      </c>
      <c r="AF26" s="247" t="str">
        <f t="shared" si="76"/>
        <v/>
      </c>
      <c r="AG26" s="247" t="str">
        <f t="shared" si="76"/>
        <v/>
      </c>
      <c r="AH26" s="247" t="str">
        <f t="shared" si="76"/>
        <v/>
      </c>
      <c r="AI26" s="247" t="str">
        <f t="shared" si="76"/>
        <v/>
      </c>
      <c r="AK26" s="247" t="str">
        <f t="shared" si="30"/>
        <v/>
      </c>
      <c r="AL26" s="247" t="str">
        <f t="shared" si="31"/>
        <v/>
      </c>
      <c r="AM26" s="247" t="str">
        <f t="shared" si="32"/>
        <v/>
      </c>
      <c r="AN26" s="247" t="str">
        <f t="shared" si="33"/>
        <v/>
      </c>
      <c r="AO26" s="247" t="str">
        <f t="shared" si="34"/>
        <v/>
      </c>
      <c r="AP26" s="247" t="str">
        <f t="shared" si="35"/>
        <v/>
      </c>
      <c r="AQ26" s="247" t="str">
        <f t="shared" si="36"/>
        <v/>
      </c>
      <c r="AR26" s="247" t="str">
        <f t="shared" si="37"/>
        <v/>
      </c>
      <c r="AS26" s="247" t="str">
        <f t="shared" si="38"/>
        <v/>
      </c>
      <c r="AT26" s="247" t="str">
        <f t="shared" si="39"/>
        <v/>
      </c>
      <c r="AV26" t="str">
        <f>IF(ISBLANK('Field information 1'!F27),"",'Field information 1'!F27)</f>
        <v/>
      </c>
      <c r="AX26" s="247" t="str" cm="1">
        <f t="array" aca="1" ref="AX26" ca="1">INDIRECT(TEXT(MIN(IF((Calc!$Z$5:$AI$104&lt;&gt;"")*(COUNTIF($AX$4:AX25,Calc!$Z$5:$AI$104)=0),ROW(Calc!$Z$5:$AI$104)*100+COLUMN(Calc!$Z$5:$AI$104),7^8)),"Calc!R0C00"),)&amp;""</f>
        <v/>
      </c>
      <c r="AY26" t="str" cm="1">
        <f t="array" aca="1" ref="AY26" ca="1">INDIRECT(TEXT(MIN(IF((Calc!$AK$5:$AT$104&lt;&gt;"")*(COUNTIF(AY$4:$AY25,Calc!$AK$5:$AT$104)=0),ROW(Calc!$AK$5:$AT$104)*100+COLUMN(Calc!$AK$5:$AT$104),7^8)),"Calc!R0C00"),)&amp;""</f>
        <v/>
      </c>
      <c r="AZ26" s="247" t="str">
        <f t="shared" ca="1" si="40"/>
        <v/>
      </c>
      <c r="BA26" s="324">
        <f t="shared" si="47"/>
        <v>22</v>
      </c>
      <c r="BB26">
        <f t="shared" ca="1" si="41"/>
        <v>0</v>
      </c>
      <c r="BC26" t="str">
        <f ca="1">IF($AX26="","",
VLOOKUP(LEFT($AX26,LEN($AX26)-2),'Field information 2'!$B$12:$P$111,11,FALSE))</f>
        <v/>
      </c>
      <c r="BD26" t="str">
        <f ca="1">IF($AX26="","",
VLOOKUP(LEFT($AX26,LEN($AX26)-2),'Field information 2'!$B$12:$P$111,13,FALSE))</f>
        <v/>
      </c>
      <c r="BE26" t="str">
        <f ca="1">IF($AX26="","",
VLOOKUP(LEFT($AX26,LEN($AX26)-2),'Field information 2'!$B$12:$P$111,15,FALSE))</f>
        <v/>
      </c>
      <c r="BF26">
        <f t="shared" ca="1" si="42"/>
        <v>0</v>
      </c>
      <c r="BG26" t="str">
        <f t="shared" ca="1" si="43"/>
        <v/>
      </c>
      <c r="BH26" s="7" t="str">
        <f ca="1">IF(OR(AX26="",'Soil results'!$D$7="",'Soil results'!$D$8=""),"",
IF('Soil results'!$D$7="LOI",
  IF('Soil results'!$D$8="mg/kg",'Soil results'!D31/10000,'Soil results'!D31),
IF('Soil results'!$D$7="Dumas",
  IF('Soil results'!$D$8="mg/kg",'Soil results'!D31*1.72/10000,'Soil results'!D31*1.72))))</f>
        <v/>
      </c>
      <c r="BI26" t="str">
        <f ca="1">IF($AX26="","",
VLOOKUP(LEFT($AX26,LEN($AX26)-2),'Field information 2'!$B$12:$I$111,8,FALSE))</f>
        <v/>
      </c>
      <c r="BJ26" t="str">
        <f ca="1">IF(BI26="","",
VLOOKUP(BI26,'Fertiliser recommendations'!$A$5:$B$62,2,FALSE))</f>
        <v/>
      </c>
      <c r="BK26" s="38" t="str">
        <f ca="1">IF($AX26="","",
IF(AND(BJ26="g",VLOOKUP(LEFT($AX26,LEN($AX26)-2),'Field information 2'!$B$12:$P$111,9,FALSE)&lt;&gt;"yes"),
IF(BG26="10-25% OM",6,IF(BG26="&gt;25% OM",12,IF(BG26="SCL; CL; ZCL; SC; ZC; C",6,IF(BG26="SL; SZL; ZL",5,IF(BG26="S; LS",4,"?"))))),
IF(OR(BJ26="a",AND(BJ26="g",VLOOKUP(LEFT($AX26,LEN($AX26)-2),'Field information 2'!$B$12:$P$111,9,FALSE)="yes")),
IF(BG26="10-25% OM",8,IF(BG26="&gt;25% OM",16,IF(BG26="SCL; CL; ZCL; SC; ZC; C",8,IF(BG26="SL; SZL; ZL",7,IF(BG26="S; LS",6,"?"))))),"")))</f>
        <v/>
      </c>
      <c r="BL26" t="str">
        <f ca="1">IF(AX26&lt;&gt;"",COUNTBLANK('Soil results'!D31:D31)+COUNTBLANK('Soil results'!F31:I31)+COUNTBLANK('Soil results'!K31:Q31),"")</f>
        <v/>
      </c>
      <c r="BM26" t="str">
        <f ca="1">IF(AX26&lt;&gt;"",
IF(OR(ISNUMBER(SEARCH("10*01*01",'Field information 2'!$M$5)),ISNUMBER(SEARCH("10*01*03",'Field information 2'!$M$5))),0.25,1),"")</f>
        <v/>
      </c>
      <c r="BN26" s="275" t="str">
        <f ca="1">IF(AX26&lt;&gt;"",
IF(COUNTIF('Soil results'!G32:G$159,"="&amp;'Soil results'!G31)+COUNTIF('Soil results'!H32:H$159,"="&amp;'Soil results'!H31)+COUNTIF('Soil results'!I32:I$159,"="&amp;'Soil results'!I31)=0,"no",
IF(MOD(COUNTIF('Soil results'!G32:G$159,"="&amp;'Soil results'!G31)+COUNTIF('Soil results'!H32:H$159,"="&amp;'Soil results'!H31)+COUNTIF('Soil results'!I32:I$159,"="&amp;'Soil results'!I31),3)=0,"yes","no")),"")</f>
        <v/>
      </c>
      <c r="BO26" s="276" t="str">
        <f t="shared" ca="1" si="44"/>
        <v/>
      </c>
      <c r="BP26" s="33"/>
      <c r="BQ26" s="276"/>
      <c r="BR26" s="276"/>
      <c r="BS26" s="276" t="str">
        <f t="shared" ca="1" si="45"/>
        <v/>
      </c>
      <c r="BT26" s="153" t="str">
        <f ca="1">IF(AX26="","",
IF(OR(Assessment!F28="limited benefit",Assessment!F28="benefit", Assessment!M28="limited benefit",Assessment!M28="benefit", Assessment!R28="limited benefit",Assessment!R28="benefit", Assessment!W28="limited benefit",Assessment!W28="benefit", Assessment!AB28="limited benefit",Assessment!AB28="benefit", AND(ISNUMBER(Assessment!AF28),Assessment!AG28="ok"), Assessment!AJ28="benefit"),"yes","no"))</f>
        <v/>
      </c>
    </row>
    <row r="27" spans="1:75" x14ac:dyDescent="0.35">
      <c r="A27" s="272">
        <f>IF(AND('Field information 2'!L34&gt;0, 'Field information 2'!M34=0),"data missing", 'Field information 2'!M34-'Field information 2'!L34)</f>
        <v>0</v>
      </c>
      <c r="B27" s="272">
        <f>IF(AND('Field information 2'!N34&gt;0,'Field information 2'!O34=0),"data missing",'Field information 2'!O34-'Field information 2'!N34)</f>
        <v>0</v>
      </c>
      <c r="C27" s="272">
        <f>IF(AND('Field information 2'!P34&gt;0, 'Field information 2'!Q34=0),"data missing",'Field information 2'!Q34-'Field information 2'!P34)</f>
        <v>0</v>
      </c>
      <c r="D27">
        <f>'Field information 2'!L34</f>
        <v>0</v>
      </c>
      <c r="E27" s="249" t="str">
        <f>IF(OR('Field information 2'!L34&gt;0,'Field information 2'!N34&gt;0,'Field information 2'!P34&gt;0),"Y","N")</f>
        <v>N</v>
      </c>
      <c r="F27" s="277" t="str">
        <f t="shared" si="12"/>
        <v/>
      </c>
      <c r="G27" t="str">
        <f>IF(OR(ISBLANK('Field information 1'!B28),AND(OR(ISBLANK('Field information 2'!L34), 'Field information 2'!L34=0),OR(ISBLANK('Field information 2'!N34), 'Field information 2'!N34=0), OR(ISBLANK('Field information 2'!P34), 'Field information 2'!P34=0))),"",
IF(ISTEXT('Field information 1'!B28), 'Field information 1'!B28, TEXT('Field information 1'!B28,"0")))</f>
        <v/>
      </c>
      <c r="H27" t="str">
        <f>IF(OR(ISBLANK('Field information 1'!B28),ISBLANK('Field information 2'!L34),ISBLANK('Field information 2'!F34)),"",'Field information 2'!F34)</f>
        <v/>
      </c>
      <c r="I27" s="91" t="str">
        <f>IF(OR(ISBLANK('Field information 1'!E28),G27=""),"",CEILING('Field information 1'!E28/10,1))</f>
        <v/>
      </c>
      <c r="J27" s="91" t="str">
        <f t="shared" si="13"/>
        <v>no</v>
      </c>
      <c r="K27" s="135" t="str">
        <f t="shared" ca="1" si="54"/>
        <v/>
      </c>
      <c r="L27" s="135" t="str">
        <f t="shared" ca="1" si="55"/>
        <v/>
      </c>
      <c r="M27" s="135" t="str">
        <f t="shared" ca="1" si="56"/>
        <v/>
      </c>
      <c r="N27" s="135" t="str">
        <f t="shared" ca="1" si="57"/>
        <v/>
      </c>
      <c r="O27" s="135" t="str">
        <f t="shared" ca="1" si="58"/>
        <v/>
      </c>
      <c r="P27" s="135" t="str">
        <f t="shared" ca="1" si="59"/>
        <v/>
      </c>
      <c r="Q27" s="135" t="str">
        <f t="shared" ca="1" si="60"/>
        <v/>
      </c>
      <c r="R27" s="135" t="str">
        <f t="shared" ca="1" si="61"/>
        <v/>
      </c>
      <c r="S27" s="135" t="str">
        <f t="shared" ca="1" si="62"/>
        <v/>
      </c>
      <c r="T27" s="135" t="str">
        <f t="shared" ca="1" si="63"/>
        <v/>
      </c>
      <c r="U27" s="49" t="str">
        <f t="shared" ca="1" si="24"/>
        <v/>
      </c>
      <c r="V27" s="7" t="str">
        <f t="shared" ca="1" si="25"/>
        <v/>
      </c>
      <c r="W27" s="7" t="str">
        <f t="shared" ca="1" si="26"/>
        <v/>
      </c>
      <c r="X27" s="7" t="str">
        <f t="shared" ca="1" si="27"/>
        <v/>
      </c>
      <c r="Y27" s="91"/>
      <c r="Z27" s="247" t="str">
        <f t="shared" si="28"/>
        <v/>
      </c>
      <c r="AA27" s="247" t="str">
        <f t="shared" ref="AA27:AI27" si="77">IF(AND(AA$4&lt;=$I27,$G27&lt;&gt;"",Z27&lt;&gt;""),$G27&amp;" "&amp;AA$3, "")</f>
        <v/>
      </c>
      <c r="AB27" s="247" t="str">
        <f t="shared" si="77"/>
        <v/>
      </c>
      <c r="AC27" s="247" t="str">
        <f t="shared" si="77"/>
        <v/>
      </c>
      <c r="AD27" s="247" t="str">
        <f t="shared" si="77"/>
        <v/>
      </c>
      <c r="AE27" s="247" t="str">
        <f t="shared" si="77"/>
        <v/>
      </c>
      <c r="AF27" s="247" t="str">
        <f t="shared" si="77"/>
        <v/>
      </c>
      <c r="AG27" s="247" t="str">
        <f t="shared" si="77"/>
        <v/>
      </c>
      <c r="AH27" s="247" t="str">
        <f t="shared" si="77"/>
        <v/>
      </c>
      <c r="AI27" s="247" t="str">
        <f t="shared" si="77"/>
        <v/>
      </c>
      <c r="AK27" s="247" t="str">
        <f t="shared" si="30"/>
        <v/>
      </c>
      <c r="AL27" s="247" t="str">
        <f t="shared" si="31"/>
        <v/>
      </c>
      <c r="AM27" s="247" t="str">
        <f t="shared" si="32"/>
        <v/>
      </c>
      <c r="AN27" s="247" t="str">
        <f t="shared" si="33"/>
        <v/>
      </c>
      <c r="AO27" s="247" t="str">
        <f t="shared" si="34"/>
        <v/>
      </c>
      <c r="AP27" s="247" t="str">
        <f t="shared" si="35"/>
        <v/>
      </c>
      <c r="AQ27" s="247" t="str">
        <f t="shared" si="36"/>
        <v/>
      </c>
      <c r="AR27" s="247" t="str">
        <f t="shared" si="37"/>
        <v/>
      </c>
      <c r="AS27" s="247" t="str">
        <f t="shared" si="38"/>
        <v/>
      </c>
      <c r="AT27" s="247" t="str">
        <f t="shared" si="39"/>
        <v/>
      </c>
      <c r="AV27" t="str">
        <f>IF(ISBLANK('Field information 1'!F28),"",'Field information 1'!F28)</f>
        <v/>
      </c>
      <c r="AX27" s="247" t="str" cm="1">
        <f t="array" aca="1" ref="AX27" ca="1">INDIRECT(TEXT(MIN(IF((Calc!$Z$5:$AI$104&lt;&gt;"")*(COUNTIF($AX$4:AX26,Calc!$Z$5:$AI$104)=0),ROW(Calc!$Z$5:$AI$104)*100+COLUMN(Calc!$Z$5:$AI$104),7^8)),"Calc!R0C00"),)&amp;""</f>
        <v/>
      </c>
      <c r="AY27" t="str" cm="1">
        <f t="array" aca="1" ref="AY27" ca="1">INDIRECT(TEXT(MIN(IF((Calc!$AK$5:$AT$104&lt;&gt;"")*(COUNTIF(AY$4:$AY26,Calc!$AK$5:$AT$104)=0),ROW(Calc!$AK$5:$AT$104)*100+COLUMN(Calc!$AK$5:$AT$104),7^8)),"Calc!R0C00"),)&amp;""</f>
        <v/>
      </c>
      <c r="AZ27" s="247" t="str">
        <f t="shared" ca="1" si="40"/>
        <v/>
      </c>
      <c r="BA27" s="324">
        <f t="shared" si="47"/>
        <v>23</v>
      </c>
      <c r="BB27">
        <f t="shared" ca="1" si="41"/>
        <v>0</v>
      </c>
      <c r="BC27" t="str">
        <f ca="1">IF($AX27="","",
VLOOKUP(LEFT($AX27,LEN($AX27)-2),'Field information 2'!$B$12:$P$111,11,FALSE))</f>
        <v/>
      </c>
      <c r="BD27" t="str">
        <f ca="1">IF($AX27="","",
VLOOKUP(LEFT($AX27,LEN($AX27)-2),'Field information 2'!$B$12:$P$111,13,FALSE))</f>
        <v/>
      </c>
      <c r="BE27" t="str">
        <f ca="1">IF($AX27="","",
VLOOKUP(LEFT($AX27,LEN($AX27)-2),'Field information 2'!$B$12:$P$111,15,FALSE))</f>
        <v/>
      </c>
      <c r="BF27">
        <f t="shared" ca="1" si="42"/>
        <v>0</v>
      </c>
      <c r="BG27" t="str">
        <f t="shared" ca="1" si="43"/>
        <v/>
      </c>
      <c r="BH27" s="7" t="str">
        <f ca="1">IF(OR(AX27="",'Soil results'!$D$7="",'Soil results'!$D$8=""),"",
IF('Soil results'!$D$7="LOI",
  IF('Soil results'!$D$8="mg/kg",'Soil results'!D32/10000,'Soil results'!D32),
IF('Soil results'!$D$7="Dumas",
  IF('Soil results'!$D$8="mg/kg",'Soil results'!D32*1.72/10000,'Soil results'!D32*1.72))))</f>
        <v/>
      </c>
      <c r="BI27" t="str">
        <f ca="1">IF($AX27="","",
VLOOKUP(LEFT($AX27,LEN($AX27)-2),'Field information 2'!$B$12:$I$111,8,FALSE))</f>
        <v/>
      </c>
      <c r="BJ27" t="str">
        <f ca="1">IF(BI27="","",
VLOOKUP(BI27,'Fertiliser recommendations'!$A$5:$B$62,2,FALSE))</f>
        <v/>
      </c>
      <c r="BK27" s="38" t="str">
        <f ca="1">IF($AX27="","",
IF(AND(BJ27="g",VLOOKUP(LEFT($AX27,LEN($AX27)-2),'Field information 2'!$B$12:$P$111,9,FALSE)&lt;&gt;"yes"),
IF(BG27="10-25% OM",6,IF(BG27="&gt;25% OM",12,IF(BG27="SCL; CL; ZCL; SC; ZC; C",6,IF(BG27="SL; SZL; ZL",5,IF(BG27="S; LS",4,"?"))))),
IF(OR(BJ27="a",AND(BJ27="g",VLOOKUP(LEFT($AX27,LEN($AX27)-2),'Field information 2'!$B$12:$P$111,9,FALSE)="yes")),
IF(BG27="10-25% OM",8,IF(BG27="&gt;25% OM",16,IF(BG27="SCL; CL; ZCL; SC; ZC; C",8,IF(BG27="SL; SZL; ZL",7,IF(BG27="S; LS",6,"?"))))),"")))</f>
        <v/>
      </c>
      <c r="BL27" t="str">
        <f ca="1">IF(AX27&lt;&gt;"",COUNTBLANK('Soil results'!D32:D32)+COUNTBLANK('Soil results'!F32:I32)+COUNTBLANK('Soil results'!K32:Q32),"")</f>
        <v/>
      </c>
      <c r="BM27" t="str">
        <f ca="1">IF(AX27&lt;&gt;"",
IF(OR(ISNUMBER(SEARCH("10*01*01",'Field information 2'!$M$5)),ISNUMBER(SEARCH("10*01*03",'Field information 2'!$M$5))),0.25,1),"")</f>
        <v/>
      </c>
      <c r="BN27" s="275" t="str">
        <f ca="1">IF(AX27&lt;&gt;"",
IF(COUNTIF('Soil results'!G33:G$159,"="&amp;'Soil results'!G32)+COUNTIF('Soil results'!H33:H$159,"="&amp;'Soil results'!H32)+COUNTIF('Soil results'!I33:I$159,"="&amp;'Soil results'!I32)=0,"no",
IF(MOD(COUNTIF('Soil results'!G33:G$159,"="&amp;'Soil results'!G32)+COUNTIF('Soil results'!H33:H$159,"="&amp;'Soil results'!H32)+COUNTIF('Soil results'!I33:I$159,"="&amp;'Soil results'!I32),3)=0,"yes","no")),"")</f>
        <v/>
      </c>
      <c r="BO27" s="276" t="str">
        <f t="shared" ca="1" si="44"/>
        <v/>
      </c>
      <c r="BP27" s="33"/>
      <c r="BQ27" s="276"/>
      <c r="BR27" s="276"/>
      <c r="BS27" s="276" t="str">
        <f t="shared" ca="1" si="45"/>
        <v/>
      </c>
      <c r="BT27" s="153" t="str">
        <f ca="1">IF(AX27="","",
IF(OR(Assessment!F29="limited benefit",Assessment!F29="benefit", Assessment!M29="limited benefit",Assessment!M29="benefit", Assessment!R29="limited benefit",Assessment!R29="benefit", Assessment!W29="limited benefit",Assessment!W29="benefit", Assessment!AB29="limited benefit",Assessment!AB29="benefit", AND(ISNUMBER(Assessment!AF29),Assessment!AG29="ok"), Assessment!AJ29="benefit"),"yes","no"))</f>
        <v/>
      </c>
      <c r="BV27" t="s">
        <v>243</v>
      </c>
      <c r="BW27" t="s">
        <v>345</v>
      </c>
    </row>
    <row r="28" spans="1:75" x14ac:dyDescent="0.35">
      <c r="A28" s="272">
        <f>IF(AND('Field information 2'!L35&gt;0, 'Field information 2'!M35=0),"data missing", 'Field information 2'!M35-'Field information 2'!L35)</f>
        <v>0</v>
      </c>
      <c r="B28" s="272">
        <f>IF(AND('Field information 2'!N35&gt;0,'Field information 2'!O35=0),"data missing",'Field information 2'!O35-'Field information 2'!N35)</f>
        <v>0</v>
      </c>
      <c r="C28" s="272">
        <f>IF(AND('Field information 2'!P35&gt;0, 'Field information 2'!Q35=0),"data missing",'Field information 2'!Q35-'Field information 2'!P35)</f>
        <v>0</v>
      </c>
      <c r="D28">
        <f>'Field information 2'!L35</f>
        <v>0</v>
      </c>
      <c r="E28" s="249" t="str">
        <f>IF(OR('Field information 2'!L35&gt;0,'Field information 2'!N35&gt;0,'Field information 2'!P35&gt;0),"Y","N")</f>
        <v>N</v>
      </c>
      <c r="F28" s="277" t="str">
        <f t="shared" si="12"/>
        <v/>
      </c>
      <c r="G28" t="str">
        <f>IF(OR(ISBLANK('Field information 1'!B29),AND(OR(ISBLANK('Field information 2'!L35), 'Field information 2'!L35=0),OR(ISBLANK('Field information 2'!N35), 'Field information 2'!N35=0), OR(ISBLANK('Field information 2'!P35), 'Field information 2'!P35=0))),"",
IF(ISTEXT('Field information 1'!B29), 'Field information 1'!B29, TEXT('Field information 1'!B29,"0")))</f>
        <v/>
      </c>
      <c r="H28" t="str">
        <f>IF(OR(ISBLANK('Field information 1'!B29),ISBLANK('Field information 2'!L35),ISBLANK('Field information 2'!F35)),"",'Field information 2'!F35)</f>
        <v/>
      </c>
      <c r="I28" s="91" t="str">
        <f>IF(OR(ISBLANK('Field information 1'!E29),G28=""),"",CEILING('Field information 1'!E29/10,1))</f>
        <v/>
      </c>
      <c r="J28" s="91" t="str">
        <f t="shared" si="13"/>
        <v>no</v>
      </c>
      <c r="K28" s="135" t="str">
        <f t="shared" ca="1" si="54"/>
        <v/>
      </c>
      <c r="L28" s="135" t="str">
        <f t="shared" ca="1" si="55"/>
        <v/>
      </c>
      <c r="M28" s="135" t="str">
        <f t="shared" ca="1" si="56"/>
        <v/>
      </c>
      <c r="N28" s="135" t="str">
        <f t="shared" ca="1" si="57"/>
        <v/>
      </c>
      <c r="O28" s="135" t="str">
        <f t="shared" ca="1" si="58"/>
        <v/>
      </c>
      <c r="P28" s="135" t="str">
        <f t="shared" ca="1" si="59"/>
        <v/>
      </c>
      <c r="Q28" s="135" t="str">
        <f t="shared" ca="1" si="60"/>
        <v/>
      </c>
      <c r="R28" s="135" t="str">
        <f t="shared" ca="1" si="61"/>
        <v/>
      </c>
      <c r="S28" s="135" t="str">
        <f t="shared" ca="1" si="62"/>
        <v/>
      </c>
      <c r="T28" s="135" t="str">
        <f t="shared" ca="1" si="63"/>
        <v/>
      </c>
      <c r="U28" s="49" t="str">
        <f t="shared" ca="1" si="24"/>
        <v/>
      </c>
      <c r="V28" s="7" t="str">
        <f t="shared" ca="1" si="25"/>
        <v/>
      </c>
      <c r="W28" s="7" t="str">
        <f t="shared" ca="1" si="26"/>
        <v/>
      </c>
      <c r="X28" s="7" t="str">
        <f t="shared" ca="1" si="27"/>
        <v/>
      </c>
      <c r="Y28" s="91"/>
      <c r="Z28" s="247" t="str">
        <f t="shared" si="28"/>
        <v/>
      </c>
      <c r="AA28" s="247" t="str">
        <f t="shared" ref="AA28:AI28" si="78">IF(AND(AA$4&lt;=$I28,$G28&lt;&gt;"",Z28&lt;&gt;""),$G28&amp;" "&amp;AA$3, "")</f>
        <v/>
      </c>
      <c r="AB28" s="247" t="str">
        <f t="shared" si="78"/>
        <v/>
      </c>
      <c r="AC28" s="247" t="str">
        <f t="shared" si="78"/>
        <v/>
      </c>
      <c r="AD28" s="247" t="str">
        <f t="shared" si="78"/>
        <v/>
      </c>
      <c r="AE28" s="247" t="str">
        <f t="shared" si="78"/>
        <v/>
      </c>
      <c r="AF28" s="247" t="str">
        <f t="shared" si="78"/>
        <v/>
      </c>
      <c r="AG28" s="247" t="str">
        <f t="shared" si="78"/>
        <v/>
      </c>
      <c r="AH28" s="247" t="str">
        <f t="shared" si="78"/>
        <v/>
      </c>
      <c r="AI28" s="247" t="str">
        <f t="shared" si="78"/>
        <v/>
      </c>
      <c r="AK28" s="247" t="str">
        <f t="shared" si="30"/>
        <v/>
      </c>
      <c r="AL28" s="247" t="str">
        <f t="shared" si="31"/>
        <v/>
      </c>
      <c r="AM28" s="247" t="str">
        <f t="shared" si="32"/>
        <v/>
      </c>
      <c r="AN28" s="247" t="str">
        <f t="shared" si="33"/>
        <v/>
      </c>
      <c r="AO28" s="247" t="str">
        <f t="shared" si="34"/>
        <v/>
      </c>
      <c r="AP28" s="247" t="str">
        <f t="shared" si="35"/>
        <v/>
      </c>
      <c r="AQ28" s="247" t="str">
        <f t="shared" si="36"/>
        <v/>
      </c>
      <c r="AR28" s="247" t="str">
        <f t="shared" si="37"/>
        <v/>
      </c>
      <c r="AS28" s="247" t="str">
        <f t="shared" si="38"/>
        <v/>
      </c>
      <c r="AT28" s="247" t="str">
        <f t="shared" si="39"/>
        <v/>
      </c>
      <c r="AV28" t="str">
        <f>IF(ISBLANK('Field information 1'!F29),"",'Field information 1'!F29)</f>
        <v/>
      </c>
      <c r="AX28" s="247" t="str" cm="1">
        <f t="array" aca="1" ref="AX28" ca="1">INDIRECT(TEXT(MIN(IF((Calc!$Z$5:$AI$104&lt;&gt;"")*(COUNTIF($AX$4:AX27,Calc!$Z$5:$AI$104)=0),ROW(Calc!$Z$5:$AI$104)*100+COLUMN(Calc!$Z$5:$AI$104),7^8)),"Calc!R0C00"),)&amp;""</f>
        <v/>
      </c>
      <c r="AY28" t="str" cm="1">
        <f t="array" aca="1" ref="AY28" ca="1">INDIRECT(TEXT(MIN(IF((Calc!$AK$5:$AT$104&lt;&gt;"")*(COUNTIF(AY$4:$AY27,Calc!$AK$5:$AT$104)=0),ROW(Calc!$AK$5:$AT$104)*100+COLUMN(Calc!$AK$5:$AT$104),7^8)),"Calc!R0C00"),)&amp;""</f>
        <v/>
      </c>
      <c r="AZ28" s="247" t="str">
        <f t="shared" ca="1" si="40"/>
        <v/>
      </c>
      <c r="BA28" s="324">
        <f t="shared" si="47"/>
        <v>24</v>
      </c>
      <c r="BB28">
        <f t="shared" ca="1" si="41"/>
        <v>0</v>
      </c>
      <c r="BC28" t="str">
        <f ca="1">IF($AX28="","",
VLOOKUP(LEFT($AX28,LEN($AX28)-2),'Field information 2'!$B$12:$P$111,11,FALSE))</f>
        <v/>
      </c>
      <c r="BD28" t="str">
        <f ca="1">IF($AX28="","",
VLOOKUP(LEFT($AX28,LEN($AX28)-2),'Field information 2'!$B$12:$P$111,13,FALSE))</f>
        <v/>
      </c>
      <c r="BE28" t="str">
        <f ca="1">IF($AX28="","",
VLOOKUP(LEFT($AX28,LEN($AX28)-2),'Field information 2'!$B$12:$P$111,15,FALSE))</f>
        <v/>
      </c>
      <c r="BF28">
        <f t="shared" ca="1" si="42"/>
        <v>0</v>
      </c>
      <c r="BG28" t="str">
        <f t="shared" ca="1" si="43"/>
        <v/>
      </c>
      <c r="BH28" s="7" t="str">
        <f ca="1">IF(OR(AX28="",'Soil results'!$D$7="",'Soil results'!$D$8=""),"",
IF('Soil results'!$D$7="LOI",
  IF('Soil results'!$D$8="mg/kg",'Soil results'!D33/10000,'Soil results'!D33),
IF('Soil results'!$D$7="Dumas",
  IF('Soil results'!$D$8="mg/kg",'Soil results'!D33*1.72/10000,'Soil results'!D33*1.72))))</f>
        <v/>
      </c>
      <c r="BI28" t="str">
        <f ca="1">IF($AX28="","",
VLOOKUP(LEFT($AX28,LEN($AX28)-2),'Field information 2'!$B$12:$I$111,8,FALSE))</f>
        <v/>
      </c>
      <c r="BJ28" t="str">
        <f ca="1">IF(BI28="","",
VLOOKUP(BI28,'Fertiliser recommendations'!$A$5:$B$62,2,FALSE))</f>
        <v/>
      </c>
      <c r="BK28" s="38" t="str">
        <f ca="1">IF($AX28="","",
IF(AND(BJ28="g",VLOOKUP(LEFT($AX28,LEN($AX28)-2),'Field information 2'!$B$12:$P$111,9,FALSE)&lt;&gt;"yes"),
IF(BG28="10-25% OM",6,IF(BG28="&gt;25% OM",12,IF(BG28="SCL; CL; ZCL; SC; ZC; C",6,IF(BG28="SL; SZL; ZL",5,IF(BG28="S; LS",4,"?"))))),
IF(OR(BJ28="a",AND(BJ28="g",VLOOKUP(LEFT($AX28,LEN($AX28)-2),'Field information 2'!$B$12:$P$111,9,FALSE)="yes")),
IF(BG28="10-25% OM",8,IF(BG28="&gt;25% OM",16,IF(BG28="SCL; CL; ZCL; SC; ZC; C",8,IF(BG28="SL; SZL; ZL",7,IF(BG28="S; LS",6,"?"))))),"")))</f>
        <v/>
      </c>
      <c r="BL28" t="str">
        <f ca="1">IF(AX28&lt;&gt;"",COUNTBLANK('Soil results'!D33:D33)+COUNTBLANK('Soil results'!F33:I33)+COUNTBLANK('Soil results'!K33:Q33),"")</f>
        <v/>
      </c>
      <c r="BM28" t="str">
        <f ca="1">IF(AX28&lt;&gt;"",
IF(OR(ISNUMBER(SEARCH("10*01*01",'Field information 2'!$M$5)),ISNUMBER(SEARCH("10*01*03",'Field information 2'!$M$5))),0.25,1),"")</f>
        <v/>
      </c>
      <c r="BN28" s="275" t="str">
        <f ca="1">IF(AX28&lt;&gt;"",
IF(COUNTIF('Soil results'!G34:G$159,"="&amp;'Soil results'!G33)+COUNTIF('Soil results'!H34:H$159,"="&amp;'Soil results'!H33)+COUNTIF('Soil results'!I34:I$159,"="&amp;'Soil results'!I33)=0,"no",
IF(MOD(COUNTIF('Soil results'!G34:G$159,"="&amp;'Soil results'!G33)+COUNTIF('Soil results'!H34:H$159,"="&amp;'Soil results'!H33)+COUNTIF('Soil results'!I34:I$159,"="&amp;'Soil results'!I33),3)=0,"yes","no")),"")</f>
        <v/>
      </c>
      <c r="BO28" s="276" t="str">
        <f t="shared" ca="1" si="44"/>
        <v/>
      </c>
      <c r="BP28" s="33"/>
      <c r="BQ28" s="276"/>
      <c r="BR28" s="276"/>
      <c r="BS28" s="276" t="str">
        <f t="shared" ca="1" si="45"/>
        <v/>
      </c>
      <c r="BT28" s="153" t="str">
        <f ca="1">IF(AX28="","",
IF(OR(Assessment!F30="limited benefit",Assessment!F30="benefit", Assessment!M30="limited benefit",Assessment!M30="benefit", Assessment!R30="limited benefit",Assessment!R30="benefit", Assessment!W30="limited benefit",Assessment!W30="benefit", Assessment!AB30="limited benefit",Assessment!AB30="benefit", AND(ISNUMBER(Assessment!AF30),Assessment!AG30="ok"), Assessment!AJ30="benefit"),"yes","no"))</f>
        <v/>
      </c>
      <c r="BV28" t="s">
        <v>244</v>
      </c>
      <c r="BW28" t="s">
        <v>346</v>
      </c>
    </row>
    <row r="29" spans="1:75" x14ac:dyDescent="0.35">
      <c r="A29" s="272">
        <f>IF(AND('Field information 2'!L36&gt;0, 'Field information 2'!M36=0),"data missing", 'Field information 2'!M36-'Field information 2'!L36)</f>
        <v>0</v>
      </c>
      <c r="B29" s="272">
        <f>IF(AND('Field information 2'!N36&gt;0,'Field information 2'!O36=0),"data missing",'Field information 2'!O36-'Field information 2'!N36)</f>
        <v>0</v>
      </c>
      <c r="C29" s="272">
        <f>IF(AND('Field information 2'!P36&gt;0, 'Field information 2'!Q36=0),"data missing",'Field information 2'!Q36-'Field information 2'!P36)</f>
        <v>0</v>
      </c>
      <c r="D29">
        <f>'Field information 2'!L36</f>
        <v>0</v>
      </c>
      <c r="E29" s="249" t="str">
        <f>IF(OR('Field information 2'!L36&gt;0,'Field information 2'!N36&gt;0,'Field information 2'!P36&gt;0),"Y","N")</f>
        <v>N</v>
      </c>
      <c r="F29" s="277" t="str">
        <f t="shared" si="12"/>
        <v/>
      </c>
      <c r="G29" t="str">
        <f>IF(OR(ISBLANK('Field information 1'!B30),AND(OR(ISBLANK('Field information 2'!L36), 'Field information 2'!L36=0),OR(ISBLANK('Field information 2'!N36), 'Field information 2'!N36=0), OR(ISBLANK('Field information 2'!P36), 'Field information 2'!P36=0))),"",
IF(ISTEXT('Field information 1'!B30), 'Field information 1'!B30, TEXT('Field information 1'!B30,"0")))</f>
        <v/>
      </c>
      <c r="H29" t="str">
        <f>IF(OR(ISBLANK('Field information 1'!B30),ISBLANK('Field information 2'!L36),ISBLANK('Field information 2'!F36)),"",'Field information 2'!F36)</f>
        <v/>
      </c>
      <c r="I29" s="91" t="str">
        <f>IF(OR(ISBLANK('Field information 1'!E30),G29=""),"",CEILING('Field information 1'!E30/10,1))</f>
        <v/>
      </c>
      <c r="J29" s="91" t="str">
        <f t="shared" si="13"/>
        <v>no</v>
      </c>
      <c r="K29" s="135" t="str">
        <f t="shared" ca="1" si="54"/>
        <v/>
      </c>
      <c r="L29" s="135" t="str">
        <f t="shared" ca="1" si="55"/>
        <v/>
      </c>
      <c r="M29" s="135" t="str">
        <f t="shared" ca="1" si="56"/>
        <v/>
      </c>
      <c r="N29" s="135" t="str">
        <f t="shared" ca="1" si="57"/>
        <v/>
      </c>
      <c r="O29" s="135" t="str">
        <f t="shared" ca="1" si="58"/>
        <v/>
      </c>
      <c r="P29" s="135" t="str">
        <f t="shared" ca="1" si="59"/>
        <v/>
      </c>
      <c r="Q29" s="135" t="str">
        <f t="shared" ca="1" si="60"/>
        <v/>
      </c>
      <c r="R29" s="135" t="str">
        <f t="shared" ca="1" si="61"/>
        <v/>
      </c>
      <c r="S29" s="135" t="str">
        <f t="shared" ca="1" si="62"/>
        <v/>
      </c>
      <c r="T29" s="135" t="str">
        <f t="shared" ca="1" si="63"/>
        <v/>
      </c>
      <c r="U29" s="49" t="str">
        <f t="shared" ca="1" si="24"/>
        <v/>
      </c>
      <c r="V29" s="7" t="str">
        <f t="shared" ca="1" si="25"/>
        <v/>
      </c>
      <c r="W29" s="7" t="str">
        <f t="shared" ca="1" si="26"/>
        <v/>
      </c>
      <c r="X29" s="7" t="str">
        <f t="shared" ca="1" si="27"/>
        <v/>
      </c>
      <c r="Y29" s="91"/>
      <c r="Z29" s="247" t="str">
        <f t="shared" si="28"/>
        <v/>
      </c>
      <c r="AA29" s="247" t="str">
        <f t="shared" ref="AA29:AI29" si="79">IF(AND(AA$4&lt;=$I29,$G29&lt;&gt;"",Z29&lt;&gt;""),$G29&amp;" "&amp;AA$3, "")</f>
        <v/>
      </c>
      <c r="AB29" s="247" t="str">
        <f t="shared" si="79"/>
        <v/>
      </c>
      <c r="AC29" s="247" t="str">
        <f t="shared" si="79"/>
        <v/>
      </c>
      <c r="AD29" s="247" t="str">
        <f t="shared" si="79"/>
        <v/>
      </c>
      <c r="AE29" s="247" t="str">
        <f t="shared" si="79"/>
        <v/>
      </c>
      <c r="AF29" s="247" t="str">
        <f t="shared" si="79"/>
        <v/>
      </c>
      <c r="AG29" s="247" t="str">
        <f t="shared" si="79"/>
        <v/>
      </c>
      <c r="AH29" s="247" t="str">
        <f t="shared" si="79"/>
        <v/>
      </c>
      <c r="AI29" s="247" t="str">
        <f t="shared" si="79"/>
        <v/>
      </c>
      <c r="AK29" s="247" t="str">
        <f t="shared" si="30"/>
        <v/>
      </c>
      <c r="AL29" s="247" t="str">
        <f t="shared" si="31"/>
        <v/>
      </c>
      <c r="AM29" s="247" t="str">
        <f t="shared" si="32"/>
        <v/>
      </c>
      <c r="AN29" s="247" t="str">
        <f t="shared" si="33"/>
        <v/>
      </c>
      <c r="AO29" s="247" t="str">
        <f t="shared" si="34"/>
        <v/>
      </c>
      <c r="AP29" s="247" t="str">
        <f t="shared" si="35"/>
        <v/>
      </c>
      <c r="AQ29" s="247" t="str">
        <f t="shared" si="36"/>
        <v/>
      </c>
      <c r="AR29" s="247" t="str">
        <f t="shared" si="37"/>
        <v/>
      </c>
      <c r="AS29" s="247" t="str">
        <f t="shared" si="38"/>
        <v/>
      </c>
      <c r="AT29" s="247" t="str">
        <f t="shared" si="39"/>
        <v/>
      </c>
      <c r="AV29" t="str">
        <f>IF(ISBLANK('Field information 1'!F30),"",'Field information 1'!F30)</f>
        <v/>
      </c>
      <c r="AX29" s="247" t="str" cm="1">
        <f t="array" aca="1" ref="AX29" ca="1">INDIRECT(TEXT(MIN(IF((Calc!$Z$5:$AI$104&lt;&gt;"")*(COUNTIF($AX$4:AX28,Calc!$Z$5:$AI$104)=0),ROW(Calc!$Z$5:$AI$104)*100+COLUMN(Calc!$Z$5:$AI$104),7^8)),"Calc!R0C00"),)&amp;""</f>
        <v/>
      </c>
      <c r="AY29" t="str" cm="1">
        <f t="array" aca="1" ref="AY29" ca="1">INDIRECT(TEXT(MIN(IF((Calc!$AK$5:$AT$104&lt;&gt;"")*(COUNTIF(AY$4:$AY28,Calc!$AK$5:$AT$104)=0),ROW(Calc!$AK$5:$AT$104)*100+COLUMN(Calc!$AK$5:$AT$104),7^8)),"Calc!R0C00"),)&amp;""</f>
        <v/>
      </c>
      <c r="AZ29" s="247" t="str">
        <f t="shared" ca="1" si="40"/>
        <v/>
      </c>
      <c r="BA29" s="324">
        <f t="shared" si="47"/>
        <v>25</v>
      </c>
      <c r="BB29">
        <f t="shared" ca="1" si="41"/>
        <v>0</v>
      </c>
      <c r="BC29" t="str">
        <f ca="1">IF($AX29="","",
VLOOKUP(LEFT($AX29,LEN($AX29)-2),'Field information 2'!$B$12:$P$111,11,FALSE))</f>
        <v/>
      </c>
      <c r="BD29" t="str">
        <f ca="1">IF($AX29="","",
VLOOKUP(LEFT($AX29,LEN($AX29)-2),'Field information 2'!$B$12:$P$111,13,FALSE))</f>
        <v/>
      </c>
      <c r="BE29" t="str">
        <f ca="1">IF($AX29="","",
VLOOKUP(LEFT($AX29,LEN($AX29)-2),'Field information 2'!$B$12:$P$111,15,FALSE))</f>
        <v/>
      </c>
      <c r="BF29">
        <f t="shared" ca="1" si="42"/>
        <v>0</v>
      </c>
      <c r="BG29" t="str">
        <f t="shared" ca="1" si="43"/>
        <v/>
      </c>
      <c r="BH29" s="7" t="str">
        <f ca="1">IF(OR(AX29="",'Soil results'!$D$7="",'Soil results'!$D$8=""),"",
IF('Soil results'!$D$7="LOI",
  IF('Soil results'!$D$8="mg/kg",'Soil results'!D34/10000,'Soil results'!D34),
IF('Soil results'!$D$7="Dumas",
  IF('Soil results'!$D$8="mg/kg",'Soil results'!D34*1.72/10000,'Soil results'!D34*1.72))))</f>
        <v/>
      </c>
      <c r="BI29" t="str">
        <f ca="1">IF($AX29="","",
VLOOKUP(LEFT($AX29,LEN($AX29)-2),'Field information 2'!$B$12:$I$111,8,FALSE))</f>
        <v/>
      </c>
      <c r="BJ29" t="str">
        <f ca="1">IF(BI29="","",
VLOOKUP(BI29,'Fertiliser recommendations'!$A$5:$B$62,2,FALSE))</f>
        <v/>
      </c>
      <c r="BK29" s="38" t="str">
        <f ca="1">IF($AX29="","",
IF(AND(BJ29="g",VLOOKUP(LEFT($AX29,LEN($AX29)-2),'Field information 2'!$B$12:$P$111,9,FALSE)&lt;&gt;"yes"),
IF(BG29="10-25% OM",6,IF(BG29="&gt;25% OM",12,IF(BG29="SCL; CL; ZCL; SC; ZC; C",6,IF(BG29="SL; SZL; ZL",5,IF(BG29="S; LS",4,"?"))))),
IF(OR(BJ29="a",AND(BJ29="g",VLOOKUP(LEFT($AX29,LEN($AX29)-2),'Field information 2'!$B$12:$P$111,9,FALSE)="yes")),
IF(BG29="10-25% OM",8,IF(BG29="&gt;25% OM",16,IF(BG29="SCL; CL; ZCL; SC; ZC; C",8,IF(BG29="SL; SZL; ZL",7,IF(BG29="S; LS",6,"?"))))),"")))</f>
        <v/>
      </c>
      <c r="BL29" t="str">
        <f ca="1">IF(AX29&lt;&gt;"",COUNTBLANK('Soil results'!D34:D34)+COUNTBLANK('Soil results'!F34:I34)+COUNTBLANK('Soil results'!K34:Q34),"")</f>
        <v/>
      </c>
      <c r="BM29" t="str">
        <f ca="1">IF(AX29&lt;&gt;"",
IF(OR(ISNUMBER(SEARCH("10*01*01",'Field information 2'!$M$5)),ISNUMBER(SEARCH("10*01*03",'Field information 2'!$M$5))),0.25,1),"")</f>
        <v/>
      </c>
      <c r="BN29" s="275" t="str">
        <f ca="1">IF(AX29&lt;&gt;"",
IF(COUNTIF('Soil results'!G35:G$159,"="&amp;'Soil results'!G34)+COUNTIF('Soil results'!H35:H$159,"="&amp;'Soil results'!H34)+COUNTIF('Soil results'!I35:I$159,"="&amp;'Soil results'!I34)=0,"no",
IF(MOD(COUNTIF('Soil results'!G35:G$159,"="&amp;'Soil results'!G34)+COUNTIF('Soil results'!H35:H$159,"="&amp;'Soil results'!H34)+COUNTIF('Soil results'!I35:I$159,"="&amp;'Soil results'!I34),3)=0,"yes","no")),"")</f>
        <v/>
      </c>
      <c r="BO29" s="276" t="str">
        <f t="shared" ca="1" si="44"/>
        <v/>
      </c>
      <c r="BP29" s="33"/>
      <c r="BQ29" s="276"/>
      <c r="BR29" s="276"/>
      <c r="BS29" s="276" t="str">
        <f t="shared" ca="1" si="45"/>
        <v/>
      </c>
      <c r="BT29" s="153" t="str">
        <f ca="1">IF(AX29="","",
IF(OR(Assessment!F31="limited benefit",Assessment!F31="benefit", Assessment!M31="limited benefit",Assessment!M31="benefit", Assessment!R31="limited benefit",Assessment!R31="benefit", Assessment!W31="limited benefit",Assessment!W31="benefit", Assessment!AB31="limited benefit",Assessment!AB31="benefit", AND(ISNUMBER(Assessment!AF31),Assessment!AG31="ok"), Assessment!AJ31="benefit"),"yes","no"))</f>
        <v/>
      </c>
      <c r="BV29" t="s">
        <v>255</v>
      </c>
      <c r="BW29" t="s">
        <v>347</v>
      </c>
    </row>
    <row r="30" spans="1:75" x14ac:dyDescent="0.35">
      <c r="A30" s="272">
        <f>IF(AND('Field information 2'!L37&gt;0, 'Field information 2'!M37=0),"data missing", 'Field information 2'!M37-'Field information 2'!L37)</f>
        <v>0</v>
      </c>
      <c r="B30" s="272">
        <f>IF(AND('Field information 2'!N37&gt;0,'Field information 2'!O37=0),"data missing",'Field information 2'!O37-'Field information 2'!N37)</f>
        <v>0</v>
      </c>
      <c r="C30" s="272">
        <f>IF(AND('Field information 2'!P37&gt;0, 'Field information 2'!Q37=0),"data missing",'Field information 2'!Q37-'Field information 2'!P37)</f>
        <v>0</v>
      </c>
      <c r="D30">
        <f>'Field information 2'!L37</f>
        <v>0</v>
      </c>
      <c r="E30" s="249" t="str">
        <f>IF(OR('Field information 2'!L37&gt;0,'Field information 2'!N37&gt;0,'Field information 2'!P37&gt;0),"Y","N")</f>
        <v>N</v>
      </c>
      <c r="F30" s="277" t="str">
        <f t="shared" si="12"/>
        <v/>
      </c>
      <c r="G30" t="str">
        <f>IF(OR(ISBLANK('Field information 1'!B31),AND(OR(ISBLANK('Field information 2'!L37), 'Field information 2'!L37=0),OR(ISBLANK('Field information 2'!N37), 'Field information 2'!N37=0), OR(ISBLANK('Field information 2'!P37), 'Field information 2'!P37=0))),"",
IF(ISTEXT('Field information 1'!B31), 'Field information 1'!B31, TEXT('Field information 1'!B31,"0")))</f>
        <v/>
      </c>
      <c r="H30" t="str">
        <f>IF(OR(ISBLANK('Field information 1'!B31),ISBLANK('Field information 2'!L37),ISBLANK('Field information 2'!F37)),"",'Field information 2'!F37)</f>
        <v/>
      </c>
      <c r="I30" s="91" t="str">
        <f>IF(OR(ISBLANK('Field information 1'!E31),G30=""),"",CEILING('Field information 1'!E31/10,1))</f>
        <v/>
      </c>
      <c r="J30" s="91" t="str">
        <f t="shared" si="13"/>
        <v>no</v>
      </c>
      <c r="K30" s="135" t="str">
        <f t="shared" ca="1" si="54"/>
        <v/>
      </c>
      <c r="L30" s="135" t="str">
        <f t="shared" ca="1" si="55"/>
        <v/>
      </c>
      <c r="M30" s="135" t="str">
        <f t="shared" ca="1" si="56"/>
        <v/>
      </c>
      <c r="N30" s="135" t="str">
        <f t="shared" ca="1" si="57"/>
        <v/>
      </c>
      <c r="O30" s="135" t="str">
        <f t="shared" ca="1" si="58"/>
        <v/>
      </c>
      <c r="P30" s="135" t="str">
        <f t="shared" ca="1" si="59"/>
        <v/>
      </c>
      <c r="Q30" s="135" t="str">
        <f t="shared" ca="1" si="60"/>
        <v/>
      </c>
      <c r="R30" s="135" t="str">
        <f t="shared" ca="1" si="61"/>
        <v/>
      </c>
      <c r="S30" s="135" t="str">
        <f t="shared" ca="1" si="62"/>
        <v/>
      </c>
      <c r="T30" s="135" t="str">
        <f t="shared" ca="1" si="63"/>
        <v/>
      </c>
      <c r="U30" s="49" t="str">
        <f t="shared" ca="1" si="24"/>
        <v/>
      </c>
      <c r="V30" s="7" t="str">
        <f t="shared" ca="1" si="25"/>
        <v/>
      </c>
      <c r="W30" s="7" t="str">
        <f t="shared" ca="1" si="26"/>
        <v/>
      </c>
      <c r="X30" s="7" t="str">
        <f t="shared" ca="1" si="27"/>
        <v/>
      </c>
      <c r="Y30" s="91"/>
      <c r="Z30" s="247" t="str">
        <f t="shared" si="28"/>
        <v/>
      </c>
      <c r="AA30" s="247" t="str">
        <f t="shared" ref="AA30:AI30" si="80">IF(AND(AA$4&lt;=$I30,$G30&lt;&gt;"",Z30&lt;&gt;""),$G30&amp;" "&amp;AA$3, "")</f>
        <v/>
      </c>
      <c r="AB30" s="247" t="str">
        <f t="shared" si="80"/>
        <v/>
      </c>
      <c r="AC30" s="247" t="str">
        <f t="shared" si="80"/>
        <v/>
      </c>
      <c r="AD30" s="247" t="str">
        <f t="shared" si="80"/>
        <v/>
      </c>
      <c r="AE30" s="247" t="str">
        <f t="shared" si="80"/>
        <v/>
      </c>
      <c r="AF30" s="247" t="str">
        <f t="shared" si="80"/>
        <v/>
      </c>
      <c r="AG30" s="247" t="str">
        <f t="shared" si="80"/>
        <v/>
      </c>
      <c r="AH30" s="247" t="str">
        <f t="shared" si="80"/>
        <v/>
      </c>
      <c r="AI30" s="247" t="str">
        <f t="shared" si="80"/>
        <v/>
      </c>
      <c r="AK30" s="247" t="str">
        <f t="shared" si="30"/>
        <v/>
      </c>
      <c r="AL30" s="247" t="str">
        <f t="shared" si="31"/>
        <v/>
      </c>
      <c r="AM30" s="247" t="str">
        <f t="shared" si="32"/>
        <v/>
      </c>
      <c r="AN30" s="247" t="str">
        <f t="shared" si="33"/>
        <v/>
      </c>
      <c r="AO30" s="247" t="str">
        <f t="shared" si="34"/>
        <v/>
      </c>
      <c r="AP30" s="247" t="str">
        <f t="shared" si="35"/>
        <v/>
      </c>
      <c r="AQ30" s="247" t="str">
        <f t="shared" si="36"/>
        <v/>
      </c>
      <c r="AR30" s="247" t="str">
        <f t="shared" si="37"/>
        <v/>
      </c>
      <c r="AS30" s="247" t="str">
        <f t="shared" si="38"/>
        <v/>
      </c>
      <c r="AT30" s="247" t="str">
        <f t="shared" si="39"/>
        <v/>
      </c>
      <c r="AV30" t="str">
        <f>IF(ISBLANK('Field information 1'!F31),"",'Field information 1'!F31)</f>
        <v/>
      </c>
      <c r="AX30" s="247" t="str" cm="1">
        <f t="array" aca="1" ref="AX30" ca="1">INDIRECT(TEXT(MIN(IF((Calc!$Z$5:$AI$104&lt;&gt;"")*(COUNTIF($AX$4:AX29,Calc!$Z$5:$AI$104)=0),ROW(Calc!$Z$5:$AI$104)*100+COLUMN(Calc!$Z$5:$AI$104),7^8)),"Calc!R0C00"),)&amp;""</f>
        <v/>
      </c>
      <c r="AY30" t="str" cm="1">
        <f t="array" aca="1" ref="AY30" ca="1">INDIRECT(TEXT(MIN(IF((Calc!$AK$5:$AT$104&lt;&gt;"")*(COUNTIF(AY$4:$AY29,Calc!$AK$5:$AT$104)=0),ROW(Calc!$AK$5:$AT$104)*100+COLUMN(Calc!$AK$5:$AT$104),7^8)),"Calc!R0C00"),)&amp;""</f>
        <v/>
      </c>
      <c r="AZ30" s="247" t="str">
        <f t="shared" ca="1" si="40"/>
        <v/>
      </c>
      <c r="BA30" s="324">
        <f t="shared" si="47"/>
        <v>26</v>
      </c>
      <c r="BB30">
        <f t="shared" ca="1" si="41"/>
        <v>0</v>
      </c>
      <c r="BC30" t="str">
        <f ca="1">IF($AX30="","",
VLOOKUP(LEFT($AX30,LEN($AX30)-2),'Field information 2'!$B$12:$P$111,11,FALSE))</f>
        <v/>
      </c>
      <c r="BD30" t="str">
        <f ca="1">IF($AX30="","",
VLOOKUP(LEFT($AX30,LEN($AX30)-2),'Field information 2'!$B$12:$P$111,13,FALSE))</f>
        <v/>
      </c>
      <c r="BE30" t="str">
        <f ca="1">IF($AX30="","",
VLOOKUP(LEFT($AX30,LEN($AX30)-2),'Field information 2'!$B$12:$P$111,15,FALSE))</f>
        <v/>
      </c>
      <c r="BF30">
        <f t="shared" ca="1" si="42"/>
        <v>0</v>
      </c>
      <c r="BG30" t="str">
        <f t="shared" ca="1" si="43"/>
        <v/>
      </c>
      <c r="BH30" s="7" t="str">
        <f ca="1">IF(OR(AX30="",'Soil results'!$D$7="",'Soil results'!$D$8=""),"",
IF('Soil results'!$D$7="LOI",
  IF('Soil results'!$D$8="mg/kg",'Soil results'!D35/10000,'Soil results'!D35),
IF('Soil results'!$D$7="Dumas",
  IF('Soil results'!$D$8="mg/kg",'Soil results'!D35*1.72/10000,'Soil results'!D35*1.72))))</f>
        <v/>
      </c>
      <c r="BI30" t="str">
        <f ca="1">IF($AX30="","",
VLOOKUP(LEFT($AX30,LEN($AX30)-2),'Field information 2'!$B$12:$I$111,8,FALSE))</f>
        <v/>
      </c>
      <c r="BJ30" t="str">
        <f ca="1">IF(BI30="","",
VLOOKUP(BI30,'Fertiliser recommendations'!$A$5:$B$62,2,FALSE))</f>
        <v/>
      </c>
      <c r="BK30" s="38" t="str">
        <f ca="1">IF($AX30="","",
IF(AND(BJ30="g",VLOOKUP(LEFT($AX30,LEN($AX30)-2),'Field information 2'!$B$12:$P$111,9,FALSE)&lt;&gt;"yes"),
IF(BG30="10-25% OM",6,IF(BG30="&gt;25% OM",12,IF(BG30="SCL; CL; ZCL; SC; ZC; C",6,IF(BG30="SL; SZL; ZL",5,IF(BG30="S; LS",4,"?"))))),
IF(OR(BJ30="a",AND(BJ30="g",VLOOKUP(LEFT($AX30,LEN($AX30)-2),'Field information 2'!$B$12:$P$111,9,FALSE)="yes")),
IF(BG30="10-25% OM",8,IF(BG30="&gt;25% OM",16,IF(BG30="SCL; CL; ZCL; SC; ZC; C",8,IF(BG30="SL; SZL; ZL",7,IF(BG30="S; LS",6,"?"))))),"")))</f>
        <v/>
      </c>
      <c r="BL30" t="str">
        <f ca="1">IF(AX30&lt;&gt;"",COUNTBLANK('Soil results'!D35:D35)+COUNTBLANK('Soil results'!F35:I35)+COUNTBLANK('Soil results'!K35:Q35),"")</f>
        <v/>
      </c>
      <c r="BM30" t="str">
        <f ca="1">IF(AX30&lt;&gt;"",
IF(OR(ISNUMBER(SEARCH("10*01*01",'Field information 2'!$M$5)),ISNUMBER(SEARCH("10*01*03",'Field information 2'!$M$5))),0.25,1),"")</f>
        <v/>
      </c>
      <c r="BN30" s="275" t="str">
        <f ca="1">IF(AX30&lt;&gt;"",
IF(COUNTIF('Soil results'!G36:G$159,"="&amp;'Soil results'!G35)+COUNTIF('Soil results'!H36:H$159,"="&amp;'Soil results'!H35)+COUNTIF('Soil results'!I36:I$159,"="&amp;'Soil results'!I35)=0,"no",
IF(MOD(COUNTIF('Soil results'!G36:G$159,"="&amp;'Soil results'!G35)+COUNTIF('Soil results'!H36:H$159,"="&amp;'Soil results'!H35)+COUNTIF('Soil results'!I36:I$159,"="&amp;'Soil results'!I35),3)=0,"yes","no")),"")</f>
        <v/>
      </c>
      <c r="BO30" s="276" t="str">
        <f t="shared" ca="1" si="44"/>
        <v/>
      </c>
      <c r="BP30" s="33"/>
      <c r="BQ30" s="276"/>
      <c r="BR30" s="276"/>
      <c r="BS30" s="276" t="str">
        <f t="shared" ca="1" si="45"/>
        <v/>
      </c>
      <c r="BT30" s="153" t="str">
        <f ca="1">IF(AX30="","",
IF(OR(Assessment!F32="limited benefit",Assessment!F32="benefit", Assessment!M32="limited benefit",Assessment!M32="benefit", Assessment!R32="limited benefit",Assessment!R32="benefit", Assessment!W32="limited benefit",Assessment!W32="benefit", Assessment!AB32="limited benefit",Assessment!AB32="benefit", AND(ISNUMBER(Assessment!AF32),Assessment!AG32="ok"), Assessment!AJ32="benefit"),"yes","no"))</f>
        <v/>
      </c>
      <c r="BV30" t="s">
        <v>258</v>
      </c>
    </row>
    <row r="31" spans="1:75" x14ac:dyDescent="0.35">
      <c r="A31" s="272">
        <f>IF(AND('Field information 2'!L38&gt;0, 'Field information 2'!M38=0),"data missing", 'Field information 2'!M38-'Field information 2'!L38)</f>
        <v>0</v>
      </c>
      <c r="B31" s="272">
        <f>IF(AND('Field information 2'!N38&gt;0,'Field information 2'!O38=0),"data missing",'Field information 2'!O38-'Field information 2'!N38)</f>
        <v>0</v>
      </c>
      <c r="C31" s="272">
        <f>IF(AND('Field information 2'!P38&gt;0, 'Field information 2'!Q38=0),"data missing",'Field information 2'!Q38-'Field information 2'!P38)</f>
        <v>0</v>
      </c>
      <c r="D31">
        <f>'Field information 2'!L38</f>
        <v>0</v>
      </c>
      <c r="E31" s="249" t="str">
        <f>IF(OR('Field information 2'!L38&gt;0,'Field information 2'!N38&gt;0,'Field information 2'!P38&gt;0),"Y","N")</f>
        <v>N</v>
      </c>
      <c r="F31" s="277" t="str">
        <f t="shared" si="12"/>
        <v/>
      </c>
      <c r="G31" t="str">
        <f>IF(OR(ISBLANK('Field information 1'!B32),AND(OR(ISBLANK('Field information 2'!L38), 'Field information 2'!L38=0),OR(ISBLANK('Field information 2'!N38), 'Field information 2'!N38=0), OR(ISBLANK('Field information 2'!P38), 'Field information 2'!P38=0))),"",
IF(ISTEXT('Field information 1'!B32), 'Field information 1'!B32, TEXT('Field information 1'!B32,"0")))</f>
        <v/>
      </c>
      <c r="H31" t="str">
        <f>IF(OR(ISBLANK('Field information 1'!B32),ISBLANK('Field information 2'!L38),ISBLANK('Field information 2'!F38)),"",'Field information 2'!F38)</f>
        <v/>
      </c>
      <c r="I31" s="91" t="str">
        <f>IF(OR(ISBLANK('Field information 1'!E32),G31=""),"",CEILING('Field information 1'!E32/10,1))</f>
        <v/>
      </c>
      <c r="J31" s="91" t="str">
        <f t="shared" si="13"/>
        <v>no</v>
      </c>
      <c r="K31" s="135" t="str">
        <f t="shared" ca="1" si="54"/>
        <v/>
      </c>
      <c r="L31" s="135" t="str">
        <f t="shared" ca="1" si="55"/>
        <v/>
      </c>
      <c r="M31" s="135" t="str">
        <f t="shared" ca="1" si="56"/>
        <v/>
      </c>
      <c r="N31" s="135" t="str">
        <f t="shared" ca="1" si="57"/>
        <v/>
      </c>
      <c r="O31" s="135" t="str">
        <f t="shared" ca="1" si="58"/>
        <v/>
      </c>
      <c r="P31" s="135" t="str">
        <f t="shared" ca="1" si="59"/>
        <v/>
      </c>
      <c r="Q31" s="135" t="str">
        <f t="shared" ca="1" si="60"/>
        <v/>
      </c>
      <c r="R31" s="135" t="str">
        <f t="shared" ca="1" si="61"/>
        <v/>
      </c>
      <c r="S31" s="135" t="str">
        <f t="shared" ca="1" si="62"/>
        <v/>
      </c>
      <c r="T31" s="135" t="str">
        <f t="shared" ca="1" si="63"/>
        <v/>
      </c>
      <c r="U31" s="49" t="str">
        <f t="shared" ca="1" si="24"/>
        <v/>
      </c>
      <c r="V31" s="7" t="str">
        <f t="shared" ca="1" si="25"/>
        <v/>
      </c>
      <c r="W31" s="7" t="str">
        <f t="shared" ca="1" si="26"/>
        <v/>
      </c>
      <c r="X31" s="7" t="str">
        <f t="shared" ca="1" si="27"/>
        <v/>
      </c>
      <c r="Y31" s="91"/>
      <c r="Z31" s="247" t="str">
        <f t="shared" si="28"/>
        <v/>
      </c>
      <c r="AA31" s="247" t="str">
        <f t="shared" ref="AA31:AI31" si="81">IF(AND(AA$4&lt;=$I31,$G31&lt;&gt;"",Z31&lt;&gt;""),$G31&amp;" "&amp;AA$3, "")</f>
        <v/>
      </c>
      <c r="AB31" s="247" t="str">
        <f t="shared" si="81"/>
        <v/>
      </c>
      <c r="AC31" s="247" t="str">
        <f t="shared" si="81"/>
        <v/>
      </c>
      <c r="AD31" s="247" t="str">
        <f t="shared" si="81"/>
        <v/>
      </c>
      <c r="AE31" s="247" t="str">
        <f t="shared" si="81"/>
        <v/>
      </c>
      <c r="AF31" s="247" t="str">
        <f t="shared" si="81"/>
        <v/>
      </c>
      <c r="AG31" s="247" t="str">
        <f t="shared" si="81"/>
        <v/>
      </c>
      <c r="AH31" s="247" t="str">
        <f t="shared" si="81"/>
        <v/>
      </c>
      <c r="AI31" s="247" t="str">
        <f t="shared" si="81"/>
        <v/>
      </c>
      <c r="AK31" s="247" t="str">
        <f t="shared" si="30"/>
        <v/>
      </c>
      <c r="AL31" s="247" t="str">
        <f t="shared" si="31"/>
        <v/>
      </c>
      <c r="AM31" s="247" t="str">
        <f t="shared" si="32"/>
        <v/>
      </c>
      <c r="AN31" s="247" t="str">
        <f t="shared" si="33"/>
        <v/>
      </c>
      <c r="AO31" s="247" t="str">
        <f t="shared" si="34"/>
        <v/>
      </c>
      <c r="AP31" s="247" t="str">
        <f t="shared" si="35"/>
        <v/>
      </c>
      <c r="AQ31" s="247" t="str">
        <f t="shared" si="36"/>
        <v/>
      </c>
      <c r="AR31" s="247" t="str">
        <f t="shared" si="37"/>
        <v/>
      </c>
      <c r="AS31" s="247" t="str">
        <f t="shared" si="38"/>
        <v/>
      </c>
      <c r="AT31" s="247" t="str">
        <f t="shared" si="39"/>
        <v/>
      </c>
      <c r="AV31" t="str">
        <f>IF(ISBLANK('Field information 1'!F32),"",'Field information 1'!F32)</f>
        <v/>
      </c>
      <c r="AX31" s="247" t="str" cm="1">
        <f t="array" aca="1" ref="AX31" ca="1">INDIRECT(TEXT(MIN(IF((Calc!$Z$5:$AI$104&lt;&gt;"")*(COUNTIF($AX$4:AX30,Calc!$Z$5:$AI$104)=0),ROW(Calc!$Z$5:$AI$104)*100+COLUMN(Calc!$Z$5:$AI$104),7^8)),"Calc!R0C00"),)&amp;""</f>
        <v/>
      </c>
      <c r="AY31" t="str" cm="1">
        <f t="array" aca="1" ref="AY31" ca="1">INDIRECT(TEXT(MIN(IF((Calc!$AK$5:$AT$104&lt;&gt;"")*(COUNTIF(AY$4:$AY30,Calc!$AK$5:$AT$104)=0),ROW(Calc!$AK$5:$AT$104)*100+COLUMN(Calc!$AK$5:$AT$104),7^8)),"Calc!R0C00"),)&amp;""</f>
        <v/>
      </c>
      <c r="AZ31" s="247" t="str">
        <f t="shared" ca="1" si="40"/>
        <v/>
      </c>
      <c r="BA31" s="324">
        <f t="shared" si="47"/>
        <v>27</v>
      </c>
      <c r="BB31">
        <f t="shared" ca="1" si="41"/>
        <v>0</v>
      </c>
      <c r="BC31" t="str">
        <f ca="1">IF($AX31="","",
VLOOKUP(LEFT($AX31,LEN($AX31)-2),'Field information 2'!$B$12:$P$111,11,FALSE))</f>
        <v/>
      </c>
      <c r="BD31" t="str">
        <f ca="1">IF($AX31="","",
VLOOKUP(LEFT($AX31,LEN($AX31)-2),'Field information 2'!$B$12:$P$111,13,FALSE))</f>
        <v/>
      </c>
      <c r="BE31" t="str">
        <f ca="1">IF($AX31="","",
VLOOKUP(LEFT($AX31,LEN($AX31)-2),'Field information 2'!$B$12:$P$111,15,FALSE))</f>
        <v/>
      </c>
      <c r="BF31">
        <f t="shared" ca="1" si="42"/>
        <v>0</v>
      </c>
      <c r="BG31" t="str">
        <f t="shared" ca="1" si="43"/>
        <v/>
      </c>
      <c r="BH31" s="7" t="str">
        <f ca="1">IF(OR(AX31="",'Soil results'!$D$7="",'Soil results'!$D$8=""),"",
IF('Soil results'!$D$7="LOI",
  IF('Soil results'!$D$8="mg/kg",'Soil results'!D36/10000,'Soil results'!D36),
IF('Soil results'!$D$7="Dumas",
  IF('Soil results'!$D$8="mg/kg",'Soil results'!D36*1.72/10000,'Soil results'!D36*1.72))))</f>
        <v/>
      </c>
      <c r="BI31" t="str">
        <f ca="1">IF($AX31="","",
VLOOKUP(LEFT($AX31,LEN($AX31)-2),'Field information 2'!$B$12:$I$111,8,FALSE))</f>
        <v/>
      </c>
      <c r="BJ31" t="str">
        <f ca="1">IF(BI31="","",
VLOOKUP(BI31,'Fertiliser recommendations'!$A$5:$B$62,2,FALSE))</f>
        <v/>
      </c>
      <c r="BK31" s="38" t="str">
        <f ca="1">IF($AX31="","",
IF(AND(BJ31="g",VLOOKUP(LEFT($AX31,LEN($AX31)-2),'Field information 2'!$B$12:$P$111,9,FALSE)&lt;&gt;"yes"),
IF(BG31="10-25% OM",6,IF(BG31="&gt;25% OM",12,IF(BG31="SCL; CL; ZCL; SC; ZC; C",6,IF(BG31="SL; SZL; ZL",5,IF(BG31="S; LS",4,"?"))))),
IF(OR(BJ31="a",AND(BJ31="g",VLOOKUP(LEFT($AX31,LEN($AX31)-2),'Field information 2'!$B$12:$P$111,9,FALSE)="yes")),
IF(BG31="10-25% OM",8,IF(BG31="&gt;25% OM",16,IF(BG31="SCL; CL; ZCL; SC; ZC; C",8,IF(BG31="SL; SZL; ZL",7,IF(BG31="S; LS",6,"?"))))),"")))</f>
        <v/>
      </c>
      <c r="BL31" t="str">
        <f ca="1">IF(AX31&lt;&gt;"",COUNTBLANK('Soil results'!D36:D36)+COUNTBLANK('Soil results'!F36:I36)+COUNTBLANK('Soil results'!K36:Q36),"")</f>
        <v/>
      </c>
      <c r="BM31" t="str">
        <f ca="1">IF(AX31&lt;&gt;"",
IF(OR(ISNUMBER(SEARCH("10*01*01",'Field information 2'!$M$5)),ISNUMBER(SEARCH("10*01*03",'Field information 2'!$M$5))),0.25,1),"")</f>
        <v/>
      </c>
      <c r="BN31" s="275" t="str">
        <f ca="1">IF(AX31&lt;&gt;"",
IF(COUNTIF('Soil results'!G37:G$159,"="&amp;'Soil results'!G36)+COUNTIF('Soil results'!H37:H$159,"="&amp;'Soil results'!H36)+COUNTIF('Soil results'!I37:I$159,"="&amp;'Soil results'!I36)=0,"no",
IF(MOD(COUNTIF('Soil results'!G37:G$159,"="&amp;'Soil results'!G36)+COUNTIF('Soil results'!H37:H$159,"="&amp;'Soil results'!H36)+COUNTIF('Soil results'!I37:I$159,"="&amp;'Soil results'!I36),3)=0,"yes","no")),"")</f>
        <v/>
      </c>
      <c r="BO31" s="276" t="str">
        <f t="shared" ca="1" si="44"/>
        <v/>
      </c>
      <c r="BP31" s="33"/>
      <c r="BQ31" s="276"/>
      <c r="BR31" s="276"/>
      <c r="BS31" s="276" t="str">
        <f t="shared" ca="1" si="45"/>
        <v/>
      </c>
      <c r="BT31" s="153" t="str">
        <f ca="1">IF(AX31="","",
IF(OR(Assessment!F33="limited benefit",Assessment!F33="benefit", Assessment!M33="limited benefit",Assessment!M33="benefit", Assessment!R33="limited benefit",Assessment!R33="benefit", Assessment!W33="limited benefit",Assessment!W33="benefit", Assessment!AB33="limited benefit",Assessment!AB33="benefit", AND(ISNUMBER(Assessment!AF33),Assessment!AG33="ok"), Assessment!AJ33="benefit"),"yes","no"))</f>
        <v/>
      </c>
      <c r="BV31" t="s">
        <v>277</v>
      </c>
      <c r="BW31" t="s">
        <v>348</v>
      </c>
    </row>
    <row r="32" spans="1:75" x14ac:dyDescent="0.35">
      <c r="A32" s="272">
        <f>IF(AND('Field information 2'!L39&gt;0, 'Field information 2'!M39=0),"data missing", 'Field information 2'!M39-'Field information 2'!L39)</f>
        <v>0</v>
      </c>
      <c r="B32" s="272">
        <f>IF(AND('Field information 2'!N39&gt;0,'Field information 2'!O39=0),"data missing",'Field information 2'!O39-'Field information 2'!N39)</f>
        <v>0</v>
      </c>
      <c r="C32" s="272">
        <f>IF(AND('Field information 2'!P39&gt;0, 'Field information 2'!Q39=0),"data missing",'Field information 2'!Q39-'Field information 2'!P39)</f>
        <v>0</v>
      </c>
      <c r="D32">
        <f>'Field information 2'!L39</f>
        <v>0</v>
      </c>
      <c r="E32" s="249" t="str">
        <f>IF(OR('Field information 2'!L39&gt;0,'Field information 2'!N39&gt;0,'Field information 2'!P39&gt;0),"Y","N")</f>
        <v>N</v>
      </c>
      <c r="F32" s="277" t="str">
        <f t="shared" si="12"/>
        <v/>
      </c>
      <c r="G32" t="str">
        <f>IF(OR(ISBLANK('Field information 1'!B33),AND(OR(ISBLANK('Field information 2'!L39), 'Field information 2'!L39=0),OR(ISBLANK('Field information 2'!N39), 'Field information 2'!N39=0), OR(ISBLANK('Field information 2'!P39), 'Field information 2'!P39=0))),"",
IF(ISTEXT('Field information 1'!B33), 'Field information 1'!B33, TEXT('Field information 1'!B33,"0")))</f>
        <v/>
      </c>
      <c r="H32" t="str">
        <f>IF(OR(ISBLANK('Field information 1'!B33),ISBLANK('Field information 2'!L39),ISBLANK('Field information 2'!F39)),"",'Field information 2'!F39)</f>
        <v/>
      </c>
      <c r="I32" s="91" t="str">
        <f>IF(OR(ISBLANK('Field information 1'!E33),G32=""),"",CEILING('Field information 1'!E33/10,1))</f>
        <v/>
      </c>
      <c r="J32" s="91" t="str">
        <f t="shared" si="13"/>
        <v>no</v>
      </c>
      <c r="K32" s="135" t="str">
        <f t="shared" ca="1" si="54"/>
        <v/>
      </c>
      <c r="L32" s="135" t="str">
        <f t="shared" ca="1" si="55"/>
        <v/>
      </c>
      <c r="M32" s="135" t="str">
        <f t="shared" ca="1" si="56"/>
        <v/>
      </c>
      <c r="N32" s="135" t="str">
        <f t="shared" ca="1" si="57"/>
        <v/>
      </c>
      <c r="O32" s="135" t="str">
        <f t="shared" ca="1" si="58"/>
        <v/>
      </c>
      <c r="P32" s="135" t="str">
        <f t="shared" ca="1" si="59"/>
        <v/>
      </c>
      <c r="Q32" s="135" t="str">
        <f t="shared" ca="1" si="60"/>
        <v/>
      </c>
      <c r="R32" s="135" t="str">
        <f t="shared" ca="1" si="61"/>
        <v/>
      </c>
      <c r="S32" s="135" t="str">
        <f t="shared" ca="1" si="62"/>
        <v/>
      </c>
      <c r="T32" s="135" t="str">
        <f t="shared" ca="1" si="63"/>
        <v/>
      </c>
      <c r="U32" s="49" t="str">
        <f t="shared" ca="1" si="24"/>
        <v/>
      </c>
      <c r="V32" s="7" t="str">
        <f t="shared" ca="1" si="25"/>
        <v/>
      </c>
      <c r="W32" s="7" t="str">
        <f t="shared" ca="1" si="26"/>
        <v/>
      </c>
      <c r="X32" s="7" t="str">
        <f t="shared" ca="1" si="27"/>
        <v/>
      </c>
      <c r="Y32" s="91"/>
      <c r="Z32" s="247" t="str">
        <f t="shared" si="28"/>
        <v/>
      </c>
      <c r="AA32" s="247" t="str">
        <f t="shared" ref="AA32:AI32" si="82">IF(AND(AA$4&lt;=$I32,$G32&lt;&gt;"",Z32&lt;&gt;""),$G32&amp;" "&amp;AA$3, "")</f>
        <v/>
      </c>
      <c r="AB32" s="247" t="str">
        <f t="shared" si="82"/>
        <v/>
      </c>
      <c r="AC32" s="247" t="str">
        <f t="shared" si="82"/>
        <v/>
      </c>
      <c r="AD32" s="247" t="str">
        <f t="shared" si="82"/>
        <v/>
      </c>
      <c r="AE32" s="247" t="str">
        <f t="shared" si="82"/>
        <v/>
      </c>
      <c r="AF32" s="247" t="str">
        <f t="shared" si="82"/>
        <v/>
      </c>
      <c r="AG32" s="247" t="str">
        <f t="shared" si="82"/>
        <v/>
      </c>
      <c r="AH32" s="247" t="str">
        <f t="shared" si="82"/>
        <v/>
      </c>
      <c r="AI32" s="247" t="str">
        <f t="shared" si="82"/>
        <v/>
      </c>
      <c r="AK32" s="247" t="str">
        <f t="shared" si="30"/>
        <v/>
      </c>
      <c r="AL32" s="247" t="str">
        <f t="shared" si="31"/>
        <v/>
      </c>
      <c r="AM32" s="247" t="str">
        <f t="shared" si="32"/>
        <v/>
      </c>
      <c r="AN32" s="247" t="str">
        <f t="shared" si="33"/>
        <v/>
      </c>
      <c r="AO32" s="247" t="str">
        <f t="shared" si="34"/>
        <v/>
      </c>
      <c r="AP32" s="247" t="str">
        <f t="shared" si="35"/>
        <v/>
      </c>
      <c r="AQ32" s="247" t="str">
        <f t="shared" si="36"/>
        <v/>
      </c>
      <c r="AR32" s="247" t="str">
        <f t="shared" si="37"/>
        <v/>
      </c>
      <c r="AS32" s="247" t="str">
        <f t="shared" si="38"/>
        <v/>
      </c>
      <c r="AT32" s="247" t="str">
        <f t="shared" si="39"/>
        <v/>
      </c>
      <c r="AV32" t="str">
        <f>IF(ISBLANK('Field information 1'!F33),"",'Field information 1'!F33)</f>
        <v/>
      </c>
      <c r="AX32" s="247" t="str" cm="1">
        <f t="array" aca="1" ref="AX32" ca="1">INDIRECT(TEXT(MIN(IF((Calc!$Z$5:$AI$104&lt;&gt;"")*(COUNTIF($AX$4:AX31,Calc!$Z$5:$AI$104)=0),ROW(Calc!$Z$5:$AI$104)*100+COLUMN(Calc!$Z$5:$AI$104),7^8)),"Calc!R0C00"),)&amp;""</f>
        <v/>
      </c>
      <c r="AY32" t="str" cm="1">
        <f t="array" aca="1" ref="AY32" ca="1">INDIRECT(TEXT(MIN(IF((Calc!$AK$5:$AT$104&lt;&gt;"")*(COUNTIF(AY$4:$AY31,Calc!$AK$5:$AT$104)=0),ROW(Calc!$AK$5:$AT$104)*100+COLUMN(Calc!$AK$5:$AT$104),7^8)),"Calc!R0C00"),)&amp;""</f>
        <v/>
      </c>
      <c r="AZ32" s="247" t="str">
        <f t="shared" ca="1" si="40"/>
        <v/>
      </c>
      <c r="BA32" s="324">
        <f t="shared" si="47"/>
        <v>28</v>
      </c>
      <c r="BB32">
        <f t="shared" ca="1" si="41"/>
        <v>0</v>
      </c>
      <c r="BC32" t="str">
        <f ca="1">IF($AX32="","",
VLOOKUP(LEFT($AX32,LEN($AX32)-2),'Field information 2'!$B$12:$P$111,11,FALSE))</f>
        <v/>
      </c>
      <c r="BD32" t="str">
        <f ca="1">IF($AX32="","",
VLOOKUP(LEFT($AX32,LEN($AX32)-2),'Field information 2'!$B$12:$P$111,13,FALSE))</f>
        <v/>
      </c>
      <c r="BE32" t="str">
        <f ca="1">IF($AX32="","",
VLOOKUP(LEFT($AX32,LEN($AX32)-2),'Field information 2'!$B$12:$P$111,15,FALSE))</f>
        <v/>
      </c>
      <c r="BF32">
        <f t="shared" ca="1" si="42"/>
        <v>0</v>
      </c>
      <c r="BG32" t="str">
        <f t="shared" ca="1" si="43"/>
        <v/>
      </c>
      <c r="BH32" s="7" t="str">
        <f ca="1">IF(OR(AX32="",'Soil results'!$D$7="",'Soil results'!$D$8=""),"",
IF('Soil results'!$D$7="LOI",
  IF('Soil results'!$D$8="mg/kg",'Soil results'!D37/10000,'Soil results'!D37),
IF('Soil results'!$D$7="Dumas",
  IF('Soil results'!$D$8="mg/kg",'Soil results'!D37*1.72/10000,'Soil results'!D37*1.72))))</f>
        <v/>
      </c>
      <c r="BI32" t="str">
        <f ca="1">IF($AX32="","",
VLOOKUP(LEFT($AX32,LEN($AX32)-2),'Field information 2'!$B$12:$I$111,8,FALSE))</f>
        <v/>
      </c>
      <c r="BJ32" t="str">
        <f ca="1">IF(BI32="","",
VLOOKUP(BI32,'Fertiliser recommendations'!$A$5:$B$62,2,FALSE))</f>
        <v/>
      </c>
      <c r="BK32" s="38" t="str">
        <f ca="1">IF($AX32="","",
IF(AND(BJ32="g",VLOOKUP(LEFT($AX32,LEN($AX32)-2),'Field information 2'!$B$12:$P$111,9,FALSE)&lt;&gt;"yes"),
IF(BG32="10-25% OM",6,IF(BG32="&gt;25% OM",12,IF(BG32="SCL; CL; ZCL; SC; ZC; C",6,IF(BG32="SL; SZL; ZL",5,IF(BG32="S; LS",4,"?"))))),
IF(OR(BJ32="a",AND(BJ32="g",VLOOKUP(LEFT($AX32,LEN($AX32)-2),'Field information 2'!$B$12:$P$111,9,FALSE)="yes")),
IF(BG32="10-25% OM",8,IF(BG32="&gt;25% OM",16,IF(BG32="SCL; CL; ZCL; SC; ZC; C",8,IF(BG32="SL; SZL; ZL",7,IF(BG32="S; LS",6,"?"))))),"")))</f>
        <v/>
      </c>
      <c r="BL32" t="str">
        <f ca="1">IF(AX32&lt;&gt;"",COUNTBLANK('Soil results'!D37:D37)+COUNTBLANK('Soil results'!F37:I37)+COUNTBLANK('Soil results'!K37:Q37),"")</f>
        <v/>
      </c>
      <c r="BM32" t="str">
        <f ca="1">IF(AX32&lt;&gt;"",
IF(OR(ISNUMBER(SEARCH("10*01*01",'Field information 2'!$M$5)),ISNUMBER(SEARCH("10*01*03",'Field information 2'!$M$5))),0.25,1),"")</f>
        <v/>
      </c>
      <c r="BN32" s="275" t="str">
        <f ca="1">IF(AX32&lt;&gt;"",
IF(COUNTIF('Soil results'!G38:G$159,"="&amp;'Soil results'!G37)+COUNTIF('Soil results'!H38:H$159,"="&amp;'Soil results'!H37)+COUNTIF('Soil results'!I38:I$159,"="&amp;'Soil results'!I37)=0,"no",
IF(MOD(COUNTIF('Soil results'!G38:G$159,"="&amp;'Soil results'!G37)+COUNTIF('Soil results'!H38:H$159,"="&amp;'Soil results'!H37)+COUNTIF('Soil results'!I38:I$159,"="&amp;'Soil results'!I37),3)=0,"yes","no")),"")</f>
        <v/>
      </c>
      <c r="BO32" s="276" t="str">
        <f t="shared" ca="1" si="44"/>
        <v/>
      </c>
      <c r="BP32" s="33"/>
      <c r="BQ32" s="276"/>
      <c r="BR32" s="276"/>
      <c r="BS32" s="276" t="str">
        <f t="shared" ca="1" si="45"/>
        <v/>
      </c>
      <c r="BT32" s="153" t="str">
        <f ca="1">IF(AX32="","",
IF(OR(Assessment!F34="limited benefit",Assessment!F34="benefit", Assessment!M34="limited benefit",Assessment!M34="benefit", Assessment!R34="limited benefit",Assessment!R34="benefit", Assessment!W34="limited benefit",Assessment!W34="benefit", Assessment!AB34="limited benefit",Assessment!AB34="benefit", AND(ISNUMBER(Assessment!AF34),Assessment!AG34="ok"), Assessment!AJ34="benefit"),"yes","no"))</f>
        <v/>
      </c>
      <c r="BW32" t="s">
        <v>349</v>
      </c>
    </row>
    <row r="33" spans="1:75" x14ac:dyDescent="0.35">
      <c r="A33" s="272">
        <f>IF(AND('Field information 2'!L40&gt;0, 'Field information 2'!M40=0),"data missing", 'Field information 2'!M40-'Field information 2'!L40)</f>
        <v>0</v>
      </c>
      <c r="B33" s="272">
        <f>IF(AND('Field information 2'!N40&gt;0,'Field information 2'!O40=0),"data missing",'Field information 2'!O40-'Field information 2'!N40)</f>
        <v>0</v>
      </c>
      <c r="C33" s="272">
        <f>IF(AND('Field information 2'!P40&gt;0, 'Field information 2'!Q40=0),"data missing",'Field information 2'!Q40-'Field information 2'!P40)</f>
        <v>0</v>
      </c>
      <c r="D33">
        <f>'Field information 2'!L40</f>
        <v>0</v>
      </c>
      <c r="E33" s="249" t="str">
        <f>IF(OR('Field information 2'!L40&gt;0,'Field information 2'!N40&gt;0,'Field information 2'!P40&gt;0),"Y","N")</f>
        <v>N</v>
      </c>
      <c r="F33" s="277" t="str">
        <f t="shared" si="12"/>
        <v/>
      </c>
      <c r="G33" t="str">
        <f>IF(OR(ISBLANK('Field information 1'!B34),AND(OR(ISBLANK('Field information 2'!L40), 'Field information 2'!L40=0),OR(ISBLANK('Field information 2'!N40), 'Field information 2'!N40=0), OR(ISBLANK('Field information 2'!P40), 'Field information 2'!P40=0))),"",
IF(ISTEXT('Field information 1'!B34), 'Field information 1'!B34, TEXT('Field information 1'!B34,"0")))</f>
        <v/>
      </c>
      <c r="H33" t="str">
        <f>IF(OR(ISBLANK('Field information 1'!B34),ISBLANK('Field information 2'!L40),ISBLANK('Field information 2'!F40)),"",'Field information 2'!F40)</f>
        <v/>
      </c>
      <c r="I33" s="91" t="str">
        <f>IF(OR(ISBLANK('Field information 1'!E34),G33=""),"",CEILING('Field information 1'!E34/10,1))</f>
        <v/>
      </c>
      <c r="J33" s="91" t="str">
        <f t="shared" si="13"/>
        <v>no</v>
      </c>
      <c r="K33" s="135" t="str">
        <f t="shared" ca="1" si="54"/>
        <v/>
      </c>
      <c r="L33" s="135" t="str">
        <f t="shared" ca="1" si="55"/>
        <v/>
      </c>
      <c r="M33" s="135" t="str">
        <f t="shared" ca="1" si="56"/>
        <v/>
      </c>
      <c r="N33" s="135" t="str">
        <f t="shared" ca="1" si="57"/>
        <v/>
      </c>
      <c r="O33" s="135" t="str">
        <f t="shared" ca="1" si="58"/>
        <v/>
      </c>
      <c r="P33" s="135" t="str">
        <f t="shared" ca="1" si="59"/>
        <v/>
      </c>
      <c r="Q33" s="135" t="str">
        <f t="shared" ca="1" si="60"/>
        <v/>
      </c>
      <c r="R33" s="135" t="str">
        <f t="shared" ca="1" si="61"/>
        <v/>
      </c>
      <c r="S33" s="135" t="str">
        <f t="shared" ca="1" si="62"/>
        <v/>
      </c>
      <c r="T33" s="135" t="str">
        <f t="shared" ca="1" si="63"/>
        <v/>
      </c>
      <c r="U33" s="49" t="str">
        <f t="shared" ca="1" si="24"/>
        <v/>
      </c>
      <c r="V33" s="7" t="str">
        <f t="shared" ca="1" si="25"/>
        <v/>
      </c>
      <c r="W33" s="7" t="str">
        <f t="shared" ca="1" si="26"/>
        <v/>
      </c>
      <c r="X33" s="7" t="str">
        <f t="shared" ca="1" si="27"/>
        <v/>
      </c>
      <c r="Y33" s="91"/>
      <c r="Z33" s="247" t="str">
        <f t="shared" si="28"/>
        <v/>
      </c>
      <c r="AA33" s="247" t="str">
        <f t="shared" ref="AA33:AI33" si="83">IF(AND(AA$4&lt;=$I33,$G33&lt;&gt;"",Z33&lt;&gt;""),$G33&amp;" "&amp;AA$3, "")</f>
        <v/>
      </c>
      <c r="AB33" s="247" t="str">
        <f t="shared" si="83"/>
        <v/>
      </c>
      <c r="AC33" s="247" t="str">
        <f t="shared" si="83"/>
        <v/>
      </c>
      <c r="AD33" s="247" t="str">
        <f t="shared" si="83"/>
        <v/>
      </c>
      <c r="AE33" s="247" t="str">
        <f t="shared" si="83"/>
        <v/>
      </c>
      <c r="AF33" s="247" t="str">
        <f t="shared" si="83"/>
        <v/>
      </c>
      <c r="AG33" s="247" t="str">
        <f t="shared" si="83"/>
        <v/>
      </c>
      <c r="AH33" s="247" t="str">
        <f t="shared" si="83"/>
        <v/>
      </c>
      <c r="AI33" s="247" t="str">
        <f t="shared" si="83"/>
        <v/>
      </c>
      <c r="AK33" s="247" t="str">
        <f t="shared" si="30"/>
        <v/>
      </c>
      <c r="AL33" s="247" t="str">
        <f t="shared" si="31"/>
        <v/>
      </c>
      <c r="AM33" s="247" t="str">
        <f t="shared" si="32"/>
        <v/>
      </c>
      <c r="AN33" s="247" t="str">
        <f t="shared" si="33"/>
        <v/>
      </c>
      <c r="AO33" s="247" t="str">
        <f t="shared" si="34"/>
        <v/>
      </c>
      <c r="AP33" s="247" t="str">
        <f t="shared" si="35"/>
        <v/>
      </c>
      <c r="AQ33" s="247" t="str">
        <f t="shared" si="36"/>
        <v/>
      </c>
      <c r="AR33" s="247" t="str">
        <f t="shared" si="37"/>
        <v/>
      </c>
      <c r="AS33" s="247" t="str">
        <f t="shared" si="38"/>
        <v/>
      </c>
      <c r="AT33" s="247" t="str">
        <f t="shared" si="39"/>
        <v/>
      </c>
      <c r="AV33" t="str">
        <f>IF(ISBLANK('Field information 1'!F34),"",'Field information 1'!F34)</f>
        <v/>
      </c>
      <c r="AX33" s="247" t="str" cm="1">
        <f t="array" aca="1" ref="AX33" ca="1">INDIRECT(TEXT(MIN(IF((Calc!$Z$5:$AI$104&lt;&gt;"")*(COUNTIF($AX$4:AX32,Calc!$Z$5:$AI$104)=0),ROW(Calc!$Z$5:$AI$104)*100+COLUMN(Calc!$Z$5:$AI$104),7^8)),"Calc!R0C00"),)&amp;""</f>
        <v/>
      </c>
      <c r="AY33" t="str" cm="1">
        <f t="array" aca="1" ref="AY33" ca="1">INDIRECT(TEXT(MIN(IF((Calc!$AK$5:$AT$104&lt;&gt;"")*(COUNTIF(AY$4:$AY32,Calc!$AK$5:$AT$104)=0),ROW(Calc!$AK$5:$AT$104)*100+COLUMN(Calc!$AK$5:$AT$104),7^8)),"Calc!R0C00"),)&amp;""</f>
        <v/>
      </c>
      <c r="AZ33" s="247" t="str">
        <f t="shared" ca="1" si="40"/>
        <v/>
      </c>
      <c r="BA33" s="324">
        <f t="shared" si="47"/>
        <v>29</v>
      </c>
      <c r="BB33">
        <f t="shared" ca="1" si="41"/>
        <v>0</v>
      </c>
      <c r="BC33" t="str">
        <f ca="1">IF($AX33="","",
VLOOKUP(LEFT($AX33,LEN($AX33)-2),'Field information 2'!$B$12:$P$111,11,FALSE))</f>
        <v/>
      </c>
      <c r="BD33" t="str">
        <f ca="1">IF($AX33="","",
VLOOKUP(LEFT($AX33,LEN($AX33)-2),'Field information 2'!$B$12:$P$111,13,FALSE))</f>
        <v/>
      </c>
      <c r="BE33" t="str">
        <f ca="1">IF($AX33="","",
VLOOKUP(LEFT($AX33,LEN($AX33)-2),'Field information 2'!$B$12:$P$111,15,FALSE))</f>
        <v/>
      </c>
      <c r="BF33">
        <f t="shared" ca="1" si="42"/>
        <v>0</v>
      </c>
      <c r="BG33" t="str">
        <f t="shared" ca="1" si="43"/>
        <v/>
      </c>
      <c r="BH33" s="7" t="str">
        <f ca="1">IF(OR(AX33="",'Soil results'!$D$7="",'Soil results'!$D$8=""),"",
IF('Soil results'!$D$7="LOI",
  IF('Soil results'!$D$8="mg/kg",'Soil results'!D38/10000,'Soil results'!D38),
IF('Soil results'!$D$7="Dumas",
  IF('Soil results'!$D$8="mg/kg",'Soil results'!D38*1.72/10000,'Soil results'!D38*1.72))))</f>
        <v/>
      </c>
      <c r="BI33" t="str">
        <f ca="1">IF($AX33="","",
VLOOKUP(LEFT($AX33,LEN($AX33)-2),'Field information 2'!$B$12:$I$111,8,FALSE))</f>
        <v/>
      </c>
      <c r="BJ33" t="str">
        <f ca="1">IF(BI33="","",
VLOOKUP(BI33,'Fertiliser recommendations'!$A$5:$B$62,2,FALSE))</f>
        <v/>
      </c>
      <c r="BK33" s="38" t="str">
        <f ca="1">IF($AX33="","",
IF(AND(BJ33="g",VLOOKUP(LEFT($AX33,LEN($AX33)-2),'Field information 2'!$B$12:$P$111,9,FALSE)&lt;&gt;"yes"),
IF(BG33="10-25% OM",6,IF(BG33="&gt;25% OM",12,IF(BG33="SCL; CL; ZCL; SC; ZC; C",6,IF(BG33="SL; SZL; ZL",5,IF(BG33="S; LS",4,"?"))))),
IF(OR(BJ33="a",AND(BJ33="g",VLOOKUP(LEFT($AX33,LEN($AX33)-2),'Field information 2'!$B$12:$P$111,9,FALSE)="yes")),
IF(BG33="10-25% OM",8,IF(BG33="&gt;25% OM",16,IF(BG33="SCL; CL; ZCL; SC; ZC; C",8,IF(BG33="SL; SZL; ZL",7,IF(BG33="S; LS",6,"?"))))),"")))</f>
        <v/>
      </c>
      <c r="BL33" t="str">
        <f ca="1">IF(AX33&lt;&gt;"",COUNTBLANK('Soil results'!D38:D38)+COUNTBLANK('Soil results'!F38:I38)+COUNTBLANK('Soil results'!K38:Q38),"")</f>
        <v/>
      </c>
      <c r="BM33" t="str">
        <f ca="1">IF(AX33&lt;&gt;"",
IF(OR(ISNUMBER(SEARCH("10*01*01",'Field information 2'!$M$5)),ISNUMBER(SEARCH("10*01*03",'Field information 2'!$M$5))),0.25,1),"")</f>
        <v/>
      </c>
      <c r="BN33" s="275" t="str">
        <f ca="1">IF(AX33&lt;&gt;"",
IF(COUNTIF('Soil results'!G39:G$159,"="&amp;'Soil results'!G38)+COUNTIF('Soil results'!H39:H$159,"="&amp;'Soil results'!H38)+COUNTIF('Soil results'!I39:I$159,"="&amp;'Soil results'!I38)=0,"no",
IF(MOD(COUNTIF('Soil results'!G39:G$159,"="&amp;'Soil results'!G38)+COUNTIF('Soil results'!H39:H$159,"="&amp;'Soil results'!H38)+COUNTIF('Soil results'!I39:I$159,"="&amp;'Soil results'!I38),3)=0,"yes","no")),"")</f>
        <v/>
      </c>
      <c r="BO33" s="276" t="str">
        <f t="shared" ca="1" si="44"/>
        <v/>
      </c>
      <c r="BP33" s="33"/>
      <c r="BQ33" s="276"/>
      <c r="BR33" s="276"/>
      <c r="BS33" s="276" t="str">
        <f t="shared" ca="1" si="45"/>
        <v/>
      </c>
      <c r="BT33" s="153" t="str">
        <f ca="1">IF(AX33="","",
IF(OR(Assessment!F35="limited benefit",Assessment!F35="benefit", Assessment!M35="limited benefit",Assessment!M35="benefit", Assessment!R35="limited benefit",Assessment!R35="benefit", Assessment!W35="limited benefit",Assessment!W35="benefit", Assessment!AB35="limited benefit",Assessment!AB35="benefit", AND(ISNUMBER(Assessment!AF35),Assessment!AG35="ok"), Assessment!AJ35="benefit"),"yes","no"))</f>
        <v/>
      </c>
      <c r="BV33" t="s">
        <v>573</v>
      </c>
    </row>
    <row r="34" spans="1:75" x14ac:dyDescent="0.35">
      <c r="A34" s="272">
        <f>IF(AND('Field information 2'!L41&gt;0, 'Field information 2'!M41=0),"data missing", 'Field information 2'!M41-'Field information 2'!L41)</f>
        <v>0</v>
      </c>
      <c r="B34" s="272">
        <f>IF(AND('Field information 2'!N41&gt;0,'Field information 2'!O41=0),"data missing",'Field information 2'!O41-'Field information 2'!N41)</f>
        <v>0</v>
      </c>
      <c r="C34" s="272">
        <f>IF(AND('Field information 2'!P41&gt;0, 'Field information 2'!Q41=0),"data missing",'Field information 2'!Q41-'Field information 2'!P41)</f>
        <v>0</v>
      </c>
      <c r="D34">
        <f>'Field information 2'!L41</f>
        <v>0</v>
      </c>
      <c r="E34" s="249" t="str">
        <f>IF(OR('Field information 2'!L41&gt;0,'Field information 2'!N41&gt;0,'Field information 2'!P41&gt;0),"Y","N")</f>
        <v>N</v>
      </c>
      <c r="F34" s="277" t="str">
        <f t="shared" si="12"/>
        <v/>
      </c>
      <c r="G34" t="str">
        <f>IF(OR(ISBLANK('Field information 1'!B35),AND(OR(ISBLANK('Field information 2'!L41), 'Field information 2'!L41=0),OR(ISBLANK('Field information 2'!N41), 'Field information 2'!N41=0), OR(ISBLANK('Field information 2'!P41), 'Field information 2'!P41=0))),"",
IF(ISTEXT('Field information 1'!B35), 'Field information 1'!B35, TEXT('Field information 1'!B35,"0")))</f>
        <v/>
      </c>
      <c r="H34" t="str">
        <f>IF(OR(ISBLANK('Field information 1'!B35),ISBLANK('Field information 2'!L41),ISBLANK('Field information 2'!F41)),"",'Field information 2'!F41)</f>
        <v/>
      </c>
      <c r="I34" s="91" t="str">
        <f>IF(OR(ISBLANK('Field information 1'!E35),G34=""),"",CEILING('Field information 1'!E35/10,1))</f>
        <v/>
      </c>
      <c r="J34" s="91" t="str">
        <f t="shared" si="13"/>
        <v>no</v>
      </c>
      <c r="K34" s="135" t="str">
        <f t="shared" ca="1" si="54"/>
        <v/>
      </c>
      <c r="L34" s="135" t="str">
        <f t="shared" ca="1" si="55"/>
        <v/>
      </c>
      <c r="M34" s="135" t="str">
        <f t="shared" ca="1" si="56"/>
        <v/>
      </c>
      <c r="N34" s="135" t="str">
        <f t="shared" ca="1" si="57"/>
        <v/>
      </c>
      <c r="O34" s="135" t="str">
        <f t="shared" ca="1" si="58"/>
        <v/>
      </c>
      <c r="P34" s="135" t="str">
        <f t="shared" ca="1" si="59"/>
        <v/>
      </c>
      <c r="Q34" s="135" t="str">
        <f t="shared" ca="1" si="60"/>
        <v/>
      </c>
      <c r="R34" s="135" t="str">
        <f t="shared" ca="1" si="61"/>
        <v/>
      </c>
      <c r="S34" s="135" t="str">
        <f t="shared" ca="1" si="62"/>
        <v/>
      </c>
      <c r="T34" s="135" t="str">
        <f t="shared" ca="1" si="63"/>
        <v/>
      </c>
      <c r="U34" s="49" t="str">
        <f t="shared" ca="1" si="24"/>
        <v/>
      </c>
      <c r="V34" s="7" t="str">
        <f t="shared" ca="1" si="25"/>
        <v/>
      </c>
      <c r="W34" s="7" t="str">
        <f t="shared" ca="1" si="26"/>
        <v/>
      </c>
      <c r="X34" s="7" t="str">
        <f t="shared" ca="1" si="27"/>
        <v/>
      </c>
      <c r="Y34" s="91"/>
      <c r="Z34" s="247" t="str">
        <f t="shared" si="28"/>
        <v/>
      </c>
      <c r="AA34" s="247" t="str">
        <f t="shared" ref="AA34:AI34" si="84">IF(AND(AA$4&lt;=$I34,$G34&lt;&gt;"",Z34&lt;&gt;""),$G34&amp;" "&amp;AA$3, "")</f>
        <v/>
      </c>
      <c r="AB34" s="247" t="str">
        <f t="shared" si="84"/>
        <v/>
      </c>
      <c r="AC34" s="247" t="str">
        <f t="shared" si="84"/>
        <v/>
      </c>
      <c r="AD34" s="247" t="str">
        <f t="shared" si="84"/>
        <v/>
      </c>
      <c r="AE34" s="247" t="str">
        <f t="shared" si="84"/>
        <v/>
      </c>
      <c r="AF34" s="247" t="str">
        <f t="shared" si="84"/>
        <v/>
      </c>
      <c r="AG34" s="247" t="str">
        <f t="shared" si="84"/>
        <v/>
      </c>
      <c r="AH34" s="247" t="str">
        <f t="shared" si="84"/>
        <v/>
      </c>
      <c r="AI34" s="247" t="str">
        <f t="shared" si="84"/>
        <v/>
      </c>
      <c r="AK34" s="247" t="str">
        <f t="shared" si="30"/>
        <v/>
      </c>
      <c r="AL34" s="247" t="str">
        <f t="shared" si="31"/>
        <v/>
      </c>
      <c r="AM34" s="247" t="str">
        <f t="shared" si="32"/>
        <v/>
      </c>
      <c r="AN34" s="247" t="str">
        <f t="shared" si="33"/>
        <v/>
      </c>
      <c r="AO34" s="247" t="str">
        <f t="shared" si="34"/>
        <v/>
      </c>
      <c r="AP34" s="247" t="str">
        <f t="shared" si="35"/>
        <v/>
      </c>
      <c r="AQ34" s="247" t="str">
        <f t="shared" si="36"/>
        <v/>
      </c>
      <c r="AR34" s="247" t="str">
        <f t="shared" si="37"/>
        <v/>
      </c>
      <c r="AS34" s="247" t="str">
        <f t="shared" si="38"/>
        <v/>
      </c>
      <c r="AT34" s="247" t="str">
        <f t="shared" si="39"/>
        <v/>
      </c>
      <c r="AV34" t="str">
        <f>IF(ISBLANK('Field information 1'!F35),"",'Field information 1'!F35)</f>
        <v/>
      </c>
      <c r="AX34" s="247" t="str" cm="1">
        <f t="array" aca="1" ref="AX34" ca="1">INDIRECT(TEXT(MIN(IF((Calc!$Z$5:$AI$104&lt;&gt;"")*(COUNTIF($AX$4:AX33,Calc!$Z$5:$AI$104)=0),ROW(Calc!$Z$5:$AI$104)*100+COLUMN(Calc!$Z$5:$AI$104),7^8)),"Calc!R0C00"),)&amp;""</f>
        <v/>
      </c>
      <c r="AY34" t="str" cm="1">
        <f t="array" aca="1" ref="AY34" ca="1">INDIRECT(TEXT(MIN(IF((Calc!$AK$5:$AT$104&lt;&gt;"")*(COUNTIF(AY$4:$AY33,Calc!$AK$5:$AT$104)=0),ROW(Calc!$AK$5:$AT$104)*100+COLUMN(Calc!$AK$5:$AT$104),7^8)),"Calc!R0C00"),)&amp;""</f>
        <v/>
      </c>
      <c r="AZ34" s="247" t="str">
        <f t="shared" ca="1" si="40"/>
        <v/>
      </c>
      <c r="BA34" s="324">
        <f t="shared" si="47"/>
        <v>30</v>
      </c>
      <c r="BB34">
        <f t="shared" ca="1" si="41"/>
        <v>0</v>
      </c>
      <c r="BC34" t="str">
        <f ca="1">IF($AX34="","",
VLOOKUP(LEFT($AX34,LEN($AX34)-2),'Field information 2'!$B$12:$P$111,11,FALSE))</f>
        <v/>
      </c>
      <c r="BD34" t="str">
        <f ca="1">IF($AX34="","",
VLOOKUP(LEFT($AX34,LEN($AX34)-2),'Field information 2'!$B$12:$P$111,13,FALSE))</f>
        <v/>
      </c>
      <c r="BE34" t="str">
        <f ca="1">IF($AX34="","",
VLOOKUP(LEFT($AX34,LEN($AX34)-2),'Field information 2'!$B$12:$P$111,15,FALSE))</f>
        <v/>
      </c>
      <c r="BF34">
        <f t="shared" ca="1" si="42"/>
        <v>0</v>
      </c>
      <c r="BG34" t="str">
        <f t="shared" ca="1" si="43"/>
        <v/>
      </c>
      <c r="BH34" s="7" t="str">
        <f ca="1">IF(OR(AX34="",'Soil results'!$D$7="",'Soil results'!$D$8=""),"",
IF('Soil results'!$D$7="LOI",
  IF('Soil results'!$D$8="mg/kg",'Soil results'!D39/10000,'Soil results'!D39),
IF('Soil results'!$D$7="Dumas",
  IF('Soil results'!$D$8="mg/kg",'Soil results'!D39*1.72/10000,'Soil results'!D39*1.72))))</f>
        <v/>
      </c>
      <c r="BI34" t="str">
        <f ca="1">IF($AX34="","",
VLOOKUP(LEFT($AX34,LEN($AX34)-2),'Field information 2'!$B$12:$I$111,8,FALSE))</f>
        <v/>
      </c>
      <c r="BJ34" t="str">
        <f ca="1">IF(BI34="","",
VLOOKUP(BI34,'Fertiliser recommendations'!$A$5:$B$62,2,FALSE))</f>
        <v/>
      </c>
      <c r="BK34" s="38" t="str">
        <f ca="1">IF($AX34="","",
IF(AND(BJ34="g",VLOOKUP(LEFT($AX34,LEN($AX34)-2),'Field information 2'!$B$12:$P$111,9,FALSE)&lt;&gt;"yes"),
IF(BG34="10-25% OM",6,IF(BG34="&gt;25% OM",12,IF(BG34="SCL; CL; ZCL; SC; ZC; C",6,IF(BG34="SL; SZL; ZL",5,IF(BG34="S; LS",4,"?"))))),
IF(OR(BJ34="a",AND(BJ34="g",VLOOKUP(LEFT($AX34,LEN($AX34)-2),'Field information 2'!$B$12:$P$111,9,FALSE)="yes")),
IF(BG34="10-25% OM",8,IF(BG34="&gt;25% OM",16,IF(BG34="SCL; CL; ZCL; SC; ZC; C",8,IF(BG34="SL; SZL; ZL",7,IF(BG34="S; LS",6,"?"))))),"")))</f>
        <v/>
      </c>
      <c r="BL34" t="str">
        <f ca="1">IF(AX34&lt;&gt;"",COUNTBLANK('Soil results'!D39:D39)+COUNTBLANK('Soil results'!F39:I39)+COUNTBLANK('Soil results'!K39:Q39),"")</f>
        <v/>
      </c>
      <c r="BM34" t="str">
        <f ca="1">IF(AX34&lt;&gt;"",
IF(OR(ISNUMBER(SEARCH("10*01*01",'Field information 2'!$M$5)),ISNUMBER(SEARCH("10*01*03",'Field information 2'!$M$5))),0.25,1),"")</f>
        <v/>
      </c>
      <c r="BN34" s="275" t="str">
        <f ca="1">IF(AX34&lt;&gt;"",
IF(COUNTIF('Soil results'!G40:G$159,"="&amp;'Soil results'!G39)+COUNTIF('Soil results'!H40:H$159,"="&amp;'Soil results'!H39)+COUNTIF('Soil results'!I40:I$159,"="&amp;'Soil results'!I39)=0,"no",
IF(MOD(COUNTIF('Soil results'!G40:G$159,"="&amp;'Soil results'!G39)+COUNTIF('Soil results'!H40:H$159,"="&amp;'Soil results'!H39)+COUNTIF('Soil results'!I40:I$159,"="&amp;'Soil results'!I39),3)=0,"yes","no")),"")</f>
        <v/>
      </c>
      <c r="BO34" s="276" t="str">
        <f t="shared" ca="1" si="44"/>
        <v/>
      </c>
      <c r="BP34" s="33"/>
      <c r="BQ34" s="276"/>
      <c r="BR34" s="276"/>
      <c r="BS34" s="276" t="str">
        <f t="shared" ca="1" si="45"/>
        <v/>
      </c>
      <c r="BT34" s="153" t="str">
        <f ca="1">IF(AX34="","",
IF(OR(Assessment!F36="limited benefit",Assessment!F36="benefit", Assessment!M36="limited benefit",Assessment!M36="benefit", Assessment!R36="limited benefit",Assessment!R36="benefit", Assessment!W36="limited benefit",Assessment!W36="benefit", Assessment!AB36="limited benefit",Assessment!AB36="benefit", AND(ISNUMBER(Assessment!AF36),Assessment!AG36="ok"), Assessment!AJ36="benefit"),"yes","no"))</f>
        <v/>
      </c>
      <c r="BV34" s="12" t="s">
        <v>245</v>
      </c>
      <c r="BW34" s="216" t="s">
        <v>350</v>
      </c>
    </row>
    <row r="35" spans="1:75" x14ac:dyDescent="0.35">
      <c r="A35" s="272">
        <f>IF(AND('Field information 2'!L42&gt;0, 'Field information 2'!M42=0),"data missing", 'Field information 2'!M42-'Field information 2'!L42)</f>
        <v>0</v>
      </c>
      <c r="B35" s="272">
        <f>IF(AND('Field information 2'!N42&gt;0,'Field information 2'!O42=0),"data missing",'Field information 2'!O42-'Field information 2'!N42)</f>
        <v>0</v>
      </c>
      <c r="C35" s="272">
        <f>IF(AND('Field information 2'!P42&gt;0, 'Field information 2'!Q42=0),"data missing",'Field information 2'!Q42-'Field information 2'!P42)</f>
        <v>0</v>
      </c>
      <c r="D35">
        <f>'Field information 2'!L42</f>
        <v>0</v>
      </c>
      <c r="E35" s="249" t="str">
        <f>IF(OR('Field information 2'!L42&gt;0,'Field information 2'!N42&gt;0,'Field information 2'!P42&gt;0),"Y","N")</f>
        <v>N</v>
      </c>
      <c r="F35" s="277" t="str">
        <f t="shared" si="12"/>
        <v/>
      </c>
      <c r="G35" t="str">
        <f>IF(OR(ISBLANK('Field information 1'!B36),AND(OR(ISBLANK('Field information 2'!L42), 'Field information 2'!L42=0),OR(ISBLANK('Field information 2'!N42), 'Field information 2'!N42=0), OR(ISBLANK('Field information 2'!P42), 'Field information 2'!P42=0))),"",
IF(ISTEXT('Field information 1'!B36), 'Field information 1'!B36, TEXT('Field information 1'!B36,"0")))</f>
        <v/>
      </c>
      <c r="H35" t="str">
        <f>IF(OR(ISBLANK('Field information 1'!B36),ISBLANK('Field information 2'!L42),ISBLANK('Field information 2'!F42)),"",'Field information 2'!F42)</f>
        <v/>
      </c>
      <c r="I35" s="91" t="str">
        <f>IF(OR(ISBLANK('Field information 1'!E36),G35=""),"",CEILING('Field information 1'!E36/10,1))</f>
        <v/>
      </c>
      <c r="J35" s="91" t="str">
        <f t="shared" si="13"/>
        <v>no</v>
      </c>
      <c r="K35" s="135" t="str">
        <f t="shared" ca="1" si="54"/>
        <v/>
      </c>
      <c r="L35" s="135" t="str">
        <f t="shared" ca="1" si="55"/>
        <v/>
      </c>
      <c r="M35" s="135" t="str">
        <f t="shared" ca="1" si="56"/>
        <v/>
      </c>
      <c r="N35" s="135" t="str">
        <f t="shared" ca="1" si="57"/>
        <v/>
      </c>
      <c r="O35" s="135" t="str">
        <f t="shared" ca="1" si="58"/>
        <v/>
      </c>
      <c r="P35" s="135" t="str">
        <f t="shared" ca="1" si="59"/>
        <v/>
      </c>
      <c r="Q35" s="135" t="str">
        <f t="shared" ca="1" si="60"/>
        <v/>
      </c>
      <c r="R35" s="135" t="str">
        <f t="shared" ca="1" si="61"/>
        <v/>
      </c>
      <c r="S35" s="135" t="str">
        <f t="shared" ca="1" si="62"/>
        <v/>
      </c>
      <c r="T35" s="135" t="str">
        <f t="shared" ca="1" si="63"/>
        <v/>
      </c>
      <c r="U35" s="49" t="str">
        <f t="shared" ca="1" si="24"/>
        <v/>
      </c>
      <c r="V35" s="7" t="str">
        <f t="shared" ca="1" si="25"/>
        <v/>
      </c>
      <c r="W35" s="7" t="str">
        <f t="shared" ca="1" si="26"/>
        <v/>
      </c>
      <c r="X35" s="7" t="str">
        <f t="shared" ca="1" si="27"/>
        <v/>
      </c>
      <c r="Y35" s="91"/>
      <c r="Z35" s="247" t="str">
        <f t="shared" si="28"/>
        <v/>
      </c>
      <c r="AA35" s="247" t="str">
        <f t="shared" ref="AA35:AI35" si="85">IF(AND(AA$4&lt;=$I35,$G35&lt;&gt;"",Z35&lt;&gt;""),$G35&amp;" "&amp;AA$3, "")</f>
        <v/>
      </c>
      <c r="AB35" s="247" t="str">
        <f t="shared" si="85"/>
        <v/>
      </c>
      <c r="AC35" s="247" t="str">
        <f t="shared" si="85"/>
        <v/>
      </c>
      <c r="AD35" s="247" t="str">
        <f t="shared" si="85"/>
        <v/>
      </c>
      <c r="AE35" s="247" t="str">
        <f t="shared" si="85"/>
        <v/>
      </c>
      <c r="AF35" s="247" t="str">
        <f t="shared" si="85"/>
        <v/>
      </c>
      <c r="AG35" s="247" t="str">
        <f t="shared" si="85"/>
        <v/>
      </c>
      <c r="AH35" s="247" t="str">
        <f t="shared" si="85"/>
        <v/>
      </c>
      <c r="AI35" s="247" t="str">
        <f t="shared" si="85"/>
        <v/>
      </c>
      <c r="AK35" s="247" t="str">
        <f t="shared" si="30"/>
        <v/>
      </c>
      <c r="AL35" s="247" t="str">
        <f t="shared" si="31"/>
        <v/>
      </c>
      <c r="AM35" s="247" t="str">
        <f t="shared" si="32"/>
        <v/>
      </c>
      <c r="AN35" s="247" t="str">
        <f t="shared" si="33"/>
        <v/>
      </c>
      <c r="AO35" s="247" t="str">
        <f t="shared" si="34"/>
        <v/>
      </c>
      <c r="AP35" s="247" t="str">
        <f t="shared" si="35"/>
        <v/>
      </c>
      <c r="AQ35" s="247" t="str">
        <f t="shared" si="36"/>
        <v/>
      </c>
      <c r="AR35" s="247" t="str">
        <f t="shared" si="37"/>
        <v/>
      </c>
      <c r="AS35" s="247" t="str">
        <f t="shared" si="38"/>
        <v/>
      </c>
      <c r="AT35" s="247" t="str">
        <f t="shared" si="39"/>
        <v/>
      </c>
      <c r="AV35" t="str">
        <f>IF(ISBLANK('Field information 1'!F36),"",'Field information 1'!F36)</f>
        <v/>
      </c>
      <c r="AX35" s="247" t="str" cm="1">
        <f t="array" aca="1" ref="AX35" ca="1">INDIRECT(TEXT(MIN(IF((Calc!$Z$5:$AI$104&lt;&gt;"")*(COUNTIF($AX$4:AX34,Calc!$Z$5:$AI$104)=0),ROW(Calc!$Z$5:$AI$104)*100+COLUMN(Calc!$Z$5:$AI$104),7^8)),"Calc!R0C00"),)&amp;""</f>
        <v/>
      </c>
      <c r="AY35" t="str" cm="1">
        <f t="array" aca="1" ref="AY35" ca="1">INDIRECT(TEXT(MIN(IF((Calc!$AK$5:$AT$104&lt;&gt;"")*(COUNTIF(AY$4:$AY34,Calc!$AK$5:$AT$104)=0),ROW(Calc!$AK$5:$AT$104)*100+COLUMN(Calc!$AK$5:$AT$104),7^8)),"Calc!R0C00"),)&amp;""</f>
        <v/>
      </c>
      <c r="AZ35" s="247" t="str">
        <f t="shared" ca="1" si="40"/>
        <v/>
      </c>
      <c r="BA35" s="324">
        <f t="shared" si="47"/>
        <v>31</v>
      </c>
      <c r="BB35">
        <f t="shared" ca="1" si="41"/>
        <v>0</v>
      </c>
      <c r="BC35" t="str">
        <f ca="1">IF($AX35="","",
VLOOKUP(LEFT($AX35,LEN($AX35)-2),'Field information 2'!$B$12:$P$111,11,FALSE))</f>
        <v/>
      </c>
      <c r="BD35" t="str">
        <f ca="1">IF($AX35="","",
VLOOKUP(LEFT($AX35,LEN($AX35)-2),'Field information 2'!$B$12:$P$111,13,FALSE))</f>
        <v/>
      </c>
      <c r="BE35" t="str">
        <f ca="1">IF($AX35="","",
VLOOKUP(LEFT($AX35,LEN($AX35)-2),'Field information 2'!$B$12:$P$111,15,FALSE))</f>
        <v/>
      </c>
      <c r="BF35">
        <f t="shared" ca="1" si="42"/>
        <v>0</v>
      </c>
      <c r="BG35" t="str">
        <f t="shared" ca="1" si="43"/>
        <v/>
      </c>
      <c r="BH35" s="7" t="str">
        <f ca="1">IF(OR(AX35="",'Soil results'!$D$7="",'Soil results'!$D$8=""),"",
IF('Soil results'!$D$7="LOI",
  IF('Soil results'!$D$8="mg/kg",'Soil results'!D40/10000,'Soil results'!D40),
IF('Soil results'!$D$7="Dumas",
  IF('Soil results'!$D$8="mg/kg",'Soil results'!D40*1.72/10000,'Soil results'!D40*1.72))))</f>
        <v/>
      </c>
      <c r="BI35" t="str">
        <f ca="1">IF($AX35="","",
VLOOKUP(LEFT($AX35,LEN($AX35)-2),'Field information 2'!$B$12:$I$111,8,FALSE))</f>
        <v/>
      </c>
      <c r="BJ35" t="str">
        <f ca="1">IF(BI35="","",
VLOOKUP(BI35,'Fertiliser recommendations'!$A$5:$B$62,2,FALSE))</f>
        <v/>
      </c>
      <c r="BK35" s="38" t="str">
        <f ca="1">IF($AX35="","",
IF(AND(BJ35="g",VLOOKUP(LEFT($AX35,LEN($AX35)-2),'Field information 2'!$B$12:$P$111,9,FALSE)&lt;&gt;"yes"),
IF(BG35="10-25% OM",6,IF(BG35="&gt;25% OM",12,IF(BG35="SCL; CL; ZCL; SC; ZC; C",6,IF(BG35="SL; SZL; ZL",5,IF(BG35="S; LS",4,"?"))))),
IF(OR(BJ35="a",AND(BJ35="g",VLOOKUP(LEFT($AX35,LEN($AX35)-2),'Field information 2'!$B$12:$P$111,9,FALSE)="yes")),
IF(BG35="10-25% OM",8,IF(BG35="&gt;25% OM",16,IF(BG35="SCL; CL; ZCL; SC; ZC; C",8,IF(BG35="SL; SZL; ZL",7,IF(BG35="S; LS",6,"?"))))),"")))</f>
        <v/>
      </c>
      <c r="BL35" t="str">
        <f ca="1">IF(AX35&lt;&gt;"",COUNTBLANK('Soil results'!D40:D40)+COUNTBLANK('Soil results'!F40:I40)+COUNTBLANK('Soil results'!K40:Q40),"")</f>
        <v/>
      </c>
      <c r="BM35" t="str">
        <f ca="1">IF(AX35&lt;&gt;"",
IF(OR(ISNUMBER(SEARCH("10*01*01",'Field information 2'!$M$5)),ISNUMBER(SEARCH("10*01*03",'Field information 2'!$M$5))),0.25,1),"")</f>
        <v/>
      </c>
      <c r="BN35" s="275" t="str">
        <f ca="1">IF(AX35&lt;&gt;"",
IF(COUNTIF('Soil results'!G41:G$159,"="&amp;'Soil results'!G40)+COUNTIF('Soil results'!H41:H$159,"="&amp;'Soil results'!H40)+COUNTIF('Soil results'!I41:I$159,"="&amp;'Soil results'!I40)=0,"no",
IF(MOD(COUNTIF('Soil results'!G41:G$159,"="&amp;'Soil results'!G40)+COUNTIF('Soil results'!H41:H$159,"="&amp;'Soil results'!H40)+COUNTIF('Soil results'!I41:I$159,"="&amp;'Soil results'!I40),3)=0,"yes","no")),"")</f>
        <v/>
      </c>
      <c r="BO35" s="276" t="str">
        <f t="shared" ca="1" si="44"/>
        <v/>
      </c>
      <c r="BP35" s="33"/>
      <c r="BQ35" s="276"/>
      <c r="BR35" s="276"/>
      <c r="BS35" s="276" t="str">
        <f t="shared" ca="1" si="45"/>
        <v/>
      </c>
      <c r="BT35" s="153" t="str">
        <f ca="1">IF(AX35="","",
IF(OR(Assessment!F37="limited benefit",Assessment!F37="benefit", Assessment!M37="limited benefit",Assessment!M37="benefit", Assessment!R37="limited benefit",Assessment!R37="benefit", Assessment!W37="limited benefit",Assessment!W37="benefit", Assessment!AB37="limited benefit",Assessment!AB37="benefit", AND(ISNUMBER(Assessment!AF37),Assessment!AG37="ok"), Assessment!AJ37="benefit"),"yes","no"))</f>
        <v/>
      </c>
      <c r="BV35" s="12" t="s">
        <v>248</v>
      </c>
      <c r="BW35" t="s">
        <v>351</v>
      </c>
    </row>
    <row r="36" spans="1:75" x14ac:dyDescent="0.35">
      <c r="A36" s="272">
        <f>IF(AND('Field information 2'!L43&gt;0, 'Field information 2'!M43=0),"data missing", 'Field information 2'!M43-'Field information 2'!L43)</f>
        <v>0</v>
      </c>
      <c r="B36" s="272">
        <f>IF(AND('Field information 2'!N43&gt;0,'Field information 2'!O43=0),"data missing",'Field information 2'!O43-'Field information 2'!N43)</f>
        <v>0</v>
      </c>
      <c r="C36" s="272">
        <f>IF(AND('Field information 2'!P43&gt;0, 'Field information 2'!Q43=0),"data missing",'Field information 2'!Q43-'Field information 2'!P43)</f>
        <v>0</v>
      </c>
      <c r="D36">
        <f>'Field information 2'!L43</f>
        <v>0</v>
      </c>
      <c r="E36" s="249" t="str">
        <f>IF(OR('Field information 2'!L43&gt;0,'Field information 2'!N43&gt;0,'Field information 2'!P43&gt;0),"Y","N")</f>
        <v>N</v>
      </c>
      <c r="F36" s="277" t="str">
        <f t="shared" si="12"/>
        <v/>
      </c>
      <c r="G36" t="str">
        <f>IF(OR(ISBLANK('Field information 1'!B37),AND(OR(ISBLANK('Field information 2'!L43), 'Field information 2'!L43=0),OR(ISBLANK('Field information 2'!N43), 'Field information 2'!N43=0), OR(ISBLANK('Field information 2'!P43), 'Field information 2'!P43=0))),"",
IF(ISTEXT('Field information 1'!B37), 'Field information 1'!B37, TEXT('Field information 1'!B37,"0")))</f>
        <v/>
      </c>
      <c r="H36" t="str">
        <f>IF(OR(ISBLANK('Field information 1'!B37),ISBLANK('Field information 2'!L43),ISBLANK('Field information 2'!F43)),"",'Field information 2'!F43)</f>
        <v/>
      </c>
      <c r="I36" s="91" t="str">
        <f>IF(OR(ISBLANK('Field information 1'!E37),G36=""),"",CEILING('Field information 1'!E37/10,1))</f>
        <v/>
      </c>
      <c r="J36" s="91" t="str">
        <f t="shared" si="13"/>
        <v>no</v>
      </c>
      <c r="K36" s="135" t="str">
        <f t="shared" ca="1" si="54"/>
        <v/>
      </c>
      <c r="L36" s="135" t="str">
        <f t="shared" ca="1" si="55"/>
        <v/>
      </c>
      <c r="M36" s="135" t="str">
        <f t="shared" ca="1" si="56"/>
        <v/>
      </c>
      <c r="N36" s="135" t="str">
        <f t="shared" ca="1" si="57"/>
        <v/>
      </c>
      <c r="O36" s="135" t="str">
        <f t="shared" ca="1" si="58"/>
        <v/>
      </c>
      <c r="P36" s="135" t="str">
        <f t="shared" ca="1" si="59"/>
        <v/>
      </c>
      <c r="Q36" s="135" t="str">
        <f t="shared" ca="1" si="60"/>
        <v/>
      </c>
      <c r="R36" s="135" t="str">
        <f t="shared" ca="1" si="61"/>
        <v/>
      </c>
      <c r="S36" s="135" t="str">
        <f t="shared" ca="1" si="62"/>
        <v/>
      </c>
      <c r="T36" s="135" t="str">
        <f t="shared" ca="1" si="63"/>
        <v/>
      </c>
      <c r="U36" s="49" t="str">
        <f t="shared" ca="1" si="24"/>
        <v/>
      </c>
      <c r="V36" s="7" t="str">
        <f t="shared" ca="1" si="25"/>
        <v/>
      </c>
      <c r="W36" s="7" t="str">
        <f t="shared" ca="1" si="26"/>
        <v/>
      </c>
      <c r="X36" s="7" t="str">
        <f t="shared" ca="1" si="27"/>
        <v/>
      </c>
      <c r="Y36" s="91"/>
      <c r="Z36" s="247" t="str">
        <f t="shared" si="28"/>
        <v/>
      </c>
      <c r="AA36" s="247" t="str">
        <f t="shared" ref="AA36:AI36" si="86">IF(AND(AA$4&lt;=$I36,$G36&lt;&gt;"",Z36&lt;&gt;""),$G36&amp;" "&amp;AA$3, "")</f>
        <v/>
      </c>
      <c r="AB36" s="247" t="str">
        <f t="shared" si="86"/>
        <v/>
      </c>
      <c r="AC36" s="247" t="str">
        <f t="shared" si="86"/>
        <v/>
      </c>
      <c r="AD36" s="247" t="str">
        <f t="shared" si="86"/>
        <v/>
      </c>
      <c r="AE36" s="247" t="str">
        <f t="shared" si="86"/>
        <v/>
      </c>
      <c r="AF36" s="247" t="str">
        <f t="shared" si="86"/>
        <v/>
      </c>
      <c r="AG36" s="247" t="str">
        <f t="shared" si="86"/>
        <v/>
      </c>
      <c r="AH36" s="247" t="str">
        <f t="shared" si="86"/>
        <v/>
      </c>
      <c r="AI36" s="247" t="str">
        <f t="shared" si="86"/>
        <v/>
      </c>
      <c r="AK36" s="247" t="str">
        <f t="shared" si="30"/>
        <v/>
      </c>
      <c r="AL36" s="247" t="str">
        <f t="shared" si="31"/>
        <v/>
      </c>
      <c r="AM36" s="247" t="str">
        <f t="shared" si="32"/>
        <v/>
      </c>
      <c r="AN36" s="247" t="str">
        <f t="shared" si="33"/>
        <v/>
      </c>
      <c r="AO36" s="247" t="str">
        <f t="shared" si="34"/>
        <v/>
      </c>
      <c r="AP36" s="247" t="str">
        <f t="shared" si="35"/>
        <v/>
      </c>
      <c r="AQ36" s="247" t="str">
        <f t="shared" si="36"/>
        <v/>
      </c>
      <c r="AR36" s="247" t="str">
        <f t="shared" si="37"/>
        <v/>
      </c>
      <c r="AS36" s="247" t="str">
        <f t="shared" si="38"/>
        <v/>
      </c>
      <c r="AT36" s="247" t="str">
        <f t="shared" si="39"/>
        <v/>
      </c>
      <c r="AV36" t="str">
        <f>IF(ISBLANK('Field information 1'!F37),"",'Field information 1'!F37)</f>
        <v/>
      </c>
      <c r="AX36" s="247" t="str" cm="1">
        <f t="array" aca="1" ref="AX36" ca="1">INDIRECT(TEXT(MIN(IF((Calc!$Z$5:$AI$104&lt;&gt;"")*(COUNTIF($AX$4:AX35,Calc!$Z$5:$AI$104)=0),ROW(Calc!$Z$5:$AI$104)*100+COLUMN(Calc!$Z$5:$AI$104),7^8)),"Calc!R0C00"),)&amp;""</f>
        <v/>
      </c>
      <c r="AY36" t="str" cm="1">
        <f t="array" aca="1" ref="AY36" ca="1">INDIRECT(TEXT(MIN(IF((Calc!$AK$5:$AT$104&lt;&gt;"")*(COUNTIF(AY$4:$AY35,Calc!$AK$5:$AT$104)=0),ROW(Calc!$AK$5:$AT$104)*100+COLUMN(Calc!$AK$5:$AT$104),7^8)),"Calc!R0C00"),)&amp;""</f>
        <v/>
      </c>
      <c r="AZ36" s="247" t="str">
        <f t="shared" ca="1" si="40"/>
        <v/>
      </c>
      <c r="BA36" s="324">
        <f t="shared" si="47"/>
        <v>32</v>
      </c>
      <c r="BB36">
        <f t="shared" ca="1" si="41"/>
        <v>0</v>
      </c>
      <c r="BC36" t="str">
        <f ca="1">IF($AX36="","",
VLOOKUP(LEFT($AX36,LEN($AX36)-2),'Field information 2'!$B$12:$P$111,11,FALSE))</f>
        <v/>
      </c>
      <c r="BD36" t="str">
        <f ca="1">IF($AX36="","",
VLOOKUP(LEFT($AX36,LEN($AX36)-2),'Field information 2'!$B$12:$P$111,13,FALSE))</f>
        <v/>
      </c>
      <c r="BE36" t="str">
        <f ca="1">IF($AX36="","",
VLOOKUP(LEFT($AX36,LEN($AX36)-2),'Field information 2'!$B$12:$P$111,15,FALSE))</f>
        <v/>
      </c>
      <c r="BF36">
        <f t="shared" ca="1" si="42"/>
        <v>0</v>
      </c>
      <c r="BG36" t="str">
        <f t="shared" ca="1" si="43"/>
        <v/>
      </c>
      <c r="BH36" s="7" t="str">
        <f ca="1">IF(OR(AX36="",'Soil results'!$D$7="",'Soil results'!$D$8=""),"",
IF('Soil results'!$D$7="LOI",
  IF('Soil results'!$D$8="mg/kg",'Soil results'!D41/10000,'Soil results'!D41),
IF('Soil results'!$D$7="Dumas",
  IF('Soil results'!$D$8="mg/kg",'Soil results'!D41*1.72/10000,'Soil results'!D41*1.72))))</f>
        <v/>
      </c>
      <c r="BI36" t="str">
        <f ca="1">IF($AX36="","",
VLOOKUP(LEFT($AX36,LEN($AX36)-2),'Field information 2'!$B$12:$I$111,8,FALSE))</f>
        <v/>
      </c>
      <c r="BJ36" t="str">
        <f ca="1">IF(BI36="","",
VLOOKUP(BI36,'Fertiliser recommendations'!$A$5:$B$62,2,FALSE))</f>
        <v/>
      </c>
      <c r="BK36" s="38" t="str">
        <f ca="1">IF($AX36="","",
IF(AND(BJ36="g",VLOOKUP(LEFT($AX36,LEN($AX36)-2),'Field information 2'!$B$12:$P$111,9,FALSE)&lt;&gt;"yes"),
IF(BG36="10-25% OM",6,IF(BG36="&gt;25% OM",12,IF(BG36="SCL; CL; ZCL; SC; ZC; C",6,IF(BG36="SL; SZL; ZL",5,IF(BG36="S; LS",4,"?"))))),
IF(OR(BJ36="a",AND(BJ36="g",VLOOKUP(LEFT($AX36,LEN($AX36)-2),'Field information 2'!$B$12:$P$111,9,FALSE)="yes")),
IF(BG36="10-25% OM",8,IF(BG36="&gt;25% OM",16,IF(BG36="SCL; CL; ZCL; SC; ZC; C",8,IF(BG36="SL; SZL; ZL",7,IF(BG36="S; LS",6,"?"))))),"")))</f>
        <v/>
      </c>
      <c r="BL36" t="str">
        <f ca="1">IF(AX36&lt;&gt;"",COUNTBLANK('Soil results'!D41:D41)+COUNTBLANK('Soil results'!F41:I41)+COUNTBLANK('Soil results'!K41:Q41),"")</f>
        <v/>
      </c>
      <c r="BM36" t="str">
        <f ca="1">IF(AX36&lt;&gt;"",
IF(OR(ISNUMBER(SEARCH("10*01*01",'Field information 2'!$M$5)),ISNUMBER(SEARCH("10*01*03",'Field information 2'!$M$5))),0.25,1),"")</f>
        <v/>
      </c>
      <c r="BN36" s="275" t="str">
        <f ca="1">IF(AX36&lt;&gt;"",
IF(COUNTIF('Soil results'!G42:G$159,"="&amp;'Soil results'!G41)+COUNTIF('Soil results'!H42:H$159,"="&amp;'Soil results'!H41)+COUNTIF('Soil results'!I42:I$159,"="&amp;'Soil results'!I41)=0,"no",
IF(MOD(COUNTIF('Soil results'!G42:G$159,"="&amp;'Soil results'!G41)+COUNTIF('Soil results'!H42:H$159,"="&amp;'Soil results'!H41)+COUNTIF('Soil results'!I42:I$159,"="&amp;'Soil results'!I41),3)=0,"yes","no")),"")</f>
        <v/>
      </c>
      <c r="BO36" s="276" t="str">
        <f t="shared" ca="1" si="44"/>
        <v/>
      </c>
      <c r="BP36" s="33"/>
      <c r="BQ36" s="276"/>
      <c r="BR36" s="276"/>
      <c r="BS36" s="276" t="str">
        <f t="shared" ca="1" si="45"/>
        <v/>
      </c>
      <c r="BT36" s="153" t="str">
        <f ca="1">IF(AX36="","",
IF(OR(Assessment!F38="limited benefit",Assessment!F38="benefit", Assessment!M38="limited benefit",Assessment!M38="benefit", Assessment!R38="limited benefit",Assessment!R38="benefit", Assessment!W38="limited benefit",Assessment!W38="benefit", Assessment!AB38="limited benefit",Assessment!AB38="benefit", AND(ISNUMBER(Assessment!AF38),Assessment!AG38="ok"), Assessment!AJ38="benefit"),"yes","no"))</f>
        <v/>
      </c>
      <c r="BV36" s="12" t="s">
        <v>249</v>
      </c>
      <c r="BW36" t="s">
        <v>352</v>
      </c>
    </row>
    <row r="37" spans="1:75" x14ac:dyDescent="0.35">
      <c r="A37" s="272">
        <f>IF(AND('Field information 2'!L44&gt;0, 'Field information 2'!M44=0),"data missing", 'Field information 2'!M44-'Field information 2'!L44)</f>
        <v>0</v>
      </c>
      <c r="B37" s="272">
        <f>IF(AND('Field information 2'!N44&gt;0,'Field information 2'!O44=0),"data missing",'Field information 2'!O44-'Field information 2'!N44)</f>
        <v>0</v>
      </c>
      <c r="C37" s="272">
        <f>IF(AND('Field information 2'!P44&gt;0, 'Field information 2'!Q44=0),"data missing",'Field information 2'!Q44-'Field information 2'!P44)</f>
        <v>0</v>
      </c>
      <c r="D37">
        <f>'Field information 2'!L44</f>
        <v>0</v>
      </c>
      <c r="E37" s="249" t="str">
        <f>IF(OR('Field information 2'!L44&gt;0,'Field information 2'!N44&gt;0,'Field information 2'!P44&gt;0),"Y","N")</f>
        <v>N</v>
      </c>
      <c r="F37" s="277" t="str">
        <f t="shared" si="12"/>
        <v/>
      </c>
      <c r="G37" t="str">
        <f>IF(OR(ISBLANK('Field information 1'!B38),AND(OR(ISBLANK('Field information 2'!L44), 'Field information 2'!L44=0),OR(ISBLANK('Field information 2'!N44), 'Field information 2'!N44=0), OR(ISBLANK('Field information 2'!P44), 'Field information 2'!P44=0))),"",
IF(ISTEXT('Field information 1'!B38), 'Field information 1'!B38, TEXT('Field information 1'!B38,"0")))</f>
        <v/>
      </c>
      <c r="H37" t="str">
        <f>IF(OR(ISBLANK('Field information 1'!B38),ISBLANK('Field information 2'!L44),ISBLANK('Field information 2'!F44)),"",'Field information 2'!F44)</f>
        <v/>
      </c>
      <c r="I37" s="91" t="str">
        <f>IF(OR(ISBLANK('Field information 1'!E38),G37=""),"",CEILING('Field information 1'!E38/10,1))</f>
        <v/>
      </c>
      <c r="J37" s="91" t="str">
        <f t="shared" si="13"/>
        <v>no</v>
      </c>
      <c r="K37" s="135" t="str">
        <f t="shared" ca="1" si="54"/>
        <v/>
      </c>
      <c r="L37" s="135" t="str">
        <f t="shared" ca="1" si="55"/>
        <v/>
      </c>
      <c r="M37" s="135" t="str">
        <f t="shared" ca="1" si="56"/>
        <v/>
      </c>
      <c r="N37" s="135" t="str">
        <f t="shared" ca="1" si="57"/>
        <v/>
      </c>
      <c r="O37" s="135" t="str">
        <f t="shared" ca="1" si="58"/>
        <v/>
      </c>
      <c r="P37" s="135" t="str">
        <f t="shared" ca="1" si="59"/>
        <v/>
      </c>
      <c r="Q37" s="135" t="str">
        <f t="shared" ca="1" si="60"/>
        <v/>
      </c>
      <c r="R37" s="135" t="str">
        <f t="shared" ca="1" si="61"/>
        <v/>
      </c>
      <c r="S37" s="135" t="str">
        <f t="shared" ca="1" si="62"/>
        <v/>
      </c>
      <c r="T37" s="135" t="str">
        <f t="shared" ca="1" si="63"/>
        <v/>
      </c>
      <c r="U37" s="49" t="str">
        <f t="shared" ca="1" si="24"/>
        <v/>
      </c>
      <c r="V37" s="7" t="str">
        <f t="shared" ca="1" si="25"/>
        <v/>
      </c>
      <c r="W37" s="7" t="str">
        <f t="shared" ca="1" si="26"/>
        <v/>
      </c>
      <c r="X37" s="7" t="str">
        <f t="shared" ca="1" si="27"/>
        <v/>
      </c>
      <c r="Y37" s="91"/>
      <c r="Z37" s="247" t="str">
        <f t="shared" ref="Z37:Z54" si="87">IF(AND(Z$4&lt;=$I37,$G37&lt;&gt;"",I37&lt;&gt;""),$G37&amp;" "&amp;Z$3, "")</f>
        <v/>
      </c>
      <c r="AA37" s="247" t="str">
        <f t="shared" ref="AA37:AI37" si="88">IF(AND(AA$4&lt;=$I37,$G37&lt;&gt;"",Z37&lt;&gt;""),$G37&amp;" "&amp;AA$3, "")</f>
        <v/>
      </c>
      <c r="AB37" s="247" t="str">
        <f t="shared" si="88"/>
        <v/>
      </c>
      <c r="AC37" s="247" t="str">
        <f t="shared" si="88"/>
        <v/>
      </c>
      <c r="AD37" s="247" t="str">
        <f t="shared" si="88"/>
        <v/>
      </c>
      <c r="AE37" s="247" t="str">
        <f t="shared" si="88"/>
        <v/>
      </c>
      <c r="AF37" s="247" t="str">
        <f t="shared" si="88"/>
        <v/>
      </c>
      <c r="AG37" s="247" t="str">
        <f t="shared" si="88"/>
        <v/>
      </c>
      <c r="AH37" s="247" t="str">
        <f t="shared" si="88"/>
        <v/>
      </c>
      <c r="AI37" s="247" t="str">
        <f t="shared" si="88"/>
        <v/>
      </c>
      <c r="AK37" s="247" t="str">
        <f t="shared" si="30"/>
        <v/>
      </c>
      <c r="AL37" s="247" t="str">
        <f t="shared" si="31"/>
        <v/>
      </c>
      <c r="AM37" s="247" t="str">
        <f t="shared" si="32"/>
        <v/>
      </c>
      <c r="AN37" s="247" t="str">
        <f t="shared" si="33"/>
        <v/>
      </c>
      <c r="AO37" s="247" t="str">
        <f t="shared" si="34"/>
        <v/>
      </c>
      <c r="AP37" s="247" t="str">
        <f t="shared" si="35"/>
        <v/>
      </c>
      <c r="AQ37" s="247" t="str">
        <f t="shared" si="36"/>
        <v/>
      </c>
      <c r="AR37" s="247" t="str">
        <f t="shared" si="37"/>
        <v/>
      </c>
      <c r="AS37" s="247" t="str">
        <f t="shared" si="38"/>
        <v/>
      </c>
      <c r="AT37" s="247" t="str">
        <f t="shared" si="39"/>
        <v/>
      </c>
      <c r="AV37" t="str">
        <f>IF(ISBLANK('Field information 1'!F38),"",'Field information 1'!F38)</f>
        <v/>
      </c>
      <c r="AX37" s="247" t="str" cm="1">
        <f t="array" aca="1" ref="AX37" ca="1">INDIRECT(TEXT(MIN(IF((Calc!$Z$5:$AI$104&lt;&gt;"")*(COUNTIF($AX$4:AX36,Calc!$Z$5:$AI$104)=0),ROW(Calc!$Z$5:$AI$104)*100+COLUMN(Calc!$Z$5:$AI$104),7^8)),"Calc!R0C00"),)&amp;""</f>
        <v/>
      </c>
      <c r="AY37" t="str" cm="1">
        <f t="array" aca="1" ref="AY37" ca="1">INDIRECT(TEXT(MIN(IF((Calc!$AK$5:$AT$104&lt;&gt;"")*(COUNTIF(AY$4:$AY36,Calc!$AK$5:$AT$104)=0),ROW(Calc!$AK$5:$AT$104)*100+COLUMN(Calc!$AK$5:$AT$104),7^8)),"Calc!R0C00"),)&amp;""</f>
        <v/>
      </c>
      <c r="AZ37" s="247" t="str">
        <f t="shared" ca="1" si="40"/>
        <v/>
      </c>
      <c r="BA37" s="324">
        <f t="shared" si="47"/>
        <v>33</v>
      </c>
      <c r="BB37">
        <f t="shared" ca="1" si="41"/>
        <v>0</v>
      </c>
      <c r="BC37" t="str">
        <f ca="1">IF($AX37="","",
VLOOKUP(LEFT($AX37,LEN($AX37)-2),'Field information 2'!$B$12:$P$111,11,FALSE))</f>
        <v/>
      </c>
      <c r="BD37" t="str">
        <f ca="1">IF($AX37="","",
VLOOKUP(LEFT($AX37,LEN($AX37)-2),'Field information 2'!$B$12:$P$111,13,FALSE))</f>
        <v/>
      </c>
      <c r="BE37" t="str">
        <f ca="1">IF($AX37="","",
VLOOKUP(LEFT($AX37,LEN($AX37)-2),'Field information 2'!$B$12:$P$111,15,FALSE))</f>
        <v/>
      </c>
      <c r="BF37">
        <f t="shared" ca="1" si="42"/>
        <v>0</v>
      </c>
      <c r="BG37" t="str">
        <f t="shared" ca="1" si="43"/>
        <v/>
      </c>
      <c r="BH37" s="7" t="str">
        <f ca="1">IF(OR(AX37="",'Soil results'!$D$7="",'Soil results'!$D$8=""),"",
IF('Soil results'!$D$7="LOI",
  IF('Soil results'!$D$8="mg/kg",'Soil results'!D42/10000,'Soil results'!D42),
IF('Soil results'!$D$7="Dumas",
  IF('Soil results'!$D$8="mg/kg",'Soil results'!D42*1.72/10000,'Soil results'!D42*1.72))))</f>
        <v/>
      </c>
      <c r="BI37" t="str">
        <f ca="1">IF($AX37="","",
VLOOKUP(LEFT($AX37,LEN($AX37)-2),'Field information 2'!$B$12:$I$111,8,FALSE))</f>
        <v/>
      </c>
      <c r="BJ37" t="str">
        <f ca="1">IF(BI37="","",
VLOOKUP(BI37,'Fertiliser recommendations'!$A$5:$B$62,2,FALSE))</f>
        <v/>
      </c>
      <c r="BK37" s="38" t="str">
        <f ca="1">IF($AX37="","",
IF(AND(BJ37="g",VLOOKUP(LEFT($AX37,LEN($AX37)-2),'Field information 2'!$B$12:$P$111,9,FALSE)&lt;&gt;"yes"),
IF(BG37="10-25% OM",6,IF(BG37="&gt;25% OM",12,IF(BG37="SCL; CL; ZCL; SC; ZC; C",6,IF(BG37="SL; SZL; ZL",5,IF(BG37="S; LS",4,"?"))))),
IF(OR(BJ37="a",AND(BJ37="g",VLOOKUP(LEFT($AX37,LEN($AX37)-2),'Field information 2'!$B$12:$P$111,9,FALSE)="yes")),
IF(BG37="10-25% OM",8,IF(BG37="&gt;25% OM",16,IF(BG37="SCL; CL; ZCL; SC; ZC; C",8,IF(BG37="SL; SZL; ZL",7,IF(BG37="S; LS",6,"?"))))),"")))</f>
        <v/>
      </c>
      <c r="BL37" t="str">
        <f ca="1">IF(AX37&lt;&gt;"",COUNTBLANK('Soil results'!D42:D42)+COUNTBLANK('Soil results'!F42:I42)+COUNTBLANK('Soil results'!K42:Q42),"")</f>
        <v/>
      </c>
      <c r="BM37" t="str">
        <f ca="1">IF(AX37&lt;&gt;"",
IF(OR(ISNUMBER(SEARCH("10*01*01",'Field information 2'!$M$5)),ISNUMBER(SEARCH("10*01*03",'Field information 2'!$M$5))),0.25,1),"")</f>
        <v/>
      </c>
      <c r="BN37" s="275" t="str">
        <f ca="1">IF(AX37&lt;&gt;"",
IF(COUNTIF('Soil results'!G43:G$159,"="&amp;'Soil results'!G42)+COUNTIF('Soil results'!H43:H$159,"="&amp;'Soil results'!H42)+COUNTIF('Soil results'!I43:I$159,"="&amp;'Soil results'!I42)=0,"no",
IF(MOD(COUNTIF('Soil results'!G43:G$159,"="&amp;'Soil results'!G42)+COUNTIF('Soil results'!H43:H$159,"="&amp;'Soil results'!H42)+COUNTIF('Soil results'!I43:I$159,"="&amp;'Soil results'!I42),3)=0,"yes","no")),"")</f>
        <v/>
      </c>
      <c r="BO37" s="276" t="str">
        <f t="shared" ca="1" si="44"/>
        <v/>
      </c>
      <c r="BP37" s="33"/>
      <c r="BQ37" s="276"/>
      <c r="BR37" s="276"/>
      <c r="BS37" s="276" t="str">
        <f t="shared" ca="1" si="45"/>
        <v/>
      </c>
      <c r="BT37" s="153" t="str">
        <f ca="1">IF(AX37="","",
IF(OR(Assessment!F39="limited benefit",Assessment!F39="benefit", Assessment!M39="limited benefit",Assessment!M39="benefit", Assessment!R39="limited benefit",Assessment!R39="benefit", Assessment!W39="limited benefit",Assessment!W39="benefit", Assessment!AB39="limited benefit",Assessment!AB39="benefit", AND(ISNUMBER(Assessment!AF39),Assessment!AG39="ok"), Assessment!AJ39="benefit"),"yes","no"))</f>
        <v/>
      </c>
      <c r="BV37" s="12" t="s">
        <v>250</v>
      </c>
      <c r="BW37" t="s">
        <v>353</v>
      </c>
    </row>
    <row r="38" spans="1:75" x14ac:dyDescent="0.35">
      <c r="A38" s="272">
        <f>IF(AND('Field information 2'!L45&gt;0, 'Field information 2'!M45=0),"data missing", 'Field information 2'!M45-'Field information 2'!L45)</f>
        <v>0</v>
      </c>
      <c r="B38" s="272">
        <f>IF(AND('Field information 2'!N45&gt;0,'Field information 2'!O45=0),"data missing",'Field information 2'!O45-'Field information 2'!N45)</f>
        <v>0</v>
      </c>
      <c r="C38" s="272">
        <f>IF(AND('Field information 2'!P45&gt;0, 'Field information 2'!Q45=0),"data missing",'Field information 2'!Q45-'Field information 2'!P45)</f>
        <v>0</v>
      </c>
      <c r="D38">
        <f>'Field information 2'!L45</f>
        <v>0</v>
      </c>
      <c r="E38" s="249" t="str">
        <f>IF(OR('Field information 2'!L45&gt;0,'Field information 2'!N45&gt;0,'Field information 2'!P45&gt;0),"Y","N")</f>
        <v>N</v>
      </c>
      <c r="F38" s="277" t="str">
        <f t="shared" si="12"/>
        <v/>
      </c>
      <c r="G38" t="str">
        <f>IF(OR(ISBLANK('Field information 1'!B39),AND(OR(ISBLANK('Field information 2'!L45), 'Field information 2'!L45=0),OR(ISBLANK('Field information 2'!N45), 'Field information 2'!N45=0), OR(ISBLANK('Field information 2'!P45), 'Field information 2'!P45=0))),"",
IF(ISTEXT('Field information 1'!B39), 'Field information 1'!B39, TEXT('Field information 1'!B39,"0")))</f>
        <v/>
      </c>
      <c r="H38" t="str">
        <f>IF(OR(ISBLANK('Field information 1'!B39),ISBLANK('Field information 2'!L45),ISBLANK('Field information 2'!F45)),"",'Field information 2'!F45)</f>
        <v/>
      </c>
      <c r="I38" s="91" t="str">
        <f>IF(OR(ISBLANK('Field information 1'!E39),G38=""),"",CEILING('Field information 1'!E39/10,1))</f>
        <v/>
      </c>
      <c r="J38" s="91" t="str">
        <f t="shared" si="13"/>
        <v>no</v>
      </c>
      <c r="K38" s="135" t="str">
        <f t="shared" ca="1" si="54"/>
        <v/>
      </c>
      <c r="L38" s="135" t="str">
        <f t="shared" ca="1" si="55"/>
        <v/>
      </c>
      <c r="M38" s="135" t="str">
        <f t="shared" ca="1" si="56"/>
        <v/>
      </c>
      <c r="N38" s="135" t="str">
        <f t="shared" ca="1" si="57"/>
        <v/>
      </c>
      <c r="O38" s="135" t="str">
        <f t="shared" ca="1" si="58"/>
        <v/>
      </c>
      <c r="P38" s="135" t="str">
        <f t="shared" ca="1" si="59"/>
        <v/>
      </c>
      <c r="Q38" s="135" t="str">
        <f t="shared" ca="1" si="60"/>
        <v/>
      </c>
      <c r="R38" s="135" t="str">
        <f t="shared" ca="1" si="61"/>
        <v/>
      </c>
      <c r="S38" s="135" t="str">
        <f t="shared" ca="1" si="62"/>
        <v/>
      </c>
      <c r="T38" s="135" t="str">
        <f t="shared" ca="1" si="63"/>
        <v/>
      </c>
      <c r="U38" s="49" t="str">
        <f t="shared" ca="1" si="24"/>
        <v/>
      </c>
      <c r="V38" s="7" t="str">
        <f t="shared" ca="1" si="25"/>
        <v/>
      </c>
      <c r="W38" s="7" t="str">
        <f t="shared" ca="1" si="26"/>
        <v/>
      </c>
      <c r="X38" s="7" t="str">
        <f t="shared" ca="1" si="27"/>
        <v/>
      </c>
      <c r="Y38" s="91"/>
      <c r="Z38" s="247" t="str">
        <f t="shared" si="87"/>
        <v/>
      </c>
      <c r="AA38" s="247" t="str">
        <f t="shared" ref="AA38:AI38" si="89">IF(AND(AA$4&lt;=$I38,$G38&lt;&gt;"",Z38&lt;&gt;""),$G38&amp;" "&amp;AA$3, "")</f>
        <v/>
      </c>
      <c r="AB38" s="247" t="str">
        <f t="shared" si="89"/>
        <v/>
      </c>
      <c r="AC38" s="247" t="str">
        <f t="shared" si="89"/>
        <v/>
      </c>
      <c r="AD38" s="247" t="str">
        <f t="shared" si="89"/>
        <v/>
      </c>
      <c r="AE38" s="247" t="str">
        <f t="shared" si="89"/>
        <v/>
      </c>
      <c r="AF38" s="247" t="str">
        <f t="shared" si="89"/>
        <v/>
      </c>
      <c r="AG38" s="247" t="str">
        <f t="shared" si="89"/>
        <v/>
      </c>
      <c r="AH38" s="247" t="str">
        <f t="shared" si="89"/>
        <v/>
      </c>
      <c r="AI38" s="247" t="str">
        <f t="shared" si="89"/>
        <v/>
      </c>
      <c r="AK38" s="247" t="str">
        <f t="shared" si="30"/>
        <v/>
      </c>
      <c r="AL38" s="247" t="str">
        <f t="shared" si="31"/>
        <v/>
      </c>
      <c r="AM38" s="247" t="str">
        <f t="shared" si="32"/>
        <v/>
      </c>
      <c r="AN38" s="247" t="str">
        <f t="shared" si="33"/>
        <v/>
      </c>
      <c r="AO38" s="247" t="str">
        <f t="shared" si="34"/>
        <v/>
      </c>
      <c r="AP38" s="247" t="str">
        <f t="shared" si="35"/>
        <v/>
      </c>
      <c r="AQ38" s="247" t="str">
        <f t="shared" si="36"/>
        <v/>
      </c>
      <c r="AR38" s="247" t="str">
        <f t="shared" si="37"/>
        <v/>
      </c>
      <c r="AS38" s="247" t="str">
        <f t="shared" si="38"/>
        <v/>
      </c>
      <c r="AT38" s="247" t="str">
        <f t="shared" si="39"/>
        <v/>
      </c>
      <c r="AV38" t="str">
        <f>IF(ISBLANK('Field information 1'!F39),"",'Field information 1'!F39)</f>
        <v/>
      </c>
      <c r="AX38" s="247" t="str" cm="1">
        <f t="array" aca="1" ref="AX38" ca="1">INDIRECT(TEXT(MIN(IF((Calc!$Z$5:$AI$104&lt;&gt;"")*(COUNTIF($AX$4:AX37,Calc!$Z$5:$AI$104)=0),ROW(Calc!$Z$5:$AI$104)*100+COLUMN(Calc!$Z$5:$AI$104),7^8)),"Calc!R0C00"),)&amp;""</f>
        <v/>
      </c>
      <c r="AY38" t="str" cm="1">
        <f t="array" aca="1" ref="AY38" ca="1">INDIRECT(TEXT(MIN(IF((Calc!$AK$5:$AT$104&lt;&gt;"")*(COUNTIF(AY$4:$AY37,Calc!$AK$5:$AT$104)=0),ROW(Calc!$AK$5:$AT$104)*100+COLUMN(Calc!$AK$5:$AT$104),7^8)),"Calc!R0C00"),)&amp;""</f>
        <v/>
      </c>
      <c r="AZ38" s="247" t="str">
        <f t="shared" ca="1" si="40"/>
        <v/>
      </c>
      <c r="BA38" s="324">
        <f t="shared" si="47"/>
        <v>34</v>
      </c>
      <c r="BB38">
        <f t="shared" ca="1" si="41"/>
        <v>0</v>
      </c>
      <c r="BC38" t="str">
        <f ca="1">IF($AX38="","",
VLOOKUP(LEFT($AX38,LEN($AX38)-2),'Field information 2'!$B$12:$P$111,11,FALSE))</f>
        <v/>
      </c>
      <c r="BD38" t="str">
        <f ca="1">IF($AX38="","",
VLOOKUP(LEFT($AX38,LEN($AX38)-2),'Field information 2'!$B$12:$P$111,13,FALSE))</f>
        <v/>
      </c>
      <c r="BE38" t="str">
        <f ca="1">IF($AX38="","",
VLOOKUP(LEFT($AX38,LEN($AX38)-2),'Field information 2'!$B$12:$P$111,15,FALSE))</f>
        <v/>
      </c>
      <c r="BF38">
        <f t="shared" ca="1" si="42"/>
        <v>0</v>
      </c>
      <c r="BG38" t="str">
        <f t="shared" ca="1" si="43"/>
        <v/>
      </c>
      <c r="BH38" s="7" t="str">
        <f ca="1">IF(OR(AX38="",'Soil results'!$D$7="",'Soil results'!$D$8=""),"",
IF('Soil results'!$D$7="LOI",
  IF('Soil results'!$D$8="mg/kg",'Soil results'!D43/10000,'Soil results'!D43),
IF('Soil results'!$D$7="Dumas",
  IF('Soil results'!$D$8="mg/kg",'Soil results'!D43*1.72/10000,'Soil results'!D43*1.72))))</f>
        <v/>
      </c>
      <c r="BI38" t="str">
        <f ca="1">IF($AX38="","",
VLOOKUP(LEFT($AX38,LEN($AX38)-2),'Field information 2'!$B$12:$I$111,8,FALSE))</f>
        <v/>
      </c>
      <c r="BJ38" t="str">
        <f ca="1">IF(BI38="","",
VLOOKUP(BI38,'Fertiliser recommendations'!$A$5:$B$62,2,FALSE))</f>
        <v/>
      </c>
      <c r="BK38" s="38" t="str">
        <f ca="1">IF($AX38="","",
IF(AND(BJ38="g",VLOOKUP(LEFT($AX38,LEN($AX38)-2),'Field information 2'!$B$12:$P$111,9,FALSE)&lt;&gt;"yes"),
IF(BG38="10-25% OM",6,IF(BG38="&gt;25% OM",12,IF(BG38="SCL; CL; ZCL; SC; ZC; C",6,IF(BG38="SL; SZL; ZL",5,IF(BG38="S; LS",4,"?"))))),
IF(OR(BJ38="a",AND(BJ38="g",VLOOKUP(LEFT($AX38,LEN($AX38)-2),'Field information 2'!$B$12:$P$111,9,FALSE)="yes")),
IF(BG38="10-25% OM",8,IF(BG38="&gt;25% OM",16,IF(BG38="SCL; CL; ZCL; SC; ZC; C",8,IF(BG38="SL; SZL; ZL",7,IF(BG38="S; LS",6,"?"))))),"")))</f>
        <v/>
      </c>
      <c r="BL38" t="str">
        <f ca="1">IF(AX38&lt;&gt;"",COUNTBLANK('Soil results'!D43:D43)+COUNTBLANK('Soil results'!F43:I43)+COUNTBLANK('Soil results'!K43:Q43),"")</f>
        <v/>
      </c>
      <c r="BM38" t="str">
        <f ca="1">IF(AX38&lt;&gt;"",
IF(OR(ISNUMBER(SEARCH("10*01*01",'Field information 2'!$M$5)),ISNUMBER(SEARCH("10*01*03",'Field information 2'!$M$5))),0.25,1),"")</f>
        <v/>
      </c>
      <c r="BN38" s="275" t="str">
        <f ca="1">IF(AX38&lt;&gt;"",
IF(COUNTIF('Soil results'!G44:G$159,"="&amp;'Soil results'!G43)+COUNTIF('Soil results'!H44:H$159,"="&amp;'Soil results'!H43)+COUNTIF('Soil results'!I44:I$159,"="&amp;'Soil results'!I43)=0,"no",
IF(MOD(COUNTIF('Soil results'!G44:G$159,"="&amp;'Soil results'!G43)+COUNTIF('Soil results'!H44:H$159,"="&amp;'Soil results'!H43)+COUNTIF('Soil results'!I44:I$159,"="&amp;'Soil results'!I43),3)=0,"yes","no")),"")</f>
        <v/>
      </c>
      <c r="BO38" s="276" t="str">
        <f t="shared" ca="1" si="44"/>
        <v/>
      </c>
      <c r="BP38" s="33"/>
      <c r="BQ38" s="276"/>
      <c r="BR38" s="276"/>
      <c r="BS38" s="276" t="str">
        <f t="shared" ca="1" si="45"/>
        <v/>
      </c>
      <c r="BT38" s="153" t="str">
        <f ca="1">IF(AX38="","",
IF(OR(Assessment!F40="limited benefit",Assessment!F40="benefit", Assessment!M40="limited benefit",Assessment!M40="benefit", Assessment!R40="limited benefit",Assessment!R40="benefit", Assessment!W40="limited benefit",Assessment!W40="benefit", Assessment!AB40="limited benefit",Assessment!AB40="benefit", AND(ISNUMBER(Assessment!AF40),Assessment!AG40="ok"), Assessment!AJ40="benefit"),"yes","no"))</f>
        <v/>
      </c>
      <c r="BW38" t="s">
        <v>354</v>
      </c>
    </row>
    <row r="39" spans="1:75" x14ac:dyDescent="0.35">
      <c r="A39" s="272">
        <f>IF(AND('Field information 2'!L46&gt;0, 'Field information 2'!M46=0),"data missing", 'Field information 2'!M46-'Field information 2'!L46)</f>
        <v>0</v>
      </c>
      <c r="B39" s="272">
        <f>IF(AND('Field information 2'!N46&gt;0,'Field information 2'!O46=0),"data missing",'Field information 2'!O46-'Field information 2'!N46)</f>
        <v>0</v>
      </c>
      <c r="C39" s="272">
        <f>IF(AND('Field information 2'!P46&gt;0, 'Field information 2'!Q46=0),"data missing",'Field information 2'!Q46-'Field information 2'!P46)</f>
        <v>0</v>
      </c>
      <c r="D39">
        <f>'Field information 2'!L46</f>
        <v>0</v>
      </c>
      <c r="E39" s="249" t="str">
        <f>IF(OR('Field information 2'!L46&gt;0,'Field information 2'!N46&gt;0,'Field information 2'!P46&gt;0),"Y","N")</f>
        <v>N</v>
      </c>
      <c r="F39" s="277" t="str">
        <f t="shared" si="12"/>
        <v/>
      </c>
      <c r="G39" t="str">
        <f>IF(OR(ISBLANK('Field information 1'!B40),AND(OR(ISBLANK('Field information 2'!L46), 'Field information 2'!L46=0),OR(ISBLANK('Field information 2'!N46), 'Field information 2'!N46=0), OR(ISBLANK('Field information 2'!P46), 'Field information 2'!P46=0))),"",
IF(ISTEXT('Field information 1'!B40), 'Field information 1'!B40, TEXT('Field information 1'!B40,"0")))</f>
        <v/>
      </c>
      <c r="H39" t="str">
        <f>IF(OR(ISBLANK('Field information 1'!B40),ISBLANK('Field information 2'!L46),ISBLANK('Field information 2'!F46)),"",'Field information 2'!F46)</f>
        <v/>
      </c>
      <c r="I39" s="91" t="str">
        <f>IF(OR(ISBLANK('Field information 1'!E40),G39=""),"",CEILING('Field information 1'!E40/10,1))</f>
        <v/>
      </c>
      <c r="J39" s="91" t="str">
        <f t="shared" si="13"/>
        <v>no</v>
      </c>
      <c r="K39" s="135" t="str">
        <f t="shared" ca="1" si="54"/>
        <v/>
      </c>
      <c r="L39" s="135" t="str">
        <f t="shared" ca="1" si="55"/>
        <v/>
      </c>
      <c r="M39" s="135" t="str">
        <f t="shared" ca="1" si="56"/>
        <v/>
      </c>
      <c r="N39" s="135" t="str">
        <f t="shared" ca="1" si="57"/>
        <v/>
      </c>
      <c r="O39" s="135" t="str">
        <f t="shared" ca="1" si="58"/>
        <v/>
      </c>
      <c r="P39" s="135" t="str">
        <f t="shared" ca="1" si="59"/>
        <v/>
      </c>
      <c r="Q39" s="135" t="str">
        <f t="shared" ca="1" si="60"/>
        <v/>
      </c>
      <c r="R39" s="135" t="str">
        <f t="shared" ca="1" si="61"/>
        <v/>
      </c>
      <c r="S39" s="135" t="str">
        <f t="shared" ca="1" si="62"/>
        <v/>
      </c>
      <c r="T39" s="135" t="str">
        <f t="shared" ca="1" si="63"/>
        <v/>
      </c>
      <c r="U39" s="49" t="str">
        <f t="shared" ca="1" si="24"/>
        <v/>
      </c>
      <c r="V39" s="7" t="str">
        <f t="shared" ca="1" si="25"/>
        <v/>
      </c>
      <c r="W39" s="7" t="str">
        <f t="shared" ca="1" si="26"/>
        <v/>
      </c>
      <c r="X39" s="7" t="str">
        <f t="shared" ca="1" si="27"/>
        <v/>
      </c>
      <c r="Y39" s="91"/>
      <c r="Z39" s="247" t="str">
        <f t="shared" si="87"/>
        <v/>
      </c>
      <c r="AA39" s="247" t="str">
        <f t="shared" ref="AA39:AI39" si="90">IF(AND(AA$4&lt;=$I39,$G39&lt;&gt;"",Z39&lt;&gt;""),$G39&amp;" "&amp;AA$3, "")</f>
        <v/>
      </c>
      <c r="AB39" s="247" t="str">
        <f t="shared" si="90"/>
        <v/>
      </c>
      <c r="AC39" s="247" t="str">
        <f t="shared" si="90"/>
        <v/>
      </c>
      <c r="AD39" s="247" t="str">
        <f t="shared" si="90"/>
        <v/>
      </c>
      <c r="AE39" s="247" t="str">
        <f t="shared" si="90"/>
        <v/>
      </c>
      <c r="AF39" s="247" t="str">
        <f t="shared" si="90"/>
        <v/>
      </c>
      <c r="AG39" s="247" t="str">
        <f t="shared" si="90"/>
        <v/>
      </c>
      <c r="AH39" s="247" t="str">
        <f t="shared" si="90"/>
        <v/>
      </c>
      <c r="AI39" s="247" t="str">
        <f t="shared" si="90"/>
        <v/>
      </c>
      <c r="AK39" s="247" t="str">
        <f t="shared" si="30"/>
        <v/>
      </c>
      <c r="AL39" s="247" t="str">
        <f t="shared" si="31"/>
        <v/>
      </c>
      <c r="AM39" s="247" t="str">
        <f t="shared" si="32"/>
        <v/>
      </c>
      <c r="AN39" s="247" t="str">
        <f t="shared" si="33"/>
        <v/>
      </c>
      <c r="AO39" s="247" t="str">
        <f t="shared" si="34"/>
        <v/>
      </c>
      <c r="AP39" s="247" t="str">
        <f t="shared" si="35"/>
        <v/>
      </c>
      <c r="AQ39" s="247" t="str">
        <f t="shared" si="36"/>
        <v/>
      </c>
      <c r="AR39" s="247" t="str">
        <f t="shared" si="37"/>
        <v/>
      </c>
      <c r="AS39" s="247" t="str">
        <f t="shared" si="38"/>
        <v/>
      </c>
      <c r="AT39" s="247" t="str">
        <f t="shared" si="39"/>
        <v/>
      </c>
      <c r="AV39" t="str">
        <f>IF(ISBLANK('Field information 1'!F40),"",'Field information 1'!F40)</f>
        <v/>
      </c>
      <c r="AX39" s="247" t="str" cm="1">
        <f t="array" aca="1" ref="AX39" ca="1">INDIRECT(TEXT(MIN(IF((Calc!$Z$5:$AI$104&lt;&gt;"")*(COUNTIF($AX$4:AX38,Calc!$Z$5:$AI$104)=0),ROW(Calc!$Z$5:$AI$104)*100+COLUMN(Calc!$Z$5:$AI$104),7^8)),"Calc!R0C00"),)&amp;""</f>
        <v/>
      </c>
      <c r="AY39" t="str" cm="1">
        <f t="array" aca="1" ref="AY39" ca="1">INDIRECT(TEXT(MIN(IF((Calc!$AK$5:$AT$104&lt;&gt;"")*(COUNTIF(AY$4:$AY38,Calc!$AK$5:$AT$104)=0),ROW(Calc!$AK$5:$AT$104)*100+COLUMN(Calc!$AK$5:$AT$104),7^8)),"Calc!R0C00"),)&amp;""</f>
        <v/>
      </c>
      <c r="AZ39" s="247" t="str">
        <f t="shared" ca="1" si="40"/>
        <v/>
      </c>
      <c r="BA39" s="324">
        <f t="shared" si="47"/>
        <v>35</v>
      </c>
      <c r="BB39">
        <f t="shared" ca="1" si="41"/>
        <v>0</v>
      </c>
      <c r="BC39" t="str">
        <f ca="1">IF($AX39="","",
VLOOKUP(LEFT($AX39,LEN($AX39)-2),'Field information 2'!$B$12:$P$111,11,FALSE))</f>
        <v/>
      </c>
      <c r="BD39" t="str">
        <f ca="1">IF($AX39="","",
VLOOKUP(LEFT($AX39,LEN($AX39)-2),'Field information 2'!$B$12:$P$111,13,FALSE))</f>
        <v/>
      </c>
      <c r="BE39" t="str">
        <f ca="1">IF($AX39="","",
VLOOKUP(LEFT($AX39,LEN($AX39)-2),'Field information 2'!$B$12:$P$111,15,FALSE))</f>
        <v/>
      </c>
      <c r="BF39">
        <f t="shared" ca="1" si="42"/>
        <v>0</v>
      </c>
      <c r="BG39" t="str">
        <f t="shared" ca="1" si="43"/>
        <v/>
      </c>
      <c r="BH39" s="7" t="str">
        <f ca="1">IF(OR(AX39="",'Soil results'!$D$7="",'Soil results'!$D$8=""),"",
IF('Soil results'!$D$7="LOI",
  IF('Soil results'!$D$8="mg/kg",'Soil results'!D44/10000,'Soil results'!D44),
IF('Soil results'!$D$7="Dumas",
  IF('Soil results'!$D$8="mg/kg",'Soil results'!D44*1.72/10000,'Soil results'!D44*1.72))))</f>
        <v/>
      </c>
      <c r="BI39" t="str">
        <f ca="1">IF($AX39="","",
VLOOKUP(LEFT($AX39,LEN($AX39)-2),'Field information 2'!$B$12:$I$111,8,FALSE))</f>
        <v/>
      </c>
      <c r="BJ39" t="str">
        <f ca="1">IF(BI39="","",
VLOOKUP(BI39,'Fertiliser recommendations'!$A$5:$B$62,2,FALSE))</f>
        <v/>
      </c>
      <c r="BK39" s="38" t="str">
        <f ca="1">IF($AX39="","",
IF(AND(BJ39="g",VLOOKUP(LEFT($AX39,LEN($AX39)-2),'Field information 2'!$B$12:$P$111,9,FALSE)&lt;&gt;"yes"),
IF(BG39="10-25% OM",6,IF(BG39="&gt;25% OM",12,IF(BG39="SCL; CL; ZCL; SC; ZC; C",6,IF(BG39="SL; SZL; ZL",5,IF(BG39="S; LS",4,"?"))))),
IF(OR(BJ39="a",AND(BJ39="g",VLOOKUP(LEFT($AX39,LEN($AX39)-2),'Field information 2'!$B$12:$P$111,9,FALSE)="yes")),
IF(BG39="10-25% OM",8,IF(BG39="&gt;25% OM",16,IF(BG39="SCL; CL; ZCL; SC; ZC; C",8,IF(BG39="SL; SZL; ZL",7,IF(BG39="S; LS",6,"?"))))),"")))</f>
        <v/>
      </c>
      <c r="BL39" t="str">
        <f ca="1">IF(AX39&lt;&gt;"",COUNTBLANK('Soil results'!D44:D44)+COUNTBLANK('Soil results'!F44:I44)+COUNTBLANK('Soil results'!K44:Q44),"")</f>
        <v/>
      </c>
      <c r="BM39" t="str">
        <f ca="1">IF(AX39&lt;&gt;"",
IF(OR(ISNUMBER(SEARCH("10*01*01",'Field information 2'!$M$5)),ISNUMBER(SEARCH("10*01*03",'Field information 2'!$M$5))),0.25,1),"")</f>
        <v/>
      </c>
      <c r="BN39" s="275" t="str">
        <f ca="1">IF(AX39&lt;&gt;"",
IF(COUNTIF('Soil results'!G45:G$159,"="&amp;'Soil results'!G44)+COUNTIF('Soil results'!H45:H$159,"="&amp;'Soil results'!H44)+COUNTIF('Soil results'!I45:I$159,"="&amp;'Soil results'!I44)=0,"no",
IF(MOD(COUNTIF('Soil results'!G45:G$159,"="&amp;'Soil results'!G44)+COUNTIF('Soil results'!H45:H$159,"="&amp;'Soil results'!H44)+COUNTIF('Soil results'!I45:I$159,"="&amp;'Soil results'!I44),3)=0,"yes","no")),"")</f>
        <v/>
      </c>
      <c r="BO39" s="276" t="str">
        <f t="shared" ca="1" si="44"/>
        <v/>
      </c>
      <c r="BP39" s="33"/>
      <c r="BQ39" s="276"/>
      <c r="BR39" s="276"/>
      <c r="BS39" s="276" t="str">
        <f t="shared" ca="1" si="45"/>
        <v/>
      </c>
      <c r="BT39" s="153" t="str">
        <f ca="1">IF(AX39="","",
IF(OR(Assessment!F41="limited benefit",Assessment!F41="benefit", Assessment!M41="limited benefit",Assessment!M41="benefit", Assessment!R41="limited benefit",Assessment!R41="benefit", Assessment!W41="limited benefit",Assessment!W41="benefit", Assessment!AB41="limited benefit",Assessment!AB41="benefit", AND(ISNUMBER(Assessment!AF41),Assessment!AG41="ok"), Assessment!AJ41="benefit"),"yes","no"))</f>
        <v/>
      </c>
    </row>
    <row r="40" spans="1:75" x14ac:dyDescent="0.35">
      <c r="A40" s="272">
        <f>IF(AND('Field information 2'!L47&gt;0, 'Field information 2'!M47=0),"data missing", 'Field information 2'!M47-'Field information 2'!L47)</f>
        <v>0</v>
      </c>
      <c r="B40" s="272">
        <f>IF(AND('Field information 2'!N47&gt;0,'Field information 2'!O47=0),"data missing",'Field information 2'!O47-'Field information 2'!N47)</f>
        <v>0</v>
      </c>
      <c r="C40" s="272">
        <f>IF(AND('Field information 2'!P47&gt;0, 'Field information 2'!Q47=0),"data missing",'Field information 2'!Q47-'Field information 2'!P47)</f>
        <v>0</v>
      </c>
      <c r="D40">
        <f>'Field information 2'!L47</f>
        <v>0</v>
      </c>
      <c r="E40" s="249" t="str">
        <f>IF(OR('Field information 2'!L47&gt;0,'Field information 2'!N47&gt;0,'Field information 2'!P47&gt;0),"Y","N")</f>
        <v>N</v>
      </c>
      <c r="F40" s="277" t="str">
        <f t="shared" si="12"/>
        <v/>
      </c>
      <c r="G40" t="str">
        <f>IF(OR(ISBLANK('Field information 1'!B41),AND(OR(ISBLANK('Field information 2'!L47), 'Field information 2'!L47=0),OR(ISBLANK('Field information 2'!N47), 'Field information 2'!N47=0), OR(ISBLANK('Field information 2'!P47), 'Field information 2'!P47=0))),"",
IF(ISTEXT('Field information 1'!B41), 'Field information 1'!B41, TEXT('Field information 1'!B41,"0")))</f>
        <v/>
      </c>
      <c r="H40" t="str">
        <f>IF(OR(ISBLANK('Field information 1'!B41),ISBLANK('Field information 2'!L47),ISBLANK('Field information 2'!F47)),"",'Field information 2'!F47)</f>
        <v/>
      </c>
      <c r="I40" s="91" t="str">
        <f>IF(OR(ISBLANK('Field information 1'!E41),G40=""),"",CEILING('Field information 1'!E41/10,1))</f>
        <v/>
      </c>
      <c r="J40" s="91" t="str">
        <f t="shared" si="13"/>
        <v>no</v>
      </c>
      <c r="K40" s="135" t="str">
        <f t="shared" ca="1" si="54"/>
        <v/>
      </c>
      <c r="L40" s="135" t="str">
        <f t="shared" ca="1" si="55"/>
        <v/>
      </c>
      <c r="M40" s="135" t="str">
        <f t="shared" ca="1" si="56"/>
        <v/>
      </c>
      <c r="N40" s="135" t="str">
        <f t="shared" ca="1" si="57"/>
        <v/>
      </c>
      <c r="O40" s="135" t="str">
        <f t="shared" ca="1" si="58"/>
        <v/>
      </c>
      <c r="P40" s="135" t="str">
        <f t="shared" ca="1" si="59"/>
        <v/>
      </c>
      <c r="Q40" s="135" t="str">
        <f t="shared" ca="1" si="60"/>
        <v/>
      </c>
      <c r="R40" s="135" t="str">
        <f t="shared" ca="1" si="61"/>
        <v/>
      </c>
      <c r="S40" s="135" t="str">
        <f t="shared" ca="1" si="62"/>
        <v/>
      </c>
      <c r="T40" s="135" t="str">
        <f t="shared" ca="1" si="63"/>
        <v/>
      </c>
      <c r="U40" s="49" t="str">
        <f t="shared" ca="1" si="24"/>
        <v/>
      </c>
      <c r="V40" s="7" t="str">
        <f t="shared" ca="1" si="25"/>
        <v/>
      </c>
      <c r="W40" s="7" t="str">
        <f t="shared" ca="1" si="26"/>
        <v/>
      </c>
      <c r="X40" s="7" t="str">
        <f t="shared" ca="1" si="27"/>
        <v/>
      </c>
      <c r="Y40" s="91"/>
      <c r="Z40" s="247" t="str">
        <f t="shared" si="87"/>
        <v/>
      </c>
      <c r="AA40" s="247" t="str">
        <f t="shared" ref="AA40:AI40" si="91">IF(AND(AA$4&lt;=$I40,$G40&lt;&gt;"",Z40&lt;&gt;""),$G40&amp;" "&amp;AA$3, "")</f>
        <v/>
      </c>
      <c r="AB40" s="247" t="str">
        <f t="shared" si="91"/>
        <v/>
      </c>
      <c r="AC40" s="247" t="str">
        <f t="shared" si="91"/>
        <v/>
      </c>
      <c r="AD40" s="247" t="str">
        <f t="shared" si="91"/>
        <v/>
      </c>
      <c r="AE40" s="247" t="str">
        <f t="shared" si="91"/>
        <v/>
      </c>
      <c r="AF40" s="247" t="str">
        <f t="shared" si="91"/>
        <v/>
      </c>
      <c r="AG40" s="247" t="str">
        <f t="shared" si="91"/>
        <v/>
      </c>
      <c r="AH40" s="247" t="str">
        <f t="shared" si="91"/>
        <v/>
      </c>
      <c r="AI40" s="247" t="str">
        <f t="shared" si="91"/>
        <v/>
      </c>
      <c r="AK40" s="247" t="str">
        <f t="shared" si="30"/>
        <v/>
      </c>
      <c r="AL40" s="247" t="str">
        <f t="shared" si="31"/>
        <v/>
      </c>
      <c r="AM40" s="247" t="str">
        <f t="shared" si="32"/>
        <v/>
      </c>
      <c r="AN40" s="247" t="str">
        <f t="shared" si="33"/>
        <v/>
      </c>
      <c r="AO40" s="247" t="str">
        <f t="shared" si="34"/>
        <v/>
      </c>
      <c r="AP40" s="247" t="str">
        <f t="shared" si="35"/>
        <v/>
      </c>
      <c r="AQ40" s="247" t="str">
        <f t="shared" si="36"/>
        <v/>
      </c>
      <c r="AR40" s="247" t="str">
        <f t="shared" si="37"/>
        <v/>
      </c>
      <c r="AS40" s="247" t="str">
        <f t="shared" si="38"/>
        <v/>
      </c>
      <c r="AT40" s="247" t="str">
        <f t="shared" si="39"/>
        <v/>
      </c>
      <c r="AV40" t="str">
        <f>IF(ISBLANK('Field information 1'!F41),"",'Field information 1'!F41)</f>
        <v/>
      </c>
      <c r="AX40" s="247" t="str" cm="1">
        <f t="array" aca="1" ref="AX40" ca="1">INDIRECT(TEXT(MIN(IF((Calc!$Z$5:$AI$104&lt;&gt;"")*(COUNTIF($AX$4:AX39,Calc!$Z$5:$AI$104)=0),ROW(Calc!$Z$5:$AI$104)*100+COLUMN(Calc!$Z$5:$AI$104),7^8)),"Calc!R0C00"),)&amp;""</f>
        <v/>
      </c>
      <c r="AY40" t="str" cm="1">
        <f t="array" aca="1" ref="AY40" ca="1">INDIRECT(TEXT(MIN(IF((Calc!$AK$5:$AT$104&lt;&gt;"")*(COUNTIF(AY$4:$AY39,Calc!$AK$5:$AT$104)=0),ROW(Calc!$AK$5:$AT$104)*100+COLUMN(Calc!$AK$5:$AT$104),7^8)),"Calc!R0C00"),)&amp;""</f>
        <v/>
      </c>
      <c r="AZ40" s="247" t="str">
        <f t="shared" ca="1" si="40"/>
        <v/>
      </c>
      <c r="BA40" s="324">
        <f t="shared" si="47"/>
        <v>36</v>
      </c>
      <c r="BB40">
        <f t="shared" ca="1" si="41"/>
        <v>0</v>
      </c>
      <c r="BC40" t="str">
        <f ca="1">IF($AX40="","",
VLOOKUP(LEFT($AX40,LEN($AX40)-2),'Field information 2'!$B$12:$P$111,11,FALSE))</f>
        <v/>
      </c>
      <c r="BD40" t="str">
        <f ca="1">IF($AX40="","",
VLOOKUP(LEFT($AX40,LEN($AX40)-2),'Field information 2'!$B$12:$P$111,13,FALSE))</f>
        <v/>
      </c>
      <c r="BE40" t="str">
        <f ca="1">IF($AX40="","",
VLOOKUP(LEFT($AX40,LEN($AX40)-2),'Field information 2'!$B$12:$P$111,15,FALSE))</f>
        <v/>
      </c>
      <c r="BF40">
        <f t="shared" ca="1" si="42"/>
        <v>0</v>
      </c>
      <c r="BG40" t="str">
        <f t="shared" ca="1" si="43"/>
        <v/>
      </c>
      <c r="BH40" s="7" t="str">
        <f ca="1">IF(OR(AX40="",'Soil results'!$D$7="",'Soil results'!$D$8=""),"",
IF('Soil results'!$D$7="LOI",
  IF('Soil results'!$D$8="mg/kg",'Soil results'!D45/10000,'Soil results'!D45),
IF('Soil results'!$D$7="Dumas",
  IF('Soil results'!$D$8="mg/kg",'Soil results'!D45*1.72/10000,'Soil results'!D45*1.72))))</f>
        <v/>
      </c>
      <c r="BI40" t="str">
        <f ca="1">IF($AX40="","",
VLOOKUP(LEFT($AX40,LEN($AX40)-2),'Field information 2'!$B$12:$I$111,8,FALSE))</f>
        <v/>
      </c>
      <c r="BJ40" t="str">
        <f ca="1">IF(BI40="","",
VLOOKUP(BI40,'Fertiliser recommendations'!$A$5:$B$62,2,FALSE))</f>
        <v/>
      </c>
      <c r="BK40" s="38" t="str">
        <f ca="1">IF($AX40="","",
IF(AND(BJ40="g",VLOOKUP(LEFT($AX40,LEN($AX40)-2),'Field information 2'!$B$12:$P$111,9,FALSE)&lt;&gt;"yes"),
IF(BG40="10-25% OM",6,IF(BG40="&gt;25% OM",12,IF(BG40="SCL; CL; ZCL; SC; ZC; C",6,IF(BG40="SL; SZL; ZL",5,IF(BG40="S; LS",4,"?"))))),
IF(OR(BJ40="a",AND(BJ40="g",VLOOKUP(LEFT($AX40,LEN($AX40)-2),'Field information 2'!$B$12:$P$111,9,FALSE)="yes")),
IF(BG40="10-25% OM",8,IF(BG40="&gt;25% OM",16,IF(BG40="SCL; CL; ZCL; SC; ZC; C",8,IF(BG40="SL; SZL; ZL",7,IF(BG40="S; LS",6,"?"))))),"")))</f>
        <v/>
      </c>
      <c r="BL40" t="str">
        <f ca="1">IF(AX40&lt;&gt;"",COUNTBLANK('Soil results'!D45:D45)+COUNTBLANK('Soil results'!F45:I45)+COUNTBLANK('Soil results'!K45:Q45),"")</f>
        <v/>
      </c>
      <c r="BM40" t="str">
        <f ca="1">IF(AX40&lt;&gt;"",
IF(OR(ISNUMBER(SEARCH("10*01*01",'Field information 2'!$M$5)),ISNUMBER(SEARCH("10*01*03",'Field information 2'!$M$5))),0.25,1),"")</f>
        <v/>
      </c>
      <c r="BN40" s="275" t="str">
        <f ca="1">IF(AX40&lt;&gt;"",
IF(COUNTIF('Soil results'!G46:G$159,"="&amp;'Soil results'!G45)+COUNTIF('Soil results'!H46:H$159,"="&amp;'Soil results'!H45)+COUNTIF('Soil results'!I46:I$159,"="&amp;'Soil results'!I45)=0,"no",
IF(MOD(COUNTIF('Soil results'!G46:G$159,"="&amp;'Soil results'!G45)+COUNTIF('Soil results'!H46:H$159,"="&amp;'Soil results'!H45)+COUNTIF('Soil results'!I46:I$159,"="&amp;'Soil results'!I45),3)=0,"yes","no")),"")</f>
        <v/>
      </c>
      <c r="BO40" s="276" t="str">
        <f t="shared" ca="1" si="44"/>
        <v/>
      </c>
      <c r="BP40" s="33"/>
      <c r="BQ40" s="276"/>
      <c r="BR40" s="276"/>
      <c r="BS40" s="276" t="str">
        <f t="shared" ca="1" si="45"/>
        <v/>
      </c>
      <c r="BT40" s="153" t="str">
        <f ca="1">IF(AX40="","",
IF(OR(Assessment!F42="limited benefit",Assessment!F42="benefit", Assessment!M42="limited benefit",Assessment!M42="benefit", Assessment!R42="limited benefit",Assessment!R42="benefit", Assessment!W42="limited benefit",Assessment!W42="benefit", Assessment!AB42="limited benefit",Assessment!AB42="benefit", AND(ISNUMBER(Assessment!AF42),Assessment!AG42="ok"), Assessment!AJ42="benefit"),"yes","no"))</f>
        <v/>
      </c>
      <c r="BW40" t="s">
        <v>355</v>
      </c>
    </row>
    <row r="41" spans="1:75" x14ac:dyDescent="0.35">
      <c r="A41" s="272">
        <f>IF(AND('Field information 2'!L48&gt;0, 'Field information 2'!M48=0),"data missing", 'Field information 2'!M48-'Field information 2'!L48)</f>
        <v>0</v>
      </c>
      <c r="B41" s="272">
        <f>IF(AND('Field information 2'!N48&gt;0,'Field information 2'!O48=0),"data missing",'Field information 2'!O48-'Field information 2'!N48)</f>
        <v>0</v>
      </c>
      <c r="C41" s="272">
        <f>IF(AND('Field information 2'!P48&gt;0, 'Field information 2'!Q48=0),"data missing",'Field information 2'!Q48-'Field information 2'!P48)</f>
        <v>0</v>
      </c>
      <c r="D41">
        <f>'Field information 2'!L48</f>
        <v>0</v>
      </c>
      <c r="E41" s="249" t="str">
        <f>IF(OR('Field information 2'!L48&gt;0,'Field information 2'!N48&gt;0,'Field information 2'!P48&gt;0),"Y","N")</f>
        <v>N</v>
      </c>
      <c r="F41" s="277" t="str">
        <f t="shared" si="12"/>
        <v/>
      </c>
      <c r="G41" t="str">
        <f>IF(OR(ISBLANK('Field information 1'!B42),AND(OR(ISBLANK('Field information 2'!L48), 'Field information 2'!L48=0),OR(ISBLANK('Field information 2'!N48), 'Field information 2'!N48=0), OR(ISBLANK('Field information 2'!P48), 'Field information 2'!P48=0))),"",
IF(ISTEXT('Field information 1'!B42), 'Field information 1'!B42, TEXT('Field information 1'!B42,"0")))</f>
        <v/>
      </c>
      <c r="H41" t="str">
        <f>IF(OR(ISBLANK('Field information 1'!B42),ISBLANK('Field information 2'!L48),ISBLANK('Field information 2'!F48)),"",'Field information 2'!F48)</f>
        <v/>
      </c>
      <c r="I41" s="91" t="str">
        <f>IF(OR(ISBLANK('Field information 1'!E42),G41=""),"",CEILING('Field information 1'!E42/10,1))</f>
        <v/>
      </c>
      <c r="J41" s="91" t="str">
        <f t="shared" si="13"/>
        <v>no</v>
      </c>
      <c r="K41" s="135" t="str">
        <f t="shared" ca="1" si="54"/>
        <v/>
      </c>
      <c r="L41" s="135" t="str">
        <f t="shared" ca="1" si="55"/>
        <v/>
      </c>
      <c r="M41" s="135" t="str">
        <f t="shared" ca="1" si="56"/>
        <v/>
      </c>
      <c r="N41" s="135" t="str">
        <f t="shared" ca="1" si="57"/>
        <v/>
      </c>
      <c r="O41" s="135" t="str">
        <f t="shared" ca="1" si="58"/>
        <v/>
      </c>
      <c r="P41" s="135" t="str">
        <f t="shared" ca="1" si="59"/>
        <v/>
      </c>
      <c r="Q41" s="135" t="str">
        <f t="shared" ca="1" si="60"/>
        <v/>
      </c>
      <c r="R41" s="135" t="str">
        <f t="shared" ca="1" si="61"/>
        <v/>
      </c>
      <c r="S41" s="135" t="str">
        <f t="shared" ca="1" si="62"/>
        <v/>
      </c>
      <c r="T41" s="135" t="str">
        <f t="shared" ca="1" si="63"/>
        <v/>
      </c>
      <c r="U41" s="49" t="str">
        <f t="shared" ca="1" si="24"/>
        <v/>
      </c>
      <c r="V41" s="7" t="str">
        <f t="shared" ca="1" si="25"/>
        <v/>
      </c>
      <c r="W41" s="7" t="str">
        <f t="shared" ca="1" si="26"/>
        <v/>
      </c>
      <c r="X41" s="7" t="str">
        <f t="shared" ca="1" si="27"/>
        <v/>
      </c>
      <c r="Y41" s="91"/>
      <c r="Z41" s="247" t="str">
        <f t="shared" si="87"/>
        <v/>
      </c>
      <c r="AA41" s="247" t="str">
        <f t="shared" ref="AA41:AI41" si="92">IF(AND(AA$4&lt;=$I41,$G41&lt;&gt;"",Z41&lt;&gt;""),$G41&amp;" "&amp;AA$3, "")</f>
        <v/>
      </c>
      <c r="AB41" s="247" t="str">
        <f t="shared" si="92"/>
        <v/>
      </c>
      <c r="AC41" s="247" t="str">
        <f t="shared" si="92"/>
        <v/>
      </c>
      <c r="AD41" s="247" t="str">
        <f t="shared" si="92"/>
        <v/>
      </c>
      <c r="AE41" s="247" t="str">
        <f t="shared" si="92"/>
        <v/>
      </c>
      <c r="AF41" s="247" t="str">
        <f t="shared" si="92"/>
        <v/>
      </c>
      <c r="AG41" s="247" t="str">
        <f t="shared" si="92"/>
        <v/>
      </c>
      <c r="AH41" s="247" t="str">
        <f t="shared" si="92"/>
        <v/>
      </c>
      <c r="AI41" s="247" t="str">
        <f t="shared" si="92"/>
        <v/>
      </c>
      <c r="AK41" s="247" t="str">
        <f t="shared" si="30"/>
        <v/>
      </c>
      <c r="AL41" s="247" t="str">
        <f t="shared" si="31"/>
        <v/>
      </c>
      <c r="AM41" s="247" t="str">
        <f t="shared" si="32"/>
        <v/>
      </c>
      <c r="AN41" s="247" t="str">
        <f t="shared" si="33"/>
        <v/>
      </c>
      <c r="AO41" s="247" t="str">
        <f t="shared" si="34"/>
        <v/>
      </c>
      <c r="AP41" s="247" t="str">
        <f t="shared" si="35"/>
        <v/>
      </c>
      <c r="AQ41" s="247" t="str">
        <f t="shared" si="36"/>
        <v/>
      </c>
      <c r="AR41" s="247" t="str">
        <f t="shared" si="37"/>
        <v/>
      </c>
      <c r="AS41" s="247" t="str">
        <f t="shared" si="38"/>
        <v/>
      </c>
      <c r="AT41" s="247" t="str">
        <f t="shared" si="39"/>
        <v/>
      </c>
      <c r="AV41" t="str">
        <f>IF(ISBLANK('Field information 1'!F42),"",'Field information 1'!F42)</f>
        <v/>
      </c>
      <c r="AX41" s="247" t="str" cm="1">
        <f t="array" aca="1" ref="AX41" ca="1">INDIRECT(TEXT(MIN(IF((Calc!$Z$5:$AI$104&lt;&gt;"")*(COUNTIF($AX$4:AX40,Calc!$Z$5:$AI$104)=0),ROW(Calc!$Z$5:$AI$104)*100+COLUMN(Calc!$Z$5:$AI$104),7^8)),"Calc!R0C00"),)&amp;""</f>
        <v/>
      </c>
      <c r="AY41" t="str" cm="1">
        <f t="array" aca="1" ref="AY41" ca="1">INDIRECT(TEXT(MIN(IF((Calc!$AK$5:$AT$104&lt;&gt;"")*(COUNTIF(AY$4:$AY40,Calc!$AK$5:$AT$104)=0),ROW(Calc!$AK$5:$AT$104)*100+COLUMN(Calc!$AK$5:$AT$104),7^8)),"Calc!R0C00"),)&amp;""</f>
        <v/>
      </c>
      <c r="AZ41" s="247" t="str">
        <f t="shared" ca="1" si="40"/>
        <v/>
      </c>
      <c r="BA41" s="324">
        <f t="shared" si="47"/>
        <v>37</v>
      </c>
      <c r="BB41">
        <f t="shared" ca="1" si="41"/>
        <v>0</v>
      </c>
      <c r="BC41" t="str">
        <f ca="1">IF($AX41="","",
VLOOKUP(LEFT($AX41,LEN($AX41)-2),'Field information 2'!$B$12:$P$111,11,FALSE))</f>
        <v/>
      </c>
      <c r="BD41" t="str">
        <f ca="1">IF($AX41="","",
VLOOKUP(LEFT($AX41,LEN($AX41)-2),'Field information 2'!$B$12:$P$111,13,FALSE))</f>
        <v/>
      </c>
      <c r="BE41" t="str">
        <f ca="1">IF($AX41="","",
VLOOKUP(LEFT($AX41,LEN($AX41)-2),'Field information 2'!$B$12:$P$111,15,FALSE))</f>
        <v/>
      </c>
      <c r="BF41">
        <f t="shared" ca="1" si="42"/>
        <v>0</v>
      </c>
      <c r="BG41" t="str">
        <f t="shared" ca="1" si="43"/>
        <v/>
      </c>
      <c r="BH41" s="7" t="str">
        <f ca="1">IF(OR(AX41="",'Soil results'!$D$7="",'Soil results'!$D$8=""),"",
IF('Soil results'!$D$7="LOI",
  IF('Soil results'!$D$8="mg/kg",'Soil results'!D46/10000,'Soil results'!D46),
IF('Soil results'!$D$7="Dumas",
  IF('Soil results'!$D$8="mg/kg",'Soil results'!D46*1.72/10000,'Soil results'!D46*1.72))))</f>
        <v/>
      </c>
      <c r="BI41" t="str">
        <f ca="1">IF($AX41="","",
VLOOKUP(LEFT($AX41,LEN($AX41)-2),'Field information 2'!$B$12:$I$111,8,FALSE))</f>
        <v/>
      </c>
      <c r="BJ41" t="str">
        <f ca="1">IF(BI41="","",
VLOOKUP(BI41,'Fertiliser recommendations'!$A$5:$B$62,2,FALSE))</f>
        <v/>
      </c>
      <c r="BK41" s="38" t="str">
        <f ca="1">IF($AX41="","",
IF(AND(BJ41="g",VLOOKUP(LEFT($AX41,LEN($AX41)-2),'Field information 2'!$B$12:$P$111,9,FALSE)&lt;&gt;"yes"),
IF(BG41="10-25% OM",6,IF(BG41="&gt;25% OM",12,IF(BG41="SCL; CL; ZCL; SC; ZC; C",6,IF(BG41="SL; SZL; ZL",5,IF(BG41="S; LS",4,"?"))))),
IF(OR(BJ41="a",AND(BJ41="g",VLOOKUP(LEFT($AX41,LEN($AX41)-2),'Field information 2'!$B$12:$P$111,9,FALSE)="yes")),
IF(BG41="10-25% OM",8,IF(BG41="&gt;25% OM",16,IF(BG41="SCL; CL; ZCL; SC; ZC; C",8,IF(BG41="SL; SZL; ZL",7,IF(BG41="S; LS",6,"?"))))),"")))</f>
        <v/>
      </c>
      <c r="BL41" t="str">
        <f ca="1">IF(AX41&lt;&gt;"",COUNTBLANK('Soil results'!D46:D46)+COUNTBLANK('Soil results'!F46:I46)+COUNTBLANK('Soil results'!K46:Q46),"")</f>
        <v/>
      </c>
      <c r="BM41" t="str">
        <f ca="1">IF(AX41&lt;&gt;"",
IF(OR(ISNUMBER(SEARCH("10*01*01",'Field information 2'!$M$5)),ISNUMBER(SEARCH("10*01*03",'Field information 2'!$M$5))),0.25,1),"")</f>
        <v/>
      </c>
      <c r="BN41" s="275" t="str">
        <f ca="1">IF(AX41&lt;&gt;"",
IF(COUNTIF('Soil results'!G47:G$159,"="&amp;'Soil results'!G46)+COUNTIF('Soil results'!H47:H$159,"="&amp;'Soil results'!H46)+COUNTIF('Soil results'!I47:I$159,"="&amp;'Soil results'!I46)=0,"no",
IF(MOD(COUNTIF('Soil results'!G47:G$159,"="&amp;'Soil results'!G46)+COUNTIF('Soil results'!H47:H$159,"="&amp;'Soil results'!H46)+COUNTIF('Soil results'!I47:I$159,"="&amp;'Soil results'!I46),3)=0,"yes","no")),"")</f>
        <v/>
      </c>
      <c r="BO41" s="276" t="str">
        <f t="shared" ca="1" si="44"/>
        <v/>
      </c>
      <c r="BP41" s="33"/>
      <c r="BQ41" s="276"/>
      <c r="BR41" s="276"/>
      <c r="BS41" s="276" t="str">
        <f t="shared" ca="1" si="45"/>
        <v/>
      </c>
      <c r="BT41" s="153" t="str">
        <f ca="1">IF(AX41="","",
IF(OR(Assessment!F43="limited benefit",Assessment!F43="benefit", Assessment!M43="limited benefit",Assessment!M43="benefit", Assessment!R43="limited benefit",Assessment!R43="benefit", Assessment!W43="limited benefit",Assessment!W43="benefit", Assessment!AB43="limited benefit",Assessment!AB43="benefit", AND(ISNUMBER(Assessment!AF43),Assessment!AG43="ok"), Assessment!AJ43="benefit"),"yes","no"))</f>
        <v/>
      </c>
      <c r="BW41" t="s">
        <v>356</v>
      </c>
    </row>
    <row r="42" spans="1:75" x14ac:dyDescent="0.35">
      <c r="A42" s="272">
        <f>IF(AND('Field information 2'!L49&gt;0, 'Field information 2'!M49=0),"data missing", 'Field information 2'!M49-'Field information 2'!L49)</f>
        <v>0</v>
      </c>
      <c r="B42" s="272">
        <f>IF(AND('Field information 2'!N49&gt;0,'Field information 2'!O49=0),"data missing",'Field information 2'!O49-'Field information 2'!N49)</f>
        <v>0</v>
      </c>
      <c r="C42" s="272">
        <f>IF(AND('Field information 2'!P49&gt;0, 'Field information 2'!Q49=0),"data missing",'Field information 2'!Q49-'Field information 2'!P49)</f>
        <v>0</v>
      </c>
      <c r="D42">
        <f>'Field information 2'!L49</f>
        <v>0</v>
      </c>
      <c r="E42" s="249" t="str">
        <f>IF(OR('Field information 2'!L49&gt;0,'Field information 2'!N49&gt;0,'Field information 2'!P49&gt;0),"Y","N")</f>
        <v>N</v>
      </c>
      <c r="F42" s="277" t="str">
        <f t="shared" si="12"/>
        <v/>
      </c>
      <c r="G42" t="str">
        <f>IF(OR(ISBLANK('Field information 1'!B43),AND(OR(ISBLANK('Field information 2'!L49), 'Field information 2'!L49=0),OR(ISBLANK('Field information 2'!N49), 'Field information 2'!N49=0), OR(ISBLANK('Field information 2'!P49), 'Field information 2'!P49=0))),"",
IF(ISTEXT('Field information 1'!B43), 'Field information 1'!B43, TEXT('Field information 1'!B43,"0")))</f>
        <v/>
      </c>
      <c r="H42" t="str">
        <f>IF(OR(ISBLANK('Field information 1'!B43),ISBLANK('Field information 2'!L49),ISBLANK('Field information 2'!F49)),"",'Field information 2'!F49)</f>
        <v/>
      </c>
      <c r="I42" s="91" t="str">
        <f>IF(OR(ISBLANK('Field information 1'!E43),G42=""),"",CEILING('Field information 1'!E43/10,1))</f>
        <v/>
      </c>
      <c r="J42" s="91" t="str">
        <f t="shared" si="13"/>
        <v>no</v>
      </c>
      <c r="K42" s="135" t="str">
        <f t="shared" ca="1" si="54"/>
        <v/>
      </c>
      <c r="L42" s="135" t="str">
        <f t="shared" ca="1" si="55"/>
        <v/>
      </c>
      <c r="M42" s="135" t="str">
        <f t="shared" ca="1" si="56"/>
        <v/>
      </c>
      <c r="N42" s="135" t="str">
        <f t="shared" ca="1" si="57"/>
        <v/>
      </c>
      <c r="O42" s="135" t="str">
        <f t="shared" ca="1" si="58"/>
        <v/>
      </c>
      <c r="P42" s="135" t="str">
        <f t="shared" ca="1" si="59"/>
        <v/>
      </c>
      <c r="Q42" s="135" t="str">
        <f t="shared" ca="1" si="60"/>
        <v/>
      </c>
      <c r="R42" s="135" t="str">
        <f t="shared" ca="1" si="61"/>
        <v/>
      </c>
      <c r="S42" s="135" t="str">
        <f t="shared" ca="1" si="62"/>
        <v/>
      </c>
      <c r="T42" s="135" t="str">
        <f t="shared" ca="1" si="63"/>
        <v/>
      </c>
      <c r="U42" s="49" t="str">
        <f t="shared" ca="1" si="24"/>
        <v/>
      </c>
      <c r="V42" s="7" t="str">
        <f t="shared" ca="1" si="25"/>
        <v/>
      </c>
      <c r="W42" s="7" t="str">
        <f t="shared" ca="1" si="26"/>
        <v/>
      </c>
      <c r="X42" s="7" t="str">
        <f t="shared" ca="1" si="27"/>
        <v/>
      </c>
      <c r="Y42" s="91"/>
      <c r="Z42" s="247" t="str">
        <f t="shared" si="87"/>
        <v/>
      </c>
      <c r="AA42" s="247" t="str">
        <f t="shared" ref="AA42:AI42" si="93">IF(AND(AA$4&lt;=$I42,$G42&lt;&gt;"",Z42&lt;&gt;""),$G42&amp;" "&amp;AA$3, "")</f>
        <v/>
      </c>
      <c r="AB42" s="247" t="str">
        <f t="shared" si="93"/>
        <v/>
      </c>
      <c r="AC42" s="247" t="str">
        <f t="shared" si="93"/>
        <v/>
      </c>
      <c r="AD42" s="247" t="str">
        <f t="shared" si="93"/>
        <v/>
      </c>
      <c r="AE42" s="247" t="str">
        <f t="shared" si="93"/>
        <v/>
      </c>
      <c r="AF42" s="247" t="str">
        <f t="shared" si="93"/>
        <v/>
      </c>
      <c r="AG42" s="247" t="str">
        <f t="shared" si="93"/>
        <v/>
      </c>
      <c r="AH42" s="247" t="str">
        <f t="shared" si="93"/>
        <v/>
      </c>
      <c r="AI42" s="247" t="str">
        <f t="shared" si="93"/>
        <v/>
      </c>
      <c r="AK42" s="247" t="str">
        <f t="shared" si="30"/>
        <v/>
      </c>
      <c r="AL42" s="247" t="str">
        <f t="shared" si="31"/>
        <v/>
      </c>
      <c r="AM42" s="247" t="str">
        <f t="shared" si="32"/>
        <v/>
      </c>
      <c r="AN42" s="247" t="str">
        <f t="shared" si="33"/>
        <v/>
      </c>
      <c r="AO42" s="247" t="str">
        <f t="shared" si="34"/>
        <v/>
      </c>
      <c r="AP42" s="247" t="str">
        <f t="shared" si="35"/>
        <v/>
      </c>
      <c r="AQ42" s="247" t="str">
        <f t="shared" si="36"/>
        <v/>
      </c>
      <c r="AR42" s="247" t="str">
        <f t="shared" si="37"/>
        <v/>
      </c>
      <c r="AS42" s="247" t="str">
        <f t="shared" si="38"/>
        <v/>
      </c>
      <c r="AT42" s="247" t="str">
        <f t="shared" si="39"/>
        <v/>
      </c>
      <c r="AV42" t="str">
        <f>IF(ISBLANK('Field information 1'!F43),"",'Field information 1'!F43)</f>
        <v/>
      </c>
      <c r="AX42" s="247" t="str" cm="1">
        <f t="array" aca="1" ref="AX42" ca="1">INDIRECT(TEXT(MIN(IF((Calc!$Z$5:$AI$104&lt;&gt;"")*(COUNTIF($AX$4:AX41,Calc!$Z$5:$AI$104)=0),ROW(Calc!$Z$5:$AI$104)*100+COLUMN(Calc!$Z$5:$AI$104),7^8)),"Calc!R0C00"),)&amp;""</f>
        <v/>
      </c>
      <c r="AY42" t="str" cm="1">
        <f t="array" aca="1" ref="AY42" ca="1">INDIRECT(TEXT(MIN(IF((Calc!$AK$5:$AT$104&lt;&gt;"")*(COUNTIF(AY$4:$AY41,Calc!$AK$5:$AT$104)=0),ROW(Calc!$AK$5:$AT$104)*100+COLUMN(Calc!$AK$5:$AT$104),7^8)),"Calc!R0C00"),)&amp;""</f>
        <v/>
      </c>
      <c r="AZ42" s="247" t="str">
        <f t="shared" ca="1" si="40"/>
        <v/>
      </c>
      <c r="BA42" s="324">
        <f t="shared" si="47"/>
        <v>38</v>
      </c>
      <c r="BB42">
        <f t="shared" ca="1" si="41"/>
        <v>0</v>
      </c>
      <c r="BC42" t="str">
        <f ca="1">IF($AX42="","",
VLOOKUP(LEFT($AX42,LEN($AX42)-2),'Field information 2'!$B$12:$P$111,11,FALSE))</f>
        <v/>
      </c>
      <c r="BD42" t="str">
        <f ca="1">IF($AX42="","",
VLOOKUP(LEFT($AX42,LEN($AX42)-2),'Field information 2'!$B$12:$P$111,13,FALSE))</f>
        <v/>
      </c>
      <c r="BE42" t="str">
        <f ca="1">IF($AX42="","",
VLOOKUP(LEFT($AX42,LEN($AX42)-2),'Field information 2'!$B$12:$P$111,15,FALSE))</f>
        <v/>
      </c>
      <c r="BF42">
        <f t="shared" ca="1" si="42"/>
        <v>0</v>
      </c>
      <c r="BG42" t="str">
        <f t="shared" ca="1" si="43"/>
        <v/>
      </c>
      <c r="BH42" s="7" t="str">
        <f ca="1">IF(OR(AX42="",'Soil results'!$D$7="",'Soil results'!$D$8=""),"",
IF('Soil results'!$D$7="LOI",
  IF('Soil results'!$D$8="mg/kg",'Soil results'!D47/10000,'Soil results'!D47),
IF('Soil results'!$D$7="Dumas",
  IF('Soil results'!$D$8="mg/kg",'Soil results'!D47*1.72/10000,'Soil results'!D47*1.72))))</f>
        <v/>
      </c>
      <c r="BI42" t="str">
        <f ca="1">IF($AX42="","",
VLOOKUP(LEFT($AX42,LEN($AX42)-2),'Field information 2'!$B$12:$I$111,8,FALSE))</f>
        <v/>
      </c>
      <c r="BJ42" t="str">
        <f ca="1">IF(BI42="","",
VLOOKUP(BI42,'Fertiliser recommendations'!$A$5:$B$62,2,FALSE))</f>
        <v/>
      </c>
      <c r="BK42" s="38" t="str">
        <f ca="1">IF($AX42="","",
IF(AND(BJ42="g",VLOOKUP(LEFT($AX42,LEN($AX42)-2),'Field information 2'!$B$12:$P$111,9,FALSE)&lt;&gt;"yes"),
IF(BG42="10-25% OM",6,IF(BG42="&gt;25% OM",12,IF(BG42="SCL; CL; ZCL; SC; ZC; C",6,IF(BG42="SL; SZL; ZL",5,IF(BG42="S; LS",4,"?"))))),
IF(OR(BJ42="a",AND(BJ42="g",VLOOKUP(LEFT($AX42,LEN($AX42)-2),'Field information 2'!$B$12:$P$111,9,FALSE)="yes")),
IF(BG42="10-25% OM",8,IF(BG42="&gt;25% OM",16,IF(BG42="SCL; CL; ZCL; SC; ZC; C",8,IF(BG42="SL; SZL; ZL",7,IF(BG42="S; LS",6,"?"))))),"")))</f>
        <v/>
      </c>
      <c r="BL42" t="str">
        <f ca="1">IF(AX42&lt;&gt;"",COUNTBLANK('Soil results'!D47:D47)+COUNTBLANK('Soil results'!F47:I47)+COUNTBLANK('Soil results'!K47:Q47),"")</f>
        <v/>
      </c>
      <c r="BM42" t="str">
        <f ca="1">IF(AX42&lt;&gt;"",
IF(OR(ISNUMBER(SEARCH("10*01*01",'Field information 2'!$M$5)),ISNUMBER(SEARCH("10*01*03",'Field information 2'!$M$5))),0.25,1),"")</f>
        <v/>
      </c>
      <c r="BN42" s="275" t="str">
        <f ca="1">IF(AX42&lt;&gt;"",
IF(COUNTIF('Soil results'!G48:G$159,"="&amp;'Soil results'!G47)+COUNTIF('Soil results'!H48:H$159,"="&amp;'Soil results'!H47)+COUNTIF('Soil results'!I48:I$159,"="&amp;'Soil results'!I47)=0,"no",
IF(MOD(COUNTIF('Soil results'!G48:G$159,"="&amp;'Soil results'!G47)+COUNTIF('Soil results'!H48:H$159,"="&amp;'Soil results'!H47)+COUNTIF('Soil results'!I48:I$159,"="&amp;'Soil results'!I47),3)=0,"yes","no")),"")</f>
        <v/>
      </c>
      <c r="BO42" s="276" t="str">
        <f t="shared" ca="1" si="44"/>
        <v/>
      </c>
      <c r="BP42" s="33"/>
      <c r="BQ42" s="276"/>
      <c r="BR42" s="276"/>
      <c r="BS42" s="276" t="str">
        <f t="shared" ca="1" si="45"/>
        <v/>
      </c>
      <c r="BT42" s="153" t="str">
        <f ca="1">IF(AX42="","",
IF(OR(Assessment!F44="limited benefit",Assessment!F44="benefit", Assessment!M44="limited benefit",Assessment!M44="benefit", Assessment!R44="limited benefit",Assessment!R44="benefit", Assessment!W44="limited benefit",Assessment!W44="benefit", Assessment!AB44="limited benefit",Assessment!AB44="benefit", AND(ISNUMBER(Assessment!AF44),Assessment!AG44="ok"), Assessment!AJ44="benefit"),"yes","no"))</f>
        <v/>
      </c>
      <c r="BW42" t="s">
        <v>357</v>
      </c>
    </row>
    <row r="43" spans="1:75" ht="15" x14ac:dyDescent="0.25">
      <c r="A43" s="272">
        <f>IF(AND('Field information 2'!L50&gt;0, 'Field information 2'!M50=0),"data missing", 'Field information 2'!M50-'Field information 2'!L50)</f>
        <v>0</v>
      </c>
      <c r="B43" s="272">
        <f>IF(AND('Field information 2'!N50&gt;0,'Field information 2'!O50=0),"data missing",'Field information 2'!O50-'Field information 2'!N50)</f>
        <v>0</v>
      </c>
      <c r="C43" s="272">
        <f>IF(AND('Field information 2'!P50&gt;0, 'Field information 2'!Q50=0),"data missing",'Field information 2'!Q50-'Field information 2'!P50)</f>
        <v>0</v>
      </c>
      <c r="D43">
        <f>'Field information 2'!L50</f>
        <v>0</v>
      </c>
      <c r="E43" s="249" t="str">
        <f>IF(OR('Field information 2'!L50&gt;0,'Field information 2'!N50&gt;0,'Field information 2'!P50&gt;0),"Y","N")</f>
        <v>N</v>
      </c>
      <c r="F43" s="277" t="str">
        <f t="shared" si="12"/>
        <v/>
      </c>
      <c r="G43" t="str">
        <f>IF(OR(ISBLANK('Field information 1'!B44),AND(OR(ISBLANK('Field information 2'!L50), 'Field information 2'!L50=0),OR(ISBLANK('Field information 2'!N50), 'Field information 2'!N50=0), OR(ISBLANK('Field information 2'!P50), 'Field information 2'!P50=0))),"",
IF(ISTEXT('Field information 1'!B44), 'Field information 1'!B44, TEXT('Field information 1'!B44,"0")))</f>
        <v/>
      </c>
      <c r="H43" t="str">
        <f>IF(OR(ISBLANK('Field information 1'!B44),ISBLANK('Field information 2'!L50),ISBLANK('Field information 2'!F50)),"",'Field information 2'!F50)</f>
        <v/>
      </c>
      <c r="I43" s="91" t="str">
        <f>IF(OR(ISBLANK('Field information 1'!E44),G43=""),"",CEILING('Field information 1'!E44/10,1))</f>
        <v/>
      </c>
      <c r="J43" s="91" t="str">
        <f t="shared" si="13"/>
        <v>no</v>
      </c>
      <c r="K43" s="135" t="str">
        <f t="shared" ca="1" si="54"/>
        <v/>
      </c>
      <c r="L43" s="135" t="str">
        <f t="shared" ca="1" si="55"/>
        <v/>
      </c>
      <c r="M43" s="135" t="str">
        <f t="shared" ca="1" si="56"/>
        <v/>
      </c>
      <c r="N43" s="135" t="str">
        <f t="shared" ca="1" si="57"/>
        <v/>
      </c>
      <c r="O43" s="135" t="str">
        <f t="shared" ca="1" si="58"/>
        <v/>
      </c>
      <c r="P43" s="135" t="str">
        <f t="shared" ca="1" si="59"/>
        <v/>
      </c>
      <c r="Q43" s="135" t="str">
        <f t="shared" ca="1" si="60"/>
        <v/>
      </c>
      <c r="R43" s="135" t="str">
        <f t="shared" ca="1" si="61"/>
        <v/>
      </c>
      <c r="S43" s="135" t="str">
        <f t="shared" ca="1" si="62"/>
        <v/>
      </c>
      <c r="T43" s="135" t="str">
        <f t="shared" ca="1" si="63"/>
        <v/>
      </c>
      <c r="U43" s="49" t="str">
        <f t="shared" ca="1" si="24"/>
        <v/>
      </c>
      <c r="V43" s="7" t="str">
        <f t="shared" ca="1" si="25"/>
        <v/>
      </c>
      <c r="W43" s="7" t="str">
        <f t="shared" ca="1" si="26"/>
        <v/>
      </c>
      <c r="X43" s="7" t="str">
        <f t="shared" ca="1" si="27"/>
        <v/>
      </c>
      <c r="Y43" s="91"/>
      <c r="Z43" s="247" t="str">
        <f t="shared" si="87"/>
        <v/>
      </c>
      <c r="AA43" s="247" t="str">
        <f t="shared" ref="AA43:AI43" si="94">IF(AND(AA$4&lt;=$I43,$G43&lt;&gt;"",Z43&lt;&gt;""),$G43&amp;" "&amp;AA$3, "")</f>
        <v/>
      </c>
      <c r="AB43" s="247" t="str">
        <f t="shared" si="94"/>
        <v/>
      </c>
      <c r="AC43" s="247" t="str">
        <f t="shared" si="94"/>
        <v/>
      </c>
      <c r="AD43" s="247" t="str">
        <f t="shared" si="94"/>
        <v/>
      </c>
      <c r="AE43" s="247" t="str">
        <f t="shared" si="94"/>
        <v/>
      </c>
      <c r="AF43" s="247" t="str">
        <f t="shared" si="94"/>
        <v/>
      </c>
      <c r="AG43" s="247" t="str">
        <f t="shared" si="94"/>
        <v/>
      </c>
      <c r="AH43" s="247" t="str">
        <f t="shared" si="94"/>
        <v/>
      </c>
      <c r="AI43" s="247" t="str">
        <f t="shared" si="94"/>
        <v/>
      </c>
      <c r="AK43" s="247" t="str">
        <f t="shared" si="30"/>
        <v/>
      </c>
      <c r="AL43" s="247" t="str">
        <f t="shared" si="31"/>
        <v/>
      </c>
      <c r="AM43" s="247" t="str">
        <f t="shared" si="32"/>
        <v/>
      </c>
      <c r="AN43" s="247" t="str">
        <f t="shared" si="33"/>
        <v/>
      </c>
      <c r="AO43" s="247" t="str">
        <f t="shared" si="34"/>
        <v/>
      </c>
      <c r="AP43" s="247" t="str">
        <f t="shared" si="35"/>
        <v/>
      </c>
      <c r="AQ43" s="247" t="str">
        <f t="shared" si="36"/>
        <v/>
      </c>
      <c r="AR43" s="247" t="str">
        <f t="shared" si="37"/>
        <v/>
      </c>
      <c r="AS43" s="247" t="str">
        <f t="shared" si="38"/>
        <v/>
      </c>
      <c r="AT43" s="247" t="str">
        <f t="shared" si="39"/>
        <v/>
      </c>
      <c r="AV43" t="str">
        <f>IF(ISBLANK('Field information 1'!F44),"",'Field information 1'!F44)</f>
        <v/>
      </c>
      <c r="AX43" s="247" t="str" cm="1">
        <f t="array" aca="1" ref="AX43" ca="1">INDIRECT(TEXT(MIN(IF((Calc!$Z$5:$AI$104&lt;&gt;"")*(COUNTIF($AX$4:AX42,Calc!$Z$5:$AI$104)=0),ROW(Calc!$Z$5:$AI$104)*100+COLUMN(Calc!$Z$5:$AI$104),7^8)),"Calc!R0C00"),)&amp;""</f>
        <v/>
      </c>
      <c r="AY43" t="str" cm="1">
        <f t="array" aca="1" ref="AY43" ca="1">INDIRECT(TEXT(MIN(IF((Calc!$AK$5:$AT$104&lt;&gt;"")*(COUNTIF(AY$4:$AY42,Calc!$AK$5:$AT$104)=0),ROW(Calc!$AK$5:$AT$104)*100+COLUMN(Calc!$AK$5:$AT$104),7^8)),"Calc!R0C00"),)&amp;""</f>
        <v/>
      </c>
      <c r="AZ43" s="247" t="str">
        <f t="shared" ca="1" si="40"/>
        <v/>
      </c>
      <c r="BA43" s="324">
        <f t="shared" si="47"/>
        <v>39</v>
      </c>
      <c r="BB43">
        <f t="shared" ca="1" si="41"/>
        <v>0</v>
      </c>
      <c r="BC43" t="str">
        <f ca="1">IF($AX43="","",
VLOOKUP(LEFT($AX43,LEN($AX43)-2),'Field information 2'!$B$12:$P$111,11,FALSE))</f>
        <v/>
      </c>
      <c r="BD43" t="str">
        <f ca="1">IF($AX43="","",
VLOOKUP(LEFT($AX43,LEN($AX43)-2),'Field information 2'!$B$12:$P$111,13,FALSE))</f>
        <v/>
      </c>
      <c r="BE43" t="str">
        <f ca="1">IF($AX43="","",
VLOOKUP(LEFT($AX43,LEN($AX43)-2),'Field information 2'!$B$12:$P$111,15,FALSE))</f>
        <v/>
      </c>
      <c r="BF43">
        <f t="shared" ca="1" si="42"/>
        <v>0</v>
      </c>
      <c r="BG43" t="str">
        <f t="shared" ca="1" si="43"/>
        <v/>
      </c>
      <c r="BH43" s="7" t="str">
        <f ca="1">IF(OR(AX43="",'Soil results'!$D$7="",'Soil results'!$D$8=""),"",
IF('Soil results'!$D$7="LOI",
  IF('Soil results'!$D$8="mg/kg",'Soil results'!D48/10000,'Soil results'!D48),
IF('Soil results'!$D$7="Dumas",
  IF('Soil results'!$D$8="mg/kg",'Soil results'!D48*1.72/10000,'Soil results'!D48*1.72))))</f>
        <v/>
      </c>
      <c r="BI43" t="str">
        <f ca="1">IF($AX43="","",
VLOOKUP(LEFT($AX43,LEN($AX43)-2),'Field information 2'!$B$12:$I$111,8,FALSE))</f>
        <v/>
      </c>
      <c r="BJ43" t="str">
        <f ca="1">IF(BI43="","",
VLOOKUP(BI43,'Fertiliser recommendations'!$A$5:$B$62,2,FALSE))</f>
        <v/>
      </c>
      <c r="BK43" s="38" t="str">
        <f ca="1">IF($AX43="","",
IF(AND(BJ43="g",VLOOKUP(LEFT($AX43,LEN($AX43)-2),'Field information 2'!$B$12:$P$111,9,FALSE)&lt;&gt;"yes"),
IF(BG43="10-25% OM",6,IF(BG43="&gt;25% OM",12,IF(BG43="SCL; CL; ZCL; SC; ZC; C",6,IF(BG43="SL; SZL; ZL",5,IF(BG43="S; LS",4,"?"))))),
IF(OR(BJ43="a",AND(BJ43="g",VLOOKUP(LEFT($AX43,LEN($AX43)-2),'Field information 2'!$B$12:$P$111,9,FALSE)="yes")),
IF(BG43="10-25% OM",8,IF(BG43="&gt;25% OM",16,IF(BG43="SCL; CL; ZCL; SC; ZC; C",8,IF(BG43="SL; SZL; ZL",7,IF(BG43="S; LS",6,"?"))))),"")))</f>
        <v/>
      </c>
      <c r="BL43" t="str">
        <f ca="1">IF(AX43&lt;&gt;"",COUNTBLANK('Soil results'!D48:D48)+COUNTBLANK('Soil results'!F48:I48)+COUNTBLANK('Soil results'!K48:Q48),"")</f>
        <v/>
      </c>
      <c r="BM43" t="str">
        <f ca="1">IF(AX43&lt;&gt;"",
IF(OR(ISNUMBER(SEARCH("10*01*01",'Field information 2'!$M$5)),ISNUMBER(SEARCH("10*01*03",'Field information 2'!$M$5))),0.25,1),"")</f>
        <v/>
      </c>
      <c r="BN43" s="275" t="str">
        <f ca="1">IF(AX43&lt;&gt;"",
IF(COUNTIF('Soil results'!G49:G$159,"="&amp;'Soil results'!G48)+COUNTIF('Soil results'!H49:H$159,"="&amp;'Soil results'!H48)+COUNTIF('Soil results'!I49:I$159,"="&amp;'Soil results'!I48)=0,"no",
IF(MOD(COUNTIF('Soil results'!G49:G$159,"="&amp;'Soil results'!G48)+COUNTIF('Soil results'!H49:H$159,"="&amp;'Soil results'!H48)+COUNTIF('Soil results'!I49:I$159,"="&amp;'Soil results'!I48),3)=0,"yes","no")),"")</f>
        <v/>
      </c>
      <c r="BO43" s="276" t="str">
        <f t="shared" ca="1" si="44"/>
        <v/>
      </c>
      <c r="BP43" s="33"/>
      <c r="BQ43" s="276"/>
      <c r="BR43" s="276"/>
      <c r="BS43" s="276" t="str">
        <f t="shared" ca="1" si="45"/>
        <v/>
      </c>
      <c r="BT43" s="153" t="str">
        <f ca="1">IF(AX43="","",
IF(OR(Assessment!F45="limited benefit",Assessment!F45="benefit", Assessment!M45="limited benefit",Assessment!M45="benefit", Assessment!R45="limited benefit",Assessment!R45="benefit", Assessment!W45="limited benefit",Assessment!W45="benefit", Assessment!AB45="limited benefit",Assessment!AB45="benefit", AND(ISNUMBER(Assessment!AF45),Assessment!AG45="ok"), Assessment!AJ45="benefit"),"yes","no"))</f>
        <v/>
      </c>
      <c r="BW43" t="s">
        <v>358</v>
      </c>
    </row>
    <row r="44" spans="1:75" ht="15" x14ac:dyDescent="0.25">
      <c r="A44" s="272">
        <f>IF(AND('Field information 2'!L51&gt;0, 'Field information 2'!M51=0),"data missing", 'Field information 2'!M51-'Field information 2'!L51)</f>
        <v>0</v>
      </c>
      <c r="B44" s="272">
        <f>IF(AND('Field information 2'!N51&gt;0,'Field information 2'!O51=0),"data missing",'Field information 2'!O51-'Field information 2'!N51)</f>
        <v>0</v>
      </c>
      <c r="C44" s="272">
        <f>IF(AND('Field information 2'!P51&gt;0, 'Field information 2'!Q51=0),"data missing",'Field information 2'!Q51-'Field information 2'!P51)</f>
        <v>0</v>
      </c>
      <c r="D44">
        <f>'Field information 2'!L51</f>
        <v>0</v>
      </c>
      <c r="E44" s="249" t="str">
        <f>IF(OR('Field information 2'!L51&gt;0,'Field information 2'!N51&gt;0,'Field information 2'!P51&gt;0),"Y","N")</f>
        <v>N</v>
      </c>
      <c r="F44" s="277" t="str">
        <f t="shared" si="12"/>
        <v/>
      </c>
      <c r="G44" t="str">
        <f>IF(OR(ISBLANK('Field information 1'!B45),AND(OR(ISBLANK('Field information 2'!L51), 'Field information 2'!L51=0),OR(ISBLANK('Field information 2'!N51), 'Field information 2'!N51=0), OR(ISBLANK('Field information 2'!P51), 'Field information 2'!P51=0))),"",
IF(ISTEXT('Field information 1'!B45), 'Field information 1'!B45, TEXT('Field information 1'!B45,"0")))</f>
        <v/>
      </c>
      <c r="H44" t="str">
        <f>IF(OR(ISBLANK('Field information 1'!B45),ISBLANK('Field information 2'!L51),ISBLANK('Field information 2'!F51)),"",'Field information 2'!F51)</f>
        <v/>
      </c>
      <c r="I44" s="91" t="str">
        <f>IF(OR(ISBLANK('Field information 1'!E45),G44=""),"",CEILING('Field information 1'!E45/10,1))</f>
        <v/>
      </c>
      <c r="J44" s="91" t="str">
        <f t="shared" si="13"/>
        <v>no</v>
      </c>
      <c r="K44" s="135" t="str">
        <f t="shared" ca="1" si="54"/>
        <v/>
      </c>
      <c r="L44" s="135" t="str">
        <f t="shared" ca="1" si="55"/>
        <v/>
      </c>
      <c r="M44" s="135" t="str">
        <f t="shared" ca="1" si="56"/>
        <v/>
      </c>
      <c r="N44" s="135" t="str">
        <f t="shared" ca="1" si="57"/>
        <v/>
      </c>
      <c r="O44" s="135" t="str">
        <f t="shared" ca="1" si="58"/>
        <v/>
      </c>
      <c r="P44" s="135" t="str">
        <f t="shared" ca="1" si="59"/>
        <v/>
      </c>
      <c r="Q44" s="135" t="str">
        <f t="shared" ca="1" si="60"/>
        <v/>
      </c>
      <c r="R44" s="135" t="str">
        <f t="shared" ca="1" si="61"/>
        <v/>
      </c>
      <c r="S44" s="135" t="str">
        <f t="shared" ca="1" si="62"/>
        <v/>
      </c>
      <c r="T44" s="135" t="str">
        <f t="shared" ca="1" si="63"/>
        <v/>
      </c>
      <c r="U44" s="49" t="str">
        <f t="shared" ca="1" si="24"/>
        <v/>
      </c>
      <c r="V44" s="7" t="str">
        <f t="shared" ca="1" si="25"/>
        <v/>
      </c>
      <c r="W44" s="7" t="str">
        <f t="shared" ca="1" si="26"/>
        <v/>
      </c>
      <c r="X44" s="7" t="str">
        <f t="shared" ca="1" si="27"/>
        <v/>
      </c>
      <c r="Y44" s="91"/>
      <c r="Z44" s="247" t="str">
        <f t="shared" si="87"/>
        <v/>
      </c>
      <c r="AA44" s="247" t="str">
        <f t="shared" ref="AA44:AI44" si="95">IF(AND(AA$4&lt;=$I44,$G44&lt;&gt;"",Z44&lt;&gt;""),$G44&amp;" "&amp;AA$3, "")</f>
        <v/>
      </c>
      <c r="AB44" s="247" t="str">
        <f t="shared" si="95"/>
        <v/>
      </c>
      <c r="AC44" s="247" t="str">
        <f t="shared" si="95"/>
        <v/>
      </c>
      <c r="AD44" s="247" t="str">
        <f t="shared" si="95"/>
        <v/>
      </c>
      <c r="AE44" s="247" t="str">
        <f t="shared" si="95"/>
        <v/>
      </c>
      <c r="AF44" s="247" t="str">
        <f t="shared" si="95"/>
        <v/>
      </c>
      <c r="AG44" s="247" t="str">
        <f t="shared" si="95"/>
        <v/>
      </c>
      <c r="AH44" s="247" t="str">
        <f t="shared" si="95"/>
        <v/>
      </c>
      <c r="AI44" s="247" t="str">
        <f t="shared" si="95"/>
        <v/>
      </c>
      <c r="AK44" s="247" t="str">
        <f t="shared" si="30"/>
        <v/>
      </c>
      <c r="AL44" s="247" t="str">
        <f t="shared" si="31"/>
        <v/>
      </c>
      <c r="AM44" s="247" t="str">
        <f t="shared" si="32"/>
        <v/>
      </c>
      <c r="AN44" s="247" t="str">
        <f t="shared" si="33"/>
        <v/>
      </c>
      <c r="AO44" s="247" t="str">
        <f t="shared" si="34"/>
        <v/>
      </c>
      <c r="AP44" s="247" t="str">
        <f t="shared" si="35"/>
        <v/>
      </c>
      <c r="AQ44" s="247" t="str">
        <f t="shared" si="36"/>
        <v/>
      </c>
      <c r="AR44" s="247" t="str">
        <f t="shared" si="37"/>
        <v/>
      </c>
      <c r="AS44" s="247" t="str">
        <f t="shared" si="38"/>
        <v/>
      </c>
      <c r="AT44" s="247" t="str">
        <f t="shared" si="39"/>
        <v/>
      </c>
      <c r="AV44" t="str">
        <f>IF(ISBLANK('Field information 1'!F45),"",'Field information 1'!F45)</f>
        <v/>
      </c>
      <c r="AX44" s="247" t="str" cm="1">
        <f t="array" aca="1" ref="AX44" ca="1">INDIRECT(TEXT(MIN(IF((Calc!$Z$5:$AI$104&lt;&gt;"")*(COUNTIF($AX$4:AX43,Calc!$Z$5:$AI$104)=0),ROW(Calc!$Z$5:$AI$104)*100+COLUMN(Calc!$Z$5:$AI$104),7^8)),"Calc!R0C00"),)&amp;""</f>
        <v/>
      </c>
      <c r="AY44" t="str" cm="1">
        <f t="array" aca="1" ref="AY44" ca="1">INDIRECT(TEXT(MIN(IF((Calc!$AK$5:$AT$104&lt;&gt;"")*(COUNTIF(AY$4:$AY43,Calc!$AK$5:$AT$104)=0),ROW(Calc!$AK$5:$AT$104)*100+COLUMN(Calc!$AK$5:$AT$104),7^8)),"Calc!R0C00"),)&amp;""</f>
        <v/>
      </c>
      <c r="AZ44" s="247" t="str">
        <f t="shared" ca="1" si="40"/>
        <v/>
      </c>
      <c r="BA44" s="324">
        <f t="shared" si="47"/>
        <v>40</v>
      </c>
      <c r="BB44">
        <f t="shared" ca="1" si="41"/>
        <v>0</v>
      </c>
      <c r="BC44" t="str">
        <f ca="1">IF($AX44="","",
VLOOKUP(LEFT($AX44,LEN($AX44)-2),'Field information 2'!$B$12:$P$111,11,FALSE))</f>
        <v/>
      </c>
      <c r="BD44" t="str">
        <f ca="1">IF($AX44="","",
VLOOKUP(LEFT($AX44,LEN($AX44)-2),'Field information 2'!$B$12:$P$111,13,FALSE))</f>
        <v/>
      </c>
      <c r="BE44" t="str">
        <f ca="1">IF($AX44="","",
VLOOKUP(LEFT($AX44,LEN($AX44)-2),'Field information 2'!$B$12:$P$111,15,FALSE))</f>
        <v/>
      </c>
      <c r="BF44">
        <f t="shared" ca="1" si="42"/>
        <v>0</v>
      </c>
      <c r="BG44" t="str">
        <f t="shared" ca="1" si="43"/>
        <v/>
      </c>
      <c r="BH44" s="7" t="str">
        <f ca="1">IF(OR(AX44="",'Soil results'!$D$7="",'Soil results'!$D$8=""),"",
IF('Soil results'!$D$7="LOI",
  IF('Soil results'!$D$8="mg/kg",'Soil results'!D49/10000,'Soil results'!D49),
IF('Soil results'!$D$7="Dumas",
  IF('Soil results'!$D$8="mg/kg",'Soil results'!D49*1.72/10000,'Soil results'!D49*1.72))))</f>
        <v/>
      </c>
      <c r="BI44" t="str">
        <f ca="1">IF($AX44="","",
VLOOKUP(LEFT($AX44,LEN($AX44)-2),'Field information 2'!$B$12:$I$111,8,FALSE))</f>
        <v/>
      </c>
      <c r="BJ44" t="str">
        <f ca="1">IF(BI44="","",
VLOOKUP(BI44,'Fertiliser recommendations'!$A$5:$B$62,2,FALSE))</f>
        <v/>
      </c>
      <c r="BK44" s="38" t="str">
        <f ca="1">IF($AX44="","",
IF(AND(BJ44="g",VLOOKUP(LEFT($AX44,LEN($AX44)-2),'Field information 2'!$B$12:$P$111,9,FALSE)&lt;&gt;"yes"),
IF(BG44="10-25% OM",6,IF(BG44="&gt;25% OM",12,IF(BG44="SCL; CL; ZCL; SC; ZC; C",6,IF(BG44="SL; SZL; ZL",5,IF(BG44="S; LS",4,"?"))))),
IF(OR(BJ44="a",AND(BJ44="g",VLOOKUP(LEFT($AX44,LEN($AX44)-2),'Field information 2'!$B$12:$P$111,9,FALSE)="yes")),
IF(BG44="10-25% OM",8,IF(BG44="&gt;25% OM",16,IF(BG44="SCL; CL; ZCL; SC; ZC; C",8,IF(BG44="SL; SZL; ZL",7,IF(BG44="S; LS",6,"?"))))),"")))</f>
        <v/>
      </c>
      <c r="BL44" t="str">
        <f ca="1">IF(AX44&lt;&gt;"",COUNTBLANK('Soil results'!D49:D49)+COUNTBLANK('Soil results'!F49:I49)+COUNTBLANK('Soil results'!K49:Q49),"")</f>
        <v/>
      </c>
      <c r="BM44" t="str">
        <f ca="1">IF(AX44&lt;&gt;"",
IF(OR(ISNUMBER(SEARCH("10*01*01",'Field information 2'!$M$5)),ISNUMBER(SEARCH("10*01*03",'Field information 2'!$M$5))),0.25,1),"")</f>
        <v/>
      </c>
      <c r="BN44" s="275" t="str">
        <f ca="1">IF(AX44&lt;&gt;"",
IF(COUNTIF('Soil results'!G50:G$159,"="&amp;'Soil results'!G49)+COUNTIF('Soil results'!H50:H$159,"="&amp;'Soil results'!H49)+COUNTIF('Soil results'!I50:I$159,"="&amp;'Soil results'!I49)=0,"no",
IF(MOD(COUNTIF('Soil results'!G50:G$159,"="&amp;'Soil results'!G49)+COUNTIF('Soil results'!H50:H$159,"="&amp;'Soil results'!H49)+COUNTIF('Soil results'!I50:I$159,"="&amp;'Soil results'!I49),3)=0,"yes","no")),"")</f>
        <v/>
      </c>
      <c r="BO44" s="276" t="str">
        <f t="shared" ca="1" si="44"/>
        <v/>
      </c>
      <c r="BP44" s="33"/>
      <c r="BQ44" s="276"/>
      <c r="BR44" s="276"/>
      <c r="BS44" s="276" t="str">
        <f t="shared" ca="1" si="45"/>
        <v/>
      </c>
      <c r="BT44" s="153" t="str">
        <f ca="1">IF(AX44="","",
IF(OR(Assessment!F46="limited benefit",Assessment!F46="benefit", Assessment!M46="limited benefit",Assessment!M46="benefit", Assessment!R46="limited benefit",Assessment!R46="benefit", Assessment!W46="limited benefit",Assessment!W46="benefit", Assessment!AB46="limited benefit",Assessment!AB46="benefit", AND(ISNUMBER(Assessment!AF46),Assessment!AG46="ok"), Assessment!AJ46="benefit"),"yes","no"))</f>
        <v/>
      </c>
      <c r="BW44" t="s">
        <v>359</v>
      </c>
    </row>
    <row r="45" spans="1:75" ht="15" x14ac:dyDescent="0.25">
      <c r="A45" s="272">
        <f>IF(AND('Field information 2'!L52&gt;0, 'Field information 2'!M52=0),"data missing", 'Field information 2'!M52-'Field information 2'!L52)</f>
        <v>0</v>
      </c>
      <c r="B45" s="272">
        <f>IF(AND('Field information 2'!N52&gt;0,'Field information 2'!O52=0),"data missing",'Field information 2'!O52-'Field information 2'!N52)</f>
        <v>0</v>
      </c>
      <c r="C45" s="272">
        <f>IF(AND('Field information 2'!P52&gt;0, 'Field information 2'!Q52=0),"data missing",'Field information 2'!Q52-'Field information 2'!P52)</f>
        <v>0</v>
      </c>
      <c r="D45">
        <f>'Field information 2'!L52</f>
        <v>0</v>
      </c>
      <c r="E45" s="249" t="str">
        <f>IF(OR('Field information 2'!L52&gt;0,'Field information 2'!N52&gt;0,'Field information 2'!P52&gt;0),"Y","N")</f>
        <v>N</v>
      </c>
      <c r="F45" s="277" t="str">
        <f t="shared" si="12"/>
        <v/>
      </c>
      <c r="G45" t="str">
        <f>IF(OR(ISBLANK('Field information 1'!B46),AND(OR(ISBLANK('Field information 2'!L52), 'Field information 2'!L52=0),OR(ISBLANK('Field information 2'!N52), 'Field information 2'!N52=0), OR(ISBLANK('Field information 2'!P52), 'Field information 2'!P52=0))),"",
IF(ISTEXT('Field information 1'!B46), 'Field information 1'!B46, TEXT('Field information 1'!B46,"0")))</f>
        <v/>
      </c>
      <c r="H45" t="str">
        <f>IF(OR(ISBLANK('Field information 1'!B46),ISBLANK('Field information 2'!L52),ISBLANK('Field information 2'!F52)),"",'Field information 2'!F52)</f>
        <v/>
      </c>
      <c r="I45" s="91" t="str">
        <f>IF(OR(ISBLANK('Field information 1'!E46),G45=""),"",CEILING('Field information 1'!E46/10,1))</f>
        <v/>
      </c>
      <c r="J45" s="91" t="str">
        <f t="shared" si="13"/>
        <v>no</v>
      </c>
      <c r="K45" s="135" t="str">
        <f t="shared" ca="1" si="54"/>
        <v/>
      </c>
      <c r="L45" s="135" t="str">
        <f t="shared" ca="1" si="55"/>
        <v/>
      </c>
      <c r="M45" s="135" t="str">
        <f t="shared" ca="1" si="56"/>
        <v/>
      </c>
      <c r="N45" s="135" t="str">
        <f t="shared" ca="1" si="57"/>
        <v/>
      </c>
      <c r="O45" s="135" t="str">
        <f t="shared" ca="1" si="58"/>
        <v/>
      </c>
      <c r="P45" s="135" t="str">
        <f t="shared" ca="1" si="59"/>
        <v/>
      </c>
      <c r="Q45" s="135" t="str">
        <f t="shared" ca="1" si="60"/>
        <v/>
      </c>
      <c r="R45" s="135" t="str">
        <f t="shared" ca="1" si="61"/>
        <v/>
      </c>
      <c r="S45" s="135" t="str">
        <f t="shared" ca="1" si="62"/>
        <v/>
      </c>
      <c r="T45" s="135" t="str">
        <f t="shared" ca="1" si="63"/>
        <v/>
      </c>
      <c r="U45" s="49" t="str">
        <f t="shared" ca="1" si="24"/>
        <v/>
      </c>
      <c r="V45" s="7" t="str">
        <f t="shared" ca="1" si="25"/>
        <v/>
      </c>
      <c r="W45" s="7" t="str">
        <f t="shared" ca="1" si="26"/>
        <v/>
      </c>
      <c r="X45" s="7" t="str">
        <f t="shared" ca="1" si="27"/>
        <v/>
      </c>
      <c r="Y45" s="91"/>
      <c r="Z45" s="247" t="str">
        <f t="shared" si="87"/>
        <v/>
      </c>
      <c r="AA45" s="247" t="str">
        <f t="shared" ref="AA45:AI45" si="96">IF(AND(AA$4&lt;=$I45,$G45&lt;&gt;"",Z45&lt;&gt;""),$G45&amp;" "&amp;AA$3, "")</f>
        <v/>
      </c>
      <c r="AB45" s="247" t="str">
        <f t="shared" si="96"/>
        <v/>
      </c>
      <c r="AC45" s="247" t="str">
        <f t="shared" si="96"/>
        <v/>
      </c>
      <c r="AD45" s="247" t="str">
        <f t="shared" si="96"/>
        <v/>
      </c>
      <c r="AE45" s="247" t="str">
        <f t="shared" si="96"/>
        <v/>
      </c>
      <c r="AF45" s="247" t="str">
        <f t="shared" si="96"/>
        <v/>
      </c>
      <c r="AG45" s="247" t="str">
        <f t="shared" si="96"/>
        <v/>
      </c>
      <c r="AH45" s="247" t="str">
        <f t="shared" si="96"/>
        <v/>
      </c>
      <c r="AI45" s="247" t="str">
        <f t="shared" si="96"/>
        <v/>
      </c>
      <c r="AK45" s="247" t="str">
        <f t="shared" si="30"/>
        <v/>
      </c>
      <c r="AL45" s="247" t="str">
        <f t="shared" si="31"/>
        <v/>
      </c>
      <c r="AM45" s="247" t="str">
        <f t="shared" si="32"/>
        <v/>
      </c>
      <c r="AN45" s="247" t="str">
        <f t="shared" si="33"/>
        <v/>
      </c>
      <c r="AO45" s="247" t="str">
        <f t="shared" si="34"/>
        <v/>
      </c>
      <c r="AP45" s="247" t="str">
        <f t="shared" si="35"/>
        <v/>
      </c>
      <c r="AQ45" s="247" t="str">
        <f t="shared" si="36"/>
        <v/>
      </c>
      <c r="AR45" s="247" t="str">
        <f t="shared" si="37"/>
        <v/>
      </c>
      <c r="AS45" s="247" t="str">
        <f t="shared" si="38"/>
        <v/>
      </c>
      <c r="AT45" s="247" t="str">
        <f t="shared" si="39"/>
        <v/>
      </c>
      <c r="AV45" t="str">
        <f>IF(ISBLANK('Field information 1'!F46),"",'Field information 1'!F46)</f>
        <v/>
      </c>
      <c r="AX45" s="247" t="str" cm="1">
        <f t="array" aca="1" ref="AX45" ca="1">INDIRECT(TEXT(MIN(IF((Calc!$Z$5:$AI$104&lt;&gt;"")*(COUNTIF($AX$4:AX44,Calc!$Z$5:$AI$104)=0),ROW(Calc!$Z$5:$AI$104)*100+COLUMN(Calc!$Z$5:$AI$104),7^8)),"Calc!R0C00"),)&amp;""</f>
        <v/>
      </c>
      <c r="AY45" t="str" cm="1">
        <f t="array" aca="1" ref="AY45" ca="1">INDIRECT(TEXT(MIN(IF((Calc!$AK$5:$AT$104&lt;&gt;"")*(COUNTIF(AY$4:$AY44,Calc!$AK$5:$AT$104)=0),ROW(Calc!$AK$5:$AT$104)*100+COLUMN(Calc!$AK$5:$AT$104),7^8)),"Calc!R0C00"),)&amp;""</f>
        <v/>
      </c>
      <c r="AZ45" s="247" t="str">
        <f t="shared" ca="1" si="40"/>
        <v/>
      </c>
      <c r="BA45" s="324">
        <f t="shared" si="47"/>
        <v>41</v>
      </c>
      <c r="BB45">
        <f t="shared" ca="1" si="41"/>
        <v>0</v>
      </c>
      <c r="BC45" t="str">
        <f ca="1">IF($AX45="","",
VLOOKUP(LEFT($AX45,LEN($AX45)-2),'Field information 2'!$B$12:$P$111,11,FALSE))</f>
        <v/>
      </c>
      <c r="BD45" t="str">
        <f ca="1">IF($AX45="","",
VLOOKUP(LEFT($AX45,LEN($AX45)-2),'Field information 2'!$B$12:$P$111,13,FALSE))</f>
        <v/>
      </c>
      <c r="BE45" t="str">
        <f ca="1">IF($AX45="","",
VLOOKUP(LEFT($AX45,LEN($AX45)-2),'Field information 2'!$B$12:$P$111,15,FALSE))</f>
        <v/>
      </c>
      <c r="BF45">
        <f t="shared" ca="1" si="42"/>
        <v>0</v>
      </c>
      <c r="BG45" t="str">
        <f t="shared" ca="1" si="43"/>
        <v/>
      </c>
      <c r="BH45" s="7" t="str">
        <f ca="1">IF(OR(AX45="",'Soil results'!$D$7="",'Soil results'!$D$8=""),"",
IF('Soil results'!$D$7="LOI",
  IF('Soil results'!$D$8="mg/kg",'Soil results'!D50/10000,'Soil results'!D50),
IF('Soil results'!$D$7="Dumas",
  IF('Soil results'!$D$8="mg/kg",'Soil results'!D50*1.72/10000,'Soil results'!D50*1.72))))</f>
        <v/>
      </c>
      <c r="BI45" t="str">
        <f ca="1">IF($AX45="","",
VLOOKUP(LEFT($AX45,LEN($AX45)-2),'Field information 2'!$B$12:$I$111,8,FALSE))</f>
        <v/>
      </c>
      <c r="BJ45" t="str">
        <f ca="1">IF(BI45="","",
VLOOKUP(BI45,'Fertiliser recommendations'!$A$5:$B$62,2,FALSE))</f>
        <v/>
      </c>
      <c r="BK45" s="38" t="str">
        <f ca="1">IF($AX45="","",
IF(AND(BJ45="g",VLOOKUP(LEFT($AX45,LEN($AX45)-2),'Field information 2'!$B$12:$P$111,9,FALSE)&lt;&gt;"yes"),
IF(BG45="10-25% OM",6,IF(BG45="&gt;25% OM",12,IF(BG45="SCL; CL; ZCL; SC; ZC; C",6,IF(BG45="SL; SZL; ZL",5,IF(BG45="S; LS",4,"?"))))),
IF(OR(BJ45="a",AND(BJ45="g",VLOOKUP(LEFT($AX45,LEN($AX45)-2),'Field information 2'!$B$12:$P$111,9,FALSE)="yes")),
IF(BG45="10-25% OM",8,IF(BG45="&gt;25% OM",16,IF(BG45="SCL; CL; ZCL; SC; ZC; C",8,IF(BG45="SL; SZL; ZL",7,IF(BG45="S; LS",6,"?"))))),"")))</f>
        <v/>
      </c>
      <c r="BL45" t="str">
        <f ca="1">IF(AX45&lt;&gt;"",COUNTBLANK('Soil results'!D50:D50)+COUNTBLANK('Soil results'!F50:I50)+COUNTBLANK('Soil results'!K50:Q50),"")</f>
        <v/>
      </c>
      <c r="BM45" t="str">
        <f ca="1">IF(AX45&lt;&gt;"",
IF(OR(ISNUMBER(SEARCH("10*01*01",'Field information 2'!$M$5)),ISNUMBER(SEARCH("10*01*03",'Field information 2'!$M$5))),0.25,1),"")</f>
        <v/>
      </c>
      <c r="BN45" s="275" t="str">
        <f ca="1">IF(AX45&lt;&gt;"",
IF(COUNTIF('Soil results'!G51:G$159,"="&amp;'Soil results'!G50)+COUNTIF('Soil results'!H51:H$159,"="&amp;'Soil results'!H50)+COUNTIF('Soil results'!I51:I$159,"="&amp;'Soil results'!I50)=0,"no",
IF(MOD(COUNTIF('Soil results'!G51:G$159,"="&amp;'Soil results'!G50)+COUNTIF('Soil results'!H51:H$159,"="&amp;'Soil results'!H50)+COUNTIF('Soil results'!I51:I$159,"="&amp;'Soil results'!I50),3)=0,"yes","no")),"")</f>
        <v/>
      </c>
      <c r="BO45" s="276" t="str">
        <f t="shared" ca="1" si="44"/>
        <v/>
      </c>
      <c r="BP45" s="33"/>
      <c r="BQ45" s="276"/>
      <c r="BR45" s="276"/>
      <c r="BS45" s="276" t="str">
        <f t="shared" ca="1" si="45"/>
        <v/>
      </c>
      <c r="BT45" s="153" t="str">
        <f ca="1">IF(AX45="","",
IF(OR(Assessment!F47="limited benefit",Assessment!F47="benefit", Assessment!M47="limited benefit",Assessment!M47="benefit", Assessment!R47="limited benefit",Assessment!R47="benefit", Assessment!W47="limited benefit",Assessment!W47="benefit", Assessment!AB47="limited benefit",Assessment!AB47="benefit", AND(ISNUMBER(Assessment!AF47),Assessment!AG47="ok"), Assessment!AJ47="benefit"),"yes","no"))</f>
        <v/>
      </c>
      <c r="BW45" t="s">
        <v>360</v>
      </c>
    </row>
    <row r="46" spans="1:75" ht="15" x14ac:dyDescent="0.25">
      <c r="A46" s="272">
        <f>IF(AND('Field information 2'!L53&gt;0, 'Field information 2'!M53=0),"data missing", 'Field information 2'!M53-'Field information 2'!L53)</f>
        <v>0</v>
      </c>
      <c r="B46" s="272">
        <f>IF(AND('Field information 2'!N53&gt;0,'Field information 2'!O53=0),"data missing",'Field information 2'!O53-'Field information 2'!N53)</f>
        <v>0</v>
      </c>
      <c r="C46" s="272">
        <f>IF(AND('Field information 2'!P53&gt;0, 'Field information 2'!Q53=0),"data missing",'Field information 2'!Q53-'Field information 2'!P53)</f>
        <v>0</v>
      </c>
      <c r="D46">
        <f>'Field information 2'!L53</f>
        <v>0</v>
      </c>
      <c r="E46" s="249" t="str">
        <f>IF(OR('Field information 2'!L53&gt;0,'Field information 2'!N53&gt;0,'Field information 2'!P53&gt;0),"Y","N")</f>
        <v>N</v>
      </c>
      <c r="F46" s="277" t="str">
        <f t="shared" si="12"/>
        <v/>
      </c>
      <c r="G46" t="str">
        <f>IF(OR(ISBLANK('Field information 1'!B47),AND(OR(ISBLANK('Field information 2'!L53), 'Field information 2'!L53=0),OR(ISBLANK('Field information 2'!N53), 'Field information 2'!N53=0), OR(ISBLANK('Field information 2'!P53), 'Field information 2'!P53=0))),"",
IF(ISTEXT('Field information 1'!B47), 'Field information 1'!B47, TEXT('Field information 1'!B47,"0")))</f>
        <v/>
      </c>
      <c r="H46" t="str">
        <f>IF(OR(ISBLANK('Field information 1'!B47),ISBLANK('Field information 2'!L53),ISBLANK('Field information 2'!F53)),"",'Field information 2'!F53)</f>
        <v/>
      </c>
      <c r="I46" s="91" t="str">
        <f>IF(OR(ISBLANK('Field information 1'!E47),G46=""),"",CEILING('Field information 1'!E47/10,1))</f>
        <v/>
      </c>
      <c r="J46" s="91" t="str">
        <f t="shared" si="13"/>
        <v>no</v>
      </c>
      <c r="K46" s="135" t="str">
        <f t="shared" ca="1" si="54"/>
        <v/>
      </c>
      <c r="L46" s="135" t="str">
        <f t="shared" ca="1" si="55"/>
        <v/>
      </c>
      <c r="M46" s="135" t="str">
        <f t="shared" ca="1" si="56"/>
        <v/>
      </c>
      <c r="N46" s="135" t="str">
        <f t="shared" ca="1" si="57"/>
        <v/>
      </c>
      <c r="O46" s="135" t="str">
        <f t="shared" ca="1" si="58"/>
        <v/>
      </c>
      <c r="P46" s="135" t="str">
        <f t="shared" ca="1" si="59"/>
        <v/>
      </c>
      <c r="Q46" s="135" t="str">
        <f t="shared" ca="1" si="60"/>
        <v/>
      </c>
      <c r="R46" s="135" t="str">
        <f t="shared" ca="1" si="61"/>
        <v/>
      </c>
      <c r="S46" s="135" t="str">
        <f t="shared" ca="1" si="62"/>
        <v/>
      </c>
      <c r="T46" s="135" t="str">
        <f t="shared" ca="1" si="63"/>
        <v/>
      </c>
      <c r="U46" s="49" t="str">
        <f t="shared" ca="1" si="24"/>
        <v/>
      </c>
      <c r="V46" s="7" t="str">
        <f t="shared" ca="1" si="25"/>
        <v/>
      </c>
      <c r="W46" s="7" t="str">
        <f t="shared" ca="1" si="26"/>
        <v/>
      </c>
      <c r="X46" s="7" t="str">
        <f t="shared" ca="1" si="27"/>
        <v/>
      </c>
      <c r="Y46" s="91"/>
      <c r="Z46" s="247" t="str">
        <f t="shared" si="87"/>
        <v/>
      </c>
      <c r="AA46" s="247" t="str">
        <f t="shared" ref="AA46:AI46" si="97">IF(AND(AA$4&lt;=$I46,$G46&lt;&gt;"",Z46&lt;&gt;""),$G46&amp;" "&amp;AA$3, "")</f>
        <v/>
      </c>
      <c r="AB46" s="247" t="str">
        <f t="shared" si="97"/>
        <v/>
      </c>
      <c r="AC46" s="247" t="str">
        <f t="shared" si="97"/>
        <v/>
      </c>
      <c r="AD46" s="247" t="str">
        <f t="shared" si="97"/>
        <v/>
      </c>
      <c r="AE46" s="247" t="str">
        <f t="shared" si="97"/>
        <v/>
      </c>
      <c r="AF46" s="247" t="str">
        <f t="shared" si="97"/>
        <v/>
      </c>
      <c r="AG46" s="247" t="str">
        <f t="shared" si="97"/>
        <v/>
      </c>
      <c r="AH46" s="247" t="str">
        <f t="shared" si="97"/>
        <v/>
      </c>
      <c r="AI46" s="247" t="str">
        <f t="shared" si="97"/>
        <v/>
      </c>
      <c r="AK46" s="247" t="str">
        <f t="shared" si="30"/>
        <v/>
      </c>
      <c r="AL46" s="247" t="str">
        <f t="shared" si="31"/>
        <v/>
      </c>
      <c r="AM46" s="247" t="str">
        <f t="shared" si="32"/>
        <v/>
      </c>
      <c r="AN46" s="247" t="str">
        <f t="shared" si="33"/>
        <v/>
      </c>
      <c r="AO46" s="247" t="str">
        <f t="shared" si="34"/>
        <v/>
      </c>
      <c r="AP46" s="247" t="str">
        <f t="shared" si="35"/>
        <v/>
      </c>
      <c r="AQ46" s="247" t="str">
        <f t="shared" si="36"/>
        <v/>
      </c>
      <c r="AR46" s="247" t="str">
        <f t="shared" si="37"/>
        <v/>
      </c>
      <c r="AS46" s="247" t="str">
        <f t="shared" si="38"/>
        <v/>
      </c>
      <c r="AT46" s="247" t="str">
        <f t="shared" si="39"/>
        <v/>
      </c>
      <c r="AV46" t="str">
        <f>IF(ISBLANK('Field information 1'!F47),"",'Field information 1'!F47)</f>
        <v/>
      </c>
      <c r="AX46" s="247" t="str" cm="1">
        <f t="array" aca="1" ref="AX46" ca="1">INDIRECT(TEXT(MIN(IF((Calc!$Z$5:$AI$104&lt;&gt;"")*(COUNTIF($AX$4:AX45,Calc!$Z$5:$AI$104)=0),ROW(Calc!$Z$5:$AI$104)*100+COLUMN(Calc!$Z$5:$AI$104),7^8)),"Calc!R0C00"),)&amp;""</f>
        <v/>
      </c>
      <c r="AY46" t="str" cm="1">
        <f t="array" aca="1" ref="AY46" ca="1">INDIRECT(TEXT(MIN(IF((Calc!$AK$5:$AT$104&lt;&gt;"")*(COUNTIF(AY$4:$AY45,Calc!$AK$5:$AT$104)=0),ROW(Calc!$AK$5:$AT$104)*100+COLUMN(Calc!$AK$5:$AT$104),7^8)),"Calc!R0C00"),)&amp;""</f>
        <v/>
      </c>
      <c r="AZ46" s="247" t="str">
        <f t="shared" ca="1" si="40"/>
        <v/>
      </c>
      <c r="BA46" s="324">
        <f t="shared" si="47"/>
        <v>42</v>
      </c>
      <c r="BB46">
        <f t="shared" ca="1" si="41"/>
        <v>0</v>
      </c>
      <c r="BC46" t="str">
        <f ca="1">IF($AX46="","",
VLOOKUP(LEFT($AX46,LEN($AX46)-2),'Field information 2'!$B$12:$P$111,11,FALSE))</f>
        <v/>
      </c>
      <c r="BD46" t="str">
        <f ca="1">IF($AX46="","",
VLOOKUP(LEFT($AX46,LEN($AX46)-2),'Field information 2'!$B$12:$P$111,13,FALSE))</f>
        <v/>
      </c>
      <c r="BE46" t="str">
        <f ca="1">IF($AX46="","",
VLOOKUP(LEFT($AX46,LEN($AX46)-2),'Field information 2'!$B$12:$P$111,15,FALSE))</f>
        <v/>
      </c>
      <c r="BF46">
        <f t="shared" ca="1" si="42"/>
        <v>0</v>
      </c>
      <c r="BG46" t="str">
        <f t="shared" ca="1" si="43"/>
        <v/>
      </c>
      <c r="BH46" s="7" t="str">
        <f ca="1">IF(OR(AX46="",'Soil results'!$D$7="",'Soil results'!$D$8=""),"",
IF('Soil results'!$D$7="LOI",
  IF('Soil results'!$D$8="mg/kg",'Soil results'!D51/10000,'Soil results'!D51),
IF('Soil results'!$D$7="Dumas",
  IF('Soil results'!$D$8="mg/kg",'Soil results'!D51*1.72/10000,'Soil results'!D51*1.72))))</f>
        <v/>
      </c>
      <c r="BI46" t="str">
        <f ca="1">IF($AX46="","",
VLOOKUP(LEFT($AX46,LEN($AX46)-2),'Field information 2'!$B$12:$I$111,8,FALSE))</f>
        <v/>
      </c>
      <c r="BJ46" t="str">
        <f ca="1">IF(BI46="","",
VLOOKUP(BI46,'Fertiliser recommendations'!$A$5:$B$62,2,FALSE))</f>
        <v/>
      </c>
      <c r="BK46" s="38" t="str">
        <f ca="1">IF($AX46="","",
IF(AND(BJ46="g",VLOOKUP(LEFT($AX46,LEN($AX46)-2),'Field information 2'!$B$12:$P$111,9,FALSE)&lt;&gt;"yes"),
IF(BG46="10-25% OM",6,IF(BG46="&gt;25% OM",12,IF(BG46="SCL; CL; ZCL; SC; ZC; C",6,IF(BG46="SL; SZL; ZL",5,IF(BG46="S; LS",4,"?"))))),
IF(OR(BJ46="a",AND(BJ46="g",VLOOKUP(LEFT($AX46,LEN($AX46)-2),'Field information 2'!$B$12:$P$111,9,FALSE)="yes")),
IF(BG46="10-25% OM",8,IF(BG46="&gt;25% OM",16,IF(BG46="SCL; CL; ZCL; SC; ZC; C",8,IF(BG46="SL; SZL; ZL",7,IF(BG46="S; LS",6,"?"))))),"")))</f>
        <v/>
      </c>
      <c r="BL46" t="str">
        <f ca="1">IF(AX46&lt;&gt;"",COUNTBLANK('Soil results'!D51:D51)+COUNTBLANK('Soil results'!F51:I51)+COUNTBLANK('Soil results'!K51:Q51),"")</f>
        <v/>
      </c>
      <c r="BM46" t="str">
        <f ca="1">IF(AX46&lt;&gt;"",
IF(OR(ISNUMBER(SEARCH("10*01*01",'Field information 2'!$M$5)),ISNUMBER(SEARCH("10*01*03",'Field information 2'!$M$5))),0.25,1),"")</f>
        <v/>
      </c>
      <c r="BN46" s="275" t="str">
        <f ca="1">IF(AX46&lt;&gt;"",
IF(COUNTIF('Soil results'!G52:G$159,"="&amp;'Soil results'!G51)+COUNTIF('Soil results'!H52:H$159,"="&amp;'Soil results'!H51)+COUNTIF('Soil results'!I52:I$159,"="&amp;'Soil results'!I51)=0,"no",
IF(MOD(COUNTIF('Soil results'!G52:G$159,"="&amp;'Soil results'!G51)+COUNTIF('Soil results'!H52:H$159,"="&amp;'Soil results'!H51)+COUNTIF('Soil results'!I52:I$159,"="&amp;'Soil results'!I51),3)=0,"yes","no")),"")</f>
        <v/>
      </c>
      <c r="BO46" s="276" t="str">
        <f t="shared" ca="1" si="44"/>
        <v/>
      </c>
      <c r="BP46" s="33"/>
      <c r="BQ46" s="276"/>
      <c r="BR46" s="276"/>
      <c r="BS46" s="276" t="str">
        <f t="shared" ca="1" si="45"/>
        <v/>
      </c>
      <c r="BT46" s="153" t="str">
        <f ca="1">IF(AX46="","",
IF(OR(Assessment!F48="limited benefit",Assessment!F48="benefit", Assessment!M48="limited benefit",Assessment!M48="benefit", Assessment!R48="limited benefit",Assessment!R48="benefit", Assessment!W48="limited benefit",Assessment!W48="benefit", Assessment!AB48="limited benefit",Assessment!AB48="benefit", AND(ISNUMBER(Assessment!AF48),Assessment!AG48="ok"), Assessment!AJ48="benefit"),"yes","no"))</f>
        <v/>
      </c>
    </row>
    <row r="47" spans="1:75" ht="15" x14ac:dyDescent="0.25">
      <c r="A47" s="272">
        <f>IF(AND('Field information 2'!L54&gt;0, 'Field information 2'!M54=0),"data missing", 'Field information 2'!M54-'Field information 2'!L54)</f>
        <v>0</v>
      </c>
      <c r="B47" s="272">
        <f>IF(AND('Field information 2'!N54&gt;0,'Field information 2'!O54=0),"data missing",'Field information 2'!O54-'Field information 2'!N54)</f>
        <v>0</v>
      </c>
      <c r="C47" s="272">
        <f>IF(AND('Field information 2'!P54&gt;0, 'Field information 2'!Q54=0),"data missing",'Field information 2'!Q54-'Field information 2'!P54)</f>
        <v>0</v>
      </c>
      <c r="D47">
        <f>'Field information 2'!L54</f>
        <v>0</v>
      </c>
      <c r="E47" s="249" t="str">
        <f>IF(OR('Field information 2'!L54&gt;0,'Field information 2'!N54&gt;0,'Field information 2'!P54&gt;0),"Y","N")</f>
        <v>N</v>
      </c>
      <c r="F47" s="277" t="str">
        <f t="shared" si="12"/>
        <v/>
      </c>
      <c r="G47" t="str">
        <f>IF(OR(ISBLANK('Field information 1'!B48),AND(OR(ISBLANK('Field information 2'!L54), 'Field information 2'!L54=0),OR(ISBLANK('Field information 2'!N54), 'Field information 2'!N54=0), OR(ISBLANK('Field information 2'!P54), 'Field information 2'!P54=0))),"",
IF(ISTEXT('Field information 1'!B48), 'Field information 1'!B48, TEXT('Field information 1'!B48,"0")))</f>
        <v/>
      </c>
      <c r="H47" t="str">
        <f>IF(OR(ISBLANK('Field information 1'!B48),ISBLANK('Field information 2'!L54),ISBLANK('Field information 2'!F54)),"",'Field information 2'!F54)</f>
        <v/>
      </c>
      <c r="I47" s="91" t="str">
        <f>IF(OR(ISBLANK('Field information 1'!E48),G47=""),"",CEILING('Field information 1'!E48/10,1))</f>
        <v/>
      </c>
      <c r="J47" s="91" t="str">
        <f t="shared" si="13"/>
        <v>no</v>
      </c>
      <c r="K47" s="135" t="str">
        <f t="shared" ca="1" si="54"/>
        <v/>
      </c>
      <c r="L47" s="135" t="str">
        <f t="shared" ca="1" si="55"/>
        <v/>
      </c>
      <c r="M47" s="135" t="str">
        <f t="shared" ca="1" si="56"/>
        <v/>
      </c>
      <c r="N47" s="135" t="str">
        <f t="shared" ca="1" si="57"/>
        <v/>
      </c>
      <c r="O47" s="135" t="str">
        <f t="shared" ca="1" si="58"/>
        <v/>
      </c>
      <c r="P47" s="135" t="str">
        <f t="shared" ca="1" si="59"/>
        <v/>
      </c>
      <c r="Q47" s="135" t="str">
        <f t="shared" ca="1" si="60"/>
        <v/>
      </c>
      <c r="R47" s="135" t="str">
        <f t="shared" ca="1" si="61"/>
        <v/>
      </c>
      <c r="S47" s="135" t="str">
        <f t="shared" ca="1" si="62"/>
        <v/>
      </c>
      <c r="T47" s="135" t="str">
        <f t="shared" ca="1" si="63"/>
        <v/>
      </c>
      <c r="U47" s="49" t="str">
        <f t="shared" ca="1" si="24"/>
        <v/>
      </c>
      <c r="V47" s="7" t="str">
        <f t="shared" ca="1" si="25"/>
        <v/>
      </c>
      <c r="W47" s="7" t="str">
        <f t="shared" ca="1" si="26"/>
        <v/>
      </c>
      <c r="X47" s="7" t="str">
        <f t="shared" ca="1" si="27"/>
        <v/>
      </c>
      <c r="Y47" s="91"/>
      <c r="Z47" s="247" t="str">
        <f t="shared" si="87"/>
        <v/>
      </c>
      <c r="AA47" s="247" t="str">
        <f t="shared" ref="AA47:AI47" si="98">IF(AND(AA$4&lt;=$I47,$G47&lt;&gt;"",Z47&lt;&gt;""),$G47&amp;" "&amp;AA$3, "")</f>
        <v/>
      </c>
      <c r="AB47" s="247" t="str">
        <f t="shared" si="98"/>
        <v/>
      </c>
      <c r="AC47" s="247" t="str">
        <f t="shared" si="98"/>
        <v/>
      </c>
      <c r="AD47" s="247" t="str">
        <f t="shared" si="98"/>
        <v/>
      </c>
      <c r="AE47" s="247" t="str">
        <f t="shared" si="98"/>
        <v/>
      </c>
      <c r="AF47" s="247" t="str">
        <f t="shared" si="98"/>
        <v/>
      </c>
      <c r="AG47" s="247" t="str">
        <f t="shared" si="98"/>
        <v/>
      </c>
      <c r="AH47" s="247" t="str">
        <f t="shared" si="98"/>
        <v/>
      </c>
      <c r="AI47" s="247" t="str">
        <f t="shared" si="98"/>
        <v/>
      </c>
      <c r="AK47" s="247" t="str">
        <f t="shared" si="30"/>
        <v/>
      </c>
      <c r="AL47" s="247" t="str">
        <f t="shared" si="31"/>
        <v/>
      </c>
      <c r="AM47" s="247" t="str">
        <f t="shared" si="32"/>
        <v/>
      </c>
      <c r="AN47" s="247" t="str">
        <f t="shared" si="33"/>
        <v/>
      </c>
      <c r="AO47" s="247" t="str">
        <f t="shared" si="34"/>
        <v/>
      </c>
      <c r="AP47" s="247" t="str">
        <f t="shared" si="35"/>
        <v/>
      </c>
      <c r="AQ47" s="247" t="str">
        <f t="shared" si="36"/>
        <v/>
      </c>
      <c r="AR47" s="247" t="str">
        <f t="shared" si="37"/>
        <v/>
      </c>
      <c r="AS47" s="247" t="str">
        <f t="shared" si="38"/>
        <v/>
      </c>
      <c r="AT47" s="247" t="str">
        <f t="shared" si="39"/>
        <v/>
      </c>
      <c r="AV47" t="str">
        <f>IF(ISBLANK('Field information 1'!F48),"",'Field information 1'!F48)</f>
        <v/>
      </c>
      <c r="AX47" s="247" t="str" cm="1">
        <f t="array" aca="1" ref="AX47" ca="1">INDIRECT(TEXT(MIN(IF((Calc!$Z$5:$AI$104&lt;&gt;"")*(COUNTIF($AX$4:AX46,Calc!$Z$5:$AI$104)=0),ROW(Calc!$Z$5:$AI$104)*100+COLUMN(Calc!$Z$5:$AI$104),7^8)),"Calc!R0C00"),)&amp;""</f>
        <v/>
      </c>
      <c r="AY47" t="str" cm="1">
        <f t="array" aca="1" ref="AY47" ca="1">INDIRECT(TEXT(MIN(IF((Calc!$AK$5:$AT$104&lt;&gt;"")*(COUNTIF(AY$4:$AY46,Calc!$AK$5:$AT$104)=0),ROW(Calc!$AK$5:$AT$104)*100+COLUMN(Calc!$AK$5:$AT$104),7^8)),"Calc!R0C00"),)&amp;""</f>
        <v/>
      </c>
      <c r="AZ47" s="247" t="str">
        <f t="shared" ca="1" si="40"/>
        <v/>
      </c>
      <c r="BA47" s="324">
        <f t="shared" si="47"/>
        <v>43</v>
      </c>
      <c r="BB47">
        <f t="shared" ca="1" si="41"/>
        <v>0</v>
      </c>
      <c r="BC47" t="str">
        <f ca="1">IF($AX47="","",
VLOOKUP(LEFT($AX47,LEN($AX47)-2),'Field information 2'!$B$12:$P$111,11,FALSE))</f>
        <v/>
      </c>
      <c r="BD47" t="str">
        <f ca="1">IF($AX47="","",
VLOOKUP(LEFT($AX47,LEN($AX47)-2),'Field information 2'!$B$12:$P$111,13,FALSE))</f>
        <v/>
      </c>
      <c r="BE47" t="str">
        <f ca="1">IF($AX47="","",
VLOOKUP(LEFT($AX47,LEN($AX47)-2),'Field information 2'!$B$12:$P$111,15,FALSE))</f>
        <v/>
      </c>
      <c r="BF47">
        <f t="shared" ca="1" si="42"/>
        <v>0</v>
      </c>
      <c r="BG47" t="str">
        <f t="shared" ca="1" si="43"/>
        <v/>
      </c>
      <c r="BH47" s="7" t="str">
        <f ca="1">IF(OR(AX47="",'Soil results'!$D$7="",'Soil results'!$D$8=""),"",
IF('Soil results'!$D$7="LOI",
  IF('Soil results'!$D$8="mg/kg",'Soil results'!D52/10000,'Soil results'!D52),
IF('Soil results'!$D$7="Dumas",
  IF('Soil results'!$D$8="mg/kg",'Soil results'!D52*1.72/10000,'Soil results'!D52*1.72))))</f>
        <v/>
      </c>
      <c r="BI47" t="str">
        <f ca="1">IF($AX47="","",
VLOOKUP(LEFT($AX47,LEN($AX47)-2),'Field information 2'!$B$12:$I$111,8,FALSE))</f>
        <v/>
      </c>
      <c r="BJ47" t="str">
        <f ca="1">IF(BI47="","",
VLOOKUP(BI47,'Fertiliser recommendations'!$A$5:$B$62,2,FALSE))</f>
        <v/>
      </c>
      <c r="BK47" s="38" t="str">
        <f ca="1">IF($AX47="","",
IF(AND(BJ47="g",VLOOKUP(LEFT($AX47,LEN($AX47)-2),'Field information 2'!$B$12:$P$111,9,FALSE)&lt;&gt;"yes"),
IF(BG47="10-25% OM",6,IF(BG47="&gt;25% OM",12,IF(BG47="SCL; CL; ZCL; SC; ZC; C",6,IF(BG47="SL; SZL; ZL",5,IF(BG47="S; LS",4,"?"))))),
IF(OR(BJ47="a",AND(BJ47="g",VLOOKUP(LEFT($AX47,LEN($AX47)-2),'Field information 2'!$B$12:$P$111,9,FALSE)="yes")),
IF(BG47="10-25% OM",8,IF(BG47="&gt;25% OM",16,IF(BG47="SCL; CL; ZCL; SC; ZC; C",8,IF(BG47="SL; SZL; ZL",7,IF(BG47="S; LS",6,"?"))))),"")))</f>
        <v/>
      </c>
      <c r="BL47" t="str">
        <f ca="1">IF(AX47&lt;&gt;"",COUNTBLANK('Soil results'!D52:D52)+COUNTBLANK('Soil results'!F52:I52)+COUNTBLANK('Soil results'!K52:Q52),"")</f>
        <v/>
      </c>
      <c r="BM47" t="str">
        <f ca="1">IF(AX47&lt;&gt;"",
IF(OR(ISNUMBER(SEARCH("10*01*01",'Field information 2'!$M$5)),ISNUMBER(SEARCH("10*01*03",'Field information 2'!$M$5))),0.25,1),"")</f>
        <v/>
      </c>
      <c r="BN47" s="275" t="str">
        <f ca="1">IF(AX47&lt;&gt;"",
IF(COUNTIF('Soil results'!G53:G$159,"="&amp;'Soil results'!G52)+COUNTIF('Soil results'!H53:H$159,"="&amp;'Soil results'!H52)+COUNTIF('Soil results'!I53:I$159,"="&amp;'Soil results'!I52)=0,"no",
IF(MOD(COUNTIF('Soil results'!G53:G$159,"="&amp;'Soil results'!G52)+COUNTIF('Soil results'!H53:H$159,"="&amp;'Soil results'!H52)+COUNTIF('Soil results'!I53:I$159,"="&amp;'Soil results'!I52),3)=0,"yes","no")),"")</f>
        <v/>
      </c>
      <c r="BO47" s="276" t="str">
        <f t="shared" ca="1" si="44"/>
        <v/>
      </c>
      <c r="BP47" s="33"/>
      <c r="BQ47" s="276"/>
      <c r="BR47" s="276"/>
      <c r="BS47" s="276" t="str">
        <f t="shared" ca="1" si="45"/>
        <v/>
      </c>
      <c r="BT47" s="153" t="str">
        <f ca="1">IF(AX47="","",
IF(OR(Assessment!F49="limited benefit",Assessment!F49="benefit", Assessment!M49="limited benefit",Assessment!M49="benefit", Assessment!R49="limited benefit",Assessment!R49="benefit", Assessment!W49="limited benefit",Assessment!W49="benefit", Assessment!AB49="limited benefit",Assessment!AB49="benefit", AND(ISNUMBER(Assessment!AF49),Assessment!AG49="ok"), Assessment!AJ49="benefit"),"yes","no"))</f>
        <v/>
      </c>
      <c r="BW47" t="s">
        <v>361</v>
      </c>
    </row>
    <row r="48" spans="1:75" ht="15" x14ac:dyDescent="0.25">
      <c r="A48" s="272">
        <f>IF(AND('Field information 2'!L55&gt;0, 'Field information 2'!M55=0),"data missing", 'Field information 2'!M55-'Field information 2'!L55)</f>
        <v>0</v>
      </c>
      <c r="B48" s="272">
        <f>IF(AND('Field information 2'!N55&gt;0,'Field information 2'!O55=0),"data missing",'Field information 2'!O55-'Field information 2'!N55)</f>
        <v>0</v>
      </c>
      <c r="C48" s="272">
        <f>IF(AND('Field information 2'!P55&gt;0, 'Field information 2'!Q55=0),"data missing",'Field information 2'!Q55-'Field information 2'!P55)</f>
        <v>0</v>
      </c>
      <c r="D48">
        <f>'Field information 2'!L55</f>
        <v>0</v>
      </c>
      <c r="E48" s="249" t="str">
        <f>IF(OR('Field information 2'!L55&gt;0,'Field information 2'!N55&gt;0,'Field information 2'!P55&gt;0),"Y","N")</f>
        <v>N</v>
      </c>
      <c r="F48" s="277" t="str">
        <f t="shared" si="12"/>
        <v/>
      </c>
      <c r="G48" t="str">
        <f>IF(OR(ISBLANK('Field information 1'!B49),AND(OR(ISBLANK('Field information 2'!L55), 'Field information 2'!L55=0),OR(ISBLANK('Field information 2'!N55), 'Field information 2'!N55=0), OR(ISBLANK('Field information 2'!P55), 'Field information 2'!P55=0))),"",
IF(ISTEXT('Field information 1'!B49), 'Field information 1'!B49, TEXT('Field information 1'!B49,"0")))</f>
        <v/>
      </c>
      <c r="H48" t="str">
        <f>IF(OR(ISBLANK('Field information 1'!B49),ISBLANK('Field information 2'!L55),ISBLANK('Field information 2'!F55)),"",'Field information 2'!F55)</f>
        <v/>
      </c>
      <c r="I48" s="91" t="str">
        <f>IF(OR(ISBLANK('Field information 1'!E49),G48=""),"",CEILING('Field information 1'!E49/10,1))</f>
        <v/>
      </c>
      <c r="J48" s="91" t="str">
        <f t="shared" si="13"/>
        <v>no</v>
      </c>
      <c r="K48" s="135" t="str">
        <f t="shared" ca="1" si="54"/>
        <v/>
      </c>
      <c r="L48" s="135" t="str">
        <f t="shared" ca="1" si="55"/>
        <v/>
      </c>
      <c r="M48" s="135" t="str">
        <f t="shared" ca="1" si="56"/>
        <v/>
      </c>
      <c r="N48" s="135" t="str">
        <f t="shared" ca="1" si="57"/>
        <v/>
      </c>
      <c r="O48" s="135" t="str">
        <f t="shared" ca="1" si="58"/>
        <v/>
      </c>
      <c r="P48" s="135" t="str">
        <f t="shared" ca="1" si="59"/>
        <v/>
      </c>
      <c r="Q48" s="135" t="str">
        <f t="shared" ca="1" si="60"/>
        <v/>
      </c>
      <c r="R48" s="135" t="str">
        <f t="shared" ca="1" si="61"/>
        <v/>
      </c>
      <c r="S48" s="135" t="str">
        <f t="shared" ca="1" si="62"/>
        <v/>
      </c>
      <c r="T48" s="135" t="str">
        <f t="shared" ca="1" si="63"/>
        <v/>
      </c>
      <c r="U48" s="49" t="str">
        <f t="shared" ca="1" si="24"/>
        <v/>
      </c>
      <c r="V48" s="7" t="str">
        <f t="shared" ca="1" si="25"/>
        <v/>
      </c>
      <c r="W48" s="7" t="str">
        <f t="shared" ca="1" si="26"/>
        <v/>
      </c>
      <c r="X48" s="7" t="str">
        <f t="shared" ca="1" si="27"/>
        <v/>
      </c>
      <c r="Y48" s="91"/>
      <c r="Z48" s="247" t="str">
        <f t="shared" si="87"/>
        <v/>
      </c>
      <c r="AA48" s="247" t="str">
        <f t="shared" ref="AA48:AI48" si="99">IF(AND(AA$4&lt;=$I48,$G48&lt;&gt;"",Z48&lt;&gt;""),$G48&amp;" "&amp;AA$3, "")</f>
        <v/>
      </c>
      <c r="AB48" s="247" t="str">
        <f t="shared" si="99"/>
        <v/>
      </c>
      <c r="AC48" s="247" t="str">
        <f t="shared" si="99"/>
        <v/>
      </c>
      <c r="AD48" s="247" t="str">
        <f t="shared" si="99"/>
        <v/>
      </c>
      <c r="AE48" s="247" t="str">
        <f t="shared" si="99"/>
        <v/>
      </c>
      <c r="AF48" s="247" t="str">
        <f t="shared" si="99"/>
        <v/>
      </c>
      <c r="AG48" s="247" t="str">
        <f t="shared" si="99"/>
        <v/>
      </c>
      <c r="AH48" s="247" t="str">
        <f t="shared" si="99"/>
        <v/>
      </c>
      <c r="AI48" s="247" t="str">
        <f t="shared" si="99"/>
        <v/>
      </c>
      <c r="AK48" s="247" t="str">
        <f t="shared" si="30"/>
        <v/>
      </c>
      <c r="AL48" s="247" t="str">
        <f t="shared" si="31"/>
        <v/>
      </c>
      <c r="AM48" s="247" t="str">
        <f t="shared" si="32"/>
        <v/>
      </c>
      <c r="AN48" s="247" t="str">
        <f t="shared" si="33"/>
        <v/>
      </c>
      <c r="AO48" s="247" t="str">
        <f t="shared" si="34"/>
        <v/>
      </c>
      <c r="AP48" s="247" t="str">
        <f t="shared" si="35"/>
        <v/>
      </c>
      <c r="AQ48" s="247" t="str">
        <f t="shared" si="36"/>
        <v/>
      </c>
      <c r="AR48" s="247" t="str">
        <f t="shared" si="37"/>
        <v/>
      </c>
      <c r="AS48" s="247" t="str">
        <f t="shared" si="38"/>
        <v/>
      </c>
      <c r="AT48" s="247" t="str">
        <f t="shared" si="39"/>
        <v/>
      </c>
      <c r="AV48" t="str">
        <f>IF(ISBLANK('Field information 1'!F49),"",'Field information 1'!F49)</f>
        <v/>
      </c>
      <c r="AX48" s="247" t="str" cm="1">
        <f t="array" aca="1" ref="AX48" ca="1">INDIRECT(TEXT(MIN(IF((Calc!$Z$5:$AI$104&lt;&gt;"")*(COUNTIF($AX$4:AX47,Calc!$Z$5:$AI$104)=0),ROW(Calc!$Z$5:$AI$104)*100+COLUMN(Calc!$Z$5:$AI$104),7^8)),"Calc!R0C00"),)&amp;""</f>
        <v/>
      </c>
      <c r="AY48" t="str" cm="1">
        <f t="array" aca="1" ref="AY48" ca="1">INDIRECT(TEXT(MIN(IF((Calc!$AK$5:$AT$104&lt;&gt;"")*(COUNTIF(AY$4:$AY47,Calc!$AK$5:$AT$104)=0),ROW(Calc!$AK$5:$AT$104)*100+COLUMN(Calc!$AK$5:$AT$104),7^8)),"Calc!R0C00"),)&amp;""</f>
        <v/>
      </c>
      <c r="AZ48" s="247" t="str">
        <f t="shared" ca="1" si="40"/>
        <v/>
      </c>
      <c r="BA48" s="324">
        <f t="shared" si="47"/>
        <v>44</v>
      </c>
      <c r="BB48">
        <f t="shared" ca="1" si="41"/>
        <v>0</v>
      </c>
      <c r="BC48" t="str">
        <f ca="1">IF($AX48="","",
VLOOKUP(LEFT($AX48,LEN($AX48)-2),'Field information 2'!$B$12:$P$111,11,FALSE))</f>
        <v/>
      </c>
      <c r="BD48" t="str">
        <f ca="1">IF($AX48="","",
VLOOKUP(LEFT($AX48,LEN($AX48)-2),'Field information 2'!$B$12:$P$111,13,FALSE))</f>
        <v/>
      </c>
      <c r="BE48" t="str">
        <f ca="1">IF($AX48="","",
VLOOKUP(LEFT($AX48,LEN($AX48)-2),'Field information 2'!$B$12:$P$111,15,FALSE))</f>
        <v/>
      </c>
      <c r="BF48">
        <f t="shared" ca="1" si="42"/>
        <v>0</v>
      </c>
      <c r="BG48" t="str">
        <f t="shared" ca="1" si="43"/>
        <v/>
      </c>
      <c r="BH48" s="7" t="str">
        <f ca="1">IF(OR(AX48="",'Soil results'!$D$7="",'Soil results'!$D$8=""),"",
IF('Soil results'!$D$7="LOI",
  IF('Soil results'!$D$8="mg/kg",'Soil results'!D53/10000,'Soil results'!D53),
IF('Soil results'!$D$7="Dumas",
  IF('Soil results'!$D$8="mg/kg",'Soil results'!D53*1.72/10000,'Soil results'!D53*1.72))))</f>
        <v/>
      </c>
      <c r="BI48" t="str">
        <f ca="1">IF($AX48="","",
VLOOKUP(LEFT($AX48,LEN($AX48)-2),'Field information 2'!$B$12:$I$111,8,FALSE))</f>
        <v/>
      </c>
      <c r="BJ48" t="str">
        <f ca="1">IF(BI48="","",
VLOOKUP(BI48,'Fertiliser recommendations'!$A$5:$B$62,2,FALSE))</f>
        <v/>
      </c>
      <c r="BK48" s="38" t="str">
        <f ca="1">IF($AX48="","",
IF(AND(BJ48="g",VLOOKUP(LEFT($AX48,LEN($AX48)-2),'Field information 2'!$B$12:$P$111,9,FALSE)&lt;&gt;"yes"),
IF(BG48="10-25% OM",6,IF(BG48="&gt;25% OM",12,IF(BG48="SCL; CL; ZCL; SC; ZC; C",6,IF(BG48="SL; SZL; ZL",5,IF(BG48="S; LS",4,"?"))))),
IF(OR(BJ48="a",AND(BJ48="g",VLOOKUP(LEFT($AX48,LEN($AX48)-2),'Field information 2'!$B$12:$P$111,9,FALSE)="yes")),
IF(BG48="10-25% OM",8,IF(BG48="&gt;25% OM",16,IF(BG48="SCL; CL; ZCL; SC; ZC; C",8,IF(BG48="SL; SZL; ZL",7,IF(BG48="S; LS",6,"?"))))),"")))</f>
        <v/>
      </c>
      <c r="BL48" t="str">
        <f ca="1">IF(AX48&lt;&gt;"",COUNTBLANK('Soil results'!D53:D53)+COUNTBLANK('Soil results'!F53:I53)+COUNTBLANK('Soil results'!K53:Q53),"")</f>
        <v/>
      </c>
      <c r="BM48" t="str">
        <f ca="1">IF(AX48&lt;&gt;"",
IF(OR(ISNUMBER(SEARCH("10*01*01",'Field information 2'!$M$5)),ISNUMBER(SEARCH("10*01*03",'Field information 2'!$M$5))),0.25,1),"")</f>
        <v/>
      </c>
      <c r="BN48" s="275" t="str">
        <f ca="1">IF(AX48&lt;&gt;"",
IF(COUNTIF('Soil results'!G54:G$159,"="&amp;'Soil results'!G53)+COUNTIF('Soil results'!H54:H$159,"="&amp;'Soil results'!H53)+COUNTIF('Soil results'!I54:I$159,"="&amp;'Soil results'!I53)=0,"no",
IF(MOD(COUNTIF('Soil results'!G54:G$159,"="&amp;'Soil results'!G53)+COUNTIF('Soil results'!H54:H$159,"="&amp;'Soil results'!H53)+COUNTIF('Soil results'!I54:I$159,"="&amp;'Soil results'!I53),3)=0,"yes","no")),"")</f>
        <v/>
      </c>
      <c r="BO48" s="276" t="str">
        <f t="shared" ca="1" si="44"/>
        <v/>
      </c>
      <c r="BP48" s="33"/>
      <c r="BQ48" s="276"/>
      <c r="BR48" s="276"/>
      <c r="BS48" s="276" t="str">
        <f t="shared" ca="1" si="45"/>
        <v/>
      </c>
      <c r="BT48" s="153" t="str">
        <f ca="1">IF(AX48="","",
IF(OR(Assessment!F50="limited benefit",Assessment!F50="benefit", Assessment!M50="limited benefit",Assessment!M50="benefit", Assessment!R50="limited benefit",Assessment!R50="benefit", Assessment!W50="limited benefit",Assessment!W50="benefit", Assessment!AB50="limited benefit",Assessment!AB50="benefit", AND(ISNUMBER(Assessment!AF50),Assessment!AG50="ok"), Assessment!AJ50="benefit"),"yes","no"))</f>
        <v/>
      </c>
      <c r="BW48" t="s">
        <v>362</v>
      </c>
    </row>
    <row r="49" spans="1:75" ht="15" x14ac:dyDescent="0.25">
      <c r="A49" s="272">
        <f>IF(AND('Field information 2'!L56&gt;0, 'Field information 2'!M56=0),"data missing", 'Field information 2'!M56-'Field information 2'!L56)</f>
        <v>0</v>
      </c>
      <c r="B49" s="272">
        <f>IF(AND('Field information 2'!N56&gt;0,'Field information 2'!O56=0),"data missing",'Field information 2'!O56-'Field information 2'!N56)</f>
        <v>0</v>
      </c>
      <c r="C49" s="272">
        <f>IF(AND('Field information 2'!P56&gt;0, 'Field information 2'!Q56=0),"data missing",'Field information 2'!Q56-'Field information 2'!P56)</f>
        <v>0</v>
      </c>
      <c r="D49">
        <f>'Field information 2'!L56</f>
        <v>0</v>
      </c>
      <c r="E49" s="249" t="str">
        <f>IF(OR('Field information 2'!L56&gt;0,'Field information 2'!N56&gt;0,'Field information 2'!P56&gt;0),"Y","N")</f>
        <v>N</v>
      </c>
      <c r="F49" s="277" t="str">
        <f t="shared" si="12"/>
        <v/>
      </c>
      <c r="G49" t="str">
        <f>IF(OR(ISBLANK('Field information 1'!B50),AND(OR(ISBLANK('Field information 2'!L56), 'Field information 2'!L56=0),OR(ISBLANK('Field information 2'!N56), 'Field information 2'!N56=0), OR(ISBLANK('Field information 2'!P56), 'Field information 2'!P56=0))),"",
IF(ISTEXT('Field information 1'!B50), 'Field information 1'!B50, TEXT('Field information 1'!B50,"0")))</f>
        <v/>
      </c>
      <c r="H49" t="str">
        <f>IF(OR(ISBLANK('Field information 1'!B50),ISBLANK('Field information 2'!L56),ISBLANK('Field information 2'!F56)),"",'Field information 2'!F56)</f>
        <v/>
      </c>
      <c r="I49" s="91" t="str">
        <f>IF(OR(ISBLANK('Field information 1'!E50),G49=""),"",CEILING('Field information 1'!E50/10,1))</f>
        <v/>
      </c>
      <c r="J49" s="91" t="str">
        <f t="shared" si="13"/>
        <v>no</v>
      </c>
      <c r="K49" s="135" t="str">
        <f t="shared" ca="1" si="54"/>
        <v/>
      </c>
      <c r="L49" s="135" t="str">
        <f t="shared" ca="1" si="55"/>
        <v/>
      </c>
      <c r="M49" s="135" t="str">
        <f t="shared" ca="1" si="56"/>
        <v/>
      </c>
      <c r="N49" s="135" t="str">
        <f t="shared" ca="1" si="57"/>
        <v/>
      </c>
      <c r="O49" s="135" t="str">
        <f t="shared" ca="1" si="58"/>
        <v/>
      </c>
      <c r="P49" s="135" t="str">
        <f t="shared" ca="1" si="59"/>
        <v/>
      </c>
      <c r="Q49" s="135" t="str">
        <f t="shared" ca="1" si="60"/>
        <v/>
      </c>
      <c r="R49" s="135" t="str">
        <f t="shared" ca="1" si="61"/>
        <v/>
      </c>
      <c r="S49" s="135" t="str">
        <f t="shared" ca="1" si="62"/>
        <v/>
      </c>
      <c r="T49" s="135" t="str">
        <f t="shared" ca="1" si="63"/>
        <v/>
      </c>
      <c r="U49" s="49" t="str">
        <f t="shared" ca="1" si="24"/>
        <v/>
      </c>
      <c r="V49" s="7" t="str">
        <f t="shared" ca="1" si="25"/>
        <v/>
      </c>
      <c r="W49" s="7" t="str">
        <f t="shared" ca="1" si="26"/>
        <v/>
      </c>
      <c r="X49" s="7" t="str">
        <f t="shared" ca="1" si="27"/>
        <v/>
      </c>
      <c r="Y49" s="91"/>
      <c r="Z49" s="247" t="str">
        <f t="shared" si="87"/>
        <v/>
      </c>
      <c r="AA49" s="247" t="str">
        <f t="shared" ref="AA49:AI49" si="100">IF(AND(AA$4&lt;=$I49,$G49&lt;&gt;"",Z49&lt;&gt;""),$G49&amp;" "&amp;AA$3, "")</f>
        <v/>
      </c>
      <c r="AB49" s="247" t="str">
        <f t="shared" si="100"/>
        <v/>
      </c>
      <c r="AC49" s="247" t="str">
        <f t="shared" si="100"/>
        <v/>
      </c>
      <c r="AD49" s="247" t="str">
        <f t="shared" si="100"/>
        <v/>
      </c>
      <c r="AE49" s="247" t="str">
        <f t="shared" si="100"/>
        <v/>
      </c>
      <c r="AF49" s="247" t="str">
        <f t="shared" si="100"/>
        <v/>
      </c>
      <c r="AG49" s="247" t="str">
        <f t="shared" si="100"/>
        <v/>
      </c>
      <c r="AH49" s="247" t="str">
        <f t="shared" si="100"/>
        <v/>
      </c>
      <c r="AI49" s="247" t="str">
        <f t="shared" si="100"/>
        <v/>
      </c>
      <c r="AK49" s="247" t="str">
        <f t="shared" si="30"/>
        <v/>
      </c>
      <c r="AL49" s="247" t="str">
        <f t="shared" si="31"/>
        <v/>
      </c>
      <c r="AM49" s="247" t="str">
        <f t="shared" si="32"/>
        <v/>
      </c>
      <c r="AN49" s="247" t="str">
        <f t="shared" si="33"/>
        <v/>
      </c>
      <c r="AO49" s="247" t="str">
        <f t="shared" si="34"/>
        <v/>
      </c>
      <c r="AP49" s="247" t="str">
        <f t="shared" si="35"/>
        <v/>
      </c>
      <c r="AQ49" s="247" t="str">
        <f t="shared" si="36"/>
        <v/>
      </c>
      <c r="AR49" s="247" t="str">
        <f t="shared" si="37"/>
        <v/>
      </c>
      <c r="AS49" s="247" t="str">
        <f t="shared" si="38"/>
        <v/>
      </c>
      <c r="AT49" s="247" t="str">
        <f t="shared" si="39"/>
        <v/>
      </c>
      <c r="AV49" t="str">
        <f>IF(ISBLANK('Field information 1'!F50),"",'Field information 1'!F50)</f>
        <v/>
      </c>
      <c r="AX49" s="247" t="str" cm="1">
        <f t="array" aca="1" ref="AX49" ca="1">INDIRECT(TEXT(MIN(IF((Calc!$Z$5:$AI$104&lt;&gt;"")*(COUNTIF($AX$4:AX48,Calc!$Z$5:$AI$104)=0),ROW(Calc!$Z$5:$AI$104)*100+COLUMN(Calc!$Z$5:$AI$104),7^8)),"Calc!R0C00"),)&amp;""</f>
        <v/>
      </c>
      <c r="AY49" t="str" cm="1">
        <f t="array" aca="1" ref="AY49" ca="1">INDIRECT(TEXT(MIN(IF((Calc!$AK$5:$AT$104&lt;&gt;"")*(COUNTIF(AY$4:$AY48,Calc!$AK$5:$AT$104)=0),ROW(Calc!$AK$5:$AT$104)*100+COLUMN(Calc!$AK$5:$AT$104),7^8)),"Calc!R0C00"),)&amp;""</f>
        <v/>
      </c>
      <c r="AZ49" s="247" t="str">
        <f t="shared" ca="1" si="40"/>
        <v/>
      </c>
      <c r="BA49" s="324">
        <f t="shared" si="47"/>
        <v>45</v>
      </c>
      <c r="BB49">
        <f t="shared" ca="1" si="41"/>
        <v>0</v>
      </c>
      <c r="BC49" t="str">
        <f ca="1">IF($AX49="","",
VLOOKUP(LEFT($AX49,LEN($AX49)-2),'Field information 2'!$B$12:$P$111,11,FALSE))</f>
        <v/>
      </c>
      <c r="BD49" t="str">
        <f ca="1">IF($AX49="","",
VLOOKUP(LEFT($AX49,LEN($AX49)-2),'Field information 2'!$B$12:$P$111,13,FALSE))</f>
        <v/>
      </c>
      <c r="BE49" t="str">
        <f ca="1">IF($AX49="","",
VLOOKUP(LEFT($AX49,LEN($AX49)-2),'Field information 2'!$B$12:$P$111,15,FALSE))</f>
        <v/>
      </c>
      <c r="BF49">
        <f t="shared" ca="1" si="42"/>
        <v>0</v>
      </c>
      <c r="BG49" t="str">
        <f t="shared" ca="1" si="43"/>
        <v/>
      </c>
      <c r="BH49" s="7" t="str">
        <f ca="1">IF(OR(AX49="",'Soil results'!$D$7="",'Soil results'!$D$8=""),"",
IF('Soil results'!$D$7="LOI",
  IF('Soil results'!$D$8="mg/kg",'Soil results'!D54/10000,'Soil results'!D54),
IF('Soil results'!$D$7="Dumas",
  IF('Soil results'!$D$8="mg/kg",'Soil results'!D54*1.72/10000,'Soil results'!D54*1.72))))</f>
        <v/>
      </c>
      <c r="BI49" t="str">
        <f ca="1">IF($AX49="","",
VLOOKUP(LEFT($AX49,LEN($AX49)-2),'Field information 2'!$B$12:$I$111,8,FALSE))</f>
        <v/>
      </c>
      <c r="BJ49" t="str">
        <f ca="1">IF(BI49="","",
VLOOKUP(BI49,'Fertiliser recommendations'!$A$5:$B$62,2,FALSE))</f>
        <v/>
      </c>
      <c r="BK49" s="38" t="str">
        <f ca="1">IF($AX49="","",
IF(AND(BJ49="g",VLOOKUP(LEFT($AX49,LEN($AX49)-2),'Field information 2'!$B$12:$P$111,9,FALSE)&lt;&gt;"yes"),
IF(BG49="10-25% OM",6,IF(BG49="&gt;25% OM",12,IF(BG49="SCL; CL; ZCL; SC; ZC; C",6,IF(BG49="SL; SZL; ZL",5,IF(BG49="S; LS",4,"?"))))),
IF(OR(BJ49="a",AND(BJ49="g",VLOOKUP(LEFT($AX49,LEN($AX49)-2),'Field information 2'!$B$12:$P$111,9,FALSE)="yes")),
IF(BG49="10-25% OM",8,IF(BG49="&gt;25% OM",16,IF(BG49="SCL; CL; ZCL; SC; ZC; C",8,IF(BG49="SL; SZL; ZL",7,IF(BG49="S; LS",6,"?"))))),"")))</f>
        <v/>
      </c>
      <c r="BL49" t="str">
        <f ca="1">IF(AX49&lt;&gt;"",COUNTBLANK('Soil results'!D54:D54)+COUNTBLANK('Soil results'!F54:I54)+COUNTBLANK('Soil results'!K54:Q54),"")</f>
        <v/>
      </c>
      <c r="BM49" t="str">
        <f ca="1">IF(AX49&lt;&gt;"",
IF(OR(ISNUMBER(SEARCH("10*01*01",'Field information 2'!$M$5)),ISNUMBER(SEARCH("10*01*03",'Field information 2'!$M$5))),0.25,1),"")</f>
        <v/>
      </c>
      <c r="BN49" s="275" t="str">
        <f ca="1">IF(AX49&lt;&gt;"",
IF(COUNTIF('Soil results'!G55:G$159,"="&amp;'Soil results'!G54)+COUNTIF('Soil results'!H55:H$159,"="&amp;'Soil results'!H54)+COUNTIF('Soil results'!I55:I$159,"="&amp;'Soil results'!I54)=0,"no",
IF(MOD(COUNTIF('Soil results'!G55:G$159,"="&amp;'Soil results'!G54)+COUNTIF('Soil results'!H55:H$159,"="&amp;'Soil results'!H54)+COUNTIF('Soil results'!I55:I$159,"="&amp;'Soil results'!I54),3)=0,"yes","no")),"")</f>
        <v/>
      </c>
      <c r="BO49" s="276" t="str">
        <f t="shared" ca="1" si="44"/>
        <v/>
      </c>
      <c r="BP49" s="33"/>
      <c r="BQ49" s="276"/>
      <c r="BR49" s="276"/>
      <c r="BS49" s="276" t="str">
        <f t="shared" ca="1" si="45"/>
        <v/>
      </c>
      <c r="BT49" s="153" t="str">
        <f ca="1">IF(AX49="","",
IF(OR(Assessment!F51="limited benefit",Assessment!F51="benefit", Assessment!M51="limited benefit",Assessment!M51="benefit", Assessment!R51="limited benefit",Assessment!R51="benefit", Assessment!W51="limited benefit",Assessment!W51="benefit", Assessment!AB51="limited benefit",Assessment!AB51="benefit", AND(ISNUMBER(Assessment!AF51),Assessment!AG51="ok"), Assessment!AJ51="benefit"),"yes","no"))</f>
        <v/>
      </c>
      <c r="BW49" t="s">
        <v>361</v>
      </c>
    </row>
    <row r="50" spans="1:75" ht="15" x14ac:dyDescent="0.25">
      <c r="A50" s="272">
        <f>IF(AND('Field information 2'!L57&gt;0, 'Field information 2'!M57=0),"data missing", 'Field information 2'!M57-'Field information 2'!L57)</f>
        <v>0</v>
      </c>
      <c r="B50" s="272">
        <f>IF(AND('Field information 2'!N57&gt;0,'Field information 2'!O57=0),"data missing",'Field information 2'!O57-'Field information 2'!N57)</f>
        <v>0</v>
      </c>
      <c r="C50" s="272">
        <f>IF(AND('Field information 2'!P57&gt;0, 'Field information 2'!Q57=0),"data missing",'Field information 2'!Q57-'Field information 2'!P57)</f>
        <v>0</v>
      </c>
      <c r="D50">
        <f>'Field information 2'!L57</f>
        <v>0</v>
      </c>
      <c r="E50" s="249" t="str">
        <f>IF(OR('Field information 2'!L57&gt;0,'Field information 2'!N57&gt;0,'Field information 2'!P57&gt;0),"Y","N")</f>
        <v>N</v>
      </c>
      <c r="F50" s="277" t="str">
        <f t="shared" si="12"/>
        <v/>
      </c>
      <c r="G50" t="str">
        <f>IF(OR(ISBLANK('Field information 1'!B51),AND(OR(ISBLANK('Field information 2'!L57), 'Field information 2'!L57=0),OR(ISBLANK('Field information 2'!N57), 'Field information 2'!N57=0), OR(ISBLANK('Field information 2'!P57), 'Field information 2'!P57=0))),"",
IF(ISTEXT('Field information 1'!B51), 'Field information 1'!B51, TEXT('Field information 1'!B51,"0")))</f>
        <v/>
      </c>
      <c r="H50" t="str">
        <f>IF(OR(ISBLANK('Field information 1'!B51),ISBLANK('Field information 2'!L57),ISBLANK('Field information 2'!F57)),"",'Field information 2'!F57)</f>
        <v/>
      </c>
      <c r="I50" s="91" t="str">
        <f>IF(OR(ISBLANK('Field information 1'!E51),G50=""),"",CEILING('Field information 1'!E51/10,1))</f>
        <v/>
      </c>
      <c r="J50" s="91" t="str">
        <f t="shared" si="13"/>
        <v>no</v>
      </c>
      <c r="K50" s="135" t="str">
        <f t="shared" ca="1" si="54"/>
        <v/>
      </c>
      <c r="L50" s="135" t="str">
        <f t="shared" ca="1" si="55"/>
        <v/>
      </c>
      <c r="M50" s="135" t="str">
        <f t="shared" ca="1" si="56"/>
        <v/>
      </c>
      <c r="N50" s="135" t="str">
        <f t="shared" ca="1" si="57"/>
        <v/>
      </c>
      <c r="O50" s="135" t="str">
        <f t="shared" ca="1" si="58"/>
        <v/>
      </c>
      <c r="P50" s="135" t="str">
        <f t="shared" ca="1" si="59"/>
        <v/>
      </c>
      <c r="Q50" s="135" t="str">
        <f t="shared" ca="1" si="60"/>
        <v/>
      </c>
      <c r="R50" s="135" t="str">
        <f t="shared" ca="1" si="61"/>
        <v/>
      </c>
      <c r="S50" s="135" t="str">
        <f t="shared" ca="1" si="62"/>
        <v/>
      </c>
      <c r="T50" s="135" t="str">
        <f t="shared" ca="1" si="63"/>
        <v/>
      </c>
      <c r="U50" s="49" t="str">
        <f t="shared" ca="1" si="24"/>
        <v/>
      </c>
      <c r="V50" s="7" t="str">
        <f t="shared" ca="1" si="25"/>
        <v/>
      </c>
      <c r="W50" s="7" t="str">
        <f t="shared" ca="1" si="26"/>
        <v/>
      </c>
      <c r="X50" s="7" t="str">
        <f t="shared" ca="1" si="27"/>
        <v/>
      </c>
      <c r="Y50" s="91"/>
      <c r="Z50" s="247" t="str">
        <f t="shared" si="87"/>
        <v/>
      </c>
      <c r="AA50" s="247" t="str">
        <f t="shared" ref="AA50:AI50" si="101">IF(AND(AA$4&lt;=$I50,$G50&lt;&gt;"",Z50&lt;&gt;""),$G50&amp;" "&amp;AA$3, "")</f>
        <v/>
      </c>
      <c r="AB50" s="247" t="str">
        <f t="shared" si="101"/>
        <v/>
      </c>
      <c r="AC50" s="247" t="str">
        <f t="shared" si="101"/>
        <v/>
      </c>
      <c r="AD50" s="247" t="str">
        <f t="shared" si="101"/>
        <v/>
      </c>
      <c r="AE50" s="247" t="str">
        <f t="shared" si="101"/>
        <v/>
      </c>
      <c r="AF50" s="247" t="str">
        <f t="shared" si="101"/>
        <v/>
      </c>
      <c r="AG50" s="247" t="str">
        <f t="shared" si="101"/>
        <v/>
      </c>
      <c r="AH50" s="247" t="str">
        <f t="shared" si="101"/>
        <v/>
      </c>
      <c r="AI50" s="247" t="str">
        <f t="shared" si="101"/>
        <v/>
      </c>
      <c r="AK50" s="247" t="str">
        <f t="shared" si="30"/>
        <v/>
      </c>
      <c r="AL50" s="247" t="str">
        <f t="shared" si="31"/>
        <v/>
      </c>
      <c r="AM50" s="247" t="str">
        <f t="shared" si="32"/>
        <v/>
      </c>
      <c r="AN50" s="247" t="str">
        <f t="shared" si="33"/>
        <v/>
      </c>
      <c r="AO50" s="247" t="str">
        <f t="shared" si="34"/>
        <v/>
      </c>
      <c r="AP50" s="247" t="str">
        <f t="shared" si="35"/>
        <v/>
      </c>
      <c r="AQ50" s="247" t="str">
        <f t="shared" si="36"/>
        <v/>
      </c>
      <c r="AR50" s="247" t="str">
        <f t="shared" si="37"/>
        <v/>
      </c>
      <c r="AS50" s="247" t="str">
        <f t="shared" si="38"/>
        <v/>
      </c>
      <c r="AT50" s="247" t="str">
        <f t="shared" si="39"/>
        <v/>
      </c>
      <c r="AV50" t="str">
        <f>IF(ISBLANK('Field information 1'!F51),"",'Field information 1'!F51)</f>
        <v/>
      </c>
      <c r="AX50" s="247" t="str" cm="1">
        <f t="array" aca="1" ref="AX50" ca="1">INDIRECT(TEXT(MIN(IF((Calc!$Z$5:$AI$104&lt;&gt;"")*(COUNTIF($AX$4:AX49,Calc!$Z$5:$AI$104)=0),ROW(Calc!$Z$5:$AI$104)*100+COLUMN(Calc!$Z$5:$AI$104),7^8)),"Calc!R0C00"),)&amp;""</f>
        <v/>
      </c>
      <c r="AY50" t="str" cm="1">
        <f t="array" aca="1" ref="AY50" ca="1">INDIRECT(TEXT(MIN(IF((Calc!$AK$5:$AT$104&lt;&gt;"")*(COUNTIF(AY$4:$AY49,Calc!$AK$5:$AT$104)=0),ROW(Calc!$AK$5:$AT$104)*100+COLUMN(Calc!$AK$5:$AT$104),7^8)),"Calc!R0C00"),)&amp;""</f>
        <v/>
      </c>
      <c r="AZ50" s="247" t="str">
        <f t="shared" ca="1" si="40"/>
        <v/>
      </c>
      <c r="BA50" s="324">
        <f t="shared" si="47"/>
        <v>46</v>
      </c>
      <c r="BB50">
        <f t="shared" ca="1" si="41"/>
        <v>0</v>
      </c>
      <c r="BC50" t="str">
        <f ca="1">IF($AX50="","",
VLOOKUP(LEFT($AX50,LEN($AX50)-2),'Field information 2'!$B$12:$P$111,11,FALSE))</f>
        <v/>
      </c>
      <c r="BD50" t="str">
        <f ca="1">IF($AX50="","",
VLOOKUP(LEFT($AX50,LEN($AX50)-2),'Field information 2'!$B$12:$P$111,13,FALSE))</f>
        <v/>
      </c>
      <c r="BE50" t="str">
        <f ca="1">IF($AX50="","",
VLOOKUP(LEFT($AX50,LEN($AX50)-2),'Field information 2'!$B$12:$P$111,15,FALSE))</f>
        <v/>
      </c>
      <c r="BF50">
        <f t="shared" ca="1" si="42"/>
        <v>0</v>
      </c>
      <c r="BG50" t="str">
        <f t="shared" ca="1" si="43"/>
        <v/>
      </c>
      <c r="BH50" s="7" t="str">
        <f ca="1">IF(OR(AX50="",'Soil results'!$D$7="",'Soil results'!$D$8=""),"",
IF('Soil results'!$D$7="LOI",
  IF('Soil results'!$D$8="mg/kg",'Soil results'!D55/10000,'Soil results'!D55),
IF('Soil results'!$D$7="Dumas",
  IF('Soil results'!$D$8="mg/kg",'Soil results'!D55*1.72/10000,'Soil results'!D55*1.72))))</f>
        <v/>
      </c>
      <c r="BI50" t="str">
        <f ca="1">IF($AX50="","",
VLOOKUP(LEFT($AX50,LEN($AX50)-2),'Field information 2'!$B$12:$I$111,8,FALSE))</f>
        <v/>
      </c>
      <c r="BJ50" t="str">
        <f ca="1">IF(BI50="","",
VLOOKUP(BI50,'Fertiliser recommendations'!$A$5:$B$62,2,FALSE))</f>
        <v/>
      </c>
      <c r="BK50" s="38" t="str">
        <f ca="1">IF($AX50="","",
IF(AND(BJ50="g",VLOOKUP(LEFT($AX50,LEN($AX50)-2),'Field information 2'!$B$12:$P$111,9,FALSE)&lt;&gt;"yes"),
IF(BG50="10-25% OM",6,IF(BG50="&gt;25% OM",12,IF(BG50="SCL; CL; ZCL; SC; ZC; C",6,IF(BG50="SL; SZL; ZL",5,IF(BG50="S; LS",4,"?"))))),
IF(OR(BJ50="a",AND(BJ50="g",VLOOKUP(LEFT($AX50,LEN($AX50)-2),'Field information 2'!$B$12:$P$111,9,FALSE)="yes")),
IF(BG50="10-25% OM",8,IF(BG50="&gt;25% OM",16,IF(BG50="SCL; CL; ZCL; SC; ZC; C",8,IF(BG50="SL; SZL; ZL",7,IF(BG50="S; LS",6,"?"))))),"")))</f>
        <v/>
      </c>
      <c r="BL50" t="str">
        <f ca="1">IF(AX50&lt;&gt;"",COUNTBLANK('Soil results'!D55:D55)+COUNTBLANK('Soil results'!F55:I55)+COUNTBLANK('Soil results'!K55:Q55),"")</f>
        <v/>
      </c>
      <c r="BM50" t="str">
        <f ca="1">IF(AX50&lt;&gt;"",
IF(OR(ISNUMBER(SEARCH("10*01*01",'Field information 2'!$M$5)),ISNUMBER(SEARCH("10*01*03",'Field information 2'!$M$5))),0.25,1),"")</f>
        <v/>
      </c>
      <c r="BN50" s="275" t="str">
        <f ca="1">IF(AX50&lt;&gt;"",
IF(COUNTIF('Soil results'!G56:G$159,"="&amp;'Soil results'!G55)+COUNTIF('Soil results'!H56:H$159,"="&amp;'Soil results'!H55)+COUNTIF('Soil results'!I56:I$159,"="&amp;'Soil results'!I55)=0,"no",
IF(MOD(COUNTIF('Soil results'!G56:G$159,"="&amp;'Soil results'!G55)+COUNTIF('Soil results'!H56:H$159,"="&amp;'Soil results'!H55)+COUNTIF('Soil results'!I56:I$159,"="&amp;'Soil results'!I55),3)=0,"yes","no")),"")</f>
        <v/>
      </c>
      <c r="BO50" s="276" t="str">
        <f t="shared" ca="1" si="44"/>
        <v/>
      </c>
      <c r="BP50" s="33"/>
      <c r="BQ50" s="276"/>
      <c r="BR50" s="276"/>
      <c r="BS50" s="276" t="str">
        <f t="shared" ca="1" si="45"/>
        <v/>
      </c>
      <c r="BT50" s="153" t="str">
        <f ca="1">IF(AX50="","",
IF(OR(Assessment!F52="limited benefit",Assessment!F52="benefit", Assessment!M52="limited benefit",Assessment!M52="benefit", Assessment!R52="limited benefit",Assessment!R52="benefit", Assessment!W52="limited benefit",Assessment!W52="benefit", Assessment!AB52="limited benefit",Assessment!AB52="benefit", AND(ISNUMBER(Assessment!AF52),Assessment!AG52="ok"), Assessment!AJ52="benefit"),"yes","no"))</f>
        <v/>
      </c>
      <c r="BW50" t="s">
        <v>363</v>
      </c>
    </row>
    <row r="51" spans="1:75" ht="15" x14ac:dyDescent="0.25">
      <c r="A51" s="272">
        <f>IF(AND('Field information 2'!L58&gt;0, 'Field information 2'!M58=0),"data missing", 'Field information 2'!M58-'Field information 2'!L58)</f>
        <v>0</v>
      </c>
      <c r="B51" s="272">
        <f>IF(AND('Field information 2'!N58&gt;0,'Field information 2'!O58=0),"data missing",'Field information 2'!O58-'Field information 2'!N58)</f>
        <v>0</v>
      </c>
      <c r="C51" s="272">
        <f>IF(AND('Field information 2'!P58&gt;0, 'Field information 2'!Q58=0),"data missing",'Field information 2'!Q58-'Field information 2'!P58)</f>
        <v>0</v>
      </c>
      <c r="D51">
        <f>'Field information 2'!L58</f>
        <v>0</v>
      </c>
      <c r="E51" s="249" t="str">
        <f>IF(OR('Field information 2'!L58&gt;0,'Field information 2'!N58&gt;0,'Field information 2'!P58&gt;0),"Y","N")</f>
        <v>N</v>
      </c>
      <c r="F51" s="277" t="str">
        <f t="shared" si="12"/>
        <v/>
      </c>
      <c r="G51" t="str">
        <f>IF(OR(ISBLANK('Field information 1'!B52),AND(OR(ISBLANK('Field information 2'!L58), 'Field information 2'!L58=0),OR(ISBLANK('Field information 2'!N58), 'Field information 2'!N58=0), OR(ISBLANK('Field information 2'!P58), 'Field information 2'!P58=0))),"",
IF(ISTEXT('Field information 1'!B52), 'Field information 1'!B52, TEXT('Field information 1'!B52,"0")))</f>
        <v/>
      </c>
      <c r="H51" t="str">
        <f>IF(OR(ISBLANK('Field information 1'!B52),ISBLANK('Field information 2'!L58),ISBLANK('Field information 2'!F58)),"",'Field information 2'!F58)</f>
        <v/>
      </c>
      <c r="I51" s="91" t="str">
        <f>IF(OR(ISBLANK('Field information 1'!E52),G51=""),"",CEILING('Field information 1'!E52/10,1))</f>
        <v/>
      </c>
      <c r="J51" s="91" t="str">
        <f t="shared" si="13"/>
        <v>no</v>
      </c>
      <c r="K51" s="135" t="str">
        <f t="shared" ca="1" si="54"/>
        <v/>
      </c>
      <c r="L51" s="135" t="str">
        <f t="shared" ca="1" si="55"/>
        <v/>
      </c>
      <c r="M51" s="135" t="str">
        <f t="shared" ca="1" si="56"/>
        <v/>
      </c>
      <c r="N51" s="135" t="str">
        <f t="shared" ca="1" si="57"/>
        <v/>
      </c>
      <c r="O51" s="135" t="str">
        <f t="shared" ca="1" si="58"/>
        <v/>
      </c>
      <c r="P51" s="135" t="str">
        <f t="shared" ca="1" si="59"/>
        <v/>
      </c>
      <c r="Q51" s="135" t="str">
        <f t="shared" ca="1" si="60"/>
        <v/>
      </c>
      <c r="R51" s="135" t="str">
        <f t="shared" ca="1" si="61"/>
        <v/>
      </c>
      <c r="S51" s="135" t="str">
        <f t="shared" ca="1" si="62"/>
        <v/>
      </c>
      <c r="T51" s="135" t="str">
        <f t="shared" ca="1" si="63"/>
        <v/>
      </c>
      <c r="U51" s="49" t="str">
        <f t="shared" ca="1" si="24"/>
        <v/>
      </c>
      <c r="V51" s="7" t="str">
        <f t="shared" ca="1" si="25"/>
        <v/>
      </c>
      <c r="W51" s="7" t="str">
        <f t="shared" ca="1" si="26"/>
        <v/>
      </c>
      <c r="X51" s="7" t="str">
        <f t="shared" ca="1" si="27"/>
        <v/>
      </c>
      <c r="Y51" s="91"/>
      <c r="Z51" s="247" t="str">
        <f t="shared" si="87"/>
        <v/>
      </c>
      <c r="AA51" s="247" t="str">
        <f t="shared" ref="AA51:AI51" si="102">IF(AND(AA$4&lt;=$I51,$G51&lt;&gt;"",Z51&lt;&gt;""),$G51&amp;" "&amp;AA$3, "")</f>
        <v/>
      </c>
      <c r="AB51" s="247" t="str">
        <f t="shared" si="102"/>
        <v/>
      </c>
      <c r="AC51" s="247" t="str">
        <f t="shared" si="102"/>
        <v/>
      </c>
      <c r="AD51" s="247" t="str">
        <f t="shared" si="102"/>
        <v/>
      </c>
      <c r="AE51" s="247" t="str">
        <f t="shared" si="102"/>
        <v/>
      </c>
      <c r="AF51" s="247" t="str">
        <f t="shared" si="102"/>
        <v/>
      </c>
      <c r="AG51" s="247" t="str">
        <f t="shared" si="102"/>
        <v/>
      </c>
      <c r="AH51" s="247" t="str">
        <f t="shared" si="102"/>
        <v/>
      </c>
      <c r="AI51" s="247" t="str">
        <f t="shared" si="102"/>
        <v/>
      </c>
      <c r="AK51" s="247" t="str">
        <f t="shared" si="30"/>
        <v/>
      </c>
      <c r="AL51" s="247" t="str">
        <f t="shared" si="31"/>
        <v/>
      </c>
      <c r="AM51" s="247" t="str">
        <f t="shared" si="32"/>
        <v/>
      </c>
      <c r="AN51" s="247" t="str">
        <f t="shared" si="33"/>
        <v/>
      </c>
      <c r="AO51" s="247" t="str">
        <f t="shared" si="34"/>
        <v/>
      </c>
      <c r="AP51" s="247" t="str">
        <f t="shared" si="35"/>
        <v/>
      </c>
      <c r="AQ51" s="247" t="str">
        <f t="shared" si="36"/>
        <v/>
      </c>
      <c r="AR51" s="247" t="str">
        <f t="shared" si="37"/>
        <v/>
      </c>
      <c r="AS51" s="247" t="str">
        <f t="shared" si="38"/>
        <v/>
      </c>
      <c r="AT51" s="247" t="str">
        <f t="shared" si="39"/>
        <v/>
      </c>
      <c r="AV51" t="str">
        <f>IF(ISBLANK('Field information 1'!F52),"",'Field information 1'!F52)</f>
        <v/>
      </c>
      <c r="AX51" s="247" t="str" cm="1">
        <f t="array" aca="1" ref="AX51" ca="1">INDIRECT(TEXT(MIN(IF((Calc!$Z$5:$AI$104&lt;&gt;"")*(COUNTIF($AX$4:AX50,Calc!$Z$5:$AI$104)=0),ROW(Calc!$Z$5:$AI$104)*100+COLUMN(Calc!$Z$5:$AI$104),7^8)),"Calc!R0C00"),)&amp;""</f>
        <v/>
      </c>
      <c r="AY51" t="str" cm="1">
        <f t="array" aca="1" ref="AY51" ca="1">INDIRECT(TEXT(MIN(IF((Calc!$AK$5:$AT$104&lt;&gt;"")*(COUNTIF(AY$4:$AY50,Calc!$AK$5:$AT$104)=0),ROW(Calc!$AK$5:$AT$104)*100+COLUMN(Calc!$AK$5:$AT$104),7^8)),"Calc!R0C00"),)&amp;""</f>
        <v/>
      </c>
      <c r="AZ51" s="247" t="str">
        <f t="shared" ca="1" si="40"/>
        <v/>
      </c>
      <c r="BA51" s="324">
        <f t="shared" si="47"/>
        <v>47</v>
      </c>
      <c r="BB51">
        <f t="shared" ca="1" si="41"/>
        <v>0</v>
      </c>
      <c r="BC51" t="str">
        <f ca="1">IF($AX51="","",
VLOOKUP(LEFT($AX51,LEN($AX51)-2),'Field information 2'!$B$12:$P$111,11,FALSE))</f>
        <v/>
      </c>
      <c r="BD51" t="str">
        <f ca="1">IF($AX51="","",
VLOOKUP(LEFT($AX51,LEN($AX51)-2),'Field information 2'!$B$12:$P$111,13,FALSE))</f>
        <v/>
      </c>
      <c r="BE51" t="str">
        <f ca="1">IF($AX51="","",
VLOOKUP(LEFT($AX51,LEN($AX51)-2),'Field information 2'!$B$12:$P$111,15,FALSE))</f>
        <v/>
      </c>
      <c r="BF51">
        <f t="shared" ca="1" si="42"/>
        <v>0</v>
      </c>
      <c r="BG51" t="str">
        <f t="shared" ca="1" si="43"/>
        <v/>
      </c>
      <c r="BH51" s="7" t="str">
        <f ca="1">IF(OR(AX51="",'Soil results'!$D$7="",'Soil results'!$D$8=""),"",
IF('Soil results'!$D$7="LOI",
  IF('Soil results'!$D$8="mg/kg",'Soil results'!D56/10000,'Soil results'!D56),
IF('Soil results'!$D$7="Dumas",
  IF('Soil results'!$D$8="mg/kg",'Soil results'!D56*1.72/10000,'Soil results'!D56*1.72))))</f>
        <v/>
      </c>
      <c r="BI51" t="str">
        <f ca="1">IF($AX51="","",
VLOOKUP(LEFT($AX51,LEN($AX51)-2),'Field information 2'!$B$12:$I$111,8,FALSE))</f>
        <v/>
      </c>
      <c r="BJ51" t="str">
        <f ca="1">IF(BI51="","",
VLOOKUP(BI51,'Fertiliser recommendations'!$A$5:$B$62,2,FALSE))</f>
        <v/>
      </c>
      <c r="BK51" s="38" t="str">
        <f ca="1">IF($AX51="","",
IF(AND(BJ51="g",VLOOKUP(LEFT($AX51,LEN($AX51)-2),'Field information 2'!$B$12:$P$111,9,FALSE)&lt;&gt;"yes"),
IF(BG51="10-25% OM",6,IF(BG51="&gt;25% OM",12,IF(BG51="SCL; CL; ZCL; SC; ZC; C",6,IF(BG51="SL; SZL; ZL",5,IF(BG51="S; LS",4,"?"))))),
IF(OR(BJ51="a",AND(BJ51="g",VLOOKUP(LEFT($AX51,LEN($AX51)-2),'Field information 2'!$B$12:$P$111,9,FALSE)="yes")),
IF(BG51="10-25% OM",8,IF(BG51="&gt;25% OM",16,IF(BG51="SCL; CL; ZCL; SC; ZC; C",8,IF(BG51="SL; SZL; ZL",7,IF(BG51="S; LS",6,"?"))))),"")))</f>
        <v/>
      </c>
      <c r="BL51" t="str">
        <f ca="1">IF(AX51&lt;&gt;"",COUNTBLANK('Soil results'!D56:D56)+COUNTBLANK('Soil results'!F56:I56)+COUNTBLANK('Soil results'!K56:Q56),"")</f>
        <v/>
      </c>
      <c r="BM51" t="str">
        <f ca="1">IF(AX51&lt;&gt;"",
IF(OR(ISNUMBER(SEARCH("10*01*01",'Field information 2'!$M$5)),ISNUMBER(SEARCH("10*01*03",'Field information 2'!$M$5))),0.25,1),"")</f>
        <v/>
      </c>
      <c r="BN51" s="275" t="str">
        <f ca="1">IF(AX51&lt;&gt;"",
IF(COUNTIF('Soil results'!G57:G$159,"="&amp;'Soil results'!G56)+COUNTIF('Soil results'!H57:H$159,"="&amp;'Soil results'!H56)+COUNTIF('Soil results'!I57:I$159,"="&amp;'Soil results'!I56)=0,"no",
IF(MOD(COUNTIF('Soil results'!G57:G$159,"="&amp;'Soil results'!G56)+COUNTIF('Soil results'!H57:H$159,"="&amp;'Soil results'!H56)+COUNTIF('Soil results'!I57:I$159,"="&amp;'Soil results'!I56),3)=0,"yes","no")),"")</f>
        <v/>
      </c>
      <c r="BO51" s="276" t="str">
        <f t="shared" ca="1" si="44"/>
        <v/>
      </c>
      <c r="BP51" s="33"/>
      <c r="BQ51" s="276"/>
      <c r="BR51" s="276"/>
      <c r="BS51" s="276" t="str">
        <f t="shared" ca="1" si="45"/>
        <v/>
      </c>
      <c r="BT51" s="153" t="str">
        <f ca="1">IF(AX51="","",
IF(OR(Assessment!F53="limited benefit",Assessment!F53="benefit", Assessment!M53="limited benefit",Assessment!M53="benefit", Assessment!R53="limited benefit",Assessment!R53="benefit", Assessment!W53="limited benefit",Assessment!W53="benefit", Assessment!AB53="limited benefit",Assessment!AB53="benefit", AND(ISNUMBER(Assessment!AF53),Assessment!AG53="ok"), Assessment!AJ53="benefit"),"yes","no"))</f>
        <v/>
      </c>
    </row>
    <row r="52" spans="1:75" ht="15" x14ac:dyDescent="0.25">
      <c r="A52" s="272">
        <f>IF(AND('Field information 2'!L59&gt;0, 'Field information 2'!M59=0),"data missing", 'Field information 2'!M59-'Field information 2'!L59)</f>
        <v>0</v>
      </c>
      <c r="B52" s="272">
        <f>IF(AND('Field information 2'!N59&gt;0,'Field information 2'!O59=0),"data missing",'Field information 2'!O59-'Field information 2'!N59)</f>
        <v>0</v>
      </c>
      <c r="C52" s="272">
        <f>IF(AND('Field information 2'!P59&gt;0, 'Field information 2'!Q59=0),"data missing",'Field information 2'!Q59-'Field information 2'!P59)</f>
        <v>0</v>
      </c>
      <c r="D52">
        <f>'Field information 2'!L59</f>
        <v>0</v>
      </c>
      <c r="E52" s="249" t="str">
        <f>IF(OR('Field information 2'!L59&gt;0,'Field information 2'!N59&gt;0,'Field information 2'!P59&gt;0),"Y","N")</f>
        <v>N</v>
      </c>
      <c r="F52" s="277" t="str">
        <f t="shared" si="12"/>
        <v/>
      </c>
      <c r="G52" t="str">
        <f>IF(OR(ISBLANK('Field information 1'!B53),AND(OR(ISBLANK('Field information 2'!L59), 'Field information 2'!L59=0),OR(ISBLANK('Field information 2'!N59), 'Field information 2'!N59=0), OR(ISBLANK('Field information 2'!P59), 'Field information 2'!P59=0))),"",
IF(ISTEXT('Field information 1'!B53), 'Field information 1'!B53, TEXT('Field information 1'!B53,"0")))</f>
        <v/>
      </c>
      <c r="H52" t="str">
        <f>IF(OR(ISBLANK('Field information 1'!B53),ISBLANK('Field information 2'!L59),ISBLANK('Field information 2'!F59)),"",'Field information 2'!F59)</f>
        <v/>
      </c>
      <c r="I52" s="91" t="str">
        <f>IF(OR(ISBLANK('Field information 1'!E53),G52=""),"",CEILING('Field information 1'!E53/10,1))</f>
        <v/>
      </c>
      <c r="J52" s="91" t="str">
        <f t="shared" si="13"/>
        <v>no</v>
      </c>
      <c r="K52" s="135" t="str">
        <f t="shared" ca="1" si="54"/>
        <v/>
      </c>
      <c r="L52" s="135" t="str">
        <f t="shared" ca="1" si="55"/>
        <v/>
      </c>
      <c r="M52" s="135" t="str">
        <f t="shared" ca="1" si="56"/>
        <v/>
      </c>
      <c r="N52" s="135" t="str">
        <f t="shared" ca="1" si="57"/>
        <v/>
      </c>
      <c r="O52" s="135" t="str">
        <f t="shared" ca="1" si="58"/>
        <v/>
      </c>
      <c r="P52" s="135" t="str">
        <f t="shared" ca="1" si="59"/>
        <v/>
      </c>
      <c r="Q52" s="135" t="str">
        <f t="shared" ca="1" si="60"/>
        <v/>
      </c>
      <c r="R52" s="135" t="str">
        <f t="shared" ca="1" si="61"/>
        <v/>
      </c>
      <c r="S52" s="135" t="str">
        <f t="shared" ca="1" si="62"/>
        <v/>
      </c>
      <c r="T52" s="135" t="str">
        <f t="shared" ca="1" si="63"/>
        <v/>
      </c>
      <c r="U52" s="49" t="str">
        <f t="shared" ca="1" si="24"/>
        <v/>
      </c>
      <c r="V52" s="7" t="str">
        <f t="shared" ca="1" si="25"/>
        <v/>
      </c>
      <c r="W52" s="7" t="str">
        <f t="shared" ca="1" si="26"/>
        <v/>
      </c>
      <c r="X52" s="7" t="str">
        <f t="shared" ca="1" si="27"/>
        <v/>
      </c>
      <c r="Y52" s="91"/>
      <c r="Z52" s="247" t="str">
        <f t="shared" si="87"/>
        <v/>
      </c>
      <c r="AA52" s="247" t="str">
        <f t="shared" ref="AA52:AI52" si="103">IF(AND(AA$4&lt;=$I52,$G52&lt;&gt;"",Z52&lt;&gt;""),$G52&amp;" "&amp;AA$3, "")</f>
        <v/>
      </c>
      <c r="AB52" s="247" t="str">
        <f t="shared" si="103"/>
        <v/>
      </c>
      <c r="AC52" s="247" t="str">
        <f t="shared" si="103"/>
        <v/>
      </c>
      <c r="AD52" s="247" t="str">
        <f t="shared" si="103"/>
        <v/>
      </c>
      <c r="AE52" s="247" t="str">
        <f t="shared" si="103"/>
        <v/>
      </c>
      <c r="AF52" s="247" t="str">
        <f t="shared" si="103"/>
        <v/>
      </c>
      <c r="AG52" s="247" t="str">
        <f t="shared" si="103"/>
        <v/>
      </c>
      <c r="AH52" s="247" t="str">
        <f t="shared" si="103"/>
        <v/>
      </c>
      <c r="AI52" s="247" t="str">
        <f t="shared" si="103"/>
        <v/>
      </c>
      <c r="AK52" s="247" t="str">
        <f t="shared" si="30"/>
        <v/>
      </c>
      <c r="AL52" s="247" t="str">
        <f t="shared" si="31"/>
        <v/>
      </c>
      <c r="AM52" s="247" t="str">
        <f t="shared" si="32"/>
        <v/>
      </c>
      <c r="AN52" s="247" t="str">
        <f t="shared" si="33"/>
        <v/>
      </c>
      <c r="AO52" s="247" t="str">
        <f t="shared" si="34"/>
        <v/>
      </c>
      <c r="AP52" s="247" t="str">
        <f t="shared" si="35"/>
        <v/>
      </c>
      <c r="AQ52" s="247" t="str">
        <f t="shared" si="36"/>
        <v/>
      </c>
      <c r="AR52" s="247" t="str">
        <f t="shared" si="37"/>
        <v/>
      </c>
      <c r="AS52" s="247" t="str">
        <f t="shared" si="38"/>
        <v/>
      </c>
      <c r="AT52" s="247" t="str">
        <f t="shared" si="39"/>
        <v/>
      </c>
      <c r="AV52" t="str">
        <f>IF(ISBLANK('Field information 1'!F53),"",'Field information 1'!F53)</f>
        <v/>
      </c>
      <c r="AX52" s="247" t="str" cm="1">
        <f t="array" aca="1" ref="AX52" ca="1">INDIRECT(TEXT(MIN(IF((Calc!$Z$5:$AI$104&lt;&gt;"")*(COUNTIF($AX$4:AX51,Calc!$Z$5:$AI$104)=0),ROW(Calc!$Z$5:$AI$104)*100+COLUMN(Calc!$Z$5:$AI$104),7^8)),"Calc!R0C00"),)&amp;""</f>
        <v/>
      </c>
      <c r="AY52" t="str" cm="1">
        <f t="array" aca="1" ref="AY52" ca="1">INDIRECT(TEXT(MIN(IF((Calc!$AK$5:$AT$104&lt;&gt;"")*(COUNTIF(AY$4:$AY51,Calc!$AK$5:$AT$104)=0),ROW(Calc!$AK$5:$AT$104)*100+COLUMN(Calc!$AK$5:$AT$104),7^8)),"Calc!R0C00"),)&amp;""</f>
        <v/>
      </c>
      <c r="AZ52" s="247" t="str">
        <f t="shared" ca="1" si="40"/>
        <v/>
      </c>
      <c r="BA52" s="324">
        <f t="shared" si="47"/>
        <v>48</v>
      </c>
      <c r="BB52">
        <f t="shared" ca="1" si="41"/>
        <v>0</v>
      </c>
      <c r="BC52" t="str">
        <f ca="1">IF($AX52="","",
VLOOKUP(LEFT($AX52,LEN($AX52)-2),'Field information 2'!$B$12:$P$111,11,FALSE))</f>
        <v/>
      </c>
      <c r="BD52" t="str">
        <f ca="1">IF($AX52="","",
VLOOKUP(LEFT($AX52,LEN($AX52)-2),'Field information 2'!$B$12:$P$111,13,FALSE))</f>
        <v/>
      </c>
      <c r="BE52" t="str">
        <f ca="1">IF($AX52="","",
VLOOKUP(LEFT($AX52,LEN($AX52)-2),'Field information 2'!$B$12:$P$111,15,FALSE))</f>
        <v/>
      </c>
      <c r="BF52">
        <f t="shared" ca="1" si="42"/>
        <v>0</v>
      </c>
      <c r="BG52" t="str">
        <f t="shared" ca="1" si="43"/>
        <v/>
      </c>
      <c r="BH52" s="7" t="str">
        <f ca="1">IF(OR(AX52="",'Soil results'!$D$7="",'Soil results'!$D$8=""),"",
IF('Soil results'!$D$7="LOI",
  IF('Soil results'!$D$8="mg/kg",'Soil results'!D57/10000,'Soil results'!D57),
IF('Soil results'!$D$7="Dumas",
  IF('Soil results'!$D$8="mg/kg",'Soil results'!D57*1.72/10000,'Soil results'!D57*1.72))))</f>
        <v/>
      </c>
      <c r="BI52" t="str">
        <f ca="1">IF($AX52="","",
VLOOKUP(LEFT($AX52,LEN($AX52)-2),'Field information 2'!$B$12:$I$111,8,FALSE))</f>
        <v/>
      </c>
      <c r="BJ52" t="str">
        <f ca="1">IF(BI52="","",
VLOOKUP(BI52,'Fertiliser recommendations'!$A$5:$B$62,2,FALSE))</f>
        <v/>
      </c>
      <c r="BK52" s="38" t="str">
        <f ca="1">IF($AX52="","",
IF(AND(BJ52="g",VLOOKUP(LEFT($AX52,LEN($AX52)-2),'Field information 2'!$B$12:$P$111,9,FALSE)&lt;&gt;"yes"),
IF(BG52="10-25% OM",6,IF(BG52="&gt;25% OM",12,IF(BG52="SCL; CL; ZCL; SC; ZC; C",6,IF(BG52="SL; SZL; ZL",5,IF(BG52="S; LS",4,"?"))))),
IF(OR(BJ52="a",AND(BJ52="g",VLOOKUP(LEFT($AX52,LEN($AX52)-2),'Field information 2'!$B$12:$P$111,9,FALSE)="yes")),
IF(BG52="10-25% OM",8,IF(BG52="&gt;25% OM",16,IF(BG52="SCL; CL; ZCL; SC; ZC; C",8,IF(BG52="SL; SZL; ZL",7,IF(BG52="S; LS",6,"?"))))),"")))</f>
        <v/>
      </c>
      <c r="BL52" t="str">
        <f ca="1">IF(AX52&lt;&gt;"",COUNTBLANK('Soil results'!D57:D57)+COUNTBLANK('Soil results'!F57:I57)+COUNTBLANK('Soil results'!K57:Q57),"")</f>
        <v/>
      </c>
      <c r="BM52" t="str">
        <f ca="1">IF(AX52&lt;&gt;"",
IF(OR(ISNUMBER(SEARCH("10*01*01",'Field information 2'!$M$5)),ISNUMBER(SEARCH("10*01*03",'Field information 2'!$M$5))),0.25,1),"")</f>
        <v/>
      </c>
      <c r="BN52" s="275" t="str">
        <f ca="1">IF(AX52&lt;&gt;"",
IF(COUNTIF('Soil results'!G58:G$159,"="&amp;'Soil results'!G57)+COUNTIF('Soil results'!H58:H$159,"="&amp;'Soil results'!H57)+COUNTIF('Soil results'!I58:I$159,"="&amp;'Soil results'!I57)=0,"no",
IF(MOD(COUNTIF('Soil results'!G58:G$159,"="&amp;'Soil results'!G57)+COUNTIF('Soil results'!H58:H$159,"="&amp;'Soil results'!H57)+COUNTIF('Soil results'!I58:I$159,"="&amp;'Soil results'!I57),3)=0,"yes","no")),"")</f>
        <v/>
      </c>
      <c r="BO52" s="276" t="str">
        <f t="shared" ca="1" si="44"/>
        <v/>
      </c>
      <c r="BP52" s="33"/>
      <c r="BQ52" s="276"/>
      <c r="BR52" s="276"/>
      <c r="BS52" s="276" t="str">
        <f t="shared" ca="1" si="45"/>
        <v/>
      </c>
      <c r="BT52" s="153" t="str">
        <f ca="1">IF(AX52="","",
IF(OR(Assessment!F54="limited benefit",Assessment!F54="benefit", Assessment!M54="limited benefit",Assessment!M54="benefit", Assessment!R54="limited benefit",Assessment!R54="benefit", Assessment!W54="limited benefit",Assessment!W54="benefit", Assessment!AB54="limited benefit",Assessment!AB54="benefit", AND(ISNUMBER(Assessment!AF54),Assessment!AG54="ok"), Assessment!AJ54="benefit"),"yes","no"))</f>
        <v/>
      </c>
      <c r="BW52" s="216" t="s">
        <v>364</v>
      </c>
    </row>
    <row r="53" spans="1:75" ht="15" x14ac:dyDescent="0.25">
      <c r="A53" s="272">
        <f>IF(AND('Field information 2'!L60&gt;0, 'Field information 2'!M60=0),"data missing", 'Field information 2'!M60-'Field information 2'!L60)</f>
        <v>0</v>
      </c>
      <c r="B53" s="272">
        <f>IF(AND('Field information 2'!N60&gt;0,'Field information 2'!O60=0),"data missing",'Field information 2'!O60-'Field information 2'!N60)</f>
        <v>0</v>
      </c>
      <c r="C53" s="272">
        <f>IF(AND('Field information 2'!P60&gt;0, 'Field information 2'!Q60=0),"data missing",'Field information 2'!Q60-'Field information 2'!P60)</f>
        <v>0</v>
      </c>
      <c r="D53">
        <f>'Field information 2'!L60</f>
        <v>0</v>
      </c>
      <c r="E53" s="249" t="str">
        <f>IF(OR('Field information 2'!L60&gt;0,'Field information 2'!N60&gt;0,'Field information 2'!P60&gt;0),"Y","N")</f>
        <v>N</v>
      </c>
      <c r="F53" s="277" t="str">
        <f t="shared" si="12"/>
        <v/>
      </c>
      <c r="G53" t="str">
        <f>IF(OR(ISBLANK('Field information 1'!B54),AND(OR(ISBLANK('Field information 2'!L60), 'Field information 2'!L60=0),OR(ISBLANK('Field information 2'!N60), 'Field information 2'!N60=0), OR(ISBLANK('Field information 2'!P60), 'Field information 2'!P60=0))),"",
IF(ISTEXT('Field information 1'!B54), 'Field information 1'!B54, TEXT('Field information 1'!B54,"0")))</f>
        <v/>
      </c>
      <c r="H53" t="str">
        <f>IF(OR(ISBLANK('Field information 1'!B54),ISBLANK('Field information 2'!L60),ISBLANK('Field information 2'!F60)),"",'Field information 2'!F60)</f>
        <v/>
      </c>
      <c r="I53" s="91" t="str">
        <f>IF(OR(ISBLANK('Field information 1'!E54),G53=""),"",CEILING('Field information 1'!E54/10,1))</f>
        <v/>
      </c>
      <c r="J53" s="91" t="str">
        <f t="shared" si="13"/>
        <v>no</v>
      </c>
      <c r="K53" s="135" t="str">
        <f t="shared" ca="1" si="54"/>
        <v/>
      </c>
      <c r="L53" s="135" t="str">
        <f t="shared" ca="1" si="55"/>
        <v/>
      </c>
      <c r="M53" s="135" t="str">
        <f t="shared" ca="1" si="56"/>
        <v/>
      </c>
      <c r="N53" s="135" t="str">
        <f t="shared" ca="1" si="57"/>
        <v/>
      </c>
      <c r="O53" s="135" t="str">
        <f t="shared" ca="1" si="58"/>
        <v/>
      </c>
      <c r="P53" s="135" t="str">
        <f t="shared" ca="1" si="59"/>
        <v/>
      </c>
      <c r="Q53" s="135" t="str">
        <f t="shared" ca="1" si="60"/>
        <v/>
      </c>
      <c r="R53" s="135" t="str">
        <f t="shared" ca="1" si="61"/>
        <v/>
      </c>
      <c r="S53" s="135" t="str">
        <f t="shared" ca="1" si="62"/>
        <v/>
      </c>
      <c r="T53" s="135" t="str">
        <f t="shared" ca="1" si="63"/>
        <v/>
      </c>
      <c r="U53" s="49" t="str">
        <f t="shared" ca="1" si="24"/>
        <v/>
      </c>
      <c r="V53" s="7" t="str">
        <f t="shared" ca="1" si="25"/>
        <v/>
      </c>
      <c r="W53" s="7" t="str">
        <f t="shared" ca="1" si="26"/>
        <v/>
      </c>
      <c r="X53" s="7" t="str">
        <f t="shared" ca="1" si="27"/>
        <v/>
      </c>
      <c r="Y53" s="91"/>
      <c r="Z53" s="247" t="str">
        <f t="shared" si="87"/>
        <v/>
      </c>
      <c r="AA53" s="247" t="str">
        <f t="shared" ref="AA53:AI53" si="104">IF(AND(AA$4&lt;=$I53,$G53&lt;&gt;"",Z53&lt;&gt;""),$G53&amp;" "&amp;AA$3, "")</f>
        <v/>
      </c>
      <c r="AB53" s="247" t="str">
        <f t="shared" si="104"/>
        <v/>
      </c>
      <c r="AC53" s="247" t="str">
        <f t="shared" si="104"/>
        <v/>
      </c>
      <c r="AD53" s="247" t="str">
        <f t="shared" si="104"/>
        <v/>
      </c>
      <c r="AE53" s="247" t="str">
        <f t="shared" si="104"/>
        <v/>
      </c>
      <c r="AF53" s="247" t="str">
        <f t="shared" si="104"/>
        <v/>
      </c>
      <c r="AG53" s="247" t="str">
        <f t="shared" si="104"/>
        <v/>
      </c>
      <c r="AH53" s="247" t="str">
        <f t="shared" si="104"/>
        <v/>
      </c>
      <c r="AI53" s="247" t="str">
        <f t="shared" si="104"/>
        <v/>
      </c>
      <c r="AK53" s="247" t="str">
        <f t="shared" si="30"/>
        <v/>
      </c>
      <c r="AL53" s="247" t="str">
        <f t="shared" si="31"/>
        <v/>
      </c>
      <c r="AM53" s="247" t="str">
        <f t="shared" si="32"/>
        <v/>
      </c>
      <c r="AN53" s="247" t="str">
        <f t="shared" si="33"/>
        <v/>
      </c>
      <c r="AO53" s="247" t="str">
        <f t="shared" si="34"/>
        <v/>
      </c>
      <c r="AP53" s="247" t="str">
        <f t="shared" si="35"/>
        <v/>
      </c>
      <c r="AQ53" s="247" t="str">
        <f t="shared" si="36"/>
        <v/>
      </c>
      <c r="AR53" s="247" t="str">
        <f t="shared" si="37"/>
        <v/>
      </c>
      <c r="AS53" s="247" t="str">
        <f t="shared" si="38"/>
        <v/>
      </c>
      <c r="AT53" s="247" t="str">
        <f t="shared" si="39"/>
        <v/>
      </c>
      <c r="AV53" t="str">
        <f>IF(ISBLANK('Field information 1'!F54),"",'Field information 1'!F54)</f>
        <v/>
      </c>
      <c r="AX53" s="247" t="str" cm="1">
        <f t="array" aca="1" ref="AX53" ca="1">INDIRECT(TEXT(MIN(IF((Calc!$Z$5:$AI$104&lt;&gt;"")*(COUNTIF($AX$4:AX52,Calc!$Z$5:$AI$104)=0),ROW(Calc!$Z$5:$AI$104)*100+COLUMN(Calc!$Z$5:$AI$104),7^8)),"Calc!R0C00"),)&amp;""</f>
        <v/>
      </c>
      <c r="AY53" t="str" cm="1">
        <f t="array" aca="1" ref="AY53" ca="1">INDIRECT(TEXT(MIN(IF((Calc!$AK$5:$AT$104&lt;&gt;"")*(COUNTIF(AY$4:$AY52,Calc!$AK$5:$AT$104)=0),ROW(Calc!$AK$5:$AT$104)*100+COLUMN(Calc!$AK$5:$AT$104),7^8)),"Calc!R0C00"),)&amp;""</f>
        <v/>
      </c>
      <c r="AZ53" s="247" t="str">
        <f t="shared" ca="1" si="40"/>
        <v/>
      </c>
      <c r="BA53" s="324">
        <f t="shared" si="47"/>
        <v>49</v>
      </c>
      <c r="BB53">
        <f t="shared" ca="1" si="41"/>
        <v>0</v>
      </c>
      <c r="BC53" t="str">
        <f ca="1">IF($AX53="","",
VLOOKUP(LEFT($AX53,LEN($AX53)-2),'Field information 2'!$B$12:$P$111,11,FALSE))</f>
        <v/>
      </c>
      <c r="BD53" t="str">
        <f ca="1">IF($AX53="","",
VLOOKUP(LEFT($AX53,LEN($AX53)-2),'Field information 2'!$B$12:$P$111,13,FALSE))</f>
        <v/>
      </c>
      <c r="BE53" t="str">
        <f ca="1">IF($AX53="","",
VLOOKUP(LEFT($AX53,LEN($AX53)-2),'Field information 2'!$B$12:$P$111,15,FALSE))</f>
        <v/>
      </c>
      <c r="BF53">
        <f t="shared" ca="1" si="42"/>
        <v>0</v>
      </c>
      <c r="BG53" t="str">
        <f t="shared" ca="1" si="43"/>
        <v/>
      </c>
      <c r="BH53" s="7" t="str">
        <f ca="1">IF(OR(AX53="",'Soil results'!$D$7="",'Soil results'!$D$8=""),"",
IF('Soil results'!$D$7="LOI",
  IF('Soil results'!$D$8="mg/kg",'Soil results'!D58/10000,'Soil results'!D58),
IF('Soil results'!$D$7="Dumas",
  IF('Soil results'!$D$8="mg/kg",'Soil results'!D58*1.72/10000,'Soil results'!D58*1.72))))</f>
        <v/>
      </c>
      <c r="BI53" t="str">
        <f ca="1">IF($AX53="","",
VLOOKUP(LEFT($AX53,LEN($AX53)-2),'Field information 2'!$B$12:$I$111,8,FALSE))</f>
        <v/>
      </c>
      <c r="BJ53" t="str">
        <f ca="1">IF(BI53="","",
VLOOKUP(BI53,'Fertiliser recommendations'!$A$5:$B$62,2,FALSE))</f>
        <v/>
      </c>
      <c r="BK53" s="38" t="str">
        <f ca="1">IF($AX53="","",
IF(AND(BJ53="g",VLOOKUP(LEFT($AX53,LEN($AX53)-2),'Field information 2'!$B$12:$P$111,9,FALSE)&lt;&gt;"yes"),
IF(BG53="10-25% OM",6,IF(BG53="&gt;25% OM",12,IF(BG53="SCL; CL; ZCL; SC; ZC; C",6,IF(BG53="SL; SZL; ZL",5,IF(BG53="S; LS",4,"?"))))),
IF(OR(BJ53="a",AND(BJ53="g",VLOOKUP(LEFT($AX53,LEN($AX53)-2),'Field information 2'!$B$12:$P$111,9,FALSE)="yes")),
IF(BG53="10-25% OM",8,IF(BG53="&gt;25% OM",16,IF(BG53="SCL; CL; ZCL; SC; ZC; C",8,IF(BG53="SL; SZL; ZL",7,IF(BG53="S; LS",6,"?"))))),"")))</f>
        <v/>
      </c>
      <c r="BL53" t="str">
        <f ca="1">IF(AX53&lt;&gt;"",COUNTBLANK('Soil results'!D58:D58)+COUNTBLANK('Soil results'!F58:I58)+COUNTBLANK('Soil results'!K58:Q58),"")</f>
        <v/>
      </c>
      <c r="BM53" t="str">
        <f ca="1">IF(AX53&lt;&gt;"",
IF(OR(ISNUMBER(SEARCH("10*01*01",'Field information 2'!$M$5)),ISNUMBER(SEARCH("10*01*03",'Field information 2'!$M$5))),0.25,1),"")</f>
        <v/>
      </c>
      <c r="BN53" s="275" t="str">
        <f ca="1">IF(AX53&lt;&gt;"",
IF(COUNTIF('Soil results'!G59:G$159,"="&amp;'Soil results'!G58)+COUNTIF('Soil results'!H59:H$159,"="&amp;'Soil results'!H58)+COUNTIF('Soil results'!I59:I$159,"="&amp;'Soil results'!I58)=0,"no",
IF(MOD(COUNTIF('Soil results'!G59:G$159,"="&amp;'Soil results'!G58)+COUNTIF('Soil results'!H59:H$159,"="&amp;'Soil results'!H58)+COUNTIF('Soil results'!I59:I$159,"="&amp;'Soil results'!I58),3)=0,"yes","no")),"")</f>
        <v/>
      </c>
      <c r="BO53" s="276" t="str">
        <f t="shared" ca="1" si="44"/>
        <v/>
      </c>
      <c r="BP53" s="33"/>
      <c r="BQ53" s="276"/>
      <c r="BR53" s="276"/>
      <c r="BS53" s="276" t="str">
        <f t="shared" ca="1" si="45"/>
        <v/>
      </c>
      <c r="BT53" s="153" t="str">
        <f ca="1">IF(AX53="","",
IF(OR(Assessment!F55="limited benefit",Assessment!F55="benefit", Assessment!M55="limited benefit",Assessment!M55="benefit", Assessment!R55="limited benefit",Assessment!R55="benefit", Assessment!W55="limited benefit",Assessment!W55="benefit", Assessment!AB55="limited benefit",Assessment!AB55="benefit", AND(ISNUMBER(Assessment!AF55),Assessment!AG55="ok"), Assessment!AJ55="benefit"),"yes","no"))</f>
        <v/>
      </c>
      <c r="BW53" t="s">
        <v>365</v>
      </c>
    </row>
    <row r="54" spans="1:75" ht="15" x14ac:dyDescent="0.25">
      <c r="A54" s="272">
        <f>IF(AND('Field information 2'!L61&gt;0, 'Field information 2'!M61=0),"data missing", 'Field information 2'!M61-'Field information 2'!L61)</f>
        <v>0</v>
      </c>
      <c r="B54" s="272">
        <f>IF(AND('Field information 2'!N61&gt;0,'Field information 2'!O61=0),"data missing",'Field information 2'!O61-'Field information 2'!N61)</f>
        <v>0</v>
      </c>
      <c r="C54" s="272">
        <f>IF(AND('Field information 2'!P61&gt;0, 'Field information 2'!Q61=0),"data missing",'Field information 2'!Q61-'Field information 2'!P61)</f>
        <v>0</v>
      </c>
      <c r="D54">
        <f>'Field information 2'!L61</f>
        <v>0</v>
      </c>
      <c r="E54" s="249" t="str">
        <f>IF(OR('Field information 2'!L61&gt;0,'Field information 2'!N61&gt;0,'Field information 2'!P61&gt;0),"Y","N")</f>
        <v>N</v>
      </c>
      <c r="F54" s="277" t="str">
        <f t="shared" si="12"/>
        <v/>
      </c>
      <c r="G54" t="str">
        <f>IF(OR(ISBLANK('Field information 1'!B55),AND(OR(ISBLANK('Field information 2'!L61), 'Field information 2'!L61=0),OR(ISBLANK('Field information 2'!N61), 'Field information 2'!N61=0), OR(ISBLANK('Field information 2'!P61), 'Field information 2'!P61=0))),"",
IF(ISTEXT('Field information 1'!B55), 'Field information 1'!B55, TEXT('Field information 1'!B55,"0")))</f>
        <v/>
      </c>
      <c r="H54" t="str">
        <f>IF(OR(ISBLANK('Field information 1'!B55),ISBLANK('Field information 2'!L61),ISBLANK('Field information 2'!F61)),"",'Field information 2'!F61)</f>
        <v/>
      </c>
      <c r="I54" s="91" t="str">
        <f>IF(OR(ISBLANK('Field information 1'!E55),G54=""),"",CEILING('Field information 1'!E55/10,1))</f>
        <v/>
      </c>
      <c r="J54" s="91" t="str">
        <f t="shared" si="13"/>
        <v>no</v>
      </c>
      <c r="K54" s="135" t="str">
        <f t="shared" ca="1" si="54"/>
        <v/>
      </c>
      <c r="L54" s="135" t="str">
        <f t="shared" ca="1" si="55"/>
        <v/>
      </c>
      <c r="M54" s="135" t="str">
        <f t="shared" ca="1" si="56"/>
        <v/>
      </c>
      <c r="N54" s="135" t="str">
        <f t="shared" ca="1" si="57"/>
        <v/>
      </c>
      <c r="O54" s="135" t="str">
        <f t="shared" ca="1" si="58"/>
        <v/>
      </c>
      <c r="P54" s="135" t="str">
        <f t="shared" ca="1" si="59"/>
        <v/>
      </c>
      <c r="Q54" s="135" t="str">
        <f t="shared" ca="1" si="60"/>
        <v/>
      </c>
      <c r="R54" s="135" t="str">
        <f t="shared" ca="1" si="61"/>
        <v/>
      </c>
      <c r="S54" s="135" t="str">
        <f t="shared" ca="1" si="62"/>
        <v/>
      </c>
      <c r="T54" s="135" t="str">
        <f t="shared" ca="1" si="63"/>
        <v/>
      </c>
      <c r="U54" s="49" t="str">
        <f t="shared" ca="1" si="24"/>
        <v/>
      </c>
      <c r="V54" s="7" t="str">
        <f t="shared" ca="1" si="25"/>
        <v/>
      </c>
      <c r="W54" s="7" t="str">
        <f t="shared" ca="1" si="26"/>
        <v/>
      </c>
      <c r="X54" s="7" t="str">
        <f t="shared" ca="1" si="27"/>
        <v/>
      </c>
      <c r="Y54" s="91"/>
      <c r="Z54" s="247" t="str">
        <f t="shared" si="87"/>
        <v/>
      </c>
      <c r="AA54" s="247" t="str">
        <f t="shared" ref="AA54:AI54" si="105">IF(AND(AA$4&lt;=$I54,$G54&lt;&gt;"",Z54&lt;&gt;""),$G54&amp;" "&amp;AA$3, "")</f>
        <v/>
      </c>
      <c r="AB54" s="247" t="str">
        <f t="shared" si="105"/>
        <v/>
      </c>
      <c r="AC54" s="247" t="str">
        <f t="shared" si="105"/>
        <v/>
      </c>
      <c r="AD54" s="247" t="str">
        <f t="shared" si="105"/>
        <v/>
      </c>
      <c r="AE54" s="247" t="str">
        <f t="shared" si="105"/>
        <v/>
      </c>
      <c r="AF54" s="247" t="str">
        <f t="shared" si="105"/>
        <v/>
      </c>
      <c r="AG54" s="247" t="str">
        <f t="shared" si="105"/>
        <v/>
      </c>
      <c r="AH54" s="247" t="str">
        <f t="shared" si="105"/>
        <v/>
      </c>
      <c r="AI54" s="247" t="str">
        <f t="shared" si="105"/>
        <v/>
      </c>
      <c r="AK54" s="247" t="str">
        <f t="shared" si="30"/>
        <v/>
      </c>
      <c r="AL54" s="247" t="str">
        <f t="shared" si="31"/>
        <v/>
      </c>
      <c r="AM54" s="247" t="str">
        <f t="shared" si="32"/>
        <v/>
      </c>
      <c r="AN54" s="247" t="str">
        <f t="shared" si="33"/>
        <v/>
      </c>
      <c r="AO54" s="247" t="str">
        <f t="shared" si="34"/>
        <v/>
      </c>
      <c r="AP54" s="247" t="str">
        <f t="shared" si="35"/>
        <v/>
      </c>
      <c r="AQ54" s="247" t="str">
        <f t="shared" si="36"/>
        <v/>
      </c>
      <c r="AR54" s="247" t="str">
        <f t="shared" si="37"/>
        <v/>
      </c>
      <c r="AS54" s="247" t="str">
        <f t="shared" si="38"/>
        <v/>
      </c>
      <c r="AT54" s="247" t="str">
        <f t="shared" si="39"/>
        <v/>
      </c>
      <c r="AV54" t="str">
        <f>IF(ISBLANK('Field information 1'!F55),"",'Field information 1'!F55)</f>
        <v/>
      </c>
      <c r="AX54" s="247" t="str" cm="1">
        <f t="array" aca="1" ref="AX54" ca="1">INDIRECT(TEXT(MIN(IF((Calc!$Z$5:$AI$104&lt;&gt;"")*(COUNTIF($AX$4:AX53,Calc!$Z$5:$AI$104)=0),ROW(Calc!$Z$5:$AI$104)*100+COLUMN(Calc!$Z$5:$AI$104),7^8)),"Calc!R0C00"),)&amp;""</f>
        <v/>
      </c>
      <c r="AY54" t="str" cm="1">
        <f t="array" aca="1" ref="AY54" ca="1">INDIRECT(TEXT(MIN(IF((Calc!$AK$5:$AT$104&lt;&gt;"")*(COUNTIF(AY$4:$AY53,Calc!$AK$5:$AT$104)=0),ROW(Calc!$AK$5:$AT$104)*100+COLUMN(Calc!$AK$5:$AT$104),7^8)),"Calc!R0C00"),)&amp;""</f>
        <v/>
      </c>
      <c r="AZ54" s="247" t="str">
        <f t="shared" ca="1" si="40"/>
        <v/>
      </c>
      <c r="BA54" s="324">
        <f t="shared" si="47"/>
        <v>50</v>
      </c>
      <c r="BB54">
        <f t="shared" ca="1" si="41"/>
        <v>0</v>
      </c>
      <c r="BC54" t="str">
        <f ca="1">IF($AX54="","",
VLOOKUP(LEFT($AX54,LEN($AX54)-2),'Field information 2'!$B$12:$P$111,11,FALSE))</f>
        <v/>
      </c>
      <c r="BD54" t="str">
        <f ca="1">IF($AX54="","",
VLOOKUP(LEFT($AX54,LEN($AX54)-2),'Field information 2'!$B$12:$P$111,13,FALSE))</f>
        <v/>
      </c>
      <c r="BE54" t="str">
        <f ca="1">IF($AX54="","",
VLOOKUP(LEFT($AX54,LEN($AX54)-2),'Field information 2'!$B$12:$P$111,15,FALSE))</f>
        <v/>
      </c>
      <c r="BF54">
        <f t="shared" ca="1" si="42"/>
        <v>0</v>
      </c>
      <c r="BG54" t="str">
        <f t="shared" ca="1" si="43"/>
        <v/>
      </c>
      <c r="BH54" s="7" t="str">
        <f ca="1">IF(OR(AX54="",'Soil results'!$D$7="",'Soil results'!$D$8=""),"",
IF('Soil results'!$D$7="LOI",
  IF('Soil results'!$D$8="mg/kg",'Soil results'!D59/10000,'Soil results'!D59),
IF('Soil results'!$D$7="Dumas",
  IF('Soil results'!$D$8="mg/kg",'Soil results'!D59*1.72/10000,'Soil results'!D59*1.72))))</f>
        <v/>
      </c>
      <c r="BI54" t="str">
        <f ca="1">IF($AX54="","",
VLOOKUP(LEFT($AX54,LEN($AX54)-2),'Field information 2'!$B$12:$I$111,8,FALSE))</f>
        <v/>
      </c>
      <c r="BJ54" t="str">
        <f ca="1">IF(BI54="","",
VLOOKUP(BI54,'Fertiliser recommendations'!$A$5:$B$62,2,FALSE))</f>
        <v/>
      </c>
      <c r="BK54" s="38" t="str">
        <f ca="1">IF($AX54="","",
IF(AND(BJ54="g",VLOOKUP(LEFT($AX54,LEN($AX54)-2),'Field information 2'!$B$12:$P$111,9,FALSE)&lt;&gt;"yes"),
IF(BG54="10-25% OM",6,IF(BG54="&gt;25% OM",12,IF(BG54="SCL; CL; ZCL; SC; ZC; C",6,IF(BG54="SL; SZL; ZL",5,IF(BG54="S; LS",4,"?"))))),
IF(OR(BJ54="a",AND(BJ54="g",VLOOKUP(LEFT($AX54,LEN($AX54)-2),'Field information 2'!$B$12:$P$111,9,FALSE)="yes")),
IF(BG54="10-25% OM",8,IF(BG54="&gt;25% OM",16,IF(BG54="SCL; CL; ZCL; SC; ZC; C",8,IF(BG54="SL; SZL; ZL",7,IF(BG54="S; LS",6,"?"))))),"")))</f>
        <v/>
      </c>
      <c r="BL54" t="str">
        <f ca="1">IF(AX54&lt;&gt;"",COUNTBLANK('Soil results'!D59:D59)+COUNTBLANK('Soil results'!F59:I59)+COUNTBLANK('Soil results'!K59:Q59),"")</f>
        <v/>
      </c>
      <c r="BM54" t="str">
        <f ca="1">IF(AX54&lt;&gt;"",
IF(OR(ISNUMBER(SEARCH("10*01*01",'Field information 2'!$M$5)),ISNUMBER(SEARCH("10*01*03",'Field information 2'!$M$5))),0.25,1),"")</f>
        <v/>
      </c>
      <c r="BN54" s="275" t="str">
        <f ca="1">IF(AX54&lt;&gt;"",
IF(COUNTIF('Soil results'!G60:G$159,"="&amp;'Soil results'!G59)+COUNTIF('Soil results'!H60:H$159,"="&amp;'Soil results'!H59)+COUNTIF('Soil results'!I60:I$159,"="&amp;'Soil results'!I59)=0,"no",
IF(MOD(COUNTIF('Soil results'!G60:G$159,"="&amp;'Soil results'!G59)+COUNTIF('Soil results'!H60:H$159,"="&amp;'Soil results'!H59)+COUNTIF('Soil results'!I60:I$159,"="&amp;'Soil results'!I59),3)=0,"yes","no")),"")</f>
        <v/>
      </c>
      <c r="BO54" s="276" t="str">
        <f t="shared" ca="1" si="44"/>
        <v/>
      </c>
      <c r="BP54" s="33"/>
      <c r="BQ54" s="276"/>
      <c r="BR54" s="276"/>
      <c r="BS54" s="276" t="str">
        <f t="shared" ca="1" si="45"/>
        <v/>
      </c>
      <c r="BT54" s="153" t="str">
        <f ca="1">IF(AX54="","",
IF(OR(Assessment!F56="limited benefit",Assessment!F56="benefit", Assessment!M56="limited benefit",Assessment!M56="benefit", Assessment!R56="limited benefit",Assessment!R56="benefit", Assessment!W56="limited benefit",Assessment!W56="benefit", Assessment!AB56="limited benefit",Assessment!AB56="benefit", AND(ISNUMBER(Assessment!AF56),Assessment!AG56="ok"), Assessment!AJ56="benefit"),"yes","no"))</f>
        <v/>
      </c>
      <c r="BW54" t="s">
        <v>366</v>
      </c>
    </row>
    <row r="55" spans="1:75" ht="15" x14ac:dyDescent="0.25">
      <c r="A55" s="272">
        <f>IF(AND('Field information 2'!L62&gt;0, 'Field information 2'!M62=0),"data missing", 'Field information 2'!M62-'Field information 2'!L62)</f>
        <v>0</v>
      </c>
      <c r="B55" s="272">
        <f>IF(AND('Field information 2'!N62&gt;0,'Field information 2'!O62=0),"data missing",'Field information 2'!O62-'Field information 2'!N62)</f>
        <v>0</v>
      </c>
      <c r="C55" s="272">
        <f>IF(AND('Field information 2'!P62&gt;0, 'Field information 2'!Q62=0),"data missing",'Field information 2'!Q62-'Field information 2'!P62)</f>
        <v>0</v>
      </c>
      <c r="D55">
        <f>'Field information 2'!L62</f>
        <v>0</v>
      </c>
      <c r="E55" s="249" t="str">
        <f>IF(OR('Field information 2'!L62&gt;0,'Field information 2'!N62&gt;0,'Field information 2'!P62&gt;0),"Y","N")</f>
        <v>N</v>
      </c>
      <c r="F55" s="277" t="str">
        <f t="shared" si="12"/>
        <v/>
      </c>
      <c r="G55" t="str">
        <f>IF(OR(ISBLANK('Field information 1'!B56),AND(OR(ISBLANK('Field information 2'!L62), 'Field information 2'!L62=0),OR(ISBLANK('Field information 2'!N62), 'Field information 2'!N62=0), OR(ISBLANK('Field information 2'!P62), 'Field information 2'!P62=0))),"",
IF(ISTEXT('Field information 1'!B56), 'Field information 1'!B56, TEXT('Field information 1'!B56,"0")))</f>
        <v/>
      </c>
      <c r="H55" t="str">
        <f>IF(OR(ISBLANK('Field information 1'!B56),ISBLANK('Field information 2'!L62),ISBLANK('Field information 2'!F62)),"",'Field information 2'!F62)</f>
        <v/>
      </c>
      <c r="I55" s="91" t="str">
        <f>IF(OR(ISBLANK('Field information 1'!E56),G55=""),"",CEILING('Field information 1'!E56/10,1))</f>
        <v/>
      </c>
      <c r="J55" s="91" t="str">
        <f t="shared" si="13"/>
        <v>no</v>
      </c>
      <c r="K55" s="135" t="str">
        <f t="shared" ca="1" si="54"/>
        <v/>
      </c>
      <c r="L55" s="135" t="str">
        <f t="shared" ca="1" si="55"/>
        <v/>
      </c>
      <c r="M55" s="135" t="str">
        <f t="shared" ca="1" si="56"/>
        <v/>
      </c>
      <c r="N55" s="135" t="str">
        <f t="shared" ca="1" si="57"/>
        <v/>
      </c>
      <c r="O55" s="135" t="str">
        <f t="shared" ca="1" si="58"/>
        <v/>
      </c>
      <c r="P55" s="135" t="str">
        <f t="shared" ca="1" si="59"/>
        <v/>
      </c>
      <c r="Q55" s="135" t="str">
        <f t="shared" ca="1" si="60"/>
        <v/>
      </c>
      <c r="R55" s="135" t="str">
        <f t="shared" ca="1" si="61"/>
        <v/>
      </c>
      <c r="S55" s="135" t="str">
        <f t="shared" ca="1" si="62"/>
        <v/>
      </c>
      <c r="T55" s="135" t="str">
        <f t="shared" ca="1" si="63"/>
        <v/>
      </c>
      <c r="U55" s="49" t="str">
        <f t="shared" ref="U55:U104" ca="1" si="106">IF(K55="","", AVERAGE(K55:T55))</f>
        <v/>
      </c>
      <c r="V55" s="7" t="str">
        <f t="shared" ref="V55:V104" ca="1" si="107">IF(K55="","", MEDIAN(K55:T55))</f>
        <v/>
      </c>
      <c r="W55" s="7" t="str">
        <f t="shared" ref="W55:W104" ca="1" si="108">IF(K55="","", MIN(K55:T55))</f>
        <v/>
      </c>
      <c r="X55" s="7" t="str">
        <f t="shared" ref="X55:X104" ca="1" si="109">IF(K55="","", MAX(K55:T55))</f>
        <v/>
      </c>
      <c r="Y55" s="91"/>
      <c r="Z55" s="247" t="str">
        <f t="shared" ref="Z55:Z104" si="110">IF(AND(Z$4&lt;=$I55,$G55&lt;&gt;"",I55&lt;&gt;""),$G55&amp;" "&amp;Z$3, "")</f>
        <v/>
      </c>
      <c r="AA55" s="247" t="str">
        <f t="shared" ref="AA55:AA104" si="111">IF(AND(AA$4&lt;=$I55,$G55&lt;&gt;"",Z55&lt;&gt;""),$G55&amp;" "&amp;AA$3, "")</f>
        <v/>
      </c>
      <c r="AB55" s="247" t="str">
        <f t="shared" ref="AB55:AB104" si="112">IF(AND(AB$4&lt;=$I55,$G55&lt;&gt;"",AA55&lt;&gt;""),$G55&amp;" "&amp;AB$3, "")</f>
        <v/>
      </c>
      <c r="AC55" s="247" t="str">
        <f t="shared" ref="AC55:AC104" si="113">IF(AND(AC$4&lt;=$I55,$G55&lt;&gt;"",AB55&lt;&gt;""),$G55&amp;" "&amp;AC$3, "")</f>
        <v/>
      </c>
      <c r="AD55" s="247" t="str">
        <f t="shared" ref="AD55:AD104" si="114">IF(AND(AD$4&lt;=$I55,$G55&lt;&gt;"",AC55&lt;&gt;""),$G55&amp;" "&amp;AD$3, "")</f>
        <v/>
      </c>
      <c r="AE55" s="247" t="str">
        <f t="shared" ref="AE55:AE104" si="115">IF(AND(AE$4&lt;=$I55,$G55&lt;&gt;"",AD55&lt;&gt;""),$G55&amp;" "&amp;AE$3, "")</f>
        <v/>
      </c>
      <c r="AF55" s="247" t="str">
        <f t="shared" ref="AF55:AF104" si="116">IF(AND(AF$4&lt;=$I55,$G55&lt;&gt;"",AE55&lt;&gt;""),$G55&amp;" "&amp;AF$3, "")</f>
        <v/>
      </c>
      <c r="AG55" s="247" t="str">
        <f t="shared" ref="AG55:AG104" si="117">IF(AND(AG$4&lt;=$I55,$G55&lt;&gt;"",AF55&lt;&gt;""),$G55&amp;" "&amp;AG$3, "")</f>
        <v/>
      </c>
      <c r="AH55" s="247" t="str">
        <f t="shared" ref="AH55:AH104" si="118">IF(AND(AH$4&lt;=$I55,$G55&lt;&gt;"",AG55&lt;&gt;""),$G55&amp;" "&amp;AH$3, "")</f>
        <v/>
      </c>
      <c r="AI55" s="247" t="str">
        <f t="shared" ref="AI55:AI104" si="119">IF(AND(AI$4&lt;=$I55,$G55&lt;&gt;"",AH55&lt;&gt;""),$G55&amp;" "&amp;AI$3, "")</f>
        <v/>
      </c>
      <c r="AK55" s="247" t="str">
        <f t="shared" ref="AK55:AK104" si="120">IF(AND(AK$4&lt;=$I55,$H55&lt;&gt;"",$I55&lt;&gt;""), $H55&amp;" "&amp;AK$3,
IF(Z55&lt;&gt;"",Z55,""))</f>
        <v/>
      </c>
      <c r="AL55" s="247" t="str">
        <f t="shared" ref="AL55:AL104" si="121">IF(AND(AL$4&lt;=$I55,$H55&lt;&gt;"",$I55&lt;&gt;""), $H55&amp;" "&amp;AL$3,
IF(AA55&lt;&gt;"",AA55,""))</f>
        <v/>
      </c>
      <c r="AM55" s="247" t="str">
        <f t="shared" ref="AM55:AM104" si="122">IF(AND(AM$4&lt;=$I55,$H55&lt;&gt;"",$I55&lt;&gt;""), $H55&amp;" "&amp;AM$3,
IF(AB55&lt;&gt;"",AB55,""))</f>
        <v/>
      </c>
      <c r="AN55" s="247" t="str">
        <f t="shared" ref="AN55:AN104" si="123">IF(AND(AN$4&lt;=$I55,$H55&lt;&gt;"",$I55&lt;&gt;""), $H55&amp;" "&amp;AN$3,
IF(AC55&lt;&gt;"",AC55,""))</f>
        <v/>
      </c>
      <c r="AO55" s="247" t="str">
        <f t="shared" ref="AO55:AO104" si="124">IF(AND(AO$4&lt;=$I55,$H55&lt;&gt;"",$I55&lt;&gt;""), $H55&amp;" "&amp;AO$3,
IF(AD55&lt;&gt;"",AD55,""))</f>
        <v/>
      </c>
      <c r="AP55" s="247" t="str">
        <f t="shared" ref="AP55:AP104" si="125">IF(AND(AP$4&lt;=$I55,$H55&lt;&gt;"",$I55&lt;&gt;""), $H55&amp;" "&amp;AP$3,
IF(AE55&lt;&gt;"",AE55,""))</f>
        <v/>
      </c>
      <c r="AQ55" s="247" t="str">
        <f t="shared" ref="AQ55:AQ104" si="126">IF(AND(AQ$4&lt;=$I55,$H55&lt;&gt;"",$I55&lt;&gt;""), $H55&amp;" "&amp;AQ$3,
IF(AF55&lt;&gt;"",AF55,""))</f>
        <v/>
      </c>
      <c r="AR55" s="247" t="str">
        <f t="shared" ref="AR55:AR104" si="127">IF(AND(AR$4&lt;=$I55,$H55&lt;&gt;"",$I55&lt;&gt;""), $H55&amp;" "&amp;AR$3,
IF(AG55&lt;&gt;"",AG55,""))</f>
        <v/>
      </c>
      <c r="AS55" s="247" t="str">
        <f t="shared" ref="AS55:AS104" si="128">IF(AND(AS$4&lt;=$I55,$H55&lt;&gt;"",$I55&lt;&gt;""), $H55&amp;" "&amp;AS$3,
IF(AH55&lt;&gt;"",AH55,""))</f>
        <v/>
      </c>
      <c r="AT55" s="247" t="str">
        <f t="shared" ref="AT55:AT104" si="129">IF(AND(AT$4&lt;=$I55,$H55&lt;&gt;"",$I55&lt;&gt;""), $H55&amp;" "&amp;AT$3,
IF(AI55&lt;&gt;"",AI55,""))</f>
        <v/>
      </c>
      <c r="AU55" s="189"/>
      <c r="AV55" t="str">
        <f>IF(ISBLANK('Field information 1'!F56),"",'Field information 1'!F56)</f>
        <v/>
      </c>
      <c r="AW55" s="334"/>
      <c r="AX55" s="247" t="str" cm="1">
        <f t="array" aca="1" ref="AX55" ca="1">INDIRECT(TEXT(MIN(IF((Calc!$Z$5:$AI$104&lt;&gt;"")*(COUNTIF($AX$4:AX54,Calc!$Z$5:$AI$104)=0),ROW(Calc!$Z$5:$AI$104)*100+COLUMN(Calc!$Z$5:$AI$104),7^8)),"Calc!R0C00"),)&amp;""</f>
        <v/>
      </c>
      <c r="AY55" t="str" cm="1">
        <f t="array" aca="1" ref="AY55" ca="1">INDIRECT(TEXT(MIN(IF((Calc!$AK$5:$AT$104&lt;&gt;"")*(COUNTIF(AY$4:$AY54,Calc!$AK$5:$AT$104)=0),ROW(Calc!$AK$5:$AT$104)*100+COLUMN(Calc!$AK$5:$AT$104),7^8)),"Calc!R0C00"),)&amp;""</f>
        <v/>
      </c>
      <c r="AZ55" s="247" t="str">
        <f t="shared" ca="1" si="40"/>
        <v/>
      </c>
      <c r="BA55" s="324">
        <f t="shared" si="47"/>
        <v>51</v>
      </c>
      <c r="BB55">
        <f t="shared" ca="1" si="41"/>
        <v>0</v>
      </c>
      <c r="BC55" t="str">
        <f ca="1">IF($AX55="","",
VLOOKUP(LEFT($AX55,LEN($AX55)-2),'Field information 2'!$B$12:$P$111,11,FALSE))</f>
        <v/>
      </c>
      <c r="BD55" t="str">
        <f ca="1">IF($AX55="","",
VLOOKUP(LEFT($AX55,LEN($AX55)-2),'Field information 2'!$B$12:$P$111,13,FALSE))</f>
        <v/>
      </c>
      <c r="BE55" t="str">
        <f ca="1">IF($AX55="","",
VLOOKUP(LEFT($AX55,LEN($AX55)-2),'Field information 2'!$B$12:$P$111,15,FALSE))</f>
        <v/>
      </c>
      <c r="BF55">
        <f t="shared" ca="1" si="42"/>
        <v>0</v>
      </c>
      <c r="BG55" t="str">
        <f t="shared" ca="1" si="43"/>
        <v/>
      </c>
      <c r="BH55" s="7" t="str">
        <f ca="1">IF(OR(AX55="",'Soil results'!$D$7="",'Soil results'!$D$8=""),"",
IF('Soil results'!$D$7="LOI",
  IF('Soil results'!$D$8="mg/kg",'Soil results'!D60/10000,'Soil results'!D60),
IF('Soil results'!$D$7="Dumas",
  IF('Soil results'!$D$8="mg/kg",'Soil results'!D60*1.72/10000,'Soil results'!D60*1.72))))</f>
        <v/>
      </c>
      <c r="BI55" t="str">
        <f ca="1">IF($AX55="","",
VLOOKUP(LEFT($AX55,LEN($AX55)-2),'Field information 2'!$B$12:$I$111,8,FALSE))</f>
        <v/>
      </c>
      <c r="BJ55" t="str">
        <f ca="1">IF(BI55="","",
VLOOKUP(BI55,'Fertiliser recommendations'!$A$5:$B$62,2,FALSE))</f>
        <v/>
      </c>
      <c r="BK55" s="38" t="str">
        <f ca="1">IF($AX55="","",
IF(AND(BJ55="g",VLOOKUP(LEFT($AX55,LEN($AX55)-2),'Field information 2'!$B$12:$P$111,9,FALSE)&lt;&gt;"yes"),
IF(BG55="10-25% OM",6,IF(BG55="&gt;25% OM",12,IF(BG55="SCL; CL; ZCL; SC; ZC; C",6,IF(BG55="SL; SZL; ZL",5,IF(BG55="S; LS",4,"?"))))),
IF(OR(BJ55="a",AND(BJ55="g",VLOOKUP(LEFT($AX55,LEN($AX55)-2),'Field information 2'!$B$12:$P$111,9,FALSE)="yes")),
IF(BG55="10-25% OM",8,IF(BG55="&gt;25% OM",16,IF(BG55="SCL; CL; ZCL; SC; ZC; C",8,IF(BG55="SL; SZL; ZL",7,IF(BG55="S; LS",6,"?"))))),"")))</f>
        <v/>
      </c>
      <c r="BL55" t="str">
        <f ca="1">IF(AX55&lt;&gt;"",COUNTBLANK('Soil results'!D60:D60)+COUNTBLANK('Soil results'!F60:I60)+COUNTBLANK('Soil results'!K60:Q60),"")</f>
        <v/>
      </c>
      <c r="BM55" t="str">
        <f ca="1">IF(AX55&lt;&gt;"",
IF(OR(ISNUMBER(SEARCH("10*01*01",'Field information 2'!$M$5)),ISNUMBER(SEARCH("10*01*03",'Field information 2'!$M$5))),0.25,1),"")</f>
        <v/>
      </c>
      <c r="BN55" s="275" t="str">
        <f ca="1">IF(AX55&lt;&gt;"",
IF(COUNTIF('Soil results'!G61:G$159,"="&amp;'Soil results'!G60)+COUNTIF('Soil results'!H61:H$159,"="&amp;'Soil results'!H60)+COUNTIF('Soil results'!I61:I$159,"="&amp;'Soil results'!I60)=0,"no",
IF(MOD(COUNTIF('Soil results'!G61:G$159,"="&amp;'Soil results'!G60)+COUNTIF('Soil results'!H61:H$159,"="&amp;'Soil results'!H60)+COUNTIF('Soil results'!I61:I$159,"="&amp;'Soil results'!I60),3)=0,"yes","no")),"")</f>
        <v/>
      </c>
      <c r="BO55" s="276" t="str">
        <f t="shared" ca="1" si="44"/>
        <v/>
      </c>
      <c r="BP55" s="33"/>
      <c r="BQ55" s="276"/>
      <c r="BR55" s="276"/>
      <c r="BS55" s="276" t="str">
        <f t="shared" ca="1" si="45"/>
        <v/>
      </c>
      <c r="BT55" s="153" t="str">
        <f ca="1">IF(AX55="","",
IF(OR(Assessment!F57="limited benefit",Assessment!F57="benefit", Assessment!M57="limited benefit",Assessment!M57="benefit", Assessment!R57="limited benefit",Assessment!R57="benefit", Assessment!W57="limited benefit",Assessment!W57="benefit", Assessment!AB57="limited benefit",Assessment!AB57="benefit", AND(ISNUMBER(Assessment!AF57),Assessment!AG57="ok"), Assessment!AJ57="benefit"),"yes","no"))</f>
        <v/>
      </c>
      <c r="BW55" t="s">
        <v>367</v>
      </c>
    </row>
    <row r="56" spans="1:75" ht="15" x14ac:dyDescent="0.25">
      <c r="A56" s="272">
        <f>IF(AND('Field information 2'!L63&gt;0, 'Field information 2'!M63=0),"data missing", 'Field information 2'!M63-'Field information 2'!L63)</f>
        <v>0</v>
      </c>
      <c r="B56" s="272">
        <f>IF(AND('Field information 2'!N63&gt;0,'Field information 2'!O63=0),"data missing",'Field information 2'!O63-'Field information 2'!N63)</f>
        <v>0</v>
      </c>
      <c r="C56" s="272">
        <f>IF(AND('Field information 2'!P63&gt;0, 'Field information 2'!Q63=0),"data missing",'Field information 2'!Q63-'Field information 2'!P63)</f>
        <v>0</v>
      </c>
      <c r="D56">
        <f>'Field information 2'!L63</f>
        <v>0</v>
      </c>
      <c r="E56" s="249" t="str">
        <f>IF(OR('Field information 2'!L63&gt;0,'Field information 2'!N63&gt;0,'Field information 2'!P63&gt;0),"Y","N")</f>
        <v>N</v>
      </c>
      <c r="F56" s="277" t="str">
        <f t="shared" si="12"/>
        <v/>
      </c>
      <c r="G56" t="str">
        <f>IF(OR(ISBLANK('Field information 1'!B57),AND(OR(ISBLANK('Field information 2'!L63), 'Field information 2'!L63=0),OR(ISBLANK('Field information 2'!N63), 'Field information 2'!N63=0), OR(ISBLANK('Field information 2'!P63), 'Field information 2'!P63=0))),"",
IF(ISTEXT('Field information 1'!B57), 'Field information 1'!B57, TEXT('Field information 1'!B57,"0")))</f>
        <v/>
      </c>
      <c r="H56" t="str">
        <f>IF(OR(ISBLANK('Field information 1'!B57),ISBLANK('Field information 2'!L63),ISBLANK('Field information 2'!F63)),"",'Field information 2'!F63)</f>
        <v/>
      </c>
      <c r="I56" s="91" t="str">
        <f>IF(OR(ISBLANK('Field information 1'!E57),G56=""),"",CEILING('Field information 1'!E57/10,1))</f>
        <v/>
      </c>
      <c r="J56" s="91" t="str">
        <f t="shared" si="13"/>
        <v>no</v>
      </c>
      <c r="K56" s="135" t="str">
        <f t="shared" ca="1" si="54"/>
        <v/>
      </c>
      <c r="L56" s="135" t="str">
        <f t="shared" ca="1" si="55"/>
        <v/>
      </c>
      <c r="M56" s="135" t="str">
        <f t="shared" ca="1" si="56"/>
        <v/>
      </c>
      <c r="N56" s="135" t="str">
        <f t="shared" ca="1" si="57"/>
        <v/>
      </c>
      <c r="O56" s="135" t="str">
        <f t="shared" ca="1" si="58"/>
        <v/>
      </c>
      <c r="P56" s="135" t="str">
        <f t="shared" ca="1" si="59"/>
        <v/>
      </c>
      <c r="Q56" s="135" t="str">
        <f t="shared" ca="1" si="60"/>
        <v/>
      </c>
      <c r="R56" s="135" t="str">
        <f t="shared" ca="1" si="61"/>
        <v/>
      </c>
      <c r="S56" s="135" t="str">
        <f t="shared" ca="1" si="62"/>
        <v/>
      </c>
      <c r="T56" s="135" t="str">
        <f t="shared" ca="1" si="63"/>
        <v/>
      </c>
      <c r="U56" s="49" t="str">
        <f t="shared" ca="1" si="106"/>
        <v/>
      </c>
      <c r="V56" s="7" t="str">
        <f t="shared" ca="1" si="107"/>
        <v/>
      </c>
      <c r="W56" s="7" t="str">
        <f t="shared" ca="1" si="108"/>
        <v/>
      </c>
      <c r="X56" s="7" t="str">
        <f t="shared" ca="1" si="109"/>
        <v/>
      </c>
      <c r="Y56" s="91"/>
      <c r="Z56" s="247" t="str">
        <f t="shared" si="110"/>
        <v/>
      </c>
      <c r="AA56" s="247" t="str">
        <f t="shared" si="111"/>
        <v/>
      </c>
      <c r="AB56" s="247" t="str">
        <f t="shared" si="112"/>
        <v/>
      </c>
      <c r="AC56" s="247" t="str">
        <f t="shared" si="113"/>
        <v/>
      </c>
      <c r="AD56" s="247" t="str">
        <f t="shared" si="114"/>
        <v/>
      </c>
      <c r="AE56" s="247" t="str">
        <f t="shared" si="115"/>
        <v/>
      </c>
      <c r="AF56" s="247" t="str">
        <f t="shared" si="116"/>
        <v/>
      </c>
      <c r="AG56" s="247" t="str">
        <f t="shared" si="117"/>
        <v/>
      </c>
      <c r="AH56" s="247" t="str">
        <f t="shared" si="118"/>
        <v/>
      </c>
      <c r="AI56" s="247" t="str">
        <f t="shared" si="119"/>
        <v/>
      </c>
      <c r="AK56" s="247" t="str">
        <f t="shared" si="120"/>
        <v/>
      </c>
      <c r="AL56" s="247" t="str">
        <f t="shared" si="121"/>
        <v/>
      </c>
      <c r="AM56" s="247" t="str">
        <f t="shared" si="122"/>
        <v/>
      </c>
      <c r="AN56" s="247" t="str">
        <f t="shared" si="123"/>
        <v/>
      </c>
      <c r="AO56" s="247" t="str">
        <f t="shared" si="124"/>
        <v/>
      </c>
      <c r="AP56" s="247" t="str">
        <f t="shared" si="125"/>
        <v/>
      </c>
      <c r="AQ56" s="247" t="str">
        <f t="shared" si="126"/>
        <v/>
      </c>
      <c r="AR56" s="247" t="str">
        <f t="shared" si="127"/>
        <v/>
      </c>
      <c r="AS56" s="247" t="str">
        <f t="shared" si="128"/>
        <v/>
      </c>
      <c r="AT56" s="247" t="str">
        <f t="shared" si="129"/>
        <v/>
      </c>
      <c r="AU56" s="189"/>
      <c r="AV56" t="str">
        <f>IF(ISBLANK('Field information 1'!F57),"",'Field information 1'!F57)</f>
        <v/>
      </c>
      <c r="AW56" s="334"/>
      <c r="AX56" s="247" t="str" cm="1">
        <f t="array" aca="1" ref="AX56" ca="1">INDIRECT(TEXT(MIN(IF((Calc!$Z$5:$AI$104&lt;&gt;"")*(COUNTIF($AX$4:AX55,Calc!$Z$5:$AI$104)=0),ROW(Calc!$Z$5:$AI$104)*100+COLUMN(Calc!$Z$5:$AI$104),7^8)),"Calc!R0C00"),)&amp;""</f>
        <v/>
      </c>
      <c r="AY56" t="str" cm="1">
        <f t="array" aca="1" ref="AY56" ca="1">INDIRECT(TEXT(MIN(IF((Calc!$AK$5:$AT$104&lt;&gt;"")*(COUNTIF(AY$4:$AY55,Calc!$AK$5:$AT$104)=0),ROW(Calc!$AK$5:$AT$104)*100+COLUMN(Calc!$AK$5:$AT$104),7^8)),"Calc!R0C00"),)&amp;""</f>
        <v/>
      </c>
      <c r="AZ56" s="247" t="str">
        <f t="shared" ca="1" si="40"/>
        <v/>
      </c>
      <c r="BA56" s="324">
        <f t="shared" si="47"/>
        <v>52</v>
      </c>
      <c r="BB56">
        <f t="shared" ca="1" si="41"/>
        <v>0</v>
      </c>
      <c r="BC56" t="str">
        <f ca="1">IF($AX56="","",
VLOOKUP(LEFT($AX56,LEN($AX56)-2),'Field information 2'!$B$12:$P$111,11,FALSE))</f>
        <v/>
      </c>
      <c r="BD56" t="str">
        <f ca="1">IF($AX56="","",
VLOOKUP(LEFT($AX56,LEN($AX56)-2),'Field information 2'!$B$12:$P$111,13,FALSE))</f>
        <v/>
      </c>
      <c r="BE56" t="str">
        <f ca="1">IF($AX56="","",
VLOOKUP(LEFT($AX56,LEN($AX56)-2),'Field information 2'!$B$12:$P$111,15,FALSE))</f>
        <v/>
      </c>
      <c r="BF56">
        <f t="shared" ca="1" si="42"/>
        <v>0</v>
      </c>
      <c r="BG56" t="str">
        <f t="shared" ca="1" si="43"/>
        <v/>
      </c>
      <c r="BH56" s="7" t="str">
        <f ca="1">IF(OR(AX56="",'Soil results'!$D$7="",'Soil results'!$D$8=""),"",
IF('Soil results'!$D$7="LOI",
  IF('Soil results'!$D$8="mg/kg",'Soil results'!D61/10000,'Soil results'!D61),
IF('Soil results'!$D$7="Dumas",
  IF('Soil results'!$D$8="mg/kg",'Soil results'!D61*1.72/10000,'Soil results'!D61*1.72))))</f>
        <v/>
      </c>
      <c r="BI56" t="str">
        <f ca="1">IF($AX56="","",
VLOOKUP(LEFT($AX56,LEN($AX56)-2),'Field information 2'!$B$12:$I$111,8,FALSE))</f>
        <v/>
      </c>
      <c r="BJ56" t="str">
        <f ca="1">IF(BI56="","",
VLOOKUP(BI56,'Fertiliser recommendations'!$A$5:$B$62,2,FALSE))</f>
        <v/>
      </c>
      <c r="BK56" s="38" t="str">
        <f ca="1">IF($AX56="","",
IF(AND(BJ56="g",VLOOKUP(LEFT($AX56,LEN($AX56)-2),'Field information 2'!$B$12:$P$111,9,FALSE)&lt;&gt;"yes"),
IF(BG56="10-25% OM",6,IF(BG56="&gt;25% OM",12,IF(BG56="SCL; CL; ZCL; SC; ZC; C",6,IF(BG56="SL; SZL; ZL",5,IF(BG56="S; LS",4,"?"))))),
IF(OR(BJ56="a",AND(BJ56="g",VLOOKUP(LEFT($AX56,LEN($AX56)-2),'Field information 2'!$B$12:$P$111,9,FALSE)="yes")),
IF(BG56="10-25% OM",8,IF(BG56="&gt;25% OM",16,IF(BG56="SCL; CL; ZCL; SC; ZC; C",8,IF(BG56="SL; SZL; ZL",7,IF(BG56="S; LS",6,"?"))))),"")))</f>
        <v/>
      </c>
      <c r="BL56" t="str">
        <f ca="1">IF(AX56&lt;&gt;"",COUNTBLANK('Soil results'!D61:D61)+COUNTBLANK('Soil results'!F61:I61)+COUNTBLANK('Soil results'!K61:Q61),"")</f>
        <v/>
      </c>
      <c r="BM56" t="str">
        <f ca="1">IF(AX56&lt;&gt;"",
IF(OR(ISNUMBER(SEARCH("10*01*01",'Field information 2'!$M$5)),ISNUMBER(SEARCH("10*01*03",'Field information 2'!$M$5))),0.25,1),"")</f>
        <v/>
      </c>
      <c r="BN56" s="275" t="str">
        <f ca="1">IF(AX56&lt;&gt;"",
IF(COUNTIF('Soil results'!G62:G$159,"="&amp;'Soil results'!G61)+COUNTIF('Soil results'!H62:H$159,"="&amp;'Soil results'!H61)+COUNTIF('Soil results'!I62:I$159,"="&amp;'Soil results'!I61)=0,"no",
IF(MOD(COUNTIF('Soil results'!G62:G$159,"="&amp;'Soil results'!G61)+COUNTIF('Soil results'!H62:H$159,"="&amp;'Soil results'!H61)+COUNTIF('Soil results'!I62:I$159,"="&amp;'Soil results'!I61),3)=0,"yes","no")),"")</f>
        <v/>
      </c>
      <c r="BO56" s="276" t="str">
        <f t="shared" ca="1" si="44"/>
        <v/>
      </c>
      <c r="BP56" s="33"/>
      <c r="BQ56" s="276"/>
      <c r="BR56" s="276"/>
      <c r="BS56" s="276" t="str">
        <f t="shared" ca="1" si="45"/>
        <v/>
      </c>
      <c r="BT56" s="153" t="str">
        <f ca="1">IF(AX56="","",
IF(OR(Assessment!F58="limited benefit",Assessment!F58="benefit", Assessment!M58="limited benefit",Assessment!M58="benefit", Assessment!R58="limited benefit",Assessment!R58="benefit", Assessment!W58="limited benefit",Assessment!W58="benefit", Assessment!AB58="limited benefit",Assessment!AB58="benefit", AND(ISNUMBER(Assessment!AF58),Assessment!AG58="ok"), Assessment!AJ58="benefit"),"yes","no"))</f>
        <v/>
      </c>
      <c r="BW56" t="s">
        <v>368</v>
      </c>
    </row>
    <row r="57" spans="1:75" ht="15" x14ac:dyDescent="0.25">
      <c r="A57" s="272">
        <f>IF(AND('Field information 2'!L64&gt;0, 'Field information 2'!M64=0),"data missing", 'Field information 2'!M64-'Field information 2'!L64)</f>
        <v>0</v>
      </c>
      <c r="B57" s="272">
        <f>IF(AND('Field information 2'!N64&gt;0,'Field information 2'!O64=0),"data missing",'Field information 2'!O64-'Field information 2'!N64)</f>
        <v>0</v>
      </c>
      <c r="C57" s="272">
        <f>IF(AND('Field information 2'!P64&gt;0, 'Field information 2'!Q64=0),"data missing",'Field information 2'!Q64-'Field information 2'!P64)</f>
        <v>0</v>
      </c>
      <c r="D57">
        <f>'Field information 2'!L64</f>
        <v>0</v>
      </c>
      <c r="E57" s="249" t="str">
        <f>IF(OR('Field information 2'!L64&gt;0,'Field information 2'!N64&gt;0,'Field information 2'!P64&gt;0),"Y","N")</f>
        <v>N</v>
      </c>
      <c r="F57" s="277" t="str">
        <f t="shared" si="12"/>
        <v/>
      </c>
      <c r="G57" t="str">
        <f>IF(OR(ISBLANK('Field information 1'!B58),AND(OR(ISBLANK('Field information 2'!L64), 'Field information 2'!L64=0),OR(ISBLANK('Field information 2'!N64), 'Field information 2'!N64=0), OR(ISBLANK('Field information 2'!P64), 'Field information 2'!P64=0))),"",
IF(ISTEXT('Field information 1'!B58), 'Field information 1'!B58, TEXT('Field information 1'!B58,"0")))</f>
        <v/>
      </c>
      <c r="H57" t="str">
        <f>IF(OR(ISBLANK('Field information 1'!B58),ISBLANK('Field information 2'!L64),ISBLANK('Field information 2'!F64)),"",'Field information 2'!F64)</f>
        <v/>
      </c>
      <c r="I57" s="91" t="str">
        <f>IF(OR(ISBLANK('Field information 1'!E58),G57=""),"",CEILING('Field information 1'!E58/10,1))</f>
        <v/>
      </c>
      <c r="J57" s="91" t="str">
        <f t="shared" si="13"/>
        <v>no</v>
      </c>
      <c r="K57" s="135" t="str">
        <f t="shared" ca="1" si="54"/>
        <v/>
      </c>
      <c r="L57" s="135" t="str">
        <f t="shared" ca="1" si="55"/>
        <v/>
      </c>
      <c r="M57" s="135" t="str">
        <f t="shared" ca="1" si="56"/>
        <v/>
      </c>
      <c r="N57" s="135" t="str">
        <f t="shared" ca="1" si="57"/>
        <v/>
      </c>
      <c r="O57" s="135" t="str">
        <f t="shared" ca="1" si="58"/>
        <v/>
      </c>
      <c r="P57" s="135" t="str">
        <f t="shared" ca="1" si="59"/>
        <v/>
      </c>
      <c r="Q57" s="135" t="str">
        <f t="shared" ca="1" si="60"/>
        <v/>
      </c>
      <c r="R57" s="135" t="str">
        <f t="shared" ca="1" si="61"/>
        <v/>
      </c>
      <c r="S57" s="135" t="str">
        <f t="shared" ca="1" si="62"/>
        <v/>
      </c>
      <c r="T57" s="135" t="str">
        <f t="shared" ca="1" si="63"/>
        <v/>
      </c>
      <c r="U57" s="49" t="str">
        <f t="shared" ca="1" si="106"/>
        <v/>
      </c>
      <c r="V57" s="7" t="str">
        <f t="shared" ca="1" si="107"/>
        <v/>
      </c>
      <c r="W57" s="7" t="str">
        <f t="shared" ca="1" si="108"/>
        <v/>
      </c>
      <c r="X57" s="7" t="str">
        <f t="shared" ca="1" si="109"/>
        <v/>
      </c>
      <c r="Y57" s="91"/>
      <c r="Z57" s="247" t="str">
        <f t="shared" si="110"/>
        <v/>
      </c>
      <c r="AA57" s="247" t="str">
        <f t="shared" si="111"/>
        <v/>
      </c>
      <c r="AB57" s="247" t="str">
        <f t="shared" si="112"/>
        <v/>
      </c>
      <c r="AC57" s="247" t="str">
        <f t="shared" si="113"/>
        <v/>
      </c>
      <c r="AD57" s="247" t="str">
        <f t="shared" si="114"/>
        <v/>
      </c>
      <c r="AE57" s="247" t="str">
        <f t="shared" si="115"/>
        <v/>
      </c>
      <c r="AF57" s="247" t="str">
        <f t="shared" si="116"/>
        <v/>
      </c>
      <c r="AG57" s="247" t="str">
        <f t="shared" si="117"/>
        <v/>
      </c>
      <c r="AH57" s="247" t="str">
        <f t="shared" si="118"/>
        <v/>
      </c>
      <c r="AI57" s="247" t="str">
        <f t="shared" si="119"/>
        <v/>
      </c>
      <c r="AK57" s="247" t="str">
        <f t="shared" si="120"/>
        <v/>
      </c>
      <c r="AL57" s="247" t="str">
        <f t="shared" si="121"/>
        <v/>
      </c>
      <c r="AM57" s="247" t="str">
        <f t="shared" si="122"/>
        <v/>
      </c>
      <c r="AN57" s="247" t="str">
        <f t="shared" si="123"/>
        <v/>
      </c>
      <c r="AO57" s="247" t="str">
        <f t="shared" si="124"/>
        <v/>
      </c>
      <c r="AP57" s="247" t="str">
        <f t="shared" si="125"/>
        <v/>
      </c>
      <c r="AQ57" s="247" t="str">
        <f t="shared" si="126"/>
        <v/>
      </c>
      <c r="AR57" s="247" t="str">
        <f t="shared" si="127"/>
        <v/>
      </c>
      <c r="AS57" s="247" t="str">
        <f t="shared" si="128"/>
        <v/>
      </c>
      <c r="AT57" s="247" t="str">
        <f t="shared" si="129"/>
        <v/>
      </c>
      <c r="AU57" s="189"/>
      <c r="AV57" t="str">
        <f>IF(ISBLANK('Field information 1'!F58),"",'Field information 1'!F58)</f>
        <v/>
      </c>
      <c r="AW57" s="334"/>
      <c r="AX57" s="247" t="str" cm="1">
        <f t="array" aca="1" ref="AX57" ca="1">INDIRECT(TEXT(MIN(IF((Calc!$Z$5:$AI$104&lt;&gt;"")*(COUNTIF($AX$4:AX56,Calc!$Z$5:$AI$104)=0),ROW(Calc!$Z$5:$AI$104)*100+COLUMN(Calc!$Z$5:$AI$104),7^8)),"Calc!R0C00"),)&amp;""</f>
        <v/>
      </c>
      <c r="AY57" t="str" cm="1">
        <f t="array" aca="1" ref="AY57" ca="1">INDIRECT(TEXT(MIN(IF((Calc!$AK$5:$AT$104&lt;&gt;"")*(COUNTIF(AY$4:$AY56,Calc!$AK$5:$AT$104)=0),ROW(Calc!$AK$5:$AT$104)*100+COLUMN(Calc!$AK$5:$AT$104),7^8)),"Calc!R0C00"),)&amp;""</f>
        <v/>
      </c>
      <c r="AZ57" s="247" t="str">
        <f t="shared" ca="1" si="40"/>
        <v/>
      </c>
      <c r="BA57" s="324">
        <f t="shared" si="47"/>
        <v>53</v>
      </c>
      <c r="BB57">
        <f t="shared" ca="1" si="41"/>
        <v>0</v>
      </c>
      <c r="BC57" t="str">
        <f ca="1">IF($AX57="","",
VLOOKUP(LEFT($AX57,LEN($AX57)-2),'Field information 2'!$B$12:$P$111,11,FALSE))</f>
        <v/>
      </c>
      <c r="BD57" t="str">
        <f ca="1">IF($AX57="","",
VLOOKUP(LEFT($AX57,LEN($AX57)-2),'Field information 2'!$B$12:$P$111,13,FALSE))</f>
        <v/>
      </c>
      <c r="BE57" t="str">
        <f ca="1">IF($AX57="","",
VLOOKUP(LEFT($AX57,LEN($AX57)-2),'Field information 2'!$B$12:$P$111,15,FALSE))</f>
        <v/>
      </c>
      <c r="BF57">
        <f t="shared" ca="1" si="42"/>
        <v>0</v>
      </c>
      <c r="BG57" t="str">
        <f t="shared" ca="1" si="43"/>
        <v/>
      </c>
      <c r="BH57" s="7" t="str">
        <f ca="1">IF(OR(AX57="",'Soil results'!$D$7="",'Soil results'!$D$8=""),"",
IF('Soil results'!$D$7="LOI",
  IF('Soil results'!$D$8="mg/kg",'Soil results'!D62/10000,'Soil results'!D62),
IF('Soil results'!$D$7="Dumas",
  IF('Soil results'!$D$8="mg/kg",'Soil results'!D62*1.72/10000,'Soil results'!D62*1.72))))</f>
        <v/>
      </c>
      <c r="BI57" t="str">
        <f ca="1">IF($AX57="","",
VLOOKUP(LEFT($AX57,LEN($AX57)-2),'Field information 2'!$B$12:$I$111,8,FALSE))</f>
        <v/>
      </c>
      <c r="BJ57" t="str">
        <f ca="1">IF(BI57="","",
VLOOKUP(BI57,'Fertiliser recommendations'!$A$5:$B$62,2,FALSE))</f>
        <v/>
      </c>
      <c r="BK57" s="38" t="str">
        <f ca="1">IF($AX57="","",
IF(AND(BJ57="g",VLOOKUP(LEFT($AX57,LEN($AX57)-2),'Field information 2'!$B$12:$P$111,9,FALSE)&lt;&gt;"yes"),
IF(BG57="10-25% OM",6,IF(BG57="&gt;25% OM",12,IF(BG57="SCL; CL; ZCL; SC; ZC; C",6,IF(BG57="SL; SZL; ZL",5,IF(BG57="S; LS",4,"?"))))),
IF(OR(BJ57="a",AND(BJ57="g",VLOOKUP(LEFT($AX57,LEN($AX57)-2),'Field information 2'!$B$12:$P$111,9,FALSE)="yes")),
IF(BG57="10-25% OM",8,IF(BG57="&gt;25% OM",16,IF(BG57="SCL; CL; ZCL; SC; ZC; C",8,IF(BG57="SL; SZL; ZL",7,IF(BG57="S; LS",6,"?"))))),"")))</f>
        <v/>
      </c>
      <c r="BL57" t="str">
        <f ca="1">IF(AX57&lt;&gt;"",COUNTBLANK('Soil results'!D62:D62)+COUNTBLANK('Soil results'!F62:I62)+COUNTBLANK('Soil results'!K62:Q62),"")</f>
        <v/>
      </c>
      <c r="BM57" t="str">
        <f ca="1">IF(AX57&lt;&gt;"",
IF(OR(ISNUMBER(SEARCH("10*01*01",'Field information 2'!$M$5)),ISNUMBER(SEARCH("10*01*03",'Field information 2'!$M$5))),0.25,1),"")</f>
        <v/>
      </c>
      <c r="BN57" s="275" t="str">
        <f ca="1">IF(AX57&lt;&gt;"",
IF(COUNTIF('Soil results'!G63:G$159,"="&amp;'Soil results'!G62)+COUNTIF('Soil results'!H63:H$159,"="&amp;'Soil results'!H62)+COUNTIF('Soil results'!I63:I$159,"="&amp;'Soil results'!I62)=0,"no",
IF(MOD(COUNTIF('Soil results'!G63:G$159,"="&amp;'Soil results'!G62)+COUNTIF('Soil results'!H63:H$159,"="&amp;'Soil results'!H62)+COUNTIF('Soil results'!I63:I$159,"="&amp;'Soil results'!I62),3)=0,"yes","no")),"")</f>
        <v/>
      </c>
      <c r="BO57" s="276" t="str">
        <f t="shared" ca="1" si="44"/>
        <v/>
      </c>
      <c r="BP57" s="33"/>
      <c r="BQ57" s="276"/>
      <c r="BR57" s="276"/>
      <c r="BS57" s="276" t="str">
        <f t="shared" ca="1" si="45"/>
        <v/>
      </c>
      <c r="BT57" s="153" t="str">
        <f ca="1">IF(AX57="","",
IF(OR(Assessment!F59="limited benefit",Assessment!F59="benefit", Assessment!M59="limited benefit",Assessment!M59="benefit", Assessment!R59="limited benefit",Assessment!R59="benefit", Assessment!W59="limited benefit",Assessment!W59="benefit", Assessment!AB59="limited benefit",Assessment!AB59="benefit", AND(ISNUMBER(Assessment!AF59),Assessment!AG59="ok"), Assessment!AJ59="benefit"),"yes","no"))</f>
        <v/>
      </c>
    </row>
    <row r="58" spans="1:75" ht="15" x14ac:dyDescent="0.25">
      <c r="A58" s="272">
        <f>IF(AND('Field information 2'!L65&gt;0, 'Field information 2'!M65=0),"data missing", 'Field information 2'!M65-'Field information 2'!L65)</f>
        <v>0</v>
      </c>
      <c r="B58" s="272">
        <f>IF(AND('Field information 2'!N65&gt;0,'Field information 2'!O65=0),"data missing",'Field information 2'!O65-'Field information 2'!N65)</f>
        <v>0</v>
      </c>
      <c r="C58" s="272">
        <f>IF(AND('Field information 2'!P65&gt;0, 'Field information 2'!Q65=0),"data missing",'Field information 2'!Q65-'Field information 2'!P65)</f>
        <v>0</v>
      </c>
      <c r="D58">
        <f>'Field information 2'!L65</f>
        <v>0</v>
      </c>
      <c r="E58" s="249" t="str">
        <f>IF(OR('Field information 2'!L65&gt;0,'Field information 2'!N65&gt;0,'Field information 2'!P65&gt;0),"Y","N")</f>
        <v>N</v>
      </c>
      <c r="F58" s="277" t="str">
        <f t="shared" si="12"/>
        <v/>
      </c>
      <c r="G58" t="str">
        <f>IF(OR(ISBLANK('Field information 1'!B59),AND(OR(ISBLANK('Field information 2'!L65), 'Field information 2'!L65=0),OR(ISBLANK('Field information 2'!N65), 'Field information 2'!N65=0), OR(ISBLANK('Field information 2'!P65), 'Field information 2'!P65=0))),"",
IF(ISTEXT('Field information 1'!B59), 'Field information 1'!B59, TEXT('Field information 1'!B59,"0")))</f>
        <v/>
      </c>
      <c r="H58" t="str">
        <f>IF(OR(ISBLANK('Field information 1'!B59),ISBLANK('Field information 2'!L65),ISBLANK('Field information 2'!F65)),"",'Field information 2'!F65)</f>
        <v/>
      </c>
      <c r="I58" s="91" t="str">
        <f>IF(OR(ISBLANK('Field information 1'!E59),G58=""),"",CEILING('Field information 1'!E59/10,1))</f>
        <v/>
      </c>
      <c r="J58" s="91" t="str">
        <f t="shared" si="13"/>
        <v>no</v>
      </c>
      <c r="K58" s="135" t="str">
        <f t="shared" ca="1" si="54"/>
        <v/>
      </c>
      <c r="L58" s="135" t="str">
        <f t="shared" ca="1" si="55"/>
        <v/>
      </c>
      <c r="M58" s="135" t="str">
        <f t="shared" ca="1" si="56"/>
        <v/>
      </c>
      <c r="N58" s="135" t="str">
        <f t="shared" ca="1" si="57"/>
        <v/>
      </c>
      <c r="O58" s="135" t="str">
        <f t="shared" ca="1" si="58"/>
        <v/>
      </c>
      <c r="P58" s="135" t="str">
        <f t="shared" ca="1" si="59"/>
        <v/>
      </c>
      <c r="Q58" s="135" t="str">
        <f t="shared" ca="1" si="60"/>
        <v/>
      </c>
      <c r="R58" s="135" t="str">
        <f t="shared" ca="1" si="61"/>
        <v/>
      </c>
      <c r="S58" s="135" t="str">
        <f t="shared" ca="1" si="62"/>
        <v/>
      </c>
      <c r="T58" s="135" t="str">
        <f t="shared" ca="1" si="63"/>
        <v/>
      </c>
      <c r="U58" s="49" t="str">
        <f t="shared" ca="1" si="106"/>
        <v/>
      </c>
      <c r="V58" s="7" t="str">
        <f t="shared" ca="1" si="107"/>
        <v/>
      </c>
      <c r="W58" s="7" t="str">
        <f t="shared" ca="1" si="108"/>
        <v/>
      </c>
      <c r="X58" s="7" t="str">
        <f t="shared" ca="1" si="109"/>
        <v/>
      </c>
      <c r="Y58" s="91"/>
      <c r="Z58" s="247" t="str">
        <f t="shared" si="110"/>
        <v/>
      </c>
      <c r="AA58" s="247" t="str">
        <f t="shared" si="111"/>
        <v/>
      </c>
      <c r="AB58" s="247" t="str">
        <f t="shared" si="112"/>
        <v/>
      </c>
      <c r="AC58" s="247" t="str">
        <f t="shared" si="113"/>
        <v/>
      </c>
      <c r="AD58" s="247" t="str">
        <f t="shared" si="114"/>
        <v/>
      </c>
      <c r="AE58" s="247" t="str">
        <f t="shared" si="115"/>
        <v/>
      </c>
      <c r="AF58" s="247" t="str">
        <f t="shared" si="116"/>
        <v/>
      </c>
      <c r="AG58" s="247" t="str">
        <f t="shared" si="117"/>
        <v/>
      </c>
      <c r="AH58" s="247" t="str">
        <f t="shared" si="118"/>
        <v/>
      </c>
      <c r="AI58" s="247" t="str">
        <f t="shared" si="119"/>
        <v/>
      </c>
      <c r="AK58" s="247" t="str">
        <f t="shared" si="120"/>
        <v/>
      </c>
      <c r="AL58" s="247" t="str">
        <f t="shared" si="121"/>
        <v/>
      </c>
      <c r="AM58" s="247" t="str">
        <f t="shared" si="122"/>
        <v/>
      </c>
      <c r="AN58" s="247" t="str">
        <f t="shared" si="123"/>
        <v/>
      </c>
      <c r="AO58" s="247" t="str">
        <f t="shared" si="124"/>
        <v/>
      </c>
      <c r="AP58" s="247" t="str">
        <f t="shared" si="125"/>
        <v/>
      </c>
      <c r="AQ58" s="247" t="str">
        <f t="shared" si="126"/>
        <v/>
      </c>
      <c r="AR58" s="247" t="str">
        <f t="shared" si="127"/>
        <v/>
      </c>
      <c r="AS58" s="247" t="str">
        <f t="shared" si="128"/>
        <v/>
      </c>
      <c r="AT58" s="247" t="str">
        <f t="shared" si="129"/>
        <v/>
      </c>
      <c r="AU58" s="189"/>
      <c r="AV58" t="str">
        <f>IF(ISBLANK('Field information 1'!F59),"",'Field information 1'!F59)</f>
        <v/>
      </c>
      <c r="AW58" s="334"/>
      <c r="AX58" s="247" t="str" cm="1">
        <f t="array" aca="1" ref="AX58" ca="1">INDIRECT(TEXT(MIN(IF((Calc!$Z$5:$AI$104&lt;&gt;"")*(COUNTIF($AX$4:AX57,Calc!$Z$5:$AI$104)=0),ROW(Calc!$Z$5:$AI$104)*100+COLUMN(Calc!$Z$5:$AI$104),7^8)),"Calc!R0C00"),)&amp;""</f>
        <v/>
      </c>
      <c r="AY58" t="str" cm="1">
        <f t="array" aca="1" ref="AY58" ca="1">INDIRECT(TEXT(MIN(IF((Calc!$AK$5:$AT$104&lt;&gt;"")*(COUNTIF(AY$4:$AY57,Calc!$AK$5:$AT$104)=0),ROW(Calc!$AK$5:$AT$104)*100+COLUMN(Calc!$AK$5:$AT$104),7^8)),"Calc!R0C00"),)&amp;""</f>
        <v/>
      </c>
      <c r="AZ58" s="247" t="str">
        <f t="shared" ca="1" si="40"/>
        <v/>
      </c>
      <c r="BA58" s="324">
        <f t="shared" si="47"/>
        <v>54</v>
      </c>
      <c r="BB58">
        <f t="shared" ca="1" si="41"/>
        <v>0</v>
      </c>
      <c r="BC58" t="str">
        <f ca="1">IF($AX58="","",
VLOOKUP(LEFT($AX58,LEN($AX58)-2),'Field information 2'!$B$12:$P$111,11,FALSE))</f>
        <v/>
      </c>
      <c r="BD58" t="str">
        <f ca="1">IF($AX58="","",
VLOOKUP(LEFT($AX58,LEN($AX58)-2),'Field information 2'!$B$12:$P$111,13,FALSE))</f>
        <v/>
      </c>
      <c r="BE58" t="str">
        <f ca="1">IF($AX58="","",
VLOOKUP(LEFT($AX58,LEN($AX58)-2),'Field information 2'!$B$12:$P$111,15,FALSE))</f>
        <v/>
      </c>
      <c r="BF58">
        <f t="shared" ca="1" si="42"/>
        <v>0</v>
      </c>
      <c r="BG58" t="str">
        <f t="shared" ca="1" si="43"/>
        <v/>
      </c>
      <c r="BH58" s="7" t="str">
        <f ca="1">IF(OR(AX58="",'Soil results'!$D$7="",'Soil results'!$D$8=""),"",
IF('Soil results'!$D$7="LOI",
  IF('Soil results'!$D$8="mg/kg",'Soil results'!D63/10000,'Soil results'!D63),
IF('Soil results'!$D$7="Dumas",
  IF('Soil results'!$D$8="mg/kg",'Soil results'!D63*1.72/10000,'Soil results'!D63*1.72))))</f>
        <v/>
      </c>
      <c r="BI58" t="str">
        <f ca="1">IF($AX58="","",
VLOOKUP(LEFT($AX58,LEN($AX58)-2),'Field information 2'!$B$12:$I$111,8,FALSE))</f>
        <v/>
      </c>
      <c r="BJ58" t="str">
        <f ca="1">IF(BI58="","",
VLOOKUP(BI58,'Fertiliser recommendations'!$A$5:$B$62,2,FALSE))</f>
        <v/>
      </c>
      <c r="BK58" s="38" t="str">
        <f ca="1">IF($AX58="","",
IF(AND(BJ58="g",VLOOKUP(LEFT($AX58,LEN($AX58)-2),'Field information 2'!$B$12:$P$111,9,FALSE)&lt;&gt;"yes"),
IF(BG58="10-25% OM",6,IF(BG58="&gt;25% OM",12,IF(BG58="SCL; CL; ZCL; SC; ZC; C",6,IF(BG58="SL; SZL; ZL",5,IF(BG58="S; LS",4,"?"))))),
IF(OR(BJ58="a",AND(BJ58="g",VLOOKUP(LEFT($AX58,LEN($AX58)-2),'Field information 2'!$B$12:$P$111,9,FALSE)="yes")),
IF(BG58="10-25% OM",8,IF(BG58="&gt;25% OM",16,IF(BG58="SCL; CL; ZCL; SC; ZC; C",8,IF(BG58="SL; SZL; ZL",7,IF(BG58="S; LS",6,"?"))))),"")))</f>
        <v/>
      </c>
      <c r="BL58" t="str">
        <f ca="1">IF(AX58&lt;&gt;"",COUNTBLANK('Soil results'!D63:D63)+COUNTBLANK('Soil results'!F63:I63)+COUNTBLANK('Soil results'!K63:Q63),"")</f>
        <v/>
      </c>
      <c r="BM58" t="str">
        <f ca="1">IF(AX58&lt;&gt;"",
IF(OR(ISNUMBER(SEARCH("10*01*01",'Field information 2'!$M$5)),ISNUMBER(SEARCH("10*01*03",'Field information 2'!$M$5))),0.25,1),"")</f>
        <v/>
      </c>
      <c r="BN58" s="275" t="str">
        <f ca="1">IF(AX58&lt;&gt;"",
IF(COUNTIF('Soil results'!G64:G$159,"="&amp;'Soil results'!G63)+COUNTIF('Soil results'!H64:H$159,"="&amp;'Soil results'!H63)+COUNTIF('Soil results'!I64:I$159,"="&amp;'Soil results'!I63)=0,"no",
IF(MOD(COUNTIF('Soil results'!G64:G$159,"="&amp;'Soil results'!G63)+COUNTIF('Soil results'!H64:H$159,"="&amp;'Soil results'!H63)+COUNTIF('Soil results'!I64:I$159,"="&amp;'Soil results'!I63),3)=0,"yes","no")),"")</f>
        <v/>
      </c>
      <c r="BO58" s="276" t="str">
        <f t="shared" ca="1" si="44"/>
        <v/>
      </c>
      <c r="BP58" s="33"/>
      <c r="BQ58" s="276"/>
      <c r="BR58" s="276"/>
      <c r="BS58" s="276" t="str">
        <f t="shared" ca="1" si="45"/>
        <v/>
      </c>
      <c r="BT58" s="153" t="str">
        <f ca="1">IF(AX58="","",
IF(OR(Assessment!F60="limited benefit",Assessment!F60="benefit", Assessment!M60="limited benefit",Assessment!M60="benefit", Assessment!R60="limited benefit",Assessment!R60="benefit", Assessment!W60="limited benefit",Assessment!W60="benefit", Assessment!AB60="limited benefit",Assessment!AB60="benefit", AND(ISNUMBER(Assessment!AF60),Assessment!AG60="ok"), Assessment!AJ60="benefit"),"yes","no"))</f>
        <v/>
      </c>
      <c r="BW58" t="s">
        <v>369</v>
      </c>
    </row>
    <row r="59" spans="1:75" ht="15" x14ac:dyDescent="0.25">
      <c r="A59" s="272">
        <f>IF(AND('Field information 2'!L66&gt;0, 'Field information 2'!M66=0),"data missing", 'Field information 2'!M66-'Field information 2'!L66)</f>
        <v>0</v>
      </c>
      <c r="B59" s="272">
        <f>IF(AND('Field information 2'!N66&gt;0,'Field information 2'!O66=0),"data missing",'Field information 2'!O66-'Field information 2'!N66)</f>
        <v>0</v>
      </c>
      <c r="C59" s="272">
        <f>IF(AND('Field information 2'!P66&gt;0, 'Field information 2'!Q66=0),"data missing",'Field information 2'!Q66-'Field information 2'!P66)</f>
        <v>0</v>
      </c>
      <c r="D59">
        <f>'Field information 2'!L66</f>
        <v>0</v>
      </c>
      <c r="E59" s="249" t="str">
        <f>IF(OR('Field information 2'!L66&gt;0,'Field information 2'!N66&gt;0,'Field information 2'!P66&gt;0),"Y","N")</f>
        <v>N</v>
      </c>
      <c r="F59" s="277" t="str">
        <f t="shared" si="12"/>
        <v/>
      </c>
      <c r="G59" t="str">
        <f>IF(OR(ISBLANK('Field information 1'!B60),AND(OR(ISBLANK('Field information 2'!L66), 'Field information 2'!L66=0),OR(ISBLANK('Field information 2'!N66), 'Field information 2'!N66=0), OR(ISBLANK('Field information 2'!P66), 'Field information 2'!P66=0))),"",
IF(ISTEXT('Field information 1'!B60), 'Field information 1'!B60, TEXT('Field information 1'!B60,"0")))</f>
        <v/>
      </c>
      <c r="H59" t="str">
        <f>IF(OR(ISBLANK('Field information 1'!B60),ISBLANK('Field information 2'!L66),ISBLANK('Field information 2'!F66)),"",'Field information 2'!F66)</f>
        <v/>
      </c>
      <c r="I59" s="91" t="str">
        <f>IF(OR(ISBLANK('Field information 1'!E60),G59=""),"",CEILING('Field information 1'!E60/10,1))</f>
        <v/>
      </c>
      <c r="J59" s="91" t="str">
        <f t="shared" si="13"/>
        <v>no</v>
      </c>
      <c r="K59" s="135" t="str">
        <f t="shared" ca="1" si="54"/>
        <v/>
      </c>
      <c r="L59" s="135" t="str">
        <f t="shared" ca="1" si="55"/>
        <v/>
      </c>
      <c r="M59" s="135" t="str">
        <f t="shared" ca="1" si="56"/>
        <v/>
      </c>
      <c r="N59" s="135" t="str">
        <f t="shared" ca="1" si="57"/>
        <v/>
      </c>
      <c r="O59" s="135" t="str">
        <f t="shared" ca="1" si="58"/>
        <v/>
      </c>
      <c r="P59" s="135" t="str">
        <f t="shared" ca="1" si="59"/>
        <v/>
      </c>
      <c r="Q59" s="135" t="str">
        <f t="shared" ca="1" si="60"/>
        <v/>
      </c>
      <c r="R59" s="135" t="str">
        <f t="shared" ca="1" si="61"/>
        <v/>
      </c>
      <c r="S59" s="135" t="str">
        <f t="shared" ca="1" si="62"/>
        <v/>
      </c>
      <c r="T59" s="135" t="str">
        <f t="shared" ca="1" si="63"/>
        <v/>
      </c>
      <c r="U59" s="49" t="str">
        <f t="shared" ca="1" si="106"/>
        <v/>
      </c>
      <c r="V59" s="7" t="str">
        <f t="shared" ca="1" si="107"/>
        <v/>
      </c>
      <c r="W59" s="7" t="str">
        <f t="shared" ca="1" si="108"/>
        <v/>
      </c>
      <c r="X59" s="7" t="str">
        <f t="shared" ca="1" si="109"/>
        <v/>
      </c>
      <c r="Y59" s="91"/>
      <c r="Z59" s="247" t="str">
        <f t="shared" si="110"/>
        <v/>
      </c>
      <c r="AA59" s="247" t="str">
        <f t="shared" si="111"/>
        <v/>
      </c>
      <c r="AB59" s="247" t="str">
        <f t="shared" si="112"/>
        <v/>
      </c>
      <c r="AC59" s="247" t="str">
        <f t="shared" si="113"/>
        <v/>
      </c>
      <c r="AD59" s="247" t="str">
        <f t="shared" si="114"/>
        <v/>
      </c>
      <c r="AE59" s="247" t="str">
        <f t="shared" si="115"/>
        <v/>
      </c>
      <c r="AF59" s="247" t="str">
        <f t="shared" si="116"/>
        <v/>
      </c>
      <c r="AG59" s="247" t="str">
        <f t="shared" si="117"/>
        <v/>
      </c>
      <c r="AH59" s="247" t="str">
        <f t="shared" si="118"/>
        <v/>
      </c>
      <c r="AI59" s="247" t="str">
        <f t="shared" si="119"/>
        <v/>
      </c>
      <c r="AK59" s="247" t="str">
        <f t="shared" si="120"/>
        <v/>
      </c>
      <c r="AL59" s="247" t="str">
        <f t="shared" si="121"/>
        <v/>
      </c>
      <c r="AM59" s="247" t="str">
        <f t="shared" si="122"/>
        <v/>
      </c>
      <c r="AN59" s="247" t="str">
        <f t="shared" si="123"/>
        <v/>
      </c>
      <c r="AO59" s="247" t="str">
        <f t="shared" si="124"/>
        <v/>
      </c>
      <c r="AP59" s="247" t="str">
        <f t="shared" si="125"/>
        <v/>
      </c>
      <c r="AQ59" s="247" t="str">
        <f t="shared" si="126"/>
        <v/>
      </c>
      <c r="AR59" s="247" t="str">
        <f t="shared" si="127"/>
        <v/>
      </c>
      <c r="AS59" s="247" t="str">
        <f t="shared" si="128"/>
        <v/>
      </c>
      <c r="AT59" s="247" t="str">
        <f t="shared" si="129"/>
        <v/>
      </c>
      <c r="AU59" s="189"/>
      <c r="AV59" t="str">
        <f>IF(ISBLANK('Field information 1'!F60),"",'Field information 1'!F60)</f>
        <v/>
      </c>
      <c r="AW59" s="334"/>
      <c r="AX59" s="247" t="str" cm="1">
        <f t="array" aca="1" ref="AX59" ca="1">INDIRECT(TEXT(MIN(IF((Calc!$Z$5:$AI$104&lt;&gt;"")*(COUNTIF($AX$4:AX58,Calc!$Z$5:$AI$104)=0),ROW(Calc!$Z$5:$AI$104)*100+COLUMN(Calc!$Z$5:$AI$104),7^8)),"Calc!R0C00"),)&amp;""</f>
        <v/>
      </c>
      <c r="AY59" t="str" cm="1">
        <f t="array" aca="1" ref="AY59" ca="1">INDIRECT(TEXT(MIN(IF((Calc!$AK$5:$AT$104&lt;&gt;"")*(COUNTIF(AY$4:$AY58,Calc!$AK$5:$AT$104)=0),ROW(Calc!$AK$5:$AT$104)*100+COLUMN(Calc!$AK$5:$AT$104),7^8)),"Calc!R0C00"),)&amp;""</f>
        <v/>
      </c>
      <c r="AZ59" s="247" t="str">
        <f t="shared" ca="1" si="40"/>
        <v/>
      </c>
      <c r="BA59" s="324">
        <f t="shared" si="47"/>
        <v>55</v>
      </c>
      <c r="BB59">
        <f t="shared" ca="1" si="41"/>
        <v>0</v>
      </c>
      <c r="BC59" t="str">
        <f ca="1">IF($AX59="","",
VLOOKUP(LEFT($AX59,LEN($AX59)-2),'Field information 2'!$B$12:$P$111,11,FALSE))</f>
        <v/>
      </c>
      <c r="BD59" t="str">
        <f ca="1">IF($AX59="","",
VLOOKUP(LEFT($AX59,LEN($AX59)-2),'Field information 2'!$B$12:$P$111,13,FALSE))</f>
        <v/>
      </c>
      <c r="BE59" t="str">
        <f ca="1">IF($AX59="","",
VLOOKUP(LEFT($AX59,LEN($AX59)-2),'Field information 2'!$B$12:$P$111,15,FALSE))</f>
        <v/>
      </c>
      <c r="BF59">
        <f t="shared" ca="1" si="42"/>
        <v>0</v>
      </c>
      <c r="BG59" t="str">
        <f t="shared" ca="1" si="43"/>
        <v/>
      </c>
      <c r="BH59" s="7" t="str">
        <f ca="1">IF(OR(AX59="",'Soil results'!$D$7="",'Soil results'!$D$8=""),"",
IF('Soil results'!$D$7="LOI",
  IF('Soil results'!$D$8="mg/kg",'Soil results'!D64/10000,'Soil results'!D64),
IF('Soil results'!$D$7="Dumas",
  IF('Soil results'!$D$8="mg/kg",'Soil results'!D64*1.72/10000,'Soil results'!D64*1.72))))</f>
        <v/>
      </c>
      <c r="BI59" t="str">
        <f ca="1">IF($AX59="","",
VLOOKUP(LEFT($AX59,LEN($AX59)-2),'Field information 2'!$B$12:$I$111,8,FALSE))</f>
        <v/>
      </c>
      <c r="BJ59" t="str">
        <f ca="1">IF(BI59="","",
VLOOKUP(BI59,'Fertiliser recommendations'!$A$5:$B$62,2,FALSE))</f>
        <v/>
      </c>
      <c r="BK59" s="38" t="str">
        <f ca="1">IF($AX59="","",
IF(AND(BJ59="g",VLOOKUP(LEFT($AX59,LEN($AX59)-2),'Field information 2'!$B$12:$P$111,9,FALSE)&lt;&gt;"yes"),
IF(BG59="10-25% OM",6,IF(BG59="&gt;25% OM",12,IF(BG59="SCL; CL; ZCL; SC; ZC; C",6,IF(BG59="SL; SZL; ZL",5,IF(BG59="S; LS",4,"?"))))),
IF(OR(BJ59="a",AND(BJ59="g",VLOOKUP(LEFT($AX59,LEN($AX59)-2),'Field information 2'!$B$12:$P$111,9,FALSE)="yes")),
IF(BG59="10-25% OM",8,IF(BG59="&gt;25% OM",16,IF(BG59="SCL; CL; ZCL; SC; ZC; C",8,IF(BG59="SL; SZL; ZL",7,IF(BG59="S; LS",6,"?"))))),"")))</f>
        <v/>
      </c>
      <c r="BL59" t="str">
        <f ca="1">IF(AX59&lt;&gt;"",COUNTBLANK('Soil results'!D64:D64)+COUNTBLANK('Soil results'!F64:I64)+COUNTBLANK('Soil results'!K64:Q64),"")</f>
        <v/>
      </c>
      <c r="BM59" t="str">
        <f ca="1">IF(AX59&lt;&gt;"",
IF(OR(ISNUMBER(SEARCH("10*01*01",'Field information 2'!$M$5)),ISNUMBER(SEARCH("10*01*03",'Field information 2'!$M$5))),0.25,1),"")</f>
        <v/>
      </c>
      <c r="BN59" s="275" t="str">
        <f ca="1">IF(AX59&lt;&gt;"",
IF(COUNTIF('Soil results'!G65:G$159,"="&amp;'Soil results'!G64)+COUNTIF('Soil results'!H65:H$159,"="&amp;'Soil results'!H64)+COUNTIF('Soil results'!I65:I$159,"="&amp;'Soil results'!I64)=0,"no",
IF(MOD(COUNTIF('Soil results'!G65:G$159,"="&amp;'Soil results'!G64)+COUNTIF('Soil results'!H65:H$159,"="&amp;'Soil results'!H64)+COUNTIF('Soil results'!I65:I$159,"="&amp;'Soil results'!I64),3)=0,"yes","no")),"")</f>
        <v/>
      </c>
      <c r="BO59" s="276" t="str">
        <f t="shared" ca="1" si="44"/>
        <v/>
      </c>
      <c r="BP59" s="33"/>
      <c r="BQ59" s="276"/>
      <c r="BR59" s="276"/>
      <c r="BS59" s="276" t="str">
        <f t="shared" ca="1" si="45"/>
        <v/>
      </c>
      <c r="BT59" s="153" t="str">
        <f ca="1">IF(AX59="","",
IF(OR(Assessment!F61="limited benefit",Assessment!F61="benefit", Assessment!M61="limited benefit",Assessment!M61="benefit", Assessment!R61="limited benefit",Assessment!R61="benefit", Assessment!W61="limited benefit",Assessment!W61="benefit", Assessment!AB61="limited benefit",Assessment!AB61="benefit", AND(ISNUMBER(Assessment!AF61),Assessment!AG61="ok"), Assessment!AJ61="benefit"),"yes","no"))</f>
        <v/>
      </c>
      <c r="BW59" t="s">
        <v>370</v>
      </c>
    </row>
    <row r="60" spans="1:75" ht="15" x14ac:dyDescent="0.25">
      <c r="A60" s="272">
        <f>IF(AND('Field information 2'!L67&gt;0, 'Field information 2'!M67=0),"data missing", 'Field information 2'!M67-'Field information 2'!L67)</f>
        <v>0</v>
      </c>
      <c r="B60" s="272">
        <f>IF(AND('Field information 2'!N67&gt;0,'Field information 2'!O67=0),"data missing",'Field information 2'!O67-'Field information 2'!N67)</f>
        <v>0</v>
      </c>
      <c r="C60" s="272">
        <f>IF(AND('Field information 2'!P67&gt;0, 'Field information 2'!Q67=0),"data missing",'Field information 2'!Q67-'Field information 2'!P67)</f>
        <v>0</v>
      </c>
      <c r="D60">
        <f>'Field information 2'!L67</f>
        <v>0</v>
      </c>
      <c r="E60" s="249" t="str">
        <f>IF(OR('Field information 2'!L67&gt;0,'Field information 2'!N67&gt;0,'Field information 2'!P67&gt;0),"Y","N")</f>
        <v>N</v>
      </c>
      <c r="F60" s="277" t="str">
        <f t="shared" si="12"/>
        <v/>
      </c>
      <c r="G60" t="str">
        <f>IF(OR(ISBLANK('Field information 1'!B61),AND(OR(ISBLANK('Field information 2'!L67), 'Field information 2'!L67=0),OR(ISBLANK('Field information 2'!N67), 'Field information 2'!N67=0), OR(ISBLANK('Field information 2'!P67), 'Field information 2'!P67=0))),"",
IF(ISTEXT('Field information 1'!B61), 'Field information 1'!B61, TEXT('Field information 1'!B61,"0")))</f>
        <v/>
      </c>
      <c r="H60" t="str">
        <f>IF(OR(ISBLANK('Field information 1'!B61),ISBLANK('Field information 2'!L67),ISBLANK('Field information 2'!F67)),"",'Field information 2'!F67)</f>
        <v/>
      </c>
      <c r="I60" s="91" t="str">
        <f>IF(OR(ISBLANK('Field information 1'!E61),G60=""),"",CEILING('Field information 1'!E61/10,1))</f>
        <v/>
      </c>
      <c r="J60" s="91" t="str">
        <f t="shared" si="13"/>
        <v>no</v>
      </c>
      <c r="K60" s="135" t="str">
        <f t="shared" ca="1" si="54"/>
        <v/>
      </c>
      <c r="L60" s="135" t="str">
        <f t="shared" ca="1" si="55"/>
        <v/>
      </c>
      <c r="M60" s="135" t="str">
        <f t="shared" ca="1" si="56"/>
        <v/>
      </c>
      <c r="N60" s="135" t="str">
        <f t="shared" ca="1" si="57"/>
        <v/>
      </c>
      <c r="O60" s="135" t="str">
        <f t="shared" ca="1" si="58"/>
        <v/>
      </c>
      <c r="P60" s="135" t="str">
        <f t="shared" ca="1" si="59"/>
        <v/>
      </c>
      <c r="Q60" s="135" t="str">
        <f t="shared" ca="1" si="60"/>
        <v/>
      </c>
      <c r="R60" s="135" t="str">
        <f t="shared" ca="1" si="61"/>
        <v/>
      </c>
      <c r="S60" s="135" t="str">
        <f t="shared" ca="1" si="62"/>
        <v/>
      </c>
      <c r="T60" s="135" t="str">
        <f t="shared" ca="1" si="63"/>
        <v/>
      </c>
      <c r="U60" s="49" t="str">
        <f t="shared" ca="1" si="106"/>
        <v/>
      </c>
      <c r="V60" s="7" t="str">
        <f t="shared" ca="1" si="107"/>
        <v/>
      </c>
      <c r="W60" s="7" t="str">
        <f t="shared" ca="1" si="108"/>
        <v/>
      </c>
      <c r="X60" s="7" t="str">
        <f t="shared" ca="1" si="109"/>
        <v/>
      </c>
      <c r="Y60" s="91"/>
      <c r="Z60" s="247" t="str">
        <f t="shared" si="110"/>
        <v/>
      </c>
      <c r="AA60" s="247" t="str">
        <f t="shared" si="111"/>
        <v/>
      </c>
      <c r="AB60" s="247" t="str">
        <f t="shared" si="112"/>
        <v/>
      </c>
      <c r="AC60" s="247" t="str">
        <f t="shared" si="113"/>
        <v/>
      </c>
      <c r="AD60" s="247" t="str">
        <f t="shared" si="114"/>
        <v/>
      </c>
      <c r="AE60" s="247" t="str">
        <f t="shared" si="115"/>
        <v/>
      </c>
      <c r="AF60" s="247" t="str">
        <f t="shared" si="116"/>
        <v/>
      </c>
      <c r="AG60" s="247" t="str">
        <f t="shared" si="117"/>
        <v/>
      </c>
      <c r="AH60" s="247" t="str">
        <f t="shared" si="118"/>
        <v/>
      </c>
      <c r="AI60" s="247" t="str">
        <f t="shared" si="119"/>
        <v/>
      </c>
      <c r="AK60" s="247" t="str">
        <f t="shared" si="120"/>
        <v/>
      </c>
      <c r="AL60" s="247" t="str">
        <f t="shared" si="121"/>
        <v/>
      </c>
      <c r="AM60" s="247" t="str">
        <f t="shared" si="122"/>
        <v/>
      </c>
      <c r="AN60" s="247" t="str">
        <f t="shared" si="123"/>
        <v/>
      </c>
      <c r="AO60" s="247" t="str">
        <f t="shared" si="124"/>
        <v/>
      </c>
      <c r="AP60" s="247" t="str">
        <f t="shared" si="125"/>
        <v/>
      </c>
      <c r="AQ60" s="247" t="str">
        <f t="shared" si="126"/>
        <v/>
      </c>
      <c r="AR60" s="247" t="str">
        <f t="shared" si="127"/>
        <v/>
      </c>
      <c r="AS60" s="247" t="str">
        <f t="shared" si="128"/>
        <v/>
      </c>
      <c r="AT60" s="247" t="str">
        <f t="shared" si="129"/>
        <v/>
      </c>
      <c r="AU60" s="189"/>
      <c r="AV60" t="str">
        <f>IF(ISBLANK('Field information 1'!F61),"",'Field information 1'!F61)</f>
        <v/>
      </c>
      <c r="AW60" s="334"/>
      <c r="AX60" s="247" t="str" cm="1">
        <f t="array" aca="1" ref="AX60" ca="1">INDIRECT(TEXT(MIN(IF((Calc!$Z$5:$AI$104&lt;&gt;"")*(COUNTIF($AX$4:AX59,Calc!$Z$5:$AI$104)=0),ROW(Calc!$Z$5:$AI$104)*100+COLUMN(Calc!$Z$5:$AI$104),7^8)),"Calc!R0C00"),)&amp;""</f>
        <v/>
      </c>
      <c r="AY60" t="str" cm="1">
        <f t="array" aca="1" ref="AY60" ca="1">INDIRECT(TEXT(MIN(IF((Calc!$AK$5:$AT$104&lt;&gt;"")*(COUNTIF(AY$4:$AY59,Calc!$AK$5:$AT$104)=0),ROW(Calc!$AK$5:$AT$104)*100+COLUMN(Calc!$AK$5:$AT$104),7^8)),"Calc!R0C00"),)&amp;""</f>
        <v/>
      </c>
      <c r="AZ60" s="247" t="str">
        <f t="shared" ca="1" si="40"/>
        <v/>
      </c>
      <c r="BA60" s="324">
        <f t="shared" si="47"/>
        <v>56</v>
      </c>
      <c r="BB60">
        <f t="shared" ca="1" si="41"/>
        <v>0</v>
      </c>
      <c r="BC60" t="str">
        <f ca="1">IF($AX60="","",
VLOOKUP(LEFT($AX60,LEN($AX60)-2),'Field information 2'!$B$12:$P$111,11,FALSE))</f>
        <v/>
      </c>
      <c r="BD60" t="str">
        <f ca="1">IF($AX60="","",
VLOOKUP(LEFT($AX60,LEN($AX60)-2),'Field information 2'!$B$12:$P$111,13,FALSE))</f>
        <v/>
      </c>
      <c r="BE60" t="str">
        <f ca="1">IF($AX60="","",
VLOOKUP(LEFT($AX60,LEN($AX60)-2),'Field information 2'!$B$12:$P$111,15,FALSE))</f>
        <v/>
      </c>
      <c r="BF60">
        <f t="shared" ca="1" si="42"/>
        <v>0</v>
      </c>
      <c r="BG60" t="str">
        <f t="shared" ca="1" si="43"/>
        <v/>
      </c>
      <c r="BH60" s="7" t="str">
        <f ca="1">IF(OR(AX60="",'Soil results'!$D$7="",'Soil results'!$D$8=""),"",
IF('Soil results'!$D$7="LOI",
  IF('Soil results'!$D$8="mg/kg",'Soil results'!D65/10000,'Soil results'!D65),
IF('Soil results'!$D$7="Dumas",
  IF('Soil results'!$D$8="mg/kg",'Soil results'!D65*1.72/10000,'Soil results'!D65*1.72))))</f>
        <v/>
      </c>
      <c r="BI60" t="str">
        <f ca="1">IF($AX60="","",
VLOOKUP(LEFT($AX60,LEN($AX60)-2),'Field information 2'!$B$12:$I$111,8,FALSE))</f>
        <v/>
      </c>
      <c r="BJ60" t="str">
        <f ca="1">IF(BI60="","",
VLOOKUP(BI60,'Fertiliser recommendations'!$A$5:$B$62,2,FALSE))</f>
        <v/>
      </c>
      <c r="BK60" s="38" t="str">
        <f ca="1">IF($AX60="","",
IF(AND(BJ60="g",VLOOKUP(LEFT($AX60,LEN($AX60)-2),'Field information 2'!$B$12:$P$111,9,FALSE)&lt;&gt;"yes"),
IF(BG60="10-25% OM",6,IF(BG60="&gt;25% OM",12,IF(BG60="SCL; CL; ZCL; SC; ZC; C",6,IF(BG60="SL; SZL; ZL",5,IF(BG60="S; LS",4,"?"))))),
IF(OR(BJ60="a",AND(BJ60="g",VLOOKUP(LEFT($AX60,LEN($AX60)-2),'Field information 2'!$B$12:$P$111,9,FALSE)="yes")),
IF(BG60="10-25% OM",8,IF(BG60="&gt;25% OM",16,IF(BG60="SCL; CL; ZCL; SC; ZC; C",8,IF(BG60="SL; SZL; ZL",7,IF(BG60="S; LS",6,"?"))))),"")))</f>
        <v/>
      </c>
      <c r="BL60" t="str">
        <f ca="1">IF(AX60&lt;&gt;"",COUNTBLANK('Soil results'!D65:D65)+COUNTBLANK('Soil results'!F65:I65)+COUNTBLANK('Soil results'!K65:Q65),"")</f>
        <v/>
      </c>
      <c r="BM60" t="str">
        <f ca="1">IF(AX60&lt;&gt;"",
IF(OR(ISNUMBER(SEARCH("10*01*01",'Field information 2'!$M$5)),ISNUMBER(SEARCH("10*01*03",'Field information 2'!$M$5))),0.25,1),"")</f>
        <v/>
      </c>
      <c r="BN60" s="275" t="str">
        <f ca="1">IF(AX60&lt;&gt;"",
IF(COUNTIF('Soil results'!G66:G$159,"="&amp;'Soil results'!G65)+COUNTIF('Soil results'!H66:H$159,"="&amp;'Soil results'!H65)+COUNTIF('Soil results'!I66:I$159,"="&amp;'Soil results'!I65)=0,"no",
IF(MOD(COUNTIF('Soil results'!G66:G$159,"="&amp;'Soil results'!G65)+COUNTIF('Soil results'!H66:H$159,"="&amp;'Soil results'!H65)+COUNTIF('Soil results'!I66:I$159,"="&amp;'Soil results'!I65),3)=0,"yes","no")),"")</f>
        <v/>
      </c>
      <c r="BO60" s="276" t="str">
        <f t="shared" ca="1" si="44"/>
        <v/>
      </c>
      <c r="BP60" s="33"/>
      <c r="BQ60" s="276"/>
      <c r="BR60" s="276"/>
      <c r="BS60" s="276" t="str">
        <f t="shared" ca="1" si="45"/>
        <v/>
      </c>
      <c r="BT60" s="153" t="str">
        <f ca="1">IF(AX60="","",
IF(OR(Assessment!F62="limited benefit",Assessment!F62="benefit", Assessment!M62="limited benefit",Assessment!M62="benefit", Assessment!R62="limited benefit",Assessment!R62="benefit", Assessment!W62="limited benefit",Assessment!W62="benefit", Assessment!AB62="limited benefit",Assessment!AB62="benefit", AND(ISNUMBER(Assessment!AF62),Assessment!AG62="ok"), Assessment!AJ62="benefit"),"yes","no"))</f>
        <v/>
      </c>
      <c r="BW60" t="s">
        <v>371</v>
      </c>
    </row>
    <row r="61" spans="1:75" ht="15" x14ac:dyDescent="0.25">
      <c r="A61" s="272">
        <f>IF(AND('Field information 2'!L68&gt;0, 'Field information 2'!M68=0),"data missing", 'Field information 2'!M68-'Field information 2'!L68)</f>
        <v>0</v>
      </c>
      <c r="B61" s="272">
        <f>IF(AND('Field information 2'!N68&gt;0,'Field information 2'!O68=0),"data missing",'Field information 2'!O68-'Field information 2'!N68)</f>
        <v>0</v>
      </c>
      <c r="C61" s="272">
        <f>IF(AND('Field information 2'!P68&gt;0, 'Field information 2'!Q68=0),"data missing",'Field information 2'!Q68-'Field information 2'!P68)</f>
        <v>0</v>
      </c>
      <c r="D61">
        <f>'Field information 2'!L68</f>
        <v>0</v>
      </c>
      <c r="E61" s="249" t="str">
        <f>IF(OR('Field information 2'!L68&gt;0,'Field information 2'!N68&gt;0,'Field information 2'!P68&gt;0),"Y","N")</f>
        <v>N</v>
      </c>
      <c r="F61" s="277" t="str">
        <f t="shared" si="12"/>
        <v/>
      </c>
      <c r="G61" t="str">
        <f>IF(OR(ISBLANK('Field information 1'!B62),AND(OR(ISBLANK('Field information 2'!L68), 'Field information 2'!L68=0),OR(ISBLANK('Field information 2'!N68), 'Field information 2'!N68=0), OR(ISBLANK('Field information 2'!P68), 'Field information 2'!P68=0))),"",
IF(ISTEXT('Field information 1'!B62), 'Field information 1'!B62, TEXT('Field information 1'!B62,"0")))</f>
        <v/>
      </c>
      <c r="H61" t="str">
        <f>IF(OR(ISBLANK('Field information 1'!B62),ISBLANK('Field information 2'!L68),ISBLANK('Field information 2'!F68)),"",'Field information 2'!F68)</f>
        <v/>
      </c>
      <c r="I61" s="91" t="str">
        <f>IF(OR(ISBLANK('Field information 1'!E62),G61=""),"",CEILING('Field information 1'!E62/10,1))</f>
        <v/>
      </c>
      <c r="J61" s="91" t="str">
        <f t="shared" si="13"/>
        <v>no</v>
      </c>
      <c r="K61" s="135" t="str">
        <f t="shared" ca="1" si="54"/>
        <v/>
      </c>
      <c r="L61" s="135" t="str">
        <f t="shared" ca="1" si="55"/>
        <v/>
      </c>
      <c r="M61" s="135" t="str">
        <f t="shared" ca="1" si="56"/>
        <v/>
      </c>
      <c r="N61" s="135" t="str">
        <f t="shared" ca="1" si="57"/>
        <v/>
      </c>
      <c r="O61" s="135" t="str">
        <f t="shared" ca="1" si="58"/>
        <v/>
      </c>
      <c r="P61" s="135" t="str">
        <f t="shared" ca="1" si="59"/>
        <v/>
      </c>
      <c r="Q61" s="135" t="str">
        <f t="shared" ca="1" si="60"/>
        <v/>
      </c>
      <c r="R61" s="135" t="str">
        <f t="shared" ca="1" si="61"/>
        <v/>
      </c>
      <c r="S61" s="135" t="str">
        <f t="shared" ca="1" si="62"/>
        <v/>
      </c>
      <c r="T61" s="135" t="str">
        <f t="shared" ca="1" si="63"/>
        <v/>
      </c>
      <c r="U61" s="49" t="str">
        <f t="shared" ca="1" si="106"/>
        <v/>
      </c>
      <c r="V61" s="7" t="str">
        <f t="shared" ca="1" si="107"/>
        <v/>
      </c>
      <c r="W61" s="7" t="str">
        <f t="shared" ca="1" si="108"/>
        <v/>
      </c>
      <c r="X61" s="7" t="str">
        <f t="shared" ca="1" si="109"/>
        <v/>
      </c>
      <c r="Y61" s="91"/>
      <c r="Z61" s="247" t="str">
        <f t="shared" si="110"/>
        <v/>
      </c>
      <c r="AA61" s="247" t="str">
        <f t="shared" si="111"/>
        <v/>
      </c>
      <c r="AB61" s="247" t="str">
        <f t="shared" si="112"/>
        <v/>
      </c>
      <c r="AC61" s="247" t="str">
        <f t="shared" si="113"/>
        <v/>
      </c>
      <c r="AD61" s="247" t="str">
        <f t="shared" si="114"/>
        <v/>
      </c>
      <c r="AE61" s="247" t="str">
        <f t="shared" si="115"/>
        <v/>
      </c>
      <c r="AF61" s="247" t="str">
        <f t="shared" si="116"/>
        <v/>
      </c>
      <c r="AG61" s="247" t="str">
        <f t="shared" si="117"/>
        <v/>
      </c>
      <c r="AH61" s="247" t="str">
        <f t="shared" si="118"/>
        <v/>
      </c>
      <c r="AI61" s="247" t="str">
        <f t="shared" si="119"/>
        <v/>
      </c>
      <c r="AK61" s="247" t="str">
        <f t="shared" si="120"/>
        <v/>
      </c>
      <c r="AL61" s="247" t="str">
        <f t="shared" si="121"/>
        <v/>
      </c>
      <c r="AM61" s="247" t="str">
        <f t="shared" si="122"/>
        <v/>
      </c>
      <c r="AN61" s="247" t="str">
        <f t="shared" si="123"/>
        <v/>
      </c>
      <c r="AO61" s="247" t="str">
        <f t="shared" si="124"/>
        <v/>
      </c>
      <c r="AP61" s="247" t="str">
        <f t="shared" si="125"/>
        <v/>
      </c>
      <c r="AQ61" s="247" t="str">
        <f t="shared" si="126"/>
        <v/>
      </c>
      <c r="AR61" s="247" t="str">
        <f t="shared" si="127"/>
        <v/>
      </c>
      <c r="AS61" s="247" t="str">
        <f t="shared" si="128"/>
        <v/>
      </c>
      <c r="AT61" s="247" t="str">
        <f t="shared" si="129"/>
        <v/>
      </c>
      <c r="AU61" s="189"/>
      <c r="AV61" t="str">
        <f>IF(ISBLANK('Field information 1'!F62),"",'Field information 1'!F62)</f>
        <v/>
      </c>
      <c r="AW61" s="334"/>
      <c r="AX61" s="247" t="str" cm="1">
        <f t="array" aca="1" ref="AX61" ca="1">INDIRECT(TEXT(MIN(IF((Calc!$Z$5:$AI$104&lt;&gt;"")*(COUNTIF($AX$4:AX60,Calc!$Z$5:$AI$104)=0),ROW(Calc!$Z$5:$AI$104)*100+COLUMN(Calc!$Z$5:$AI$104),7^8)),"Calc!R0C00"),)&amp;""</f>
        <v/>
      </c>
      <c r="AY61" t="str" cm="1">
        <f t="array" aca="1" ref="AY61" ca="1">INDIRECT(TEXT(MIN(IF((Calc!$AK$5:$AT$104&lt;&gt;"")*(COUNTIF(AY$4:$AY60,Calc!$AK$5:$AT$104)=0),ROW(Calc!$AK$5:$AT$104)*100+COLUMN(Calc!$AK$5:$AT$104),7^8)),"Calc!R0C00"),)&amp;""</f>
        <v/>
      </c>
      <c r="AZ61" s="247" t="str">
        <f t="shared" ca="1" si="40"/>
        <v/>
      </c>
      <c r="BA61" s="324">
        <f t="shared" si="47"/>
        <v>57</v>
      </c>
      <c r="BB61">
        <f t="shared" ca="1" si="41"/>
        <v>0</v>
      </c>
      <c r="BC61" t="str">
        <f ca="1">IF($AX61="","",
VLOOKUP(LEFT($AX61,LEN($AX61)-2),'Field information 2'!$B$12:$P$111,11,FALSE))</f>
        <v/>
      </c>
      <c r="BD61" t="str">
        <f ca="1">IF($AX61="","",
VLOOKUP(LEFT($AX61,LEN($AX61)-2),'Field information 2'!$B$12:$P$111,13,FALSE))</f>
        <v/>
      </c>
      <c r="BE61" t="str">
        <f ca="1">IF($AX61="","",
VLOOKUP(LEFT($AX61,LEN($AX61)-2),'Field information 2'!$B$12:$P$111,15,FALSE))</f>
        <v/>
      </c>
      <c r="BF61">
        <f t="shared" ca="1" si="42"/>
        <v>0</v>
      </c>
      <c r="BG61" t="str">
        <f t="shared" ca="1" si="43"/>
        <v/>
      </c>
      <c r="BH61" s="7" t="str">
        <f ca="1">IF(OR(AX61="",'Soil results'!$D$7="",'Soil results'!$D$8=""),"",
IF('Soil results'!$D$7="LOI",
  IF('Soil results'!$D$8="mg/kg",'Soil results'!D66/10000,'Soil results'!D66),
IF('Soil results'!$D$7="Dumas",
  IF('Soil results'!$D$8="mg/kg",'Soil results'!D66*1.72/10000,'Soil results'!D66*1.72))))</f>
        <v/>
      </c>
      <c r="BI61" t="str">
        <f ca="1">IF($AX61="","",
VLOOKUP(LEFT($AX61,LEN($AX61)-2),'Field information 2'!$B$12:$I$111,8,FALSE))</f>
        <v/>
      </c>
      <c r="BJ61" t="str">
        <f ca="1">IF(BI61="","",
VLOOKUP(BI61,'Fertiliser recommendations'!$A$5:$B$62,2,FALSE))</f>
        <v/>
      </c>
      <c r="BK61" s="38" t="str">
        <f ca="1">IF($AX61="","",
IF(AND(BJ61="g",VLOOKUP(LEFT($AX61,LEN($AX61)-2),'Field information 2'!$B$12:$P$111,9,FALSE)&lt;&gt;"yes"),
IF(BG61="10-25% OM",6,IF(BG61="&gt;25% OM",12,IF(BG61="SCL; CL; ZCL; SC; ZC; C",6,IF(BG61="SL; SZL; ZL",5,IF(BG61="S; LS",4,"?"))))),
IF(OR(BJ61="a",AND(BJ61="g",VLOOKUP(LEFT($AX61,LEN($AX61)-2),'Field information 2'!$B$12:$P$111,9,FALSE)="yes")),
IF(BG61="10-25% OM",8,IF(BG61="&gt;25% OM",16,IF(BG61="SCL; CL; ZCL; SC; ZC; C",8,IF(BG61="SL; SZL; ZL",7,IF(BG61="S; LS",6,"?"))))),"")))</f>
        <v/>
      </c>
      <c r="BL61" t="str">
        <f ca="1">IF(AX61&lt;&gt;"",COUNTBLANK('Soil results'!D66:D66)+COUNTBLANK('Soil results'!F66:I66)+COUNTBLANK('Soil results'!K66:Q66),"")</f>
        <v/>
      </c>
      <c r="BM61" t="str">
        <f ca="1">IF(AX61&lt;&gt;"",
IF(OR(ISNUMBER(SEARCH("10*01*01",'Field information 2'!$M$5)),ISNUMBER(SEARCH("10*01*03",'Field information 2'!$M$5))),0.25,1),"")</f>
        <v/>
      </c>
      <c r="BN61" s="275" t="str">
        <f ca="1">IF(AX61&lt;&gt;"",
IF(COUNTIF('Soil results'!G67:G$159,"="&amp;'Soil results'!G66)+COUNTIF('Soil results'!H67:H$159,"="&amp;'Soil results'!H66)+COUNTIF('Soil results'!I67:I$159,"="&amp;'Soil results'!I66)=0,"no",
IF(MOD(COUNTIF('Soil results'!G67:G$159,"="&amp;'Soil results'!G66)+COUNTIF('Soil results'!H67:H$159,"="&amp;'Soil results'!H66)+COUNTIF('Soil results'!I67:I$159,"="&amp;'Soil results'!I66),3)=0,"yes","no")),"")</f>
        <v/>
      </c>
      <c r="BO61" s="276" t="str">
        <f t="shared" ca="1" si="44"/>
        <v/>
      </c>
      <c r="BP61" s="33"/>
      <c r="BQ61" s="276"/>
      <c r="BR61" s="276"/>
      <c r="BS61" s="276" t="str">
        <f t="shared" ca="1" si="45"/>
        <v/>
      </c>
      <c r="BT61" s="153" t="str">
        <f ca="1">IF(AX61="","",
IF(OR(Assessment!F63="limited benefit",Assessment!F63="benefit", Assessment!M63="limited benefit",Assessment!M63="benefit", Assessment!R63="limited benefit",Assessment!R63="benefit", Assessment!W63="limited benefit",Assessment!W63="benefit", Assessment!AB63="limited benefit",Assessment!AB63="benefit", AND(ISNUMBER(Assessment!AF63),Assessment!AG63="ok"), Assessment!AJ63="benefit"),"yes","no"))</f>
        <v/>
      </c>
      <c r="BW61" t="s">
        <v>372</v>
      </c>
    </row>
    <row r="62" spans="1:75" ht="15" x14ac:dyDescent="0.25">
      <c r="A62" s="272">
        <f>IF(AND('Field information 2'!L69&gt;0, 'Field information 2'!M69=0),"data missing", 'Field information 2'!M69-'Field information 2'!L69)</f>
        <v>0</v>
      </c>
      <c r="B62" s="272">
        <f>IF(AND('Field information 2'!N69&gt;0,'Field information 2'!O69=0),"data missing",'Field information 2'!O69-'Field information 2'!N69)</f>
        <v>0</v>
      </c>
      <c r="C62" s="272">
        <f>IF(AND('Field information 2'!P69&gt;0, 'Field information 2'!Q69=0),"data missing",'Field information 2'!Q69-'Field information 2'!P69)</f>
        <v>0</v>
      </c>
      <c r="D62">
        <f>'Field information 2'!L69</f>
        <v>0</v>
      </c>
      <c r="E62" s="249" t="str">
        <f>IF(OR('Field information 2'!L69&gt;0,'Field information 2'!N69&gt;0,'Field information 2'!P69&gt;0),"Y","N")</f>
        <v>N</v>
      </c>
      <c r="F62" s="277" t="str">
        <f t="shared" si="12"/>
        <v/>
      </c>
      <c r="G62" t="str">
        <f>IF(OR(ISBLANK('Field information 1'!B63),AND(OR(ISBLANK('Field information 2'!L69), 'Field information 2'!L69=0),OR(ISBLANK('Field information 2'!N69), 'Field information 2'!N69=0), OR(ISBLANK('Field information 2'!P69), 'Field information 2'!P69=0))),"",
IF(ISTEXT('Field information 1'!B63), 'Field information 1'!B63, TEXT('Field information 1'!B63,"0")))</f>
        <v/>
      </c>
      <c r="H62" t="str">
        <f>IF(OR(ISBLANK('Field information 1'!B63),ISBLANK('Field information 2'!L69),ISBLANK('Field information 2'!F69)),"",'Field information 2'!F69)</f>
        <v/>
      </c>
      <c r="I62" s="91" t="str">
        <f>IF(OR(ISBLANK('Field information 1'!E63),G62=""),"",CEILING('Field information 1'!E63/10,1))</f>
        <v/>
      </c>
      <c r="J62" s="91" t="str">
        <f t="shared" si="13"/>
        <v>no</v>
      </c>
      <c r="K62" s="135" t="str">
        <f t="shared" ca="1" si="54"/>
        <v/>
      </c>
      <c r="L62" s="135" t="str">
        <f t="shared" ca="1" si="55"/>
        <v/>
      </c>
      <c r="M62" s="135" t="str">
        <f t="shared" ca="1" si="56"/>
        <v/>
      </c>
      <c r="N62" s="135" t="str">
        <f t="shared" ca="1" si="57"/>
        <v/>
      </c>
      <c r="O62" s="135" t="str">
        <f t="shared" ca="1" si="58"/>
        <v/>
      </c>
      <c r="P62" s="135" t="str">
        <f t="shared" ca="1" si="59"/>
        <v/>
      </c>
      <c r="Q62" s="135" t="str">
        <f t="shared" ca="1" si="60"/>
        <v/>
      </c>
      <c r="R62" s="135" t="str">
        <f t="shared" ca="1" si="61"/>
        <v/>
      </c>
      <c r="S62" s="135" t="str">
        <f t="shared" ca="1" si="62"/>
        <v/>
      </c>
      <c r="T62" s="135" t="str">
        <f t="shared" ca="1" si="63"/>
        <v/>
      </c>
      <c r="U62" s="49" t="str">
        <f t="shared" ca="1" si="106"/>
        <v/>
      </c>
      <c r="V62" s="7" t="str">
        <f t="shared" ca="1" si="107"/>
        <v/>
      </c>
      <c r="W62" s="7" t="str">
        <f t="shared" ca="1" si="108"/>
        <v/>
      </c>
      <c r="X62" s="7" t="str">
        <f t="shared" ca="1" si="109"/>
        <v/>
      </c>
      <c r="Y62" s="91"/>
      <c r="Z62" s="247" t="str">
        <f t="shared" si="110"/>
        <v/>
      </c>
      <c r="AA62" s="247" t="str">
        <f t="shared" si="111"/>
        <v/>
      </c>
      <c r="AB62" s="247" t="str">
        <f t="shared" si="112"/>
        <v/>
      </c>
      <c r="AC62" s="247" t="str">
        <f t="shared" si="113"/>
        <v/>
      </c>
      <c r="AD62" s="247" t="str">
        <f t="shared" si="114"/>
        <v/>
      </c>
      <c r="AE62" s="247" t="str">
        <f t="shared" si="115"/>
        <v/>
      </c>
      <c r="AF62" s="247" t="str">
        <f t="shared" si="116"/>
        <v/>
      </c>
      <c r="AG62" s="247" t="str">
        <f t="shared" si="117"/>
        <v/>
      </c>
      <c r="AH62" s="247" t="str">
        <f t="shared" si="118"/>
        <v/>
      </c>
      <c r="AI62" s="247" t="str">
        <f t="shared" si="119"/>
        <v/>
      </c>
      <c r="AK62" s="247" t="str">
        <f t="shared" si="120"/>
        <v/>
      </c>
      <c r="AL62" s="247" t="str">
        <f t="shared" si="121"/>
        <v/>
      </c>
      <c r="AM62" s="247" t="str">
        <f t="shared" si="122"/>
        <v/>
      </c>
      <c r="AN62" s="247" t="str">
        <f t="shared" si="123"/>
        <v/>
      </c>
      <c r="AO62" s="247" t="str">
        <f t="shared" si="124"/>
        <v/>
      </c>
      <c r="AP62" s="247" t="str">
        <f t="shared" si="125"/>
        <v/>
      </c>
      <c r="AQ62" s="247" t="str">
        <f t="shared" si="126"/>
        <v/>
      </c>
      <c r="AR62" s="247" t="str">
        <f t="shared" si="127"/>
        <v/>
      </c>
      <c r="AS62" s="247" t="str">
        <f t="shared" si="128"/>
        <v/>
      </c>
      <c r="AT62" s="247" t="str">
        <f t="shared" si="129"/>
        <v/>
      </c>
      <c r="AU62" s="189"/>
      <c r="AV62" t="str">
        <f>IF(ISBLANK('Field information 1'!F63),"",'Field information 1'!F63)</f>
        <v/>
      </c>
      <c r="AW62" s="334"/>
      <c r="AX62" s="247" t="str" cm="1">
        <f t="array" aca="1" ref="AX62" ca="1">INDIRECT(TEXT(MIN(IF((Calc!$Z$5:$AI$104&lt;&gt;"")*(COUNTIF($AX$4:AX61,Calc!$Z$5:$AI$104)=0),ROW(Calc!$Z$5:$AI$104)*100+COLUMN(Calc!$Z$5:$AI$104),7^8)),"Calc!R0C00"),)&amp;""</f>
        <v/>
      </c>
      <c r="AY62" t="str" cm="1">
        <f t="array" aca="1" ref="AY62" ca="1">INDIRECT(TEXT(MIN(IF((Calc!$AK$5:$AT$104&lt;&gt;"")*(COUNTIF(AY$4:$AY61,Calc!$AK$5:$AT$104)=0),ROW(Calc!$AK$5:$AT$104)*100+COLUMN(Calc!$AK$5:$AT$104),7^8)),"Calc!R0C00"),)&amp;""</f>
        <v/>
      </c>
      <c r="AZ62" s="247" t="str">
        <f t="shared" ca="1" si="40"/>
        <v/>
      </c>
      <c r="BA62" s="324">
        <f t="shared" si="47"/>
        <v>58</v>
      </c>
      <c r="BB62">
        <f t="shared" ca="1" si="41"/>
        <v>0</v>
      </c>
      <c r="BC62" t="str">
        <f ca="1">IF($AX62="","",
VLOOKUP(LEFT($AX62,LEN($AX62)-2),'Field information 2'!$B$12:$P$111,11,FALSE))</f>
        <v/>
      </c>
      <c r="BD62" t="str">
        <f ca="1">IF($AX62="","",
VLOOKUP(LEFT($AX62,LEN($AX62)-2),'Field information 2'!$B$12:$P$111,13,FALSE))</f>
        <v/>
      </c>
      <c r="BE62" t="str">
        <f ca="1">IF($AX62="","",
VLOOKUP(LEFT($AX62,LEN($AX62)-2),'Field information 2'!$B$12:$P$111,15,FALSE))</f>
        <v/>
      </c>
      <c r="BF62">
        <f t="shared" ca="1" si="42"/>
        <v>0</v>
      </c>
      <c r="BG62" t="str">
        <f t="shared" ca="1" si="43"/>
        <v/>
      </c>
      <c r="BH62" s="7" t="str">
        <f ca="1">IF(OR(AX62="",'Soil results'!$D$7="",'Soil results'!$D$8=""),"",
IF('Soil results'!$D$7="LOI",
  IF('Soil results'!$D$8="mg/kg",'Soil results'!D67/10000,'Soil results'!D67),
IF('Soil results'!$D$7="Dumas",
  IF('Soil results'!$D$8="mg/kg",'Soil results'!D67*1.72/10000,'Soil results'!D67*1.72))))</f>
        <v/>
      </c>
      <c r="BI62" t="str">
        <f ca="1">IF($AX62="","",
VLOOKUP(LEFT($AX62,LEN($AX62)-2),'Field information 2'!$B$12:$I$111,8,FALSE))</f>
        <v/>
      </c>
      <c r="BJ62" t="str">
        <f ca="1">IF(BI62="","",
VLOOKUP(BI62,'Fertiliser recommendations'!$A$5:$B$62,2,FALSE))</f>
        <v/>
      </c>
      <c r="BK62" s="38" t="str">
        <f ca="1">IF($AX62="","",
IF(AND(BJ62="g",VLOOKUP(LEFT($AX62,LEN($AX62)-2),'Field information 2'!$B$12:$P$111,9,FALSE)&lt;&gt;"yes"),
IF(BG62="10-25% OM",6,IF(BG62="&gt;25% OM",12,IF(BG62="SCL; CL; ZCL; SC; ZC; C",6,IF(BG62="SL; SZL; ZL",5,IF(BG62="S; LS",4,"?"))))),
IF(OR(BJ62="a",AND(BJ62="g",VLOOKUP(LEFT($AX62,LEN($AX62)-2),'Field information 2'!$B$12:$P$111,9,FALSE)="yes")),
IF(BG62="10-25% OM",8,IF(BG62="&gt;25% OM",16,IF(BG62="SCL; CL; ZCL; SC; ZC; C",8,IF(BG62="SL; SZL; ZL",7,IF(BG62="S; LS",6,"?"))))),"")))</f>
        <v/>
      </c>
      <c r="BL62" t="str">
        <f ca="1">IF(AX62&lt;&gt;"",COUNTBLANK('Soil results'!D67:D67)+COUNTBLANK('Soil results'!F67:I67)+COUNTBLANK('Soil results'!K67:Q67),"")</f>
        <v/>
      </c>
      <c r="BM62" t="str">
        <f ca="1">IF(AX62&lt;&gt;"",
IF(OR(ISNUMBER(SEARCH("10*01*01",'Field information 2'!$M$5)),ISNUMBER(SEARCH("10*01*03",'Field information 2'!$M$5))),0.25,1),"")</f>
        <v/>
      </c>
      <c r="BN62" s="275" t="str">
        <f ca="1">IF(AX62&lt;&gt;"",
IF(COUNTIF('Soil results'!G68:G$159,"="&amp;'Soil results'!G67)+COUNTIF('Soil results'!H68:H$159,"="&amp;'Soil results'!H67)+COUNTIF('Soil results'!I68:I$159,"="&amp;'Soil results'!I67)=0,"no",
IF(MOD(COUNTIF('Soil results'!G68:G$159,"="&amp;'Soil results'!G67)+COUNTIF('Soil results'!H68:H$159,"="&amp;'Soil results'!H67)+COUNTIF('Soil results'!I68:I$159,"="&amp;'Soil results'!I67),3)=0,"yes","no")),"")</f>
        <v/>
      </c>
      <c r="BO62" s="276" t="str">
        <f t="shared" ca="1" si="44"/>
        <v/>
      </c>
      <c r="BP62" s="33"/>
      <c r="BQ62" s="276"/>
      <c r="BR62" s="276"/>
      <c r="BS62" s="276" t="str">
        <f t="shared" ca="1" si="45"/>
        <v/>
      </c>
      <c r="BT62" s="153" t="str">
        <f ca="1">IF(AX62="","",
IF(OR(Assessment!F64="limited benefit",Assessment!F64="benefit", Assessment!M64="limited benefit",Assessment!M64="benefit", Assessment!R64="limited benefit",Assessment!R64="benefit", Assessment!W64="limited benefit",Assessment!W64="benefit", Assessment!AB64="limited benefit",Assessment!AB64="benefit", AND(ISNUMBER(Assessment!AF64),Assessment!AG64="ok"), Assessment!AJ64="benefit"),"yes","no"))</f>
        <v/>
      </c>
      <c r="BW62" t="s">
        <v>373</v>
      </c>
    </row>
    <row r="63" spans="1:75" ht="15" x14ac:dyDescent="0.25">
      <c r="A63" s="272">
        <f>IF(AND('Field information 2'!L70&gt;0, 'Field information 2'!M70=0),"data missing", 'Field information 2'!M70-'Field information 2'!L70)</f>
        <v>0</v>
      </c>
      <c r="B63" s="272">
        <f>IF(AND('Field information 2'!N70&gt;0,'Field information 2'!O70=0),"data missing",'Field information 2'!O70-'Field information 2'!N70)</f>
        <v>0</v>
      </c>
      <c r="C63" s="272">
        <f>IF(AND('Field information 2'!P70&gt;0, 'Field information 2'!Q70=0),"data missing",'Field information 2'!Q70-'Field information 2'!P70)</f>
        <v>0</v>
      </c>
      <c r="D63">
        <f>'Field information 2'!L70</f>
        <v>0</v>
      </c>
      <c r="E63" s="249" t="str">
        <f>IF(OR('Field information 2'!L70&gt;0,'Field information 2'!N70&gt;0,'Field information 2'!P70&gt;0),"Y","N")</f>
        <v>N</v>
      </c>
      <c r="F63" s="277" t="str">
        <f t="shared" si="12"/>
        <v/>
      </c>
      <c r="G63" t="str">
        <f>IF(OR(ISBLANK('Field information 1'!B64),AND(OR(ISBLANK('Field information 2'!L70), 'Field information 2'!L70=0),OR(ISBLANK('Field information 2'!N70), 'Field information 2'!N70=0), OR(ISBLANK('Field information 2'!P70), 'Field information 2'!P70=0))),"",
IF(ISTEXT('Field information 1'!B64), 'Field information 1'!B64, TEXT('Field information 1'!B64,"0")))</f>
        <v/>
      </c>
      <c r="H63" t="str">
        <f>IF(OR(ISBLANK('Field information 1'!B64),ISBLANK('Field information 2'!L70),ISBLANK('Field information 2'!F70)),"",'Field information 2'!F70)</f>
        <v/>
      </c>
      <c r="I63" s="91" t="str">
        <f>IF(OR(ISBLANK('Field information 1'!E64),G63=""),"",CEILING('Field information 1'!E64/10,1))</f>
        <v/>
      </c>
      <c r="J63" s="91" t="str">
        <f t="shared" si="13"/>
        <v>no</v>
      </c>
      <c r="K63" s="135" t="str">
        <f t="shared" ca="1" si="54"/>
        <v/>
      </c>
      <c r="L63" s="135" t="str">
        <f t="shared" ca="1" si="55"/>
        <v/>
      </c>
      <c r="M63" s="135" t="str">
        <f t="shared" ca="1" si="56"/>
        <v/>
      </c>
      <c r="N63" s="135" t="str">
        <f t="shared" ca="1" si="57"/>
        <v/>
      </c>
      <c r="O63" s="135" t="str">
        <f t="shared" ca="1" si="58"/>
        <v/>
      </c>
      <c r="P63" s="135" t="str">
        <f t="shared" ca="1" si="59"/>
        <v/>
      </c>
      <c r="Q63" s="135" t="str">
        <f t="shared" ca="1" si="60"/>
        <v/>
      </c>
      <c r="R63" s="135" t="str">
        <f t="shared" ca="1" si="61"/>
        <v/>
      </c>
      <c r="S63" s="135" t="str">
        <f t="shared" ca="1" si="62"/>
        <v/>
      </c>
      <c r="T63" s="135" t="str">
        <f t="shared" ca="1" si="63"/>
        <v/>
      </c>
      <c r="U63" s="49" t="str">
        <f t="shared" ca="1" si="106"/>
        <v/>
      </c>
      <c r="V63" s="7" t="str">
        <f t="shared" ca="1" si="107"/>
        <v/>
      </c>
      <c r="W63" s="7" t="str">
        <f t="shared" ca="1" si="108"/>
        <v/>
      </c>
      <c r="X63" s="7" t="str">
        <f t="shared" ca="1" si="109"/>
        <v/>
      </c>
      <c r="Y63" s="91"/>
      <c r="Z63" s="247" t="str">
        <f t="shared" si="110"/>
        <v/>
      </c>
      <c r="AA63" s="247" t="str">
        <f t="shared" si="111"/>
        <v/>
      </c>
      <c r="AB63" s="247" t="str">
        <f t="shared" si="112"/>
        <v/>
      </c>
      <c r="AC63" s="247" t="str">
        <f t="shared" si="113"/>
        <v/>
      </c>
      <c r="AD63" s="247" t="str">
        <f t="shared" si="114"/>
        <v/>
      </c>
      <c r="AE63" s="247" t="str">
        <f t="shared" si="115"/>
        <v/>
      </c>
      <c r="AF63" s="247" t="str">
        <f t="shared" si="116"/>
        <v/>
      </c>
      <c r="AG63" s="247" t="str">
        <f t="shared" si="117"/>
        <v/>
      </c>
      <c r="AH63" s="247" t="str">
        <f t="shared" si="118"/>
        <v/>
      </c>
      <c r="AI63" s="247" t="str">
        <f t="shared" si="119"/>
        <v/>
      </c>
      <c r="AK63" s="247" t="str">
        <f t="shared" si="120"/>
        <v/>
      </c>
      <c r="AL63" s="247" t="str">
        <f t="shared" si="121"/>
        <v/>
      </c>
      <c r="AM63" s="247" t="str">
        <f t="shared" si="122"/>
        <v/>
      </c>
      <c r="AN63" s="247" t="str">
        <f t="shared" si="123"/>
        <v/>
      </c>
      <c r="AO63" s="247" t="str">
        <f t="shared" si="124"/>
        <v/>
      </c>
      <c r="AP63" s="247" t="str">
        <f t="shared" si="125"/>
        <v/>
      </c>
      <c r="AQ63" s="247" t="str">
        <f t="shared" si="126"/>
        <v/>
      </c>
      <c r="AR63" s="247" t="str">
        <f t="shared" si="127"/>
        <v/>
      </c>
      <c r="AS63" s="247" t="str">
        <f t="shared" si="128"/>
        <v/>
      </c>
      <c r="AT63" s="247" t="str">
        <f t="shared" si="129"/>
        <v/>
      </c>
      <c r="AU63" s="189"/>
      <c r="AV63" t="str">
        <f>IF(ISBLANK('Field information 1'!F64),"",'Field information 1'!F64)</f>
        <v/>
      </c>
      <c r="AW63" s="334"/>
      <c r="AX63" s="247" t="str" cm="1">
        <f t="array" aca="1" ref="AX63" ca="1">INDIRECT(TEXT(MIN(IF((Calc!$Z$5:$AI$104&lt;&gt;"")*(COUNTIF($AX$4:AX62,Calc!$Z$5:$AI$104)=0),ROW(Calc!$Z$5:$AI$104)*100+COLUMN(Calc!$Z$5:$AI$104),7^8)),"Calc!R0C00"),)&amp;""</f>
        <v/>
      </c>
      <c r="AY63" t="str" cm="1">
        <f t="array" aca="1" ref="AY63" ca="1">INDIRECT(TEXT(MIN(IF((Calc!$AK$5:$AT$104&lt;&gt;"")*(COUNTIF(AY$4:$AY62,Calc!$AK$5:$AT$104)=0),ROW(Calc!$AK$5:$AT$104)*100+COLUMN(Calc!$AK$5:$AT$104),7^8)),"Calc!R0C00"),)&amp;""</f>
        <v/>
      </c>
      <c r="AZ63" s="247" t="str">
        <f t="shared" ca="1" si="40"/>
        <v/>
      </c>
      <c r="BA63" s="324">
        <f t="shared" si="47"/>
        <v>59</v>
      </c>
      <c r="BB63">
        <f t="shared" ca="1" si="41"/>
        <v>0</v>
      </c>
      <c r="BC63" t="str">
        <f ca="1">IF($AX63="","",
VLOOKUP(LEFT($AX63,LEN($AX63)-2),'Field information 2'!$B$12:$P$111,11,FALSE))</f>
        <v/>
      </c>
      <c r="BD63" t="str">
        <f ca="1">IF($AX63="","",
VLOOKUP(LEFT($AX63,LEN($AX63)-2),'Field information 2'!$B$12:$P$111,13,FALSE))</f>
        <v/>
      </c>
      <c r="BE63" t="str">
        <f ca="1">IF($AX63="","",
VLOOKUP(LEFT($AX63,LEN($AX63)-2),'Field information 2'!$B$12:$P$111,15,FALSE))</f>
        <v/>
      </c>
      <c r="BF63">
        <f t="shared" ca="1" si="42"/>
        <v>0</v>
      </c>
      <c r="BG63" t="str">
        <f t="shared" ca="1" si="43"/>
        <v/>
      </c>
      <c r="BH63" s="7" t="str">
        <f ca="1">IF(OR(AX63="",'Soil results'!$D$7="",'Soil results'!$D$8=""),"",
IF('Soil results'!$D$7="LOI",
  IF('Soil results'!$D$8="mg/kg",'Soil results'!D68/10000,'Soil results'!D68),
IF('Soil results'!$D$7="Dumas",
  IF('Soil results'!$D$8="mg/kg",'Soil results'!D68*1.72/10000,'Soil results'!D68*1.72))))</f>
        <v/>
      </c>
      <c r="BI63" t="str">
        <f ca="1">IF($AX63="","",
VLOOKUP(LEFT($AX63,LEN($AX63)-2),'Field information 2'!$B$12:$I$111,8,FALSE))</f>
        <v/>
      </c>
      <c r="BJ63" t="str">
        <f ca="1">IF(BI63="","",
VLOOKUP(BI63,'Fertiliser recommendations'!$A$5:$B$62,2,FALSE))</f>
        <v/>
      </c>
      <c r="BK63" s="38" t="str">
        <f ca="1">IF($AX63="","",
IF(AND(BJ63="g",VLOOKUP(LEFT($AX63,LEN($AX63)-2),'Field information 2'!$B$12:$P$111,9,FALSE)&lt;&gt;"yes"),
IF(BG63="10-25% OM",6,IF(BG63="&gt;25% OM",12,IF(BG63="SCL; CL; ZCL; SC; ZC; C",6,IF(BG63="SL; SZL; ZL",5,IF(BG63="S; LS",4,"?"))))),
IF(OR(BJ63="a",AND(BJ63="g",VLOOKUP(LEFT($AX63,LEN($AX63)-2),'Field information 2'!$B$12:$P$111,9,FALSE)="yes")),
IF(BG63="10-25% OM",8,IF(BG63="&gt;25% OM",16,IF(BG63="SCL; CL; ZCL; SC; ZC; C",8,IF(BG63="SL; SZL; ZL",7,IF(BG63="S; LS",6,"?"))))),"")))</f>
        <v/>
      </c>
      <c r="BL63" t="str">
        <f ca="1">IF(AX63&lt;&gt;"",COUNTBLANK('Soil results'!D68:D68)+COUNTBLANK('Soil results'!F68:I68)+COUNTBLANK('Soil results'!K68:Q68),"")</f>
        <v/>
      </c>
      <c r="BM63" t="str">
        <f ca="1">IF(AX63&lt;&gt;"",
IF(OR(ISNUMBER(SEARCH("10*01*01",'Field information 2'!$M$5)),ISNUMBER(SEARCH("10*01*03",'Field information 2'!$M$5))),0.25,1),"")</f>
        <v/>
      </c>
      <c r="BN63" s="275" t="str">
        <f ca="1">IF(AX63&lt;&gt;"",
IF(COUNTIF('Soil results'!G69:G$159,"="&amp;'Soil results'!G68)+COUNTIF('Soil results'!H69:H$159,"="&amp;'Soil results'!H68)+COUNTIF('Soil results'!I69:I$159,"="&amp;'Soil results'!I68)=0,"no",
IF(MOD(COUNTIF('Soil results'!G69:G$159,"="&amp;'Soil results'!G68)+COUNTIF('Soil results'!H69:H$159,"="&amp;'Soil results'!H68)+COUNTIF('Soil results'!I69:I$159,"="&amp;'Soil results'!I68),3)=0,"yes","no")),"")</f>
        <v/>
      </c>
      <c r="BO63" s="276" t="str">
        <f t="shared" ca="1" si="44"/>
        <v/>
      </c>
      <c r="BP63" s="33"/>
      <c r="BQ63" s="276"/>
      <c r="BR63" s="276"/>
      <c r="BS63" s="276" t="str">
        <f t="shared" ca="1" si="45"/>
        <v/>
      </c>
      <c r="BT63" s="153" t="str">
        <f ca="1">IF(AX63="","",
IF(OR(Assessment!F65="limited benefit",Assessment!F65="benefit", Assessment!M65="limited benefit",Assessment!M65="benefit", Assessment!R65="limited benefit",Assessment!R65="benefit", Assessment!W65="limited benefit",Assessment!W65="benefit", Assessment!AB65="limited benefit",Assessment!AB65="benefit", AND(ISNUMBER(Assessment!AF65),Assessment!AG65="ok"), Assessment!AJ65="benefit"),"yes","no"))</f>
        <v/>
      </c>
      <c r="BW63" t="s">
        <v>374</v>
      </c>
    </row>
    <row r="64" spans="1:75" ht="15" x14ac:dyDescent="0.25">
      <c r="A64" s="272">
        <f>IF(AND('Field information 2'!L71&gt;0, 'Field information 2'!M71=0),"data missing", 'Field information 2'!M71-'Field information 2'!L71)</f>
        <v>0</v>
      </c>
      <c r="B64" s="272">
        <f>IF(AND('Field information 2'!N71&gt;0,'Field information 2'!O71=0),"data missing",'Field information 2'!O71-'Field information 2'!N71)</f>
        <v>0</v>
      </c>
      <c r="C64" s="272">
        <f>IF(AND('Field information 2'!P71&gt;0, 'Field information 2'!Q71=0),"data missing",'Field information 2'!Q71-'Field information 2'!P71)</f>
        <v>0</v>
      </c>
      <c r="D64">
        <f>'Field information 2'!L71</f>
        <v>0</v>
      </c>
      <c r="E64" s="249" t="str">
        <f>IF(OR('Field information 2'!L71&gt;0,'Field information 2'!N71&gt;0,'Field information 2'!P71&gt;0),"Y","N")</f>
        <v>N</v>
      </c>
      <c r="F64" s="277" t="str">
        <f t="shared" si="12"/>
        <v/>
      </c>
      <c r="G64" t="str">
        <f>IF(OR(ISBLANK('Field information 1'!B65),AND(OR(ISBLANK('Field information 2'!L71), 'Field information 2'!L71=0),OR(ISBLANK('Field information 2'!N71), 'Field information 2'!N71=0), OR(ISBLANK('Field information 2'!P71), 'Field information 2'!P71=0))),"",
IF(ISTEXT('Field information 1'!B65), 'Field information 1'!B65, TEXT('Field information 1'!B65,"0")))</f>
        <v/>
      </c>
      <c r="H64" t="str">
        <f>IF(OR(ISBLANK('Field information 1'!B65),ISBLANK('Field information 2'!L71),ISBLANK('Field information 2'!F71)),"",'Field information 2'!F71)</f>
        <v/>
      </c>
      <c r="I64" s="91" t="str">
        <f>IF(OR(ISBLANK('Field information 1'!E65),G64=""),"",CEILING('Field information 1'!E65/10,1))</f>
        <v/>
      </c>
      <c r="J64" s="91" t="str">
        <f t="shared" si="13"/>
        <v>no</v>
      </c>
      <c r="K64" s="135" t="str">
        <f t="shared" ca="1" si="54"/>
        <v/>
      </c>
      <c r="L64" s="135" t="str">
        <f t="shared" ca="1" si="55"/>
        <v/>
      </c>
      <c r="M64" s="135" t="str">
        <f t="shared" ca="1" si="56"/>
        <v/>
      </c>
      <c r="N64" s="135" t="str">
        <f t="shared" ca="1" si="57"/>
        <v/>
      </c>
      <c r="O64" s="135" t="str">
        <f t="shared" ca="1" si="58"/>
        <v/>
      </c>
      <c r="P64" s="135" t="str">
        <f t="shared" ca="1" si="59"/>
        <v/>
      </c>
      <c r="Q64" s="135" t="str">
        <f t="shared" ca="1" si="60"/>
        <v/>
      </c>
      <c r="R64" s="135" t="str">
        <f t="shared" ca="1" si="61"/>
        <v/>
      </c>
      <c r="S64" s="135" t="str">
        <f t="shared" ca="1" si="62"/>
        <v/>
      </c>
      <c r="T64" s="135" t="str">
        <f t="shared" ca="1" si="63"/>
        <v/>
      </c>
      <c r="U64" s="49" t="str">
        <f t="shared" ca="1" si="106"/>
        <v/>
      </c>
      <c r="V64" s="7" t="str">
        <f t="shared" ca="1" si="107"/>
        <v/>
      </c>
      <c r="W64" s="7" t="str">
        <f t="shared" ca="1" si="108"/>
        <v/>
      </c>
      <c r="X64" s="7" t="str">
        <f t="shared" ca="1" si="109"/>
        <v/>
      </c>
      <c r="Y64" s="91"/>
      <c r="Z64" s="247" t="str">
        <f t="shared" si="110"/>
        <v/>
      </c>
      <c r="AA64" s="247" t="str">
        <f t="shared" si="111"/>
        <v/>
      </c>
      <c r="AB64" s="247" t="str">
        <f t="shared" si="112"/>
        <v/>
      </c>
      <c r="AC64" s="247" t="str">
        <f t="shared" si="113"/>
        <v/>
      </c>
      <c r="AD64" s="247" t="str">
        <f t="shared" si="114"/>
        <v/>
      </c>
      <c r="AE64" s="247" t="str">
        <f t="shared" si="115"/>
        <v/>
      </c>
      <c r="AF64" s="247" t="str">
        <f t="shared" si="116"/>
        <v/>
      </c>
      <c r="AG64" s="247" t="str">
        <f t="shared" si="117"/>
        <v/>
      </c>
      <c r="AH64" s="247" t="str">
        <f t="shared" si="118"/>
        <v/>
      </c>
      <c r="AI64" s="247" t="str">
        <f t="shared" si="119"/>
        <v/>
      </c>
      <c r="AK64" s="247" t="str">
        <f t="shared" si="120"/>
        <v/>
      </c>
      <c r="AL64" s="247" t="str">
        <f t="shared" si="121"/>
        <v/>
      </c>
      <c r="AM64" s="247" t="str">
        <f t="shared" si="122"/>
        <v/>
      </c>
      <c r="AN64" s="247" t="str">
        <f t="shared" si="123"/>
        <v/>
      </c>
      <c r="AO64" s="247" t="str">
        <f t="shared" si="124"/>
        <v/>
      </c>
      <c r="AP64" s="247" t="str">
        <f t="shared" si="125"/>
        <v/>
      </c>
      <c r="AQ64" s="247" t="str">
        <f t="shared" si="126"/>
        <v/>
      </c>
      <c r="AR64" s="247" t="str">
        <f t="shared" si="127"/>
        <v/>
      </c>
      <c r="AS64" s="247" t="str">
        <f t="shared" si="128"/>
        <v/>
      </c>
      <c r="AT64" s="247" t="str">
        <f t="shared" si="129"/>
        <v/>
      </c>
      <c r="AU64" s="189"/>
      <c r="AV64" t="str">
        <f>IF(ISBLANK('Field information 1'!F65),"",'Field information 1'!F65)</f>
        <v/>
      </c>
      <c r="AW64" s="334"/>
      <c r="AX64" s="247" t="str" cm="1">
        <f t="array" aca="1" ref="AX64" ca="1">INDIRECT(TEXT(MIN(IF((Calc!$Z$5:$AI$104&lt;&gt;"")*(COUNTIF($AX$4:AX63,Calc!$Z$5:$AI$104)=0),ROW(Calc!$Z$5:$AI$104)*100+COLUMN(Calc!$Z$5:$AI$104),7^8)),"Calc!R0C00"),)&amp;""</f>
        <v/>
      </c>
      <c r="AY64" t="str" cm="1">
        <f t="array" aca="1" ref="AY64" ca="1">INDIRECT(TEXT(MIN(IF((Calc!$AK$5:$AT$104&lt;&gt;"")*(COUNTIF(AY$4:$AY63,Calc!$AK$5:$AT$104)=0),ROW(Calc!$AK$5:$AT$104)*100+COLUMN(Calc!$AK$5:$AT$104),7^8)),"Calc!R0C00"),)&amp;""</f>
        <v/>
      </c>
      <c r="AZ64" s="247" t="str">
        <f t="shared" ca="1" si="40"/>
        <v/>
      </c>
      <c r="BA64" s="324">
        <f t="shared" si="47"/>
        <v>60</v>
      </c>
      <c r="BB64">
        <f t="shared" ca="1" si="41"/>
        <v>0</v>
      </c>
      <c r="BC64" t="str">
        <f ca="1">IF($AX64="","",
VLOOKUP(LEFT($AX64,LEN($AX64)-2),'Field information 2'!$B$12:$P$111,11,FALSE))</f>
        <v/>
      </c>
      <c r="BD64" t="str">
        <f ca="1">IF($AX64="","",
VLOOKUP(LEFT($AX64,LEN($AX64)-2),'Field information 2'!$B$12:$P$111,13,FALSE))</f>
        <v/>
      </c>
      <c r="BE64" t="str">
        <f ca="1">IF($AX64="","",
VLOOKUP(LEFT($AX64,LEN($AX64)-2),'Field information 2'!$B$12:$P$111,15,FALSE))</f>
        <v/>
      </c>
      <c r="BF64">
        <f t="shared" ca="1" si="42"/>
        <v>0</v>
      </c>
      <c r="BG64" t="str">
        <f t="shared" ca="1" si="43"/>
        <v/>
      </c>
      <c r="BH64" s="7" t="str">
        <f ca="1">IF(OR(AX64="",'Soil results'!$D$7="",'Soil results'!$D$8=""),"",
IF('Soil results'!$D$7="LOI",
  IF('Soil results'!$D$8="mg/kg",'Soil results'!D69/10000,'Soil results'!D69),
IF('Soil results'!$D$7="Dumas",
  IF('Soil results'!$D$8="mg/kg",'Soil results'!D69*1.72/10000,'Soil results'!D69*1.72))))</f>
        <v/>
      </c>
      <c r="BI64" t="str">
        <f ca="1">IF($AX64="","",
VLOOKUP(LEFT($AX64,LEN($AX64)-2),'Field information 2'!$B$12:$I$111,8,FALSE))</f>
        <v/>
      </c>
      <c r="BJ64" t="str">
        <f ca="1">IF(BI64="","",
VLOOKUP(BI64,'Fertiliser recommendations'!$A$5:$B$62,2,FALSE))</f>
        <v/>
      </c>
      <c r="BK64" s="38" t="str">
        <f ca="1">IF($AX64="","",
IF(AND(BJ64="g",VLOOKUP(LEFT($AX64,LEN($AX64)-2),'Field information 2'!$B$12:$P$111,9,FALSE)&lt;&gt;"yes"),
IF(BG64="10-25% OM",6,IF(BG64="&gt;25% OM",12,IF(BG64="SCL; CL; ZCL; SC; ZC; C",6,IF(BG64="SL; SZL; ZL",5,IF(BG64="S; LS",4,"?"))))),
IF(OR(BJ64="a",AND(BJ64="g",VLOOKUP(LEFT($AX64,LEN($AX64)-2),'Field information 2'!$B$12:$P$111,9,FALSE)="yes")),
IF(BG64="10-25% OM",8,IF(BG64="&gt;25% OM",16,IF(BG64="SCL; CL; ZCL; SC; ZC; C",8,IF(BG64="SL; SZL; ZL",7,IF(BG64="S; LS",6,"?"))))),"")))</f>
        <v/>
      </c>
      <c r="BL64" t="str">
        <f ca="1">IF(AX64&lt;&gt;"",COUNTBLANK('Soil results'!D69:D69)+COUNTBLANK('Soil results'!F69:I69)+COUNTBLANK('Soil results'!K69:Q69),"")</f>
        <v/>
      </c>
      <c r="BM64" t="str">
        <f ca="1">IF(AX64&lt;&gt;"",
IF(OR(ISNUMBER(SEARCH("10*01*01",'Field information 2'!$M$5)),ISNUMBER(SEARCH("10*01*03",'Field information 2'!$M$5))),0.25,1),"")</f>
        <v/>
      </c>
      <c r="BN64" s="275" t="str">
        <f ca="1">IF(AX64&lt;&gt;"",
IF(COUNTIF('Soil results'!G70:G$159,"="&amp;'Soil results'!G69)+COUNTIF('Soil results'!H70:H$159,"="&amp;'Soil results'!H69)+COUNTIF('Soil results'!I70:I$159,"="&amp;'Soil results'!I69)=0,"no",
IF(MOD(COUNTIF('Soil results'!G70:G$159,"="&amp;'Soil results'!G69)+COUNTIF('Soil results'!H70:H$159,"="&amp;'Soil results'!H69)+COUNTIF('Soil results'!I70:I$159,"="&amp;'Soil results'!I69),3)=0,"yes","no")),"")</f>
        <v/>
      </c>
      <c r="BO64" s="276" t="str">
        <f t="shared" ca="1" si="44"/>
        <v/>
      </c>
      <c r="BP64" s="33"/>
      <c r="BQ64" s="276"/>
      <c r="BR64" s="276"/>
      <c r="BS64" s="276" t="str">
        <f t="shared" ca="1" si="45"/>
        <v/>
      </c>
      <c r="BT64" s="153" t="str">
        <f ca="1">IF(AX64="","",
IF(OR(Assessment!F66="limited benefit",Assessment!F66="benefit", Assessment!M66="limited benefit",Assessment!M66="benefit", Assessment!R66="limited benefit",Assessment!R66="benefit", Assessment!W66="limited benefit",Assessment!W66="benefit", Assessment!AB66="limited benefit",Assessment!AB66="benefit", AND(ISNUMBER(Assessment!AF66),Assessment!AG66="ok"), Assessment!AJ66="benefit"),"yes","no"))</f>
        <v/>
      </c>
    </row>
    <row r="65" spans="1:75" ht="15" x14ac:dyDescent="0.25">
      <c r="A65" s="272">
        <f>IF(AND('Field information 2'!L72&gt;0, 'Field information 2'!M72=0),"data missing", 'Field information 2'!M72-'Field information 2'!L72)</f>
        <v>0</v>
      </c>
      <c r="B65" s="272">
        <f>IF(AND('Field information 2'!N72&gt;0,'Field information 2'!O72=0),"data missing",'Field information 2'!O72-'Field information 2'!N72)</f>
        <v>0</v>
      </c>
      <c r="C65" s="272">
        <f>IF(AND('Field information 2'!P72&gt;0, 'Field information 2'!Q72=0),"data missing",'Field information 2'!Q72-'Field information 2'!P72)</f>
        <v>0</v>
      </c>
      <c r="D65">
        <f>'Field information 2'!L72</f>
        <v>0</v>
      </c>
      <c r="E65" s="249" t="str">
        <f>IF(OR('Field information 2'!L72&gt;0,'Field information 2'!N72&gt;0,'Field information 2'!P72&gt;0),"Y","N")</f>
        <v>N</v>
      </c>
      <c r="F65" s="277" t="str">
        <f t="shared" si="12"/>
        <v/>
      </c>
      <c r="G65" t="str">
        <f>IF(OR(ISBLANK('Field information 1'!B66),AND(OR(ISBLANK('Field information 2'!L72), 'Field information 2'!L72=0),OR(ISBLANK('Field information 2'!N72), 'Field information 2'!N72=0), OR(ISBLANK('Field information 2'!P72), 'Field information 2'!P72=0))),"",
IF(ISTEXT('Field information 1'!B66), 'Field information 1'!B66, TEXT('Field information 1'!B66,"0")))</f>
        <v/>
      </c>
      <c r="H65" t="str">
        <f>IF(OR(ISBLANK('Field information 1'!B66),ISBLANK('Field information 2'!L72),ISBLANK('Field information 2'!F72)),"",'Field information 2'!F72)</f>
        <v/>
      </c>
      <c r="I65" s="91" t="str">
        <f>IF(OR(ISBLANK('Field information 1'!E66),G65=""),"",CEILING('Field information 1'!E66/10,1))</f>
        <v/>
      </c>
      <c r="J65" s="91" t="str">
        <f t="shared" si="13"/>
        <v>no</v>
      </c>
      <c r="K65" s="135" t="str">
        <f t="shared" ca="1" si="54"/>
        <v/>
      </c>
      <c r="L65" s="135" t="str">
        <f t="shared" ca="1" si="55"/>
        <v/>
      </c>
      <c r="M65" s="135" t="str">
        <f t="shared" ca="1" si="56"/>
        <v/>
      </c>
      <c r="N65" s="135" t="str">
        <f t="shared" ca="1" si="57"/>
        <v/>
      </c>
      <c r="O65" s="135" t="str">
        <f t="shared" ca="1" si="58"/>
        <v/>
      </c>
      <c r="P65" s="135" t="str">
        <f t="shared" ca="1" si="59"/>
        <v/>
      </c>
      <c r="Q65" s="135" t="str">
        <f t="shared" ca="1" si="60"/>
        <v/>
      </c>
      <c r="R65" s="135" t="str">
        <f t="shared" ca="1" si="61"/>
        <v/>
      </c>
      <c r="S65" s="135" t="str">
        <f t="shared" ca="1" si="62"/>
        <v/>
      </c>
      <c r="T65" s="135" t="str">
        <f t="shared" ca="1" si="63"/>
        <v/>
      </c>
      <c r="U65" s="49" t="str">
        <f t="shared" ca="1" si="106"/>
        <v/>
      </c>
      <c r="V65" s="7" t="str">
        <f t="shared" ca="1" si="107"/>
        <v/>
      </c>
      <c r="W65" s="7" t="str">
        <f t="shared" ca="1" si="108"/>
        <v/>
      </c>
      <c r="X65" s="7" t="str">
        <f t="shared" ca="1" si="109"/>
        <v/>
      </c>
      <c r="Y65" s="91"/>
      <c r="Z65" s="247" t="str">
        <f t="shared" si="110"/>
        <v/>
      </c>
      <c r="AA65" s="247" t="str">
        <f t="shared" si="111"/>
        <v/>
      </c>
      <c r="AB65" s="247" t="str">
        <f t="shared" si="112"/>
        <v/>
      </c>
      <c r="AC65" s="247" t="str">
        <f t="shared" si="113"/>
        <v/>
      </c>
      <c r="AD65" s="247" t="str">
        <f t="shared" si="114"/>
        <v/>
      </c>
      <c r="AE65" s="247" t="str">
        <f t="shared" si="115"/>
        <v/>
      </c>
      <c r="AF65" s="247" t="str">
        <f t="shared" si="116"/>
        <v/>
      </c>
      <c r="AG65" s="247" t="str">
        <f t="shared" si="117"/>
        <v/>
      </c>
      <c r="AH65" s="247" t="str">
        <f t="shared" si="118"/>
        <v/>
      </c>
      <c r="AI65" s="247" t="str">
        <f t="shared" si="119"/>
        <v/>
      </c>
      <c r="AK65" s="247" t="str">
        <f t="shared" si="120"/>
        <v/>
      </c>
      <c r="AL65" s="247" t="str">
        <f t="shared" si="121"/>
        <v/>
      </c>
      <c r="AM65" s="247" t="str">
        <f t="shared" si="122"/>
        <v/>
      </c>
      <c r="AN65" s="247" t="str">
        <f t="shared" si="123"/>
        <v/>
      </c>
      <c r="AO65" s="247" t="str">
        <f t="shared" si="124"/>
        <v/>
      </c>
      <c r="AP65" s="247" t="str">
        <f t="shared" si="125"/>
        <v/>
      </c>
      <c r="AQ65" s="247" t="str">
        <f t="shared" si="126"/>
        <v/>
      </c>
      <c r="AR65" s="247" t="str">
        <f t="shared" si="127"/>
        <v/>
      </c>
      <c r="AS65" s="247" t="str">
        <f t="shared" si="128"/>
        <v/>
      </c>
      <c r="AT65" s="247" t="str">
        <f t="shared" si="129"/>
        <v/>
      </c>
      <c r="AU65" s="189"/>
      <c r="AV65" t="str">
        <f>IF(ISBLANK('Field information 1'!F66),"",'Field information 1'!F66)</f>
        <v/>
      </c>
      <c r="AW65" s="334"/>
      <c r="AX65" s="247" t="str" cm="1">
        <f t="array" aca="1" ref="AX65" ca="1">INDIRECT(TEXT(MIN(IF((Calc!$Z$5:$AI$104&lt;&gt;"")*(COUNTIF($AX$4:AX64,Calc!$Z$5:$AI$104)=0),ROW(Calc!$Z$5:$AI$104)*100+COLUMN(Calc!$Z$5:$AI$104),7^8)),"Calc!R0C00"),)&amp;""</f>
        <v/>
      </c>
      <c r="AY65" t="str" cm="1">
        <f t="array" aca="1" ref="AY65" ca="1">INDIRECT(TEXT(MIN(IF((Calc!$AK$5:$AT$104&lt;&gt;"")*(COUNTIF(AY$4:$AY64,Calc!$AK$5:$AT$104)=0),ROW(Calc!$AK$5:$AT$104)*100+COLUMN(Calc!$AK$5:$AT$104),7^8)),"Calc!R0C00"),)&amp;""</f>
        <v/>
      </c>
      <c r="AZ65" s="247" t="str">
        <f t="shared" ca="1" si="40"/>
        <v/>
      </c>
      <c r="BA65" s="324">
        <f t="shared" si="47"/>
        <v>61</v>
      </c>
      <c r="BB65">
        <f t="shared" ca="1" si="41"/>
        <v>0</v>
      </c>
      <c r="BC65" t="str">
        <f ca="1">IF($AX65="","",
VLOOKUP(LEFT($AX65,LEN($AX65)-2),'Field information 2'!$B$12:$P$111,11,FALSE))</f>
        <v/>
      </c>
      <c r="BD65" t="str">
        <f ca="1">IF($AX65="","",
VLOOKUP(LEFT($AX65,LEN($AX65)-2),'Field information 2'!$B$12:$P$111,13,FALSE))</f>
        <v/>
      </c>
      <c r="BE65" t="str">
        <f ca="1">IF($AX65="","",
VLOOKUP(LEFT($AX65,LEN($AX65)-2),'Field information 2'!$B$12:$P$111,15,FALSE))</f>
        <v/>
      </c>
      <c r="BF65">
        <f t="shared" ca="1" si="42"/>
        <v>0</v>
      </c>
      <c r="BG65" t="str">
        <f t="shared" ca="1" si="43"/>
        <v/>
      </c>
      <c r="BH65" s="7" t="str">
        <f ca="1">IF(OR(AX65="",'Soil results'!$D$7="",'Soil results'!$D$8=""),"",
IF('Soil results'!$D$7="LOI",
  IF('Soil results'!$D$8="mg/kg",'Soil results'!D70/10000,'Soil results'!D70),
IF('Soil results'!$D$7="Dumas",
  IF('Soil results'!$D$8="mg/kg",'Soil results'!D70*1.72/10000,'Soil results'!D70*1.72))))</f>
        <v/>
      </c>
      <c r="BI65" t="str">
        <f ca="1">IF($AX65="","",
VLOOKUP(LEFT($AX65,LEN($AX65)-2),'Field information 2'!$B$12:$I$111,8,FALSE))</f>
        <v/>
      </c>
      <c r="BJ65" t="str">
        <f ca="1">IF(BI65="","",
VLOOKUP(BI65,'Fertiliser recommendations'!$A$5:$B$62,2,FALSE))</f>
        <v/>
      </c>
      <c r="BK65" s="38" t="str">
        <f ca="1">IF($AX65="","",
IF(AND(BJ65="g",VLOOKUP(LEFT($AX65,LEN($AX65)-2),'Field information 2'!$B$12:$P$111,9,FALSE)&lt;&gt;"yes"),
IF(BG65="10-25% OM",6,IF(BG65="&gt;25% OM",12,IF(BG65="SCL; CL; ZCL; SC; ZC; C",6,IF(BG65="SL; SZL; ZL",5,IF(BG65="S; LS",4,"?"))))),
IF(OR(BJ65="a",AND(BJ65="g",VLOOKUP(LEFT($AX65,LEN($AX65)-2),'Field information 2'!$B$12:$P$111,9,FALSE)="yes")),
IF(BG65="10-25% OM",8,IF(BG65="&gt;25% OM",16,IF(BG65="SCL; CL; ZCL; SC; ZC; C",8,IF(BG65="SL; SZL; ZL",7,IF(BG65="S; LS",6,"?"))))),"")))</f>
        <v/>
      </c>
      <c r="BL65" t="str">
        <f ca="1">IF(AX65&lt;&gt;"",COUNTBLANK('Soil results'!D70:D70)+COUNTBLANK('Soil results'!F70:I70)+COUNTBLANK('Soil results'!K70:Q70),"")</f>
        <v/>
      </c>
      <c r="BM65" t="str">
        <f ca="1">IF(AX65&lt;&gt;"",
IF(OR(ISNUMBER(SEARCH("10*01*01",'Field information 2'!$M$5)),ISNUMBER(SEARCH("10*01*03",'Field information 2'!$M$5))),0.25,1),"")</f>
        <v/>
      </c>
      <c r="BN65" s="275" t="str">
        <f ca="1">IF(AX65&lt;&gt;"",
IF(COUNTIF('Soil results'!G71:G$159,"="&amp;'Soil results'!G70)+COUNTIF('Soil results'!H71:H$159,"="&amp;'Soil results'!H70)+COUNTIF('Soil results'!I71:I$159,"="&amp;'Soil results'!I70)=0,"no",
IF(MOD(COUNTIF('Soil results'!G71:G$159,"="&amp;'Soil results'!G70)+COUNTIF('Soil results'!H71:H$159,"="&amp;'Soil results'!H70)+COUNTIF('Soil results'!I71:I$159,"="&amp;'Soil results'!I70),3)=0,"yes","no")),"")</f>
        <v/>
      </c>
      <c r="BO65" s="276" t="str">
        <f t="shared" ca="1" si="44"/>
        <v/>
      </c>
      <c r="BP65" s="33"/>
      <c r="BQ65" s="276"/>
      <c r="BR65" s="276"/>
      <c r="BS65" s="276" t="str">
        <f t="shared" ca="1" si="45"/>
        <v/>
      </c>
      <c r="BT65" s="153" t="str">
        <f ca="1">IF(AX65="","",
IF(OR(Assessment!F67="limited benefit",Assessment!F67="benefit", Assessment!M67="limited benefit",Assessment!M67="benefit", Assessment!R67="limited benefit",Assessment!R67="benefit", Assessment!W67="limited benefit",Assessment!W67="benefit", Assessment!AB67="limited benefit",Assessment!AB67="benefit", AND(ISNUMBER(Assessment!AF67),Assessment!AG67="ok"), Assessment!AJ67="benefit"),"yes","no"))</f>
        <v/>
      </c>
      <c r="BW65" t="s">
        <v>375</v>
      </c>
    </row>
    <row r="66" spans="1:75" ht="15" x14ac:dyDescent="0.25">
      <c r="A66" s="272">
        <f>IF(AND('Field information 2'!L73&gt;0, 'Field information 2'!M73=0),"data missing", 'Field information 2'!M73-'Field information 2'!L73)</f>
        <v>0</v>
      </c>
      <c r="B66" s="272">
        <f>IF(AND('Field information 2'!N73&gt;0,'Field information 2'!O73=0),"data missing",'Field information 2'!O73-'Field information 2'!N73)</f>
        <v>0</v>
      </c>
      <c r="C66" s="272">
        <f>IF(AND('Field information 2'!P73&gt;0, 'Field information 2'!Q73=0),"data missing",'Field information 2'!Q73-'Field information 2'!P73)</f>
        <v>0</v>
      </c>
      <c r="D66">
        <f>'Field information 2'!L73</f>
        <v>0</v>
      </c>
      <c r="E66" s="249" t="str">
        <f>IF(OR('Field information 2'!L73&gt;0,'Field information 2'!N73&gt;0,'Field information 2'!P73&gt;0),"Y","N")</f>
        <v>N</v>
      </c>
      <c r="F66" s="277" t="str">
        <f t="shared" si="12"/>
        <v/>
      </c>
      <c r="G66" t="str">
        <f>IF(OR(ISBLANK('Field information 1'!B67),AND(OR(ISBLANK('Field information 2'!L73), 'Field information 2'!L73=0),OR(ISBLANK('Field information 2'!N73), 'Field information 2'!N73=0), OR(ISBLANK('Field information 2'!P73), 'Field information 2'!P73=0))),"",
IF(ISTEXT('Field information 1'!B67), 'Field information 1'!B67, TEXT('Field information 1'!B67,"0")))</f>
        <v/>
      </c>
      <c r="H66" t="str">
        <f>IF(OR(ISBLANK('Field information 1'!B67),ISBLANK('Field information 2'!L73),ISBLANK('Field information 2'!F73)),"",'Field information 2'!F73)</f>
        <v/>
      </c>
      <c r="I66" s="91" t="str">
        <f>IF(OR(ISBLANK('Field information 1'!E67),G66=""),"",CEILING('Field information 1'!E67/10,1))</f>
        <v/>
      </c>
      <c r="J66" s="91" t="str">
        <f t="shared" si="13"/>
        <v>no</v>
      </c>
      <c r="K66" s="135" t="str">
        <f t="shared" ca="1" si="54"/>
        <v/>
      </c>
      <c r="L66" s="135" t="str">
        <f t="shared" ca="1" si="55"/>
        <v/>
      </c>
      <c r="M66" s="135" t="str">
        <f t="shared" ca="1" si="56"/>
        <v/>
      </c>
      <c r="N66" s="135" t="str">
        <f t="shared" ca="1" si="57"/>
        <v/>
      </c>
      <c r="O66" s="135" t="str">
        <f t="shared" ca="1" si="58"/>
        <v/>
      </c>
      <c r="P66" s="135" t="str">
        <f t="shared" ca="1" si="59"/>
        <v/>
      </c>
      <c r="Q66" s="135" t="str">
        <f t="shared" ca="1" si="60"/>
        <v/>
      </c>
      <c r="R66" s="135" t="str">
        <f t="shared" ca="1" si="61"/>
        <v/>
      </c>
      <c r="S66" s="135" t="str">
        <f t="shared" ca="1" si="62"/>
        <v/>
      </c>
      <c r="T66" s="135" t="str">
        <f t="shared" ca="1" si="63"/>
        <v/>
      </c>
      <c r="U66" s="49" t="str">
        <f t="shared" ca="1" si="106"/>
        <v/>
      </c>
      <c r="V66" s="7" t="str">
        <f t="shared" ca="1" si="107"/>
        <v/>
      </c>
      <c r="W66" s="7" t="str">
        <f t="shared" ca="1" si="108"/>
        <v/>
      </c>
      <c r="X66" s="7" t="str">
        <f t="shared" ca="1" si="109"/>
        <v/>
      </c>
      <c r="Y66" s="91"/>
      <c r="Z66" s="247" t="str">
        <f t="shared" si="110"/>
        <v/>
      </c>
      <c r="AA66" s="247" t="str">
        <f t="shared" si="111"/>
        <v/>
      </c>
      <c r="AB66" s="247" t="str">
        <f t="shared" si="112"/>
        <v/>
      </c>
      <c r="AC66" s="247" t="str">
        <f t="shared" si="113"/>
        <v/>
      </c>
      <c r="AD66" s="247" t="str">
        <f t="shared" si="114"/>
        <v/>
      </c>
      <c r="AE66" s="247" t="str">
        <f t="shared" si="115"/>
        <v/>
      </c>
      <c r="AF66" s="247" t="str">
        <f t="shared" si="116"/>
        <v/>
      </c>
      <c r="AG66" s="247" t="str">
        <f t="shared" si="117"/>
        <v/>
      </c>
      <c r="AH66" s="247" t="str">
        <f t="shared" si="118"/>
        <v/>
      </c>
      <c r="AI66" s="247" t="str">
        <f t="shared" si="119"/>
        <v/>
      </c>
      <c r="AK66" s="247" t="str">
        <f t="shared" si="120"/>
        <v/>
      </c>
      <c r="AL66" s="247" t="str">
        <f t="shared" si="121"/>
        <v/>
      </c>
      <c r="AM66" s="247" t="str">
        <f t="shared" si="122"/>
        <v/>
      </c>
      <c r="AN66" s="247" t="str">
        <f t="shared" si="123"/>
        <v/>
      </c>
      <c r="AO66" s="247" t="str">
        <f t="shared" si="124"/>
        <v/>
      </c>
      <c r="AP66" s="247" t="str">
        <f t="shared" si="125"/>
        <v/>
      </c>
      <c r="AQ66" s="247" t="str">
        <f t="shared" si="126"/>
        <v/>
      </c>
      <c r="AR66" s="247" t="str">
        <f t="shared" si="127"/>
        <v/>
      </c>
      <c r="AS66" s="247" t="str">
        <f t="shared" si="128"/>
        <v/>
      </c>
      <c r="AT66" s="247" t="str">
        <f t="shared" si="129"/>
        <v/>
      </c>
      <c r="AU66" s="189"/>
      <c r="AV66" t="str">
        <f>IF(ISBLANK('Field information 1'!F67),"",'Field information 1'!F67)</f>
        <v/>
      </c>
      <c r="AW66" s="334"/>
      <c r="AX66" s="247" t="str" cm="1">
        <f t="array" aca="1" ref="AX66" ca="1">INDIRECT(TEXT(MIN(IF((Calc!$Z$5:$AI$104&lt;&gt;"")*(COUNTIF($AX$4:AX65,Calc!$Z$5:$AI$104)=0),ROW(Calc!$Z$5:$AI$104)*100+COLUMN(Calc!$Z$5:$AI$104),7^8)),"Calc!R0C00"),)&amp;""</f>
        <v/>
      </c>
      <c r="AY66" t="str" cm="1">
        <f t="array" aca="1" ref="AY66" ca="1">INDIRECT(TEXT(MIN(IF((Calc!$AK$5:$AT$104&lt;&gt;"")*(COUNTIF(AY$4:$AY65,Calc!$AK$5:$AT$104)=0),ROW(Calc!$AK$5:$AT$104)*100+COLUMN(Calc!$AK$5:$AT$104),7^8)),"Calc!R0C00"),)&amp;""</f>
        <v/>
      </c>
      <c r="AZ66" s="247" t="str">
        <f t="shared" ca="1" si="40"/>
        <v/>
      </c>
      <c r="BA66" s="324">
        <f t="shared" si="47"/>
        <v>62</v>
      </c>
      <c r="BB66">
        <f t="shared" ca="1" si="41"/>
        <v>0</v>
      </c>
      <c r="BC66" t="str">
        <f ca="1">IF($AX66="","",
VLOOKUP(LEFT($AX66,LEN($AX66)-2),'Field information 2'!$B$12:$P$111,11,FALSE))</f>
        <v/>
      </c>
      <c r="BD66" t="str">
        <f ca="1">IF($AX66="","",
VLOOKUP(LEFT($AX66,LEN($AX66)-2),'Field information 2'!$B$12:$P$111,13,FALSE))</f>
        <v/>
      </c>
      <c r="BE66" t="str">
        <f ca="1">IF($AX66="","",
VLOOKUP(LEFT($AX66,LEN($AX66)-2),'Field information 2'!$B$12:$P$111,15,FALSE))</f>
        <v/>
      </c>
      <c r="BF66">
        <f t="shared" ca="1" si="42"/>
        <v>0</v>
      </c>
      <c r="BG66" t="str">
        <f t="shared" ca="1" si="43"/>
        <v/>
      </c>
      <c r="BH66" s="7" t="str">
        <f ca="1">IF(OR(AX66="",'Soil results'!$D$7="",'Soil results'!$D$8=""),"",
IF('Soil results'!$D$7="LOI",
  IF('Soil results'!$D$8="mg/kg",'Soil results'!D71/10000,'Soil results'!D71),
IF('Soil results'!$D$7="Dumas",
  IF('Soil results'!$D$8="mg/kg",'Soil results'!D71*1.72/10000,'Soil results'!D71*1.72))))</f>
        <v/>
      </c>
      <c r="BI66" t="str">
        <f ca="1">IF($AX66="","",
VLOOKUP(LEFT($AX66,LEN($AX66)-2),'Field information 2'!$B$12:$I$111,8,FALSE))</f>
        <v/>
      </c>
      <c r="BJ66" t="str">
        <f ca="1">IF(BI66="","",
VLOOKUP(BI66,'Fertiliser recommendations'!$A$5:$B$62,2,FALSE))</f>
        <v/>
      </c>
      <c r="BK66" s="38" t="str">
        <f ca="1">IF($AX66="","",
IF(AND(BJ66="g",VLOOKUP(LEFT($AX66,LEN($AX66)-2),'Field information 2'!$B$12:$P$111,9,FALSE)&lt;&gt;"yes"),
IF(BG66="10-25% OM",6,IF(BG66="&gt;25% OM",12,IF(BG66="SCL; CL; ZCL; SC; ZC; C",6,IF(BG66="SL; SZL; ZL",5,IF(BG66="S; LS",4,"?"))))),
IF(OR(BJ66="a",AND(BJ66="g",VLOOKUP(LEFT($AX66,LEN($AX66)-2),'Field information 2'!$B$12:$P$111,9,FALSE)="yes")),
IF(BG66="10-25% OM",8,IF(BG66="&gt;25% OM",16,IF(BG66="SCL; CL; ZCL; SC; ZC; C",8,IF(BG66="SL; SZL; ZL",7,IF(BG66="S; LS",6,"?"))))),"")))</f>
        <v/>
      </c>
      <c r="BL66" t="str">
        <f ca="1">IF(AX66&lt;&gt;"",COUNTBLANK('Soil results'!D71:D71)+COUNTBLANK('Soil results'!F71:I71)+COUNTBLANK('Soil results'!K71:Q71),"")</f>
        <v/>
      </c>
      <c r="BM66" t="str">
        <f ca="1">IF(AX66&lt;&gt;"",
IF(OR(ISNUMBER(SEARCH("10*01*01",'Field information 2'!$M$5)),ISNUMBER(SEARCH("10*01*03",'Field information 2'!$M$5))),0.25,1),"")</f>
        <v/>
      </c>
      <c r="BN66" s="275" t="str">
        <f ca="1">IF(AX66&lt;&gt;"",
IF(COUNTIF('Soil results'!G72:G$159,"="&amp;'Soil results'!G71)+COUNTIF('Soil results'!H72:H$159,"="&amp;'Soil results'!H71)+COUNTIF('Soil results'!I72:I$159,"="&amp;'Soil results'!I71)=0,"no",
IF(MOD(COUNTIF('Soil results'!G72:G$159,"="&amp;'Soil results'!G71)+COUNTIF('Soil results'!H72:H$159,"="&amp;'Soil results'!H71)+COUNTIF('Soil results'!I72:I$159,"="&amp;'Soil results'!I71),3)=0,"yes","no")),"")</f>
        <v/>
      </c>
      <c r="BO66" s="276" t="str">
        <f t="shared" ca="1" si="44"/>
        <v/>
      </c>
      <c r="BP66" s="33"/>
      <c r="BQ66" s="276"/>
      <c r="BR66" s="276"/>
      <c r="BS66" s="276" t="str">
        <f t="shared" ca="1" si="45"/>
        <v/>
      </c>
      <c r="BT66" s="153" t="str">
        <f ca="1">IF(AX66="","",
IF(OR(Assessment!F68="limited benefit",Assessment!F68="benefit", Assessment!M68="limited benefit",Assessment!M68="benefit", Assessment!R68="limited benefit",Assessment!R68="benefit", Assessment!W68="limited benefit",Assessment!W68="benefit", Assessment!AB68="limited benefit",Assessment!AB68="benefit", AND(ISNUMBER(Assessment!AF68),Assessment!AG68="ok"), Assessment!AJ68="benefit"),"yes","no"))</f>
        <v/>
      </c>
      <c r="BW66" t="s">
        <v>376</v>
      </c>
    </row>
    <row r="67" spans="1:75" ht="15" x14ac:dyDescent="0.25">
      <c r="A67" s="272">
        <f>IF(AND('Field information 2'!L74&gt;0, 'Field information 2'!M74=0),"data missing", 'Field information 2'!M74-'Field information 2'!L74)</f>
        <v>0</v>
      </c>
      <c r="B67" s="272">
        <f>IF(AND('Field information 2'!N74&gt;0,'Field information 2'!O74=0),"data missing",'Field information 2'!O74-'Field information 2'!N74)</f>
        <v>0</v>
      </c>
      <c r="C67" s="272">
        <f>IF(AND('Field information 2'!P74&gt;0, 'Field information 2'!Q74=0),"data missing",'Field information 2'!Q74-'Field information 2'!P74)</f>
        <v>0</v>
      </c>
      <c r="D67">
        <f>'Field information 2'!L74</f>
        <v>0</v>
      </c>
      <c r="E67" s="249" t="str">
        <f>IF(OR('Field information 2'!L74&gt;0,'Field information 2'!N74&gt;0,'Field information 2'!P74&gt;0),"Y","N")</f>
        <v>N</v>
      </c>
      <c r="F67" s="277" t="str">
        <f t="shared" si="12"/>
        <v/>
      </c>
      <c r="G67" t="str">
        <f>IF(OR(ISBLANK('Field information 1'!B68),AND(OR(ISBLANK('Field information 2'!L74), 'Field information 2'!L74=0),OR(ISBLANK('Field information 2'!N74), 'Field information 2'!N74=0), OR(ISBLANK('Field information 2'!P74), 'Field information 2'!P74=0))),"",
IF(ISTEXT('Field information 1'!B68), 'Field information 1'!B68, TEXT('Field information 1'!B68,"0")))</f>
        <v/>
      </c>
      <c r="H67" t="str">
        <f>IF(OR(ISBLANK('Field information 1'!B68),ISBLANK('Field information 2'!L74),ISBLANK('Field information 2'!F74)),"",'Field information 2'!F74)</f>
        <v/>
      </c>
      <c r="I67" s="91" t="str">
        <f>IF(OR(ISBLANK('Field information 1'!E68),G67=""),"",CEILING('Field information 1'!E68/10,1))</f>
        <v/>
      </c>
      <c r="J67" s="91" t="str">
        <f t="shared" si="13"/>
        <v>no</v>
      </c>
      <c r="K67" s="135" t="str">
        <f t="shared" ca="1" si="54"/>
        <v/>
      </c>
      <c r="L67" s="135" t="str">
        <f t="shared" ca="1" si="55"/>
        <v/>
      </c>
      <c r="M67" s="135" t="str">
        <f t="shared" ca="1" si="56"/>
        <v/>
      </c>
      <c r="N67" s="135" t="str">
        <f t="shared" ca="1" si="57"/>
        <v/>
      </c>
      <c r="O67" s="135" t="str">
        <f t="shared" ca="1" si="58"/>
        <v/>
      </c>
      <c r="P67" s="135" t="str">
        <f t="shared" ca="1" si="59"/>
        <v/>
      </c>
      <c r="Q67" s="135" t="str">
        <f t="shared" ca="1" si="60"/>
        <v/>
      </c>
      <c r="R67" s="135" t="str">
        <f t="shared" ca="1" si="61"/>
        <v/>
      </c>
      <c r="S67" s="135" t="str">
        <f t="shared" ca="1" si="62"/>
        <v/>
      </c>
      <c r="T67" s="135" t="str">
        <f t="shared" ca="1" si="63"/>
        <v/>
      </c>
      <c r="U67" s="49" t="str">
        <f t="shared" ca="1" si="106"/>
        <v/>
      </c>
      <c r="V67" s="7" t="str">
        <f t="shared" ca="1" si="107"/>
        <v/>
      </c>
      <c r="W67" s="7" t="str">
        <f t="shared" ca="1" si="108"/>
        <v/>
      </c>
      <c r="X67" s="7" t="str">
        <f t="shared" ca="1" si="109"/>
        <v/>
      </c>
      <c r="Y67" s="91"/>
      <c r="Z67" s="247" t="str">
        <f t="shared" si="110"/>
        <v/>
      </c>
      <c r="AA67" s="247" t="str">
        <f t="shared" si="111"/>
        <v/>
      </c>
      <c r="AB67" s="247" t="str">
        <f t="shared" si="112"/>
        <v/>
      </c>
      <c r="AC67" s="247" t="str">
        <f t="shared" si="113"/>
        <v/>
      </c>
      <c r="AD67" s="247" t="str">
        <f t="shared" si="114"/>
        <v/>
      </c>
      <c r="AE67" s="247" t="str">
        <f t="shared" si="115"/>
        <v/>
      </c>
      <c r="AF67" s="247" t="str">
        <f t="shared" si="116"/>
        <v/>
      </c>
      <c r="AG67" s="247" t="str">
        <f t="shared" si="117"/>
        <v/>
      </c>
      <c r="AH67" s="247" t="str">
        <f t="shared" si="118"/>
        <v/>
      </c>
      <c r="AI67" s="247" t="str">
        <f t="shared" si="119"/>
        <v/>
      </c>
      <c r="AK67" s="247" t="str">
        <f t="shared" si="120"/>
        <v/>
      </c>
      <c r="AL67" s="247" t="str">
        <f t="shared" si="121"/>
        <v/>
      </c>
      <c r="AM67" s="247" t="str">
        <f t="shared" si="122"/>
        <v/>
      </c>
      <c r="AN67" s="247" t="str">
        <f t="shared" si="123"/>
        <v/>
      </c>
      <c r="AO67" s="247" t="str">
        <f t="shared" si="124"/>
        <v/>
      </c>
      <c r="AP67" s="247" t="str">
        <f t="shared" si="125"/>
        <v/>
      </c>
      <c r="AQ67" s="247" t="str">
        <f t="shared" si="126"/>
        <v/>
      </c>
      <c r="AR67" s="247" t="str">
        <f t="shared" si="127"/>
        <v/>
      </c>
      <c r="AS67" s="247" t="str">
        <f t="shared" si="128"/>
        <v/>
      </c>
      <c r="AT67" s="247" t="str">
        <f t="shared" si="129"/>
        <v/>
      </c>
      <c r="AU67" s="189"/>
      <c r="AV67" t="str">
        <f>IF(ISBLANK('Field information 1'!F68),"",'Field information 1'!F68)</f>
        <v/>
      </c>
      <c r="AW67" s="334"/>
      <c r="AX67" s="247" t="str" cm="1">
        <f t="array" aca="1" ref="AX67" ca="1">INDIRECT(TEXT(MIN(IF((Calc!$Z$5:$AI$104&lt;&gt;"")*(COUNTIF($AX$4:AX66,Calc!$Z$5:$AI$104)=0),ROW(Calc!$Z$5:$AI$104)*100+COLUMN(Calc!$Z$5:$AI$104),7^8)),"Calc!R0C00"),)&amp;""</f>
        <v/>
      </c>
      <c r="AY67" t="str" cm="1">
        <f t="array" aca="1" ref="AY67" ca="1">INDIRECT(TEXT(MIN(IF((Calc!$AK$5:$AT$104&lt;&gt;"")*(COUNTIF(AY$4:$AY66,Calc!$AK$5:$AT$104)=0),ROW(Calc!$AK$5:$AT$104)*100+COLUMN(Calc!$AK$5:$AT$104),7^8)),"Calc!R0C00"),)&amp;""</f>
        <v/>
      </c>
      <c r="AZ67" s="247" t="str">
        <f t="shared" ca="1" si="40"/>
        <v/>
      </c>
      <c r="BA67" s="324">
        <f t="shared" si="47"/>
        <v>63</v>
      </c>
      <c r="BB67">
        <f t="shared" ca="1" si="41"/>
        <v>0</v>
      </c>
      <c r="BC67" t="str">
        <f ca="1">IF($AX67="","",
VLOOKUP(LEFT($AX67,LEN($AX67)-2),'Field information 2'!$B$12:$P$111,11,FALSE))</f>
        <v/>
      </c>
      <c r="BD67" t="str">
        <f ca="1">IF($AX67="","",
VLOOKUP(LEFT($AX67,LEN($AX67)-2),'Field information 2'!$B$12:$P$111,13,FALSE))</f>
        <v/>
      </c>
      <c r="BE67" t="str">
        <f ca="1">IF($AX67="","",
VLOOKUP(LEFT($AX67,LEN($AX67)-2),'Field information 2'!$B$12:$P$111,15,FALSE))</f>
        <v/>
      </c>
      <c r="BF67">
        <f t="shared" ca="1" si="42"/>
        <v>0</v>
      </c>
      <c r="BG67" t="str">
        <f t="shared" ca="1" si="43"/>
        <v/>
      </c>
      <c r="BH67" s="7" t="str">
        <f ca="1">IF(OR(AX67="",'Soil results'!$D$7="",'Soil results'!$D$8=""),"",
IF('Soil results'!$D$7="LOI",
  IF('Soil results'!$D$8="mg/kg",'Soil results'!D72/10000,'Soil results'!D72),
IF('Soil results'!$D$7="Dumas",
  IF('Soil results'!$D$8="mg/kg",'Soil results'!D72*1.72/10000,'Soil results'!D72*1.72))))</f>
        <v/>
      </c>
      <c r="BI67" t="str">
        <f ca="1">IF($AX67="","",
VLOOKUP(LEFT($AX67,LEN($AX67)-2),'Field information 2'!$B$12:$I$111,8,FALSE))</f>
        <v/>
      </c>
      <c r="BJ67" t="str">
        <f ca="1">IF(BI67="","",
VLOOKUP(BI67,'Fertiliser recommendations'!$A$5:$B$62,2,FALSE))</f>
        <v/>
      </c>
      <c r="BK67" s="38" t="str">
        <f ca="1">IF($AX67="","",
IF(AND(BJ67="g",VLOOKUP(LEFT($AX67,LEN($AX67)-2),'Field information 2'!$B$12:$P$111,9,FALSE)&lt;&gt;"yes"),
IF(BG67="10-25% OM",6,IF(BG67="&gt;25% OM",12,IF(BG67="SCL; CL; ZCL; SC; ZC; C",6,IF(BG67="SL; SZL; ZL",5,IF(BG67="S; LS",4,"?"))))),
IF(OR(BJ67="a",AND(BJ67="g",VLOOKUP(LEFT($AX67,LEN($AX67)-2),'Field information 2'!$B$12:$P$111,9,FALSE)="yes")),
IF(BG67="10-25% OM",8,IF(BG67="&gt;25% OM",16,IF(BG67="SCL; CL; ZCL; SC; ZC; C",8,IF(BG67="SL; SZL; ZL",7,IF(BG67="S; LS",6,"?"))))),"")))</f>
        <v/>
      </c>
      <c r="BL67" t="str">
        <f ca="1">IF(AX67&lt;&gt;"",COUNTBLANK('Soil results'!D72:D72)+COUNTBLANK('Soil results'!F72:I72)+COUNTBLANK('Soil results'!K72:Q72),"")</f>
        <v/>
      </c>
      <c r="BM67" t="str">
        <f ca="1">IF(AX67&lt;&gt;"",
IF(OR(ISNUMBER(SEARCH("10*01*01",'Field information 2'!$M$5)),ISNUMBER(SEARCH("10*01*03",'Field information 2'!$M$5))),0.25,1),"")</f>
        <v/>
      </c>
      <c r="BN67" s="275" t="str">
        <f ca="1">IF(AX67&lt;&gt;"",
IF(COUNTIF('Soil results'!G73:G$159,"="&amp;'Soil results'!G72)+COUNTIF('Soil results'!H73:H$159,"="&amp;'Soil results'!H72)+COUNTIF('Soil results'!I73:I$159,"="&amp;'Soil results'!I72)=0,"no",
IF(MOD(COUNTIF('Soil results'!G73:G$159,"="&amp;'Soil results'!G72)+COUNTIF('Soil results'!H73:H$159,"="&amp;'Soil results'!H72)+COUNTIF('Soil results'!I73:I$159,"="&amp;'Soil results'!I72),3)=0,"yes","no")),"")</f>
        <v/>
      </c>
      <c r="BO67" s="276" t="str">
        <f t="shared" ca="1" si="44"/>
        <v/>
      </c>
      <c r="BP67" s="33"/>
      <c r="BQ67" s="276"/>
      <c r="BR67" s="276"/>
      <c r="BS67" s="276" t="str">
        <f t="shared" ca="1" si="45"/>
        <v/>
      </c>
      <c r="BT67" s="153" t="str">
        <f ca="1">IF(AX67="","",
IF(OR(Assessment!F69="limited benefit",Assessment!F69="benefit", Assessment!M69="limited benefit",Assessment!M69="benefit", Assessment!R69="limited benefit",Assessment!R69="benefit", Assessment!W69="limited benefit",Assessment!W69="benefit", Assessment!AB69="limited benefit",Assessment!AB69="benefit", AND(ISNUMBER(Assessment!AF69),Assessment!AG69="ok"), Assessment!AJ69="benefit"),"yes","no"))</f>
        <v/>
      </c>
      <c r="BW67" t="s">
        <v>375</v>
      </c>
    </row>
    <row r="68" spans="1:75" ht="15" x14ac:dyDescent="0.25">
      <c r="A68" s="272">
        <f>IF(AND('Field information 2'!L75&gt;0, 'Field information 2'!M75=0),"data missing", 'Field information 2'!M75-'Field information 2'!L75)</f>
        <v>0</v>
      </c>
      <c r="B68" s="272">
        <f>IF(AND('Field information 2'!N75&gt;0,'Field information 2'!O75=0),"data missing",'Field information 2'!O75-'Field information 2'!N75)</f>
        <v>0</v>
      </c>
      <c r="C68" s="272">
        <f>IF(AND('Field information 2'!P75&gt;0, 'Field information 2'!Q75=0),"data missing",'Field information 2'!Q75-'Field information 2'!P75)</f>
        <v>0</v>
      </c>
      <c r="D68">
        <f>'Field information 2'!L75</f>
        <v>0</v>
      </c>
      <c r="E68" s="249" t="str">
        <f>IF(OR('Field information 2'!L75&gt;0,'Field information 2'!N75&gt;0,'Field information 2'!P75&gt;0),"Y","N")</f>
        <v>N</v>
      </c>
      <c r="F68" s="277" t="str">
        <f t="shared" si="12"/>
        <v/>
      </c>
      <c r="G68" t="str">
        <f>IF(OR(ISBLANK('Field information 1'!B69),AND(OR(ISBLANK('Field information 2'!L75), 'Field information 2'!L75=0),OR(ISBLANK('Field information 2'!N75), 'Field information 2'!N75=0), OR(ISBLANK('Field information 2'!P75), 'Field information 2'!P75=0))),"",
IF(ISTEXT('Field information 1'!B69), 'Field information 1'!B69, TEXT('Field information 1'!B69,"0")))</f>
        <v/>
      </c>
      <c r="H68" t="str">
        <f>IF(OR(ISBLANK('Field information 1'!B69),ISBLANK('Field information 2'!L75),ISBLANK('Field information 2'!F75)),"",'Field information 2'!F75)</f>
        <v/>
      </c>
      <c r="I68" s="91" t="str">
        <f>IF(OR(ISBLANK('Field information 1'!E69),G68=""),"",CEILING('Field information 1'!E69/10,1))</f>
        <v/>
      </c>
      <c r="J68" s="91" t="str">
        <f t="shared" si="13"/>
        <v>no</v>
      </c>
      <c r="K68" s="135" t="str">
        <f t="shared" ca="1" si="54"/>
        <v/>
      </c>
      <c r="L68" s="135" t="str">
        <f t="shared" ca="1" si="55"/>
        <v/>
      </c>
      <c r="M68" s="135" t="str">
        <f t="shared" ca="1" si="56"/>
        <v/>
      </c>
      <c r="N68" s="135" t="str">
        <f t="shared" ca="1" si="57"/>
        <v/>
      </c>
      <c r="O68" s="135" t="str">
        <f t="shared" ca="1" si="58"/>
        <v/>
      </c>
      <c r="P68" s="135" t="str">
        <f t="shared" ca="1" si="59"/>
        <v/>
      </c>
      <c r="Q68" s="135" t="str">
        <f t="shared" ca="1" si="60"/>
        <v/>
      </c>
      <c r="R68" s="135" t="str">
        <f t="shared" ca="1" si="61"/>
        <v/>
      </c>
      <c r="S68" s="135" t="str">
        <f t="shared" ca="1" si="62"/>
        <v/>
      </c>
      <c r="T68" s="135" t="str">
        <f t="shared" ca="1" si="63"/>
        <v/>
      </c>
      <c r="U68" s="49" t="str">
        <f t="shared" ca="1" si="106"/>
        <v/>
      </c>
      <c r="V68" s="7" t="str">
        <f t="shared" ca="1" si="107"/>
        <v/>
      </c>
      <c r="W68" s="7" t="str">
        <f t="shared" ca="1" si="108"/>
        <v/>
      </c>
      <c r="X68" s="7" t="str">
        <f t="shared" ca="1" si="109"/>
        <v/>
      </c>
      <c r="Y68" s="91"/>
      <c r="Z68" s="247" t="str">
        <f t="shared" si="110"/>
        <v/>
      </c>
      <c r="AA68" s="247" t="str">
        <f t="shared" si="111"/>
        <v/>
      </c>
      <c r="AB68" s="247" t="str">
        <f t="shared" si="112"/>
        <v/>
      </c>
      <c r="AC68" s="247" t="str">
        <f t="shared" si="113"/>
        <v/>
      </c>
      <c r="AD68" s="247" t="str">
        <f t="shared" si="114"/>
        <v/>
      </c>
      <c r="AE68" s="247" t="str">
        <f t="shared" si="115"/>
        <v/>
      </c>
      <c r="AF68" s="247" t="str">
        <f t="shared" si="116"/>
        <v/>
      </c>
      <c r="AG68" s="247" t="str">
        <f t="shared" si="117"/>
        <v/>
      </c>
      <c r="AH68" s="247" t="str">
        <f t="shared" si="118"/>
        <v/>
      </c>
      <c r="AI68" s="247" t="str">
        <f t="shared" si="119"/>
        <v/>
      </c>
      <c r="AK68" s="247" t="str">
        <f t="shared" si="120"/>
        <v/>
      </c>
      <c r="AL68" s="247" t="str">
        <f t="shared" si="121"/>
        <v/>
      </c>
      <c r="AM68" s="247" t="str">
        <f t="shared" si="122"/>
        <v/>
      </c>
      <c r="AN68" s="247" t="str">
        <f t="shared" si="123"/>
        <v/>
      </c>
      <c r="AO68" s="247" t="str">
        <f t="shared" si="124"/>
        <v/>
      </c>
      <c r="AP68" s="247" t="str">
        <f t="shared" si="125"/>
        <v/>
      </c>
      <c r="AQ68" s="247" t="str">
        <f t="shared" si="126"/>
        <v/>
      </c>
      <c r="AR68" s="247" t="str">
        <f t="shared" si="127"/>
        <v/>
      </c>
      <c r="AS68" s="247" t="str">
        <f t="shared" si="128"/>
        <v/>
      </c>
      <c r="AT68" s="247" t="str">
        <f t="shared" si="129"/>
        <v/>
      </c>
      <c r="AU68" s="189"/>
      <c r="AV68" t="str">
        <f>IF(ISBLANK('Field information 1'!F69),"",'Field information 1'!F69)</f>
        <v/>
      </c>
      <c r="AW68" s="334"/>
      <c r="AX68" s="247" t="str" cm="1">
        <f t="array" aca="1" ref="AX68" ca="1">INDIRECT(TEXT(MIN(IF((Calc!$Z$5:$AI$104&lt;&gt;"")*(COUNTIF($AX$4:AX67,Calc!$Z$5:$AI$104)=0),ROW(Calc!$Z$5:$AI$104)*100+COLUMN(Calc!$Z$5:$AI$104),7^8)),"Calc!R0C00"),)&amp;""</f>
        <v/>
      </c>
      <c r="AY68" t="str" cm="1">
        <f t="array" aca="1" ref="AY68" ca="1">INDIRECT(TEXT(MIN(IF((Calc!$AK$5:$AT$104&lt;&gt;"")*(COUNTIF(AY$4:$AY67,Calc!$AK$5:$AT$104)=0),ROW(Calc!$AK$5:$AT$104)*100+COLUMN(Calc!$AK$5:$AT$104),7^8)),"Calc!R0C00"),)&amp;""</f>
        <v/>
      </c>
      <c r="AZ68" s="247" t="str">
        <f t="shared" ca="1" si="40"/>
        <v/>
      </c>
      <c r="BA68" s="324">
        <f t="shared" si="47"/>
        <v>64</v>
      </c>
      <c r="BB68">
        <f t="shared" ca="1" si="41"/>
        <v>0</v>
      </c>
      <c r="BC68" t="str">
        <f ca="1">IF($AX68="","",
VLOOKUP(LEFT($AX68,LEN($AX68)-2),'Field information 2'!$B$12:$P$111,11,FALSE))</f>
        <v/>
      </c>
      <c r="BD68" t="str">
        <f ca="1">IF($AX68="","",
VLOOKUP(LEFT($AX68,LEN($AX68)-2),'Field information 2'!$B$12:$P$111,13,FALSE))</f>
        <v/>
      </c>
      <c r="BE68" t="str">
        <f ca="1">IF($AX68="","",
VLOOKUP(LEFT($AX68,LEN($AX68)-2),'Field information 2'!$B$12:$P$111,15,FALSE))</f>
        <v/>
      </c>
      <c r="BF68">
        <f t="shared" ca="1" si="42"/>
        <v>0</v>
      </c>
      <c r="BG68" t="str">
        <f t="shared" ca="1" si="43"/>
        <v/>
      </c>
      <c r="BH68" s="7" t="str">
        <f ca="1">IF(OR(AX68="",'Soil results'!$D$7="",'Soil results'!$D$8=""),"",
IF('Soil results'!$D$7="LOI",
  IF('Soil results'!$D$8="mg/kg",'Soil results'!D73/10000,'Soil results'!D73),
IF('Soil results'!$D$7="Dumas",
  IF('Soil results'!$D$8="mg/kg",'Soil results'!D73*1.72/10000,'Soil results'!D73*1.72))))</f>
        <v/>
      </c>
      <c r="BI68" t="str">
        <f ca="1">IF($AX68="","",
VLOOKUP(LEFT($AX68,LEN($AX68)-2),'Field information 2'!$B$12:$I$111,8,FALSE))</f>
        <v/>
      </c>
      <c r="BJ68" t="str">
        <f ca="1">IF(BI68="","",
VLOOKUP(BI68,'Fertiliser recommendations'!$A$5:$B$62,2,FALSE))</f>
        <v/>
      </c>
      <c r="BK68" s="38" t="str">
        <f ca="1">IF($AX68="","",
IF(AND(BJ68="g",VLOOKUP(LEFT($AX68,LEN($AX68)-2),'Field information 2'!$B$12:$P$111,9,FALSE)&lt;&gt;"yes"),
IF(BG68="10-25% OM",6,IF(BG68="&gt;25% OM",12,IF(BG68="SCL; CL; ZCL; SC; ZC; C",6,IF(BG68="SL; SZL; ZL",5,IF(BG68="S; LS",4,"?"))))),
IF(OR(BJ68="a",AND(BJ68="g",VLOOKUP(LEFT($AX68,LEN($AX68)-2),'Field information 2'!$B$12:$P$111,9,FALSE)="yes")),
IF(BG68="10-25% OM",8,IF(BG68="&gt;25% OM",16,IF(BG68="SCL; CL; ZCL; SC; ZC; C",8,IF(BG68="SL; SZL; ZL",7,IF(BG68="S; LS",6,"?"))))),"")))</f>
        <v/>
      </c>
      <c r="BL68" t="str">
        <f ca="1">IF(AX68&lt;&gt;"",COUNTBLANK('Soil results'!D73:D73)+COUNTBLANK('Soil results'!F73:I73)+COUNTBLANK('Soil results'!K73:Q73),"")</f>
        <v/>
      </c>
      <c r="BM68" t="str">
        <f ca="1">IF(AX68&lt;&gt;"",
IF(OR(ISNUMBER(SEARCH("10*01*01",'Field information 2'!$M$5)),ISNUMBER(SEARCH("10*01*03",'Field information 2'!$M$5))),0.25,1),"")</f>
        <v/>
      </c>
      <c r="BN68" s="275" t="str">
        <f ca="1">IF(AX68&lt;&gt;"",
IF(COUNTIF('Soil results'!G74:G$159,"="&amp;'Soil results'!G73)+COUNTIF('Soil results'!H74:H$159,"="&amp;'Soil results'!H73)+COUNTIF('Soil results'!I74:I$159,"="&amp;'Soil results'!I73)=0,"no",
IF(MOD(COUNTIF('Soil results'!G74:G$159,"="&amp;'Soil results'!G73)+COUNTIF('Soil results'!H74:H$159,"="&amp;'Soil results'!H73)+COUNTIF('Soil results'!I74:I$159,"="&amp;'Soil results'!I73),3)=0,"yes","no")),"")</f>
        <v/>
      </c>
      <c r="BO68" s="276" t="str">
        <f t="shared" ca="1" si="44"/>
        <v/>
      </c>
      <c r="BP68" s="33"/>
      <c r="BQ68" s="276"/>
      <c r="BR68" s="276"/>
      <c r="BS68" s="276" t="str">
        <f t="shared" ca="1" si="45"/>
        <v/>
      </c>
      <c r="BT68" s="153" t="str">
        <f ca="1">IF(AX68="","",
IF(OR(Assessment!F70="limited benefit",Assessment!F70="benefit", Assessment!M70="limited benefit",Assessment!M70="benefit", Assessment!R70="limited benefit",Assessment!R70="benefit", Assessment!W70="limited benefit",Assessment!W70="benefit", Assessment!AB70="limited benefit",Assessment!AB70="benefit", AND(ISNUMBER(Assessment!AF70),Assessment!AG70="ok"), Assessment!AJ70="benefit"),"yes","no"))</f>
        <v/>
      </c>
      <c r="BW68" t="s">
        <v>377</v>
      </c>
    </row>
    <row r="69" spans="1:75" ht="15" x14ac:dyDescent="0.25">
      <c r="A69" s="272">
        <f>IF(AND('Field information 2'!L76&gt;0, 'Field information 2'!M76=0),"data missing", 'Field information 2'!M76-'Field information 2'!L76)</f>
        <v>0</v>
      </c>
      <c r="B69" s="272">
        <f>IF(AND('Field information 2'!N76&gt;0,'Field information 2'!O76=0),"data missing",'Field information 2'!O76-'Field information 2'!N76)</f>
        <v>0</v>
      </c>
      <c r="C69" s="272">
        <f>IF(AND('Field information 2'!P76&gt;0, 'Field information 2'!Q76=0),"data missing",'Field information 2'!Q76-'Field information 2'!P76)</f>
        <v>0</v>
      </c>
      <c r="D69">
        <f>'Field information 2'!L76</f>
        <v>0</v>
      </c>
      <c r="E69" s="249" t="str">
        <f>IF(OR('Field information 2'!L76&gt;0,'Field information 2'!N76&gt;0,'Field information 2'!P76&gt;0),"Y","N")</f>
        <v>N</v>
      </c>
      <c r="F69" s="277" t="str">
        <f t="shared" si="12"/>
        <v/>
      </c>
      <c r="G69" t="str">
        <f>IF(OR(ISBLANK('Field information 1'!B70),AND(OR(ISBLANK('Field information 2'!L76), 'Field information 2'!L76=0),OR(ISBLANK('Field information 2'!N76), 'Field information 2'!N76=0), OR(ISBLANK('Field information 2'!P76), 'Field information 2'!P76=0))),"",
IF(ISTEXT('Field information 1'!B70), 'Field information 1'!B70, TEXT('Field information 1'!B70,"0")))</f>
        <v/>
      </c>
      <c r="H69" t="str">
        <f>IF(OR(ISBLANK('Field information 1'!B70),ISBLANK('Field information 2'!L76),ISBLANK('Field information 2'!F76)),"",'Field information 2'!F76)</f>
        <v/>
      </c>
      <c r="I69" s="91" t="str">
        <f>IF(OR(ISBLANK('Field information 1'!E70),G69=""),"",CEILING('Field information 1'!E70/10,1))</f>
        <v/>
      </c>
      <c r="J69" s="91" t="str">
        <f t="shared" si="13"/>
        <v>no</v>
      </c>
      <c r="K69" s="135" t="str">
        <f t="shared" ca="1" si="54"/>
        <v/>
      </c>
      <c r="L69" s="135" t="str">
        <f t="shared" ca="1" si="55"/>
        <v/>
      </c>
      <c r="M69" s="135" t="str">
        <f t="shared" ca="1" si="56"/>
        <v/>
      </c>
      <c r="N69" s="135" t="str">
        <f t="shared" ca="1" si="57"/>
        <v/>
      </c>
      <c r="O69" s="135" t="str">
        <f t="shared" ca="1" si="58"/>
        <v/>
      </c>
      <c r="P69" s="135" t="str">
        <f t="shared" ca="1" si="59"/>
        <v/>
      </c>
      <c r="Q69" s="135" t="str">
        <f t="shared" ca="1" si="60"/>
        <v/>
      </c>
      <c r="R69" s="135" t="str">
        <f t="shared" ca="1" si="61"/>
        <v/>
      </c>
      <c r="S69" s="135" t="str">
        <f t="shared" ca="1" si="62"/>
        <v/>
      </c>
      <c r="T69" s="135" t="str">
        <f t="shared" ca="1" si="63"/>
        <v/>
      </c>
      <c r="U69" s="49" t="str">
        <f t="shared" ca="1" si="106"/>
        <v/>
      </c>
      <c r="V69" s="7" t="str">
        <f t="shared" ca="1" si="107"/>
        <v/>
      </c>
      <c r="W69" s="7" t="str">
        <f t="shared" ca="1" si="108"/>
        <v/>
      </c>
      <c r="X69" s="7" t="str">
        <f t="shared" ca="1" si="109"/>
        <v/>
      </c>
      <c r="Y69" s="91"/>
      <c r="Z69" s="247" t="str">
        <f t="shared" si="110"/>
        <v/>
      </c>
      <c r="AA69" s="247" t="str">
        <f t="shared" si="111"/>
        <v/>
      </c>
      <c r="AB69" s="247" t="str">
        <f t="shared" si="112"/>
        <v/>
      </c>
      <c r="AC69" s="247" t="str">
        <f t="shared" si="113"/>
        <v/>
      </c>
      <c r="AD69" s="247" t="str">
        <f t="shared" si="114"/>
        <v/>
      </c>
      <c r="AE69" s="247" t="str">
        <f t="shared" si="115"/>
        <v/>
      </c>
      <c r="AF69" s="247" t="str">
        <f t="shared" si="116"/>
        <v/>
      </c>
      <c r="AG69" s="247" t="str">
        <f t="shared" si="117"/>
        <v/>
      </c>
      <c r="AH69" s="247" t="str">
        <f t="shared" si="118"/>
        <v/>
      </c>
      <c r="AI69" s="247" t="str">
        <f t="shared" si="119"/>
        <v/>
      </c>
      <c r="AK69" s="247" t="str">
        <f t="shared" si="120"/>
        <v/>
      </c>
      <c r="AL69" s="247" t="str">
        <f t="shared" si="121"/>
        <v/>
      </c>
      <c r="AM69" s="247" t="str">
        <f t="shared" si="122"/>
        <v/>
      </c>
      <c r="AN69" s="247" t="str">
        <f t="shared" si="123"/>
        <v/>
      </c>
      <c r="AO69" s="247" t="str">
        <f t="shared" si="124"/>
        <v/>
      </c>
      <c r="AP69" s="247" t="str">
        <f t="shared" si="125"/>
        <v/>
      </c>
      <c r="AQ69" s="247" t="str">
        <f t="shared" si="126"/>
        <v/>
      </c>
      <c r="AR69" s="247" t="str">
        <f t="shared" si="127"/>
        <v/>
      </c>
      <c r="AS69" s="247" t="str">
        <f t="shared" si="128"/>
        <v/>
      </c>
      <c r="AT69" s="247" t="str">
        <f t="shared" si="129"/>
        <v/>
      </c>
      <c r="AU69" s="189"/>
      <c r="AV69" t="str">
        <f>IF(ISBLANK('Field information 1'!F70),"",'Field information 1'!F70)</f>
        <v/>
      </c>
      <c r="AW69" s="334"/>
      <c r="AX69" s="247" t="str" cm="1">
        <f t="array" aca="1" ref="AX69" ca="1">INDIRECT(TEXT(MIN(IF((Calc!$Z$5:$AI$104&lt;&gt;"")*(COUNTIF($AX$4:AX68,Calc!$Z$5:$AI$104)=0),ROW(Calc!$Z$5:$AI$104)*100+COLUMN(Calc!$Z$5:$AI$104),7^8)),"Calc!R0C00"),)&amp;""</f>
        <v/>
      </c>
      <c r="AY69" t="str" cm="1">
        <f t="array" aca="1" ref="AY69" ca="1">INDIRECT(TEXT(MIN(IF((Calc!$AK$5:$AT$104&lt;&gt;"")*(COUNTIF(AY$4:$AY68,Calc!$AK$5:$AT$104)=0),ROW(Calc!$AK$5:$AT$104)*100+COLUMN(Calc!$AK$5:$AT$104),7^8)),"Calc!R0C00"),)&amp;""</f>
        <v/>
      </c>
      <c r="AZ69" s="247" t="str">
        <f t="shared" ca="1" si="40"/>
        <v/>
      </c>
      <c r="BA69" s="324">
        <f t="shared" si="47"/>
        <v>65</v>
      </c>
      <c r="BB69">
        <f t="shared" ca="1" si="41"/>
        <v>0</v>
      </c>
      <c r="BC69" t="str">
        <f ca="1">IF($AX69="","",
VLOOKUP(LEFT($AX69,LEN($AX69)-2),'Field information 2'!$B$12:$P$111,11,FALSE))</f>
        <v/>
      </c>
      <c r="BD69" t="str">
        <f ca="1">IF($AX69="","",
VLOOKUP(LEFT($AX69,LEN($AX69)-2),'Field information 2'!$B$12:$P$111,13,FALSE))</f>
        <v/>
      </c>
      <c r="BE69" t="str">
        <f ca="1">IF($AX69="","",
VLOOKUP(LEFT($AX69,LEN($AX69)-2),'Field information 2'!$B$12:$P$111,15,FALSE))</f>
        <v/>
      </c>
      <c r="BF69">
        <f t="shared" ca="1" si="42"/>
        <v>0</v>
      </c>
      <c r="BG69" t="str">
        <f t="shared" ca="1" si="43"/>
        <v/>
      </c>
      <c r="BH69" s="7" t="str">
        <f ca="1">IF(OR(AX69="",'Soil results'!$D$7="",'Soil results'!$D$8=""),"",
IF('Soil results'!$D$7="LOI",
  IF('Soil results'!$D$8="mg/kg",'Soil results'!D74/10000,'Soil results'!D74),
IF('Soil results'!$D$7="Dumas",
  IF('Soil results'!$D$8="mg/kg",'Soil results'!D74*1.72/10000,'Soil results'!D74*1.72))))</f>
        <v/>
      </c>
      <c r="BI69" t="str">
        <f ca="1">IF($AX69="","",
VLOOKUP(LEFT($AX69,LEN($AX69)-2),'Field information 2'!$B$12:$I$111,8,FALSE))</f>
        <v/>
      </c>
      <c r="BJ69" t="str">
        <f ca="1">IF(BI69="","",
VLOOKUP(BI69,'Fertiliser recommendations'!$A$5:$B$62,2,FALSE))</f>
        <v/>
      </c>
      <c r="BK69" s="38" t="str">
        <f ca="1">IF($AX69="","",
IF(AND(BJ69="g",VLOOKUP(LEFT($AX69,LEN($AX69)-2),'Field information 2'!$B$12:$P$111,9,FALSE)&lt;&gt;"yes"),
IF(BG69="10-25% OM",6,IF(BG69="&gt;25% OM",12,IF(BG69="SCL; CL; ZCL; SC; ZC; C",6,IF(BG69="SL; SZL; ZL",5,IF(BG69="S; LS",4,"?"))))),
IF(OR(BJ69="a",AND(BJ69="g",VLOOKUP(LEFT($AX69,LEN($AX69)-2),'Field information 2'!$B$12:$P$111,9,FALSE)="yes")),
IF(BG69="10-25% OM",8,IF(BG69="&gt;25% OM",16,IF(BG69="SCL; CL; ZCL; SC; ZC; C",8,IF(BG69="SL; SZL; ZL",7,IF(BG69="S; LS",6,"?"))))),"")))</f>
        <v/>
      </c>
      <c r="BL69" t="str">
        <f ca="1">IF(AX69&lt;&gt;"",COUNTBLANK('Soil results'!D74:D74)+COUNTBLANK('Soil results'!F74:I74)+COUNTBLANK('Soil results'!K74:Q74),"")</f>
        <v/>
      </c>
      <c r="BM69" t="str">
        <f ca="1">IF(AX69&lt;&gt;"",
IF(OR(ISNUMBER(SEARCH("10*01*01",'Field information 2'!$M$5)),ISNUMBER(SEARCH("10*01*03",'Field information 2'!$M$5))),0.25,1),"")</f>
        <v/>
      </c>
      <c r="BN69" s="275" t="str">
        <f ca="1">IF(AX69&lt;&gt;"",
IF(COUNTIF('Soil results'!G75:G$159,"="&amp;'Soil results'!G74)+COUNTIF('Soil results'!H75:H$159,"="&amp;'Soil results'!H74)+COUNTIF('Soil results'!I75:I$159,"="&amp;'Soil results'!I74)=0,"no",
IF(MOD(COUNTIF('Soil results'!G75:G$159,"="&amp;'Soil results'!G74)+COUNTIF('Soil results'!H75:H$159,"="&amp;'Soil results'!H74)+COUNTIF('Soil results'!I75:I$159,"="&amp;'Soil results'!I74),3)=0,"yes","no")),"")</f>
        <v/>
      </c>
      <c r="BO69" s="276" t="str">
        <f t="shared" ca="1" si="44"/>
        <v/>
      </c>
      <c r="BP69" s="33"/>
      <c r="BQ69" s="276"/>
      <c r="BR69" s="276"/>
      <c r="BS69" s="276" t="str">
        <f t="shared" ca="1" si="45"/>
        <v/>
      </c>
      <c r="BT69" s="153" t="str">
        <f ca="1">IF(AX69="","",
IF(OR(Assessment!F71="limited benefit",Assessment!F71="benefit", Assessment!M71="limited benefit",Assessment!M71="benefit", Assessment!R71="limited benefit",Assessment!R71="benefit", Assessment!W71="limited benefit",Assessment!W71="benefit", Assessment!AB71="limited benefit",Assessment!AB71="benefit", AND(ISNUMBER(Assessment!AF71),Assessment!AG71="ok"), Assessment!AJ71="benefit"),"yes","no"))</f>
        <v/>
      </c>
    </row>
    <row r="70" spans="1:75" ht="15" x14ac:dyDescent="0.25">
      <c r="A70" s="272">
        <f>IF(AND('Field information 2'!L77&gt;0, 'Field information 2'!M77=0),"data missing", 'Field information 2'!M77-'Field information 2'!L77)</f>
        <v>0</v>
      </c>
      <c r="B70" s="272">
        <f>IF(AND('Field information 2'!N77&gt;0,'Field information 2'!O77=0),"data missing",'Field information 2'!O77-'Field information 2'!N77)</f>
        <v>0</v>
      </c>
      <c r="C70" s="272">
        <f>IF(AND('Field information 2'!P77&gt;0, 'Field information 2'!Q77=0),"data missing",'Field information 2'!Q77-'Field information 2'!P77)</f>
        <v>0</v>
      </c>
      <c r="D70">
        <f>'Field information 2'!L77</f>
        <v>0</v>
      </c>
      <c r="E70" s="249" t="str">
        <f>IF(OR('Field information 2'!L77&gt;0,'Field information 2'!N77&gt;0,'Field information 2'!P77&gt;0),"Y","N")</f>
        <v>N</v>
      </c>
      <c r="F70" s="277" t="str">
        <f t="shared" ref="F70:F104" si="130">IF(G70="","",
IF(AV70="","texture missing",
IF(OR(K70="",K70=0),"OM missing",
IF(I70=1,
   IF(AND(K70&gt;25, AV70="&gt;25% OM"), "yes",
   IF(AND(K70&gt;=10, AV70="10-25% OM"), "yes",
   IF(AND(K70&lt;10, OR(AV70="S; LS", AV70="SL; SZL; ZL", AV70="SCL; CL; ZCL; SC; ZC; C")), "yes","no"))),
IF(I70&gt;1,
   IF(W70&gt;25,
       IF(AV70="&gt;25% OM", "yes", "no"),
   IF(X70&lt;10,
      IF(OR(AV70="S; LS",AV70="SL; SZL; ZL", AV70="SCL; CL; ZCL; SC; ZC; C"), "yes","no"),
   IF(AND(W70&gt;=10,X70&lt;=25),
       IF(AV70="10-25% OM", "yes", "no"),
   IF(OR(AV70="S; LS", AV70="SL; SZL; ZL", AV70="SCL; CL; ZCL; SC; ZC; C"),
       IF(V70&lt;10,"yes","no"),
   IF(AV70="10-25% OM",
       IF(AND(V70&gt;=10,V70&lt;=25),"yes","no"),
   IF(AV70="&gt;25% OM",
       IF(V70&gt;25,"yes","no"))))))))))))</f>
        <v/>
      </c>
      <c r="G70" t="str">
        <f>IF(OR(ISBLANK('Field information 1'!B71),AND(OR(ISBLANK('Field information 2'!L77), 'Field information 2'!L77=0),OR(ISBLANK('Field information 2'!N77), 'Field information 2'!N77=0), OR(ISBLANK('Field information 2'!P77), 'Field information 2'!P77=0))),"",
IF(ISTEXT('Field information 1'!B71), 'Field information 1'!B71, TEXT('Field information 1'!B71,"0")))</f>
        <v/>
      </c>
      <c r="H70" t="str">
        <f>IF(OR(ISBLANK('Field information 1'!B71),ISBLANK('Field information 2'!L77),ISBLANK('Field information 2'!F77)),"",'Field information 2'!F77)</f>
        <v/>
      </c>
      <c r="I70" s="91" t="str">
        <f>IF(OR(ISBLANK('Field information 1'!E71),G70=""),"",CEILING('Field information 1'!E71/10,1))</f>
        <v/>
      </c>
      <c r="J70" s="91" t="str">
        <f t="shared" ref="J70:J104" si="131">IF(AND(E70="Y", G70&lt;&gt;"", AV70=""), "yes", "no")</f>
        <v>no</v>
      </c>
      <c r="K70" s="135" t="str">
        <f t="shared" ca="1" si="54"/>
        <v/>
      </c>
      <c r="L70" s="135" t="str">
        <f t="shared" ca="1" si="55"/>
        <v/>
      </c>
      <c r="M70" s="135" t="str">
        <f t="shared" ca="1" si="56"/>
        <v/>
      </c>
      <c r="N70" s="135" t="str">
        <f t="shared" ca="1" si="57"/>
        <v/>
      </c>
      <c r="O70" s="135" t="str">
        <f t="shared" ca="1" si="58"/>
        <v/>
      </c>
      <c r="P70" s="135" t="str">
        <f t="shared" ca="1" si="59"/>
        <v/>
      </c>
      <c r="Q70" s="135" t="str">
        <f t="shared" ca="1" si="60"/>
        <v/>
      </c>
      <c r="R70" s="135" t="str">
        <f t="shared" ca="1" si="61"/>
        <v/>
      </c>
      <c r="S70" s="135" t="str">
        <f t="shared" ca="1" si="62"/>
        <v/>
      </c>
      <c r="T70" s="135" t="str">
        <f t="shared" ca="1" si="63"/>
        <v/>
      </c>
      <c r="U70" s="49" t="str">
        <f t="shared" ca="1" si="106"/>
        <v/>
      </c>
      <c r="V70" s="7" t="str">
        <f t="shared" ca="1" si="107"/>
        <v/>
      </c>
      <c r="W70" s="7" t="str">
        <f t="shared" ca="1" si="108"/>
        <v/>
      </c>
      <c r="X70" s="7" t="str">
        <f t="shared" ca="1" si="109"/>
        <v/>
      </c>
      <c r="Y70" s="91"/>
      <c r="Z70" s="247" t="str">
        <f t="shared" si="110"/>
        <v/>
      </c>
      <c r="AA70" s="247" t="str">
        <f t="shared" si="111"/>
        <v/>
      </c>
      <c r="AB70" s="247" t="str">
        <f t="shared" si="112"/>
        <v/>
      </c>
      <c r="AC70" s="247" t="str">
        <f t="shared" si="113"/>
        <v/>
      </c>
      <c r="AD70" s="247" t="str">
        <f t="shared" si="114"/>
        <v/>
      </c>
      <c r="AE70" s="247" t="str">
        <f t="shared" si="115"/>
        <v/>
      </c>
      <c r="AF70" s="247" t="str">
        <f t="shared" si="116"/>
        <v/>
      </c>
      <c r="AG70" s="247" t="str">
        <f t="shared" si="117"/>
        <v/>
      </c>
      <c r="AH70" s="247" t="str">
        <f t="shared" si="118"/>
        <v/>
      </c>
      <c r="AI70" s="247" t="str">
        <f t="shared" si="119"/>
        <v/>
      </c>
      <c r="AK70" s="247" t="str">
        <f t="shared" si="120"/>
        <v/>
      </c>
      <c r="AL70" s="247" t="str">
        <f t="shared" si="121"/>
        <v/>
      </c>
      <c r="AM70" s="247" t="str">
        <f t="shared" si="122"/>
        <v/>
      </c>
      <c r="AN70" s="247" t="str">
        <f t="shared" si="123"/>
        <v/>
      </c>
      <c r="AO70" s="247" t="str">
        <f t="shared" si="124"/>
        <v/>
      </c>
      <c r="AP70" s="247" t="str">
        <f t="shared" si="125"/>
        <v/>
      </c>
      <c r="AQ70" s="247" t="str">
        <f t="shared" si="126"/>
        <v/>
      </c>
      <c r="AR70" s="247" t="str">
        <f t="shared" si="127"/>
        <v/>
      </c>
      <c r="AS70" s="247" t="str">
        <f t="shared" si="128"/>
        <v/>
      </c>
      <c r="AT70" s="247" t="str">
        <f t="shared" si="129"/>
        <v/>
      </c>
      <c r="AU70" s="189"/>
      <c r="AV70" t="str">
        <f>IF(ISBLANK('Field information 1'!F71),"",'Field information 1'!F71)</f>
        <v/>
      </c>
      <c r="AW70" s="334"/>
      <c r="AX70" s="247" t="str" cm="1">
        <f t="array" aca="1" ref="AX70" ca="1">INDIRECT(TEXT(MIN(IF((Calc!$Z$5:$AI$104&lt;&gt;"")*(COUNTIF($AX$4:AX69,Calc!$Z$5:$AI$104)=0),ROW(Calc!$Z$5:$AI$104)*100+COLUMN(Calc!$Z$5:$AI$104),7^8)),"Calc!R0C00"),)&amp;""</f>
        <v/>
      </c>
      <c r="AY70" t="str" cm="1">
        <f t="array" aca="1" ref="AY70" ca="1">INDIRECT(TEXT(MIN(IF((Calc!$AK$5:$AT$104&lt;&gt;"")*(COUNTIF(AY$4:$AY69,Calc!$AK$5:$AT$104)=0),ROW(Calc!$AK$5:$AT$104)*100+COLUMN(Calc!$AK$5:$AT$104),7^8)),"Calc!R0C00"),)&amp;""</f>
        <v/>
      </c>
      <c r="AZ70" s="247" t="str">
        <f t="shared" ref="AZ70:AZ104" ca="1" si="132">IF(AY70=AX70,"",AY70)</f>
        <v/>
      </c>
      <c r="BA70" s="324">
        <f t="shared" si="47"/>
        <v>66</v>
      </c>
      <c r="BB70">
        <f t="shared" ref="BB70:BB133" ca="1" si="133">IF(BF70=0, 0, BC70*BP$5+BD70*BQ$5+BE70*BR$5)</f>
        <v>0</v>
      </c>
      <c r="BC70" t="str">
        <f ca="1">IF($AX70="","",
VLOOKUP(LEFT($AX70,LEN($AX70)-2),'Field information 2'!$B$12:$P$111,11,FALSE))</f>
        <v/>
      </c>
      <c r="BD70" t="str">
        <f ca="1">IF($AX70="","",
VLOOKUP(LEFT($AX70,LEN($AX70)-2),'Field information 2'!$B$12:$P$111,13,FALSE))</f>
        <v/>
      </c>
      <c r="BE70" t="str">
        <f ca="1">IF($AX70="","",
VLOOKUP(LEFT($AX70,LEN($AX70)-2),'Field information 2'!$B$12:$P$111,15,FALSE))</f>
        <v/>
      </c>
      <c r="BF70">
        <f t="shared" ref="BF70:BF133" ca="1" si="134">SUM(BC70:BE70)</f>
        <v>0</v>
      </c>
      <c r="BG70" t="str">
        <f t="shared" ref="BG70:BG133" ca="1" si="135">IF($AX70="","",
VLOOKUP(LEFT($AX70,LEN($AX70)-2),$G$5:$AV$104,42,FALSE))</f>
        <v/>
      </c>
      <c r="BH70" s="7" t="str">
        <f ca="1">IF(OR(AX70="",'Soil results'!$D$7="",'Soil results'!$D$8=""),"",
IF('Soil results'!$D$7="LOI",
  IF('Soil results'!$D$8="mg/kg",'Soil results'!D75/10000,'Soil results'!D75),
IF('Soil results'!$D$7="Dumas",
  IF('Soil results'!$D$8="mg/kg",'Soil results'!D75*1.72/10000,'Soil results'!D75*1.72))))</f>
        <v/>
      </c>
      <c r="BI70" t="str">
        <f ca="1">IF($AX70="","",
VLOOKUP(LEFT($AX70,LEN($AX70)-2),'Field information 2'!$B$12:$I$111,8,FALSE))</f>
        <v/>
      </c>
      <c r="BJ70" t="str">
        <f ca="1">IF(BI70="","",
VLOOKUP(BI70,'Fertiliser recommendations'!$A$5:$B$62,2,FALSE))</f>
        <v/>
      </c>
      <c r="BK70" s="38" t="str">
        <f ca="1">IF($AX70="","",
IF(AND(BJ70="g",VLOOKUP(LEFT($AX70,LEN($AX70)-2),'Field information 2'!$B$12:$P$111,9,FALSE)&lt;&gt;"yes"),
IF(BG70="10-25% OM",6,IF(BG70="&gt;25% OM",12,IF(BG70="SCL; CL; ZCL; SC; ZC; C",6,IF(BG70="SL; SZL; ZL",5,IF(BG70="S; LS",4,"?"))))),
IF(OR(BJ70="a",AND(BJ70="g",VLOOKUP(LEFT($AX70,LEN($AX70)-2),'Field information 2'!$B$12:$P$111,9,FALSE)="yes")),
IF(BG70="10-25% OM",8,IF(BG70="&gt;25% OM",16,IF(BG70="SCL; CL; ZCL; SC; ZC; C",8,IF(BG70="SL; SZL; ZL",7,IF(BG70="S; LS",6,"?"))))),"")))</f>
        <v/>
      </c>
      <c r="BL70" t="str">
        <f ca="1">IF(AX70&lt;&gt;"",COUNTBLANK('Soil results'!D75:D75)+COUNTBLANK('Soil results'!F75:I75)+COUNTBLANK('Soil results'!K75:Q75),"")</f>
        <v/>
      </c>
      <c r="BM70" t="str">
        <f ca="1">IF(AX70&lt;&gt;"",
IF(OR(ISNUMBER(SEARCH("10*01*01",'Field information 2'!$M$5)),ISNUMBER(SEARCH("10*01*03",'Field information 2'!$M$5))),0.25,1),"")</f>
        <v/>
      </c>
      <c r="BN70" s="275" t="str">
        <f ca="1">IF(AX70&lt;&gt;"",
IF(COUNTIF('Soil results'!G76:G$159,"="&amp;'Soil results'!G75)+COUNTIF('Soil results'!H76:H$159,"="&amp;'Soil results'!H75)+COUNTIF('Soil results'!I76:I$159,"="&amp;'Soil results'!I75)=0,"no",
IF(MOD(COUNTIF('Soil results'!G76:G$159,"="&amp;'Soil results'!G75)+COUNTIF('Soil results'!H76:H$159,"="&amp;'Soil results'!H75)+COUNTIF('Soil results'!I76:I$159,"="&amp;'Soil results'!I75),3)=0,"yes","no")),"")</f>
        <v/>
      </c>
      <c r="BO70" s="276" t="str">
        <f t="shared" ref="BO70:BO133" ca="1" si="136">IF(AX70&lt;&gt;"",
IF(BH70&gt;25, IF(BG70="&gt;25% OM","yes","no"),
IF(BH70&gt;=10, IF(BG70="10-25% OM","yes","no"),"yes")),"")</f>
        <v/>
      </c>
      <c r="BP70" s="33"/>
      <c r="BQ70" s="276"/>
      <c r="BR70" s="276"/>
      <c r="BS70" s="276" t="str">
        <f t="shared" ref="BS70:BS133" ca="1" si="137">IF(AND(BM70=0.25,BP$5&gt;0,BP$5&lt;1),BC70*BP$5,"")</f>
        <v/>
      </c>
      <c r="BT70" s="153" t="str">
        <f ca="1">IF(AX70="","",
IF(OR(Assessment!F72="limited benefit",Assessment!F72="benefit", Assessment!M72="limited benefit",Assessment!M72="benefit", Assessment!R72="limited benefit",Assessment!R72="benefit", Assessment!W72="limited benefit",Assessment!W72="benefit", Assessment!AB72="limited benefit",Assessment!AB72="benefit", AND(ISNUMBER(Assessment!AF72),Assessment!AG72="ok"), Assessment!AJ72="benefit"),"yes","no"))</f>
        <v/>
      </c>
      <c r="BW70" s="216" t="s">
        <v>378</v>
      </c>
    </row>
    <row r="71" spans="1:75" ht="15" x14ac:dyDescent="0.25">
      <c r="A71" s="272">
        <f>IF(AND('Field information 2'!L78&gt;0, 'Field information 2'!M78=0),"data missing", 'Field information 2'!M78-'Field information 2'!L78)</f>
        <v>0</v>
      </c>
      <c r="B71" s="272">
        <f>IF(AND('Field information 2'!N78&gt;0,'Field information 2'!O78=0),"data missing",'Field information 2'!O78-'Field information 2'!N78)</f>
        <v>0</v>
      </c>
      <c r="C71" s="272">
        <f>IF(AND('Field information 2'!P78&gt;0, 'Field information 2'!Q78=0),"data missing",'Field information 2'!Q78-'Field information 2'!P78)</f>
        <v>0</v>
      </c>
      <c r="D71">
        <f>'Field information 2'!L78</f>
        <v>0</v>
      </c>
      <c r="E71" s="249" t="str">
        <f>IF(OR('Field information 2'!L78&gt;0,'Field information 2'!N78&gt;0,'Field information 2'!P78&gt;0),"Y","N")</f>
        <v>N</v>
      </c>
      <c r="F71" s="277" t="str">
        <f t="shared" si="130"/>
        <v/>
      </c>
      <c r="G71" t="str">
        <f>IF(OR(ISBLANK('Field information 1'!B72),AND(OR(ISBLANK('Field information 2'!L78), 'Field information 2'!L78=0),OR(ISBLANK('Field information 2'!N78), 'Field information 2'!N78=0), OR(ISBLANK('Field information 2'!P78), 'Field information 2'!P78=0))),"",
IF(ISTEXT('Field information 1'!B72), 'Field information 1'!B72, TEXT('Field information 1'!B72,"0")))</f>
        <v/>
      </c>
      <c r="H71" t="str">
        <f>IF(OR(ISBLANK('Field information 1'!B72),ISBLANK('Field information 2'!L78),ISBLANK('Field information 2'!F78)),"",'Field information 2'!F78)</f>
        <v/>
      </c>
      <c r="I71" s="91" t="str">
        <f>IF(OR(ISBLANK('Field information 1'!E72),G71=""),"",CEILING('Field information 1'!E72/10,1))</f>
        <v/>
      </c>
      <c r="J71" s="91" t="str">
        <f t="shared" si="131"/>
        <v>no</v>
      </c>
      <c r="K71" s="135" t="str">
        <f t="shared" ca="1" si="54"/>
        <v/>
      </c>
      <c r="L71" s="135" t="str">
        <f t="shared" ca="1" si="55"/>
        <v/>
      </c>
      <c r="M71" s="135" t="str">
        <f t="shared" ca="1" si="56"/>
        <v/>
      </c>
      <c r="N71" s="135" t="str">
        <f t="shared" ca="1" si="57"/>
        <v/>
      </c>
      <c r="O71" s="135" t="str">
        <f t="shared" ca="1" si="58"/>
        <v/>
      </c>
      <c r="P71" s="135" t="str">
        <f t="shared" ca="1" si="59"/>
        <v/>
      </c>
      <c r="Q71" s="135" t="str">
        <f t="shared" ca="1" si="60"/>
        <v/>
      </c>
      <c r="R71" s="135" t="str">
        <f t="shared" ca="1" si="61"/>
        <v/>
      </c>
      <c r="S71" s="135" t="str">
        <f t="shared" ca="1" si="62"/>
        <v/>
      </c>
      <c r="T71" s="135" t="str">
        <f t="shared" ca="1" si="63"/>
        <v/>
      </c>
      <c r="U71" s="49" t="str">
        <f t="shared" ca="1" si="106"/>
        <v/>
      </c>
      <c r="V71" s="7" t="str">
        <f t="shared" ca="1" si="107"/>
        <v/>
      </c>
      <c r="W71" s="7" t="str">
        <f t="shared" ca="1" si="108"/>
        <v/>
      </c>
      <c r="X71" s="7" t="str">
        <f t="shared" ca="1" si="109"/>
        <v/>
      </c>
      <c r="Y71" s="91"/>
      <c r="Z71" s="247" t="str">
        <f t="shared" si="110"/>
        <v/>
      </c>
      <c r="AA71" s="247" t="str">
        <f t="shared" si="111"/>
        <v/>
      </c>
      <c r="AB71" s="247" t="str">
        <f t="shared" si="112"/>
        <v/>
      </c>
      <c r="AC71" s="247" t="str">
        <f t="shared" si="113"/>
        <v/>
      </c>
      <c r="AD71" s="247" t="str">
        <f t="shared" si="114"/>
        <v/>
      </c>
      <c r="AE71" s="247" t="str">
        <f t="shared" si="115"/>
        <v/>
      </c>
      <c r="AF71" s="247" t="str">
        <f t="shared" si="116"/>
        <v/>
      </c>
      <c r="AG71" s="247" t="str">
        <f t="shared" si="117"/>
        <v/>
      </c>
      <c r="AH71" s="247" t="str">
        <f t="shared" si="118"/>
        <v/>
      </c>
      <c r="AI71" s="247" t="str">
        <f t="shared" si="119"/>
        <v/>
      </c>
      <c r="AK71" s="247" t="str">
        <f t="shared" si="120"/>
        <v/>
      </c>
      <c r="AL71" s="247" t="str">
        <f t="shared" si="121"/>
        <v/>
      </c>
      <c r="AM71" s="247" t="str">
        <f t="shared" si="122"/>
        <v/>
      </c>
      <c r="AN71" s="247" t="str">
        <f t="shared" si="123"/>
        <v/>
      </c>
      <c r="AO71" s="247" t="str">
        <f t="shared" si="124"/>
        <v/>
      </c>
      <c r="AP71" s="247" t="str">
        <f t="shared" si="125"/>
        <v/>
      </c>
      <c r="AQ71" s="247" t="str">
        <f t="shared" si="126"/>
        <v/>
      </c>
      <c r="AR71" s="247" t="str">
        <f t="shared" si="127"/>
        <v/>
      </c>
      <c r="AS71" s="247" t="str">
        <f t="shared" si="128"/>
        <v/>
      </c>
      <c r="AT71" s="247" t="str">
        <f t="shared" si="129"/>
        <v/>
      </c>
      <c r="AU71" s="189"/>
      <c r="AV71" t="str">
        <f>IF(ISBLANK('Field information 1'!F72),"",'Field information 1'!F72)</f>
        <v/>
      </c>
      <c r="AW71" s="334"/>
      <c r="AX71" s="247" t="str" cm="1">
        <f t="array" aca="1" ref="AX71" ca="1">INDIRECT(TEXT(MIN(IF((Calc!$Z$5:$AI$104&lt;&gt;"")*(COUNTIF($AX$4:AX70,Calc!$Z$5:$AI$104)=0),ROW(Calc!$Z$5:$AI$104)*100+COLUMN(Calc!$Z$5:$AI$104),7^8)),"Calc!R0C00"),)&amp;""</f>
        <v/>
      </c>
      <c r="AY71" t="str" cm="1">
        <f t="array" aca="1" ref="AY71" ca="1">INDIRECT(TEXT(MIN(IF((Calc!$AK$5:$AT$104&lt;&gt;"")*(COUNTIF(AY$4:$AY70,Calc!$AK$5:$AT$104)=0),ROW(Calc!$AK$5:$AT$104)*100+COLUMN(Calc!$AK$5:$AT$104),7^8)),"Calc!R0C00"),)&amp;""</f>
        <v/>
      </c>
      <c r="AZ71" s="247" t="str">
        <f t="shared" ca="1" si="132"/>
        <v/>
      </c>
      <c r="BA71" s="324">
        <f t="shared" ref="BA71:BA134" si="138">BA70+1</f>
        <v>67</v>
      </c>
      <c r="BB71">
        <f t="shared" ca="1" si="133"/>
        <v>0</v>
      </c>
      <c r="BC71" t="str">
        <f ca="1">IF($AX71="","",
VLOOKUP(LEFT($AX71,LEN($AX71)-2),'Field information 2'!$B$12:$P$111,11,FALSE))</f>
        <v/>
      </c>
      <c r="BD71" t="str">
        <f ca="1">IF($AX71="","",
VLOOKUP(LEFT($AX71,LEN($AX71)-2),'Field information 2'!$B$12:$P$111,13,FALSE))</f>
        <v/>
      </c>
      <c r="BE71" t="str">
        <f ca="1">IF($AX71="","",
VLOOKUP(LEFT($AX71,LEN($AX71)-2),'Field information 2'!$B$12:$P$111,15,FALSE))</f>
        <v/>
      </c>
      <c r="BF71">
        <f t="shared" ca="1" si="134"/>
        <v>0</v>
      </c>
      <c r="BG71" t="str">
        <f t="shared" ca="1" si="135"/>
        <v/>
      </c>
      <c r="BH71" s="7" t="str">
        <f ca="1">IF(OR(AX71="",'Soil results'!$D$7="",'Soil results'!$D$8=""),"",
IF('Soil results'!$D$7="LOI",
  IF('Soil results'!$D$8="mg/kg",'Soil results'!D76/10000,'Soil results'!D76),
IF('Soil results'!$D$7="Dumas",
  IF('Soil results'!$D$8="mg/kg",'Soil results'!D76*1.72/10000,'Soil results'!D76*1.72))))</f>
        <v/>
      </c>
      <c r="BI71" t="str">
        <f ca="1">IF($AX71="","",
VLOOKUP(LEFT($AX71,LEN($AX71)-2),'Field information 2'!$B$12:$I$111,8,FALSE))</f>
        <v/>
      </c>
      <c r="BJ71" t="str">
        <f ca="1">IF(BI71="","",
VLOOKUP(BI71,'Fertiliser recommendations'!$A$5:$B$62,2,FALSE))</f>
        <v/>
      </c>
      <c r="BK71" s="38" t="str">
        <f ca="1">IF($AX71="","",
IF(AND(BJ71="g",VLOOKUP(LEFT($AX71,LEN($AX71)-2),'Field information 2'!$B$12:$P$111,9,FALSE)&lt;&gt;"yes"),
IF(BG71="10-25% OM",6,IF(BG71="&gt;25% OM",12,IF(BG71="SCL; CL; ZCL; SC; ZC; C",6,IF(BG71="SL; SZL; ZL",5,IF(BG71="S; LS",4,"?"))))),
IF(OR(BJ71="a",AND(BJ71="g",VLOOKUP(LEFT($AX71,LEN($AX71)-2),'Field information 2'!$B$12:$P$111,9,FALSE)="yes")),
IF(BG71="10-25% OM",8,IF(BG71="&gt;25% OM",16,IF(BG71="SCL; CL; ZCL; SC; ZC; C",8,IF(BG71="SL; SZL; ZL",7,IF(BG71="S; LS",6,"?"))))),"")))</f>
        <v/>
      </c>
      <c r="BL71" t="str">
        <f ca="1">IF(AX71&lt;&gt;"",COUNTBLANK('Soil results'!D76:D76)+COUNTBLANK('Soil results'!F76:I76)+COUNTBLANK('Soil results'!K76:Q76),"")</f>
        <v/>
      </c>
      <c r="BM71" t="str">
        <f ca="1">IF(AX71&lt;&gt;"",
IF(OR(ISNUMBER(SEARCH("10*01*01",'Field information 2'!$M$5)),ISNUMBER(SEARCH("10*01*03",'Field information 2'!$M$5))),0.25,1),"")</f>
        <v/>
      </c>
      <c r="BN71" s="275" t="str">
        <f ca="1">IF(AX71&lt;&gt;"",
IF(COUNTIF('Soil results'!G77:G$159,"="&amp;'Soil results'!G76)+COUNTIF('Soil results'!H77:H$159,"="&amp;'Soil results'!H76)+COUNTIF('Soil results'!I77:I$159,"="&amp;'Soil results'!I76)=0,"no",
IF(MOD(COUNTIF('Soil results'!G77:G$159,"="&amp;'Soil results'!G76)+COUNTIF('Soil results'!H77:H$159,"="&amp;'Soil results'!H76)+COUNTIF('Soil results'!I77:I$159,"="&amp;'Soil results'!I76),3)=0,"yes","no")),"")</f>
        <v/>
      </c>
      <c r="BO71" s="276" t="str">
        <f t="shared" ca="1" si="136"/>
        <v/>
      </c>
      <c r="BP71" s="33"/>
      <c r="BQ71" s="276"/>
      <c r="BR71" s="276"/>
      <c r="BS71" s="276" t="str">
        <f t="shared" ca="1" si="137"/>
        <v/>
      </c>
      <c r="BT71" s="153" t="str">
        <f ca="1">IF(AX71="","",
IF(OR(Assessment!F73="limited benefit",Assessment!F73="benefit", Assessment!M73="limited benefit",Assessment!M73="benefit", Assessment!R73="limited benefit",Assessment!R73="benefit", Assessment!W73="limited benefit",Assessment!W73="benefit", Assessment!AB73="limited benefit",Assessment!AB73="benefit", AND(ISNUMBER(Assessment!AF73),Assessment!AG73="ok"), Assessment!AJ73="benefit"),"yes","no"))</f>
        <v/>
      </c>
      <c r="BW71" t="s">
        <v>379</v>
      </c>
    </row>
    <row r="72" spans="1:75" ht="15" x14ac:dyDescent="0.25">
      <c r="A72" s="272">
        <f>IF(AND('Field information 2'!L79&gt;0, 'Field information 2'!M79=0),"data missing", 'Field information 2'!M79-'Field information 2'!L79)</f>
        <v>0</v>
      </c>
      <c r="B72" s="272">
        <f>IF(AND('Field information 2'!N79&gt;0,'Field information 2'!O79=0),"data missing",'Field information 2'!O79-'Field information 2'!N79)</f>
        <v>0</v>
      </c>
      <c r="C72" s="272">
        <f>IF(AND('Field information 2'!P79&gt;0, 'Field information 2'!Q79=0),"data missing",'Field information 2'!Q79-'Field information 2'!P79)</f>
        <v>0</v>
      </c>
      <c r="D72">
        <f>'Field information 2'!L79</f>
        <v>0</v>
      </c>
      <c r="E72" s="249" t="str">
        <f>IF(OR('Field information 2'!L79&gt;0,'Field information 2'!N79&gt;0,'Field information 2'!P79&gt;0),"Y","N")</f>
        <v>N</v>
      </c>
      <c r="F72" s="277" t="str">
        <f t="shared" si="130"/>
        <v/>
      </c>
      <c r="G72" t="str">
        <f>IF(OR(ISBLANK('Field information 1'!B73),AND(OR(ISBLANK('Field information 2'!L79), 'Field information 2'!L79=0),OR(ISBLANK('Field information 2'!N79), 'Field information 2'!N79=0), OR(ISBLANK('Field information 2'!P79), 'Field information 2'!P79=0))),"",
IF(ISTEXT('Field information 1'!B73), 'Field information 1'!B73, TEXT('Field information 1'!B73,"0")))</f>
        <v/>
      </c>
      <c r="H72" t="str">
        <f>IF(OR(ISBLANK('Field information 1'!B73),ISBLANK('Field information 2'!L79),ISBLANK('Field information 2'!F79)),"",'Field information 2'!F79)</f>
        <v/>
      </c>
      <c r="I72" s="91" t="str">
        <f>IF(OR(ISBLANK('Field information 1'!E73),G72=""),"",CEILING('Field information 1'!E73/10,1))</f>
        <v/>
      </c>
      <c r="J72" s="91" t="str">
        <f t="shared" si="131"/>
        <v>no</v>
      </c>
      <c r="K72" s="135" t="str">
        <f t="shared" ca="1" si="54"/>
        <v/>
      </c>
      <c r="L72" s="135" t="str">
        <f t="shared" ca="1" si="55"/>
        <v/>
      </c>
      <c r="M72" s="135" t="str">
        <f t="shared" ca="1" si="56"/>
        <v/>
      </c>
      <c r="N72" s="135" t="str">
        <f t="shared" ca="1" si="57"/>
        <v/>
      </c>
      <c r="O72" s="135" t="str">
        <f t="shared" ca="1" si="58"/>
        <v/>
      </c>
      <c r="P72" s="135" t="str">
        <f t="shared" ca="1" si="59"/>
        <v/>
      </c>
      <c r="Q72" s="135" t="str">
        <f t="shared" ca="1" si="60"/>
        <v/>
      </c>
      <c r="R72" s="135" t="str">
        <f t="shared" ca="1" si="61"/>
        <v/>
      </c>
      <c r="S72" s="135" t="str">
        <f t="shared" ca="1" si="62"/>
        <v/>
      </c>
      <c r="T72" s="135" t="str">
        <f t="shared" ca="1" si="63"/>
        <v/>
      </c>
      <c r="U72" s="49" t="str">
        <f t="shared" ca="1" si="106"/>
        <v/>
      </c>
      <c r="V72" s="7" t="str">
        <f t="shared" ca="1" si="107"/>
        <v/>
      </c>
      <c r="W72" s="7" t="str">
        <f t="shared" ca="1" si="108"/>
        <v/>
      </c>
      <c r="X72" s="7" t="str">
        <f t="shared" ca="1" si="109"/>
        <v/>
      </c>
      <c r="Y72" s="91"/>
      <c r="Z72" s="247" t="str">
        <f t="shared" si="110"/>
        <v/>
      </c>
      <c r="AA72" s="247" t="str">
        <f t="shared" si="111"/>
        <v/>
      </c>
      <c r="AB72" s="247" t="str">
        <f t="shared" si="112"/>
        <v/>
      </c>
      <c r="AC72" s="247" t="str">
        <f t="shared" si="113"/>
        <v/>
      </c>
      <c r="AD72" s="247" t="str">
        <f t="shared" si="114"/>
        <v/>
      </c>
      <c r="AE72" s="247" t="str">
        <f t="shared" si="115"/>
        <v/>
      </c>
      <c r="AF72" s="247" t="str">
        <f t="shared" si="116"/>
        <v/>
      </c>
      <c r="AG72" s="247" t="str">
        <f t="shared" si="117"/>
        <v/>
      </c>
      <c r="AH72" s="247" t="str">
        <f t="shared" si="118"/>
        <v/>
      </c>
      <c r="AI72" s="247" t="str">
        <f t="shared" si="119"/>
        <v/>
      </c>
      <c r="AK72" s="247" t="str">
        <f t="shared" si="120"/>
        <v/>
      </c>
      <c r="AL72" s="247" t="str">
        <f t="shared" si="121"/>
        <v/>
      </c>
      <c r="AM72" s="247" t="str">
        <f t="shared" si="122"/>
        <v/>
      </c>
      <c r="AN72" s="247" t="str">
        <f t="shared" si="123"/>
        <v/>
      </c>
      <c r="AO72" s="247" t="str">
        <f t="shared" si="124"/>
        <v/>
      </c>
      <c r="AP72" s="247" t="str">
        <f t="shared" si="125"/>
        <v/>
      </c>
      <c r="AQ72" s="247" t="str">
        <f t="shared" si="126"/>
        <v/>
      </c>
      <c r="AR72" s="247" t="str">
        <f t="shared" si="127"/>
        <v/>
      </c>
      <c r="AS72" s="247" t="str">
        <f t="shared" si="128"/>
        <v/>
      </c>
      <c r="AT72" s="247" t="str">
        <f t="shared" si="129"/>
        <v/>
      </c>
      <c r="AU72" s="189"/>
      <c r="AV72" t="str">
        <f>IF(ISBLANK('Field information 1'!F73),"",'Field information 1'!F73)</f>
        <v/>
      </c>
      <c r="AW72" s="334"/>
      <c r="AX72" s="247" t="str" cm="1">
        <f t="array" aca="1" ref="AX72" ca="1">INDIRECT(TEXT(MIN(IF((Calc!$Z$5:$AI$104&lt;&gt;"")*(COUNTIF($AX$4:AX71,Calc!$Z$5:$AI$104)=0),ROW(Calc!$Z$5:$AI$104)*100+COLUMN(Calc!$Z$5:$AI$104),7^8)),"Calc!R0C00"),)&amp;""</f>
        <v/>
      </c>
      <c r="AY72" t="str" cm="1">
        <f t="array" aca="1" ref="AY72" ca="1">INDIRECT(TEXT(MIN(IF((Calc!$AK$5:$AT$104&lt;&gt;"")*(COUNTIF(AY$4:$AY71,Calc!$AK$5:$AT$104)=0),ROW(Calc!$AK$5:$AT$104)*100+COLUMN(Calc!$AK$5:$AT$104),7^8)),"Calc!R0C00"),)&amp;""</f>
        <v/>
      </c>
      <c r="AZ72" s="247" t="str">
        <f t="shared" ca="1" si="132"/>
        <v/>
      </c>
      <c r="BA72" s="324">
        <f t="shared" si="138"/>
        <v>68</v>
      </c>
      <c r="BB72">
        <f t="shared" ca="1" si="133"/>
        <v>0</v>
      </c>
      <c r="BC72" t="str">
        <f ca="1">IF($AX72="","",
VLOOKUP(LEFT($AX72,LEN($AX72)-2),'Field information 2'!$B$12:$P$111,11,FALSE))</f>
        <v/>
      </c>
      <c r="BD72" t="str">
        <f ca="1">IF($AX72="","",
VLOOKUP(LEFT($AX72,LEN($AX72)-2),'Field information 2'!$B$12:$P$111,13,FALSE))</f>
        <v/>
      </c>
      <c r="BE72" t="str">
        <f ca="1">IF($AX72="","",
VLOOKUP(LEFT($AX72,LEN($AX72)-2),'Field information 2'!$B$12:$P$111,15,FALSE))</f>
        <v/>
      </c>
      <c r="BF72">
        <f t="shared" ca="1" si="134"/>
        <v>0</v>
      </c>
      <c r="BG72" t="str">
        <f t="shared" ca="1" si="135"/>
        <v/>
      </c>
      <c r="BH72" s="7" t="str">
        <f ca="1">IF(OR(AX72="",'Soil results'!$D$7="",'Soil results'!$D$8=""),"",
IF('Soil results'!$D$7="LOI",
  IF('Soil results'!$D$8="mg/kg",'Soil results'!D77/10000,'Soil results'!D77),
IF('Soil results'!$D$7="Dumas",
  IF('Soil results'!$D$8="mg/kg",'Soil results'!D77*1.72/10000,'Soil results'!D77*1.72))))</f>
        <v/>
      </c>
      <c r="BI72" t="str">
        <f ca="1">IF($AX72="","",
VLOOKUP(LEFT($AX72,LEN($AX72)-2),'Field information 2'!$B$12:$I$111,8,FALSE))</f>
        <v/>
      </c>
      <c r="BJ72" t="str">
        <f ca="1">IF(BI72="","",
VLOOKUP(BI72,'Fertiliser recommendations'!$A$5:$B$62,2,FALSE))</f>
        <v/>
      </c>
      <c r="BK72" s="38" t="str">
        <f ca="1">IF($AX72="","",
IF(AND(BJ72="g",VLOOKUP(LEFT($AX72,LEN($AX72)-2),'Field information 2'!$B$12:$P$111,9,FALSE)&lt;&gt;"yes"),
IF(BG72="10-25% OM",6,IF(BG72="&gt;25% OM",12,IF(BG72="SCL; CL; ZCL; SC; ZC; C",6,IF(BG72="SL; SZL; ZL",5,IF(BG72="S; LS",4,"?"))))),
IF(OR(BJ72="a",AND(BJ72="g",VLOOKUP(LEFT($AX72,LEN($AX72)-2),'Field information 2'!$B$12:$P$111,9,FALSE)="yes")),
IF(BG72="10-25% OM",8,IF(BG72="&gt;25% OM",16,IF(BG72="SCL; CL; ZCL; SC; ZC; C",8,IF(BG72="SL; SZL; ZL",7,IF(BG72="S; LS",6,"?"))))),"")))</f>
        <v/>
      </c>
      <c r="BL72" t="str">
        <f ca="1">IF(AX72&lt;&gt;"",COUNTBLANK('Soil results'!D77:D77)+COUNTBLANK('Soil results'!F77:I77)+COUNTBLANK('Soil results'!K77:Q77),"")</f>
        <v/>
      </c>
      <c r="BM72" t="str">
        <f ca="1">IF(AX72&lt;&gt;"",
IF(OR(ISNUMBER(SEARCH("10*01*01",'Field information 2'!$M$5)),ISNUMBER(SEARCH("10*01*03",'Field information 2'!$M$5))),0.25,1),"")</f>
        <v/>
      </c>
      <c r="BN72" s="275" t="str">
        <f ca="1">IF(AX72&lt;&gt;"",
IF(COUNTIF('Soil results'!G78:G$159,"="&amp;'Soil results'!G77)+COUNTIF('Soil results'!H78:H$159,"="&amp;'Soil results'!H77)+COUNTIF('Soil results'!I78:I$159,"="&amp;'Soil results'!I77)=0,"no",
IF(MOD(COUNTIF('Soil results'!G78:G$159,"="&amp;'Soil results'!G77)+COUNTIF('Soil results'!H78:H$159,"="&amp;'Soil results'!H77)+COUNTIF('Soil results'!I78:I$159,"="&amp;'Soil results'!I77),3)=0,"yes","no")),"")</f>
        <v/>
      </c>
      <c r="BO72" s="276" t="str">
        <f t="shared" ca="1" si="136"/>
        <v/>
      </c>
      <c r="BP72" s="33"/>
      <c r="BQ72" s="276"/>
      <c r="BR72" s="276"/>
      <c r="BS72" s="276" t="str">
        <f t="shared" ca="1" si="137"/>
        <v/>
      </c>
      <c r="BT72" s="153" t="str">
        <f ca="1">IF(AX72="","",
IF(OR(Assessment!F74="limited benefit",Assessment!F74="benefit", Assessment!M74="limited benefit",Assessment!M74="benefit", Assessment!R74="limited benefit",Assessment!R74="benefit", Assessment!W74="limited benefit",Assessment!W74="benefit", Assessment!AB74="limited benefit",Assessment!AB74="benefit", AND(ISNUMBER(Assessment!AF74),Assessment!AG74="ok"), Assessment!AJ74="benefit"),"yes","no"))</f>
        <v/>
      </c>
      <c r="BW72" t="s">
        <v>380</v>
      </c>
    </row>
    <row r="73" spans="1:75" ht="15" x14ac:dyDescent="0.25">
      <c r="A73" s="272">
        <f>IF(AND('Field information 2'!L80&gt;0, 'Field information 2'!M80=0),"data missing", 'Field information 2'!M80-'Field information 2'!L80)</f>
        <v>0</v>
      </c>
      <c r="B73" s="272">
        <f>IF(AND('Field information 2'!N80&gt;0,'Field information 2'!O80=0),"data missing",'Field information 2'!O80-'Field information 2'!N80)</f>
        <v>0</v>
      </c>
      <c r="C73" s="272">
        <f>IF(AND('Field information 2'!P80&gt;0, 'Field information 2'!Q80=0),"data missing",'Field information 2'!Q80-'Field information 2'!P80)</f>
        <v>0</v>
      </c>
      <c r="D73">
        <f>'Field information 2'!L80</f>
        <v>0</v>
      </c>
      <c r="E73" s="249" t="str">
        <f>IF(OR('Field information 2'!L80&gt;0,'Field information 2'!N80&gt;0,'Field information 2'!P80&gt;0),"Y","N")</f>
        <v>N</v>
      </c>
      <c r="F73" s="277" t="str">
        <f t="shared" si="130"/>
        <v/>
      </c>
      <c r="G73" t="str">
        <f>IF(OR(ISBLANK('Field information 1'!B74),AND(OR(ISBLANK('Field information 2'!L80), 'Field information 2'!L80=0),OR(ISBLANK('Field information 2'!N80), 'Field information 2'!N80=0), OR(ISBLANK('Field information 2'!P80), 'Field information 2'!P80=0))),"",
IF(ISTEXT('Field information 1'!B74), 'Field information 1'!B74, TEXT('Field information 1'!B74,"0")))</f>
        <v/>
      </c>
      <c r="H73" t="str">
        <f>IF(OR(ISBLANK('Field information 1'!B74),ISBLANK('Field information 2'!L80),ISBLANK('Field information 2'!F80)),"",'Field information 2'!F80)</f>
        <v/>
      </c>
      <c r="I73" s="91" t="str">
        <f>IF(OR(ISBLANK('Field information 1'!E74),G73=""),"",CEILING('Field information 1'!E74/10,1))</f>
        <v/>
      </c>
      <c r="J73" s="91" t="str">
        <f t="shared" si="131"/>
        <v>no</v>
      </c>
      <c r="K73" s="135" t="str">
        <f t="shared" ca="1" si="54"/>
        <v/>
      </c>
      <c r="L73" s="135" t="str">
        <f t="shared" ca="1" si="55"/>
        <v/>
      </c>
      <c r="M73" s="135" t="str">
        <f t="shared" ca="1" si="56"/>
        <v/>
      </c>
      <c r="N73" s="135" t="str">
        <f t="shared" ca="1" si="57"/>
        <v/>
      </c>
      <c r="O73" s="135" t="str">
        <f t="shared" ca="1" si="58"/>
        <v/>
      </c>
      <c r="P73" s="135" t="str">
        <f t="shared" ca="1" si="59"/>
        <v/>
      </c>
      <c r="Q73" s="135" t="str">
        <f t="shared" ca="1" si="60"/>
        <v/>
      </c>
      <c r="R73" s="135" t="str">
        <f t="shared" ca="1" si="61"/>
        <v/>
      </c>
      <c r="S73" s="135" t="str">
        <f t="shared" ca="1" si="62"/>
        <v/>
      </c>
      <c r="T73" s="135" t="str">
        <f t="shared" ca="1" si="63"/>
        <v/>
      </c>
      <c r="U73" s="49" t="str">
        <f t="shared" ca="1" si="106"/>
        <v/>
      </c>
      <c r="V73" s="7" t="str">
        <f t="shared" ca="1" si="107"/>
        <v/>
      </c>
      <c r="W73" s="7" t="str">
        <f t="shared" ca="1" si="108"/>
        <v/>
      </c>
      <c r="X73" s="7" t="str">
        <f t="shared" ca="1" si="109"/>
        <v/>
      </c>
      <c r="Y73" s="91"/>
      <c r="Z73" s="247" t="str">
        <f t="shared" si="110"/>
        <v/>
      </c>
      <c r="AA73" s="247" t="str">
        <f t="shared" si="111"/>
        <v/>
      </c>
      <c r="AB73" s="247" t="str">
        <f t="shared" si="112"/>
        <v/>
      </c>
      <c r="AC73" s="247" t="str">
        <f t="shared" si="113"/>
        <v/>
      </c>
      <c r="AD73" s="247" t="str">
        <f t="shared" si="114"/>
        <v/>
      </c>
      <c r="AE73" s="247" t="str">
        <f t="shared" si="115"/>
        <v/>
      </c>
      <c r="AF73" s="247" t="str">
        <f t="shared" si="116"/>
        <v/>
      </c>
      <c r="AG73" s="247" t="str">
        <f t="shared" si="117"/>
        <v/>
      </c>
      <c r="AH73" s="247" t="str">
        <f t="shared" si="118"/>
        <v/>
      </c>
      <c r="AI73" s="247" t="str">
        <f t="shared" si="119"/>
        <v/>
      </c>
      <c r="AK73" s="247" t="str">
        <f t="shared" si="120"/>
        <v/>
      </c>
      <c r="AL73" s="247" t="str">
        <f t="shared" si="121"/>
        <v/>
      </c>
      <c r="AM73" s="247" t="str">
        <f t="shared" si="122"/>
        <v/>
      </c>
      <c r="AN73" s="247" t="str">
        <f t="shared" si="123"/>
        <v/>
      </c>
      <c r="AO73" s="247" t="str">
        <f t="shared" si="124"/>
        <v/>
      </c>
      <c r="AP73" s="247" t="str">
        <f t="shared" si="125"/>
        <v/>
      </c>
      <c r="AQ73" s="247" t="str">
        <f t="shared" si="126"/>
        <v/>
      </c>
      <c r="AR73" s="247" t="str">
        <f t="shared" si="127"/>
        <v/>
      </c>
      <c r="AS73" s="247" t="str">
        <f t="shared" si="128"/>
        <v/>
      </c>
      <c r="AT73" s="247" t="str">
        <f t="shared" si="129"/>
        <v/>
      </c>
      <c r="AU73" s="189"/>
      <c r="AV73" t="str">
        <f>IF(ISBLANK('Field information 1'!F74),"",'Field information 1'!F74)</f>
        <v/>
      </c>
      <c r="AW73" s="334"/>
      <c r="AX73" s="247" t="str" cm="1">
        <f t="array" aca="1" ref="AX73" ca="1">INDIRECT(TEXT(MIN(IF((Calc!$Z$5:$AI$104&lt;&gt;"")*(COUNTIF($AX$4:AX72,Calc!$Z$5:$AI$104)=0),ROW(Calc!$Z$5:$AI$104)*100+COLUMN(Calc!$Z$5:$AI$104),7^8)),"Calc!R0C00"),)&amp;""</f>
        <v/>
      </c>
      <c r="AY73" t="str" cm="1">
        <f t="array" aca="1" ref="AY73" ca="1">INDIRECT(TEXT(MIN(IF((Calc!$AK$5:$AT$104&lt;&gt;"")*(COUNTIF(AY$4:$AY72,Calc!$AK$5:$AT$104)=0),ROW(Calc!$AK$5:$AT$104)*100+COLUMN(Calc!$AK$5:$AT$104),7^8)),"Calc!R0C00"),)&amp;""</f>
        <v/>
      </c>
      <c r="AZ73" s="247" t="str">
        <f t="shared" ca="1" si="132"/>
        <v/>
      </c>
      <c r="BA73" s="324">
        <f t="shared" si="138"/>
        <v>69</v>
      </c>
      <c r="BB73">
        <f t="shared" ca="1" si="133"/>
        <v>0</v>
      </c>
      <c r="BC73" t="str">
        <f ca="1">IF($AX73="","",
VLOOKUP(LEFT($AX73,LEN($AX73)-2),'Field information 2'!$B$12:$P$111,11,FALSE))</f>
        <v/>
      </c>
      <c r="BD73" t="str">
        <f ca="1">IF($AX73="","",
VLOOKUP(LEFT($AX73,LEN($AX73)-2),'Field information 2'!$B$12:$P$111,13,FALSE))</f>
        <v/>
      </c>
      <c r="BE73" t="str">
        <f ca="1">IF($AX73="","",
VLOOKUP(LEFT($AX73,LEN($AX73)-2),'Field information 2'!$B$12:$P$111,15,FALSE))</f>
        <v/>
      </c>
      <c r="BF73">
        <f t="shared" ca="1" si="134"/>
        <v>0</v>
      </c>
      <c r="BG73" t="str">
        <f t="shared" ca="1" si="135"/>
        <v/>
      </c>
      <c r="BH73" s="7" t="str">
        <f ca="1">IF(OR(AX73="",'Soil results'!$D$7="",'Soil results'!$D$8=""),"",
IF('Soil results'!$D$7="LOI",
  IF('Soil results'!$D$8="mg/kg",'Soil results'!D78/10000,'Soil results'!D78),
IF('Soil results'!$D$7="Dumas",
  IF('Soil results'!$D$8="mg/kg",'Soil results'!D78*1.72/10000,'Soil results'!D78*1.72))))</f>
        <v/>
      </c>
      <c r="BI73" t="str">
        <f ca="1">IF($AX73="","",
VLOOKUP(LEFT($AX73,LEN($AX73)-2),'Field information 2'!$B$12:$I$111,8,FALSE))</f>
        <v/>
      </c>
      <c r="BJ73" t="str">
        <f ca="1">IF(BI73="","",
VLOOKUP(BI73,'Fertiliser recommendations'!$A$5:$B$62,2,FALSE))</f>
        <v/>
      </c>
      <c r="BK73" s="38" t="str">
        <f ca="1">IF($AX73="","",
IF(AND(BJ73="g",VLOOKUP(LEFT($AX73,LEN($AX73)-2),'Field information 2'!$B$12:$P$111,9,FALSE)&lt;&gt;"yes"),
IF(BG73="10-25% OM",6,IF(BG73="&gt;25% OM",12,IF(BG73="SCL; CL; ZCL; SC; ZC; C",6,IF(BG73="SL; SZL; ZL",5,IF(BG73="S; LS",4,"?"))))),
IF(OR(BJ73="a",AND(BJ73="g",VLOOKUP(LEFT($AX73,LEN($AX73)-2),'Field information 2'!$B$12:$P$111,9,FALSE)="yes")),
IF(BG73="10-25% OM",8,IF(BG73="&gt;25% OM",16,IF(BG73="SCL; CL; ZCL; SC; ZC; C",8,IF(BG73="SL; SZL; ZL",7,IF(BG73="S; LS",6,"?"))))),"")))</f>
        <v/>
      </c>
      <c r="BL73" t="str">
        <f ca="1">IF(AX73&lt;&gt;"",COUNTBLANK('Soil results'!D78:D78)+COUNTBLANK('Soil results'!F78:I78)+COUNTBLANK('Soil results'!K78:Q78),"")</f>
        <v/>
      </c>
      <c r="BM73" t="str">
        <f ca="1">IF(AX73&lt;&gt;"",
IF(OR(ISNUMBER(SEARCH("10*01*01",'Field information 2'!$M$5)),ISNUMBER(SEARCH("10*01*03",'Field information 2'!$M$5))),0.25,1),"")</f>
        <v/>
      </c>
      <c r="BN73" s="275" t="str">
        <f ca="1">IF(AX73&lt;&gt;"",
IF(COUNTIF('Soil results'!G79:G$159,"="&amp;'Soil results'!G78)+COUNTIF('Soil results'!H79:H$159,"="&amp;'Soil results'!H78)+COUNTIF('Soil results'!I79:I$159,"="&amp;'Soil results'!I78)=0,"no",
IF(MOD(COUNTIF('Soil results'!G79:G$159,"="&amp;'Soil results'!G78)+COUNTIF('Soil results'!H79:H$159,"="&amp;'Soil results'!H78)+COUNTIF('Soil results'!I79:I$159,"="&amp;'Soil results'!I78),3)=0,"yes","no")),"")</f>
        <v/>
      </c>
      <c r="BO73" s="276" t="str">
        <f t="shared" ca="1" si="136"/>
        <v/>
      </c>
      <c r="BP73" s="33"/>
      <c r="BQ73" s="276"/>
      <c r="BR73" s="276"/>
      <c r="BS73" s="276" t="str">
        <f t="shared" ca="1" si="137"/>
        <v/>
      </c>
      <c r="BT73" s="153" t="str">
        <f ca="1">IF(AX73="","",
IF(OR(Assessment!F75="limited benefit",Assessment!F75="benefit", Assessment!M75="limited benefit",Assessment!M75="benefit", Assessment!R75="limited benefit",Assessment!R75="benefit", Assessment!W75="limited benefit",Assessment!W75="benefit", Assessment!AB75="limited benefit",Assessment!AB75="benefit", AND(ISNUMBER(Assessment!AF75),Assessment!AG75="ok"), Assessment!AJ75="benefit"),"yes","no"))</f>
        <v/>
      </c>
      <c r="BW73" t="s">
        <v>381</v>
      </c>
    </row>
    <row r="74" spans="1:75" ht="15" x14ac:dyDescent="0.25">
      <c r="A74" s="272">
        <f>IF(AND('Field information 2'!L81&gt;0, 'Field information 2'!M81=0),"data missing", 'Field information 2'!M81-'Field information 2'!L81)</f>
        <v>0</v>
      </c>
      <c r="B74" s="272">
        <f>IF(AND('Field information 2'!N81&gt;0,'Field information 2'!O81=0),"data missing",'Field information 2'!O81-'Field information 2'!N81)</f>
        <v>0</v>
      </c>
      <c r="C74" s="272">
        <f>IF(AND('Field information 2'!P81&gt;0, 'Field information 2'!Q81=0),"data missing",'Field information 2'!Q81-'Field information 2'!P81)</f>
        <v>0</v>
      </c>
      <c r="D74">
        <f>'Field information 2'!L81</f>
        <v>0</v>
      </c>
      <c r="E74" s="249" t="str">
        <f>IF(OR('Field information 2'!L81&gt;0,'Field information 2'!N81&gt;0,'Field information 2'!P81&gt;0),"Y","N")</f>
        <v>N</v>
      </c>
      <c r="F74" s="277" t="str">
        <f t="shared" si="130"/>
        <v/>
      </c>
      <c r="G74" t="str">
        <f>IF(OR(ISBLANK('Field information 1'!B75),AND(OR(ISBLANK('Field information 2'!L81), 'Field information 2'!L81=0),OR(ISBLANK('Field information 2'!N81), 'Field information 2'!N81=0), OR(ISBLANK('Field information 2'!P81), 'Field information 2'!P81=0))),"",
IF(ISTEXT('Field information 1'!B75), 'Field information 1'!B75, TEXT('Field information 1'!B75,"0")))</f>
        <v/>
      </c>
      <c r="H74" t="str">
        <f>IF(OR(ISBLANK('Field information 1'!B75),ISBLANK('Field information 2'!L81),ISBLANK('Field information 2'!F81)),"",'Field information 2'!F81)</f>
        <v/>
      </c>
      <c r="I74" s="91" t="str">
        <f>IF(OR(ISBLANK('Field information 1'!E75),G74=""),"",CEILING('Field information 1'!E75/10,1))</f>
        <v/>
      </c>
      <c r="J74" s="91" t="str">
        <f t="shared" si="131"/>
        <v>no</v>
      </c>
      <c r="K74" s="135" t="str">
        <f t="shared" ca="1" si="54"/>
        <v/>
      </c>
      <c r="L74" s="135" t="str">
        <f t="shared" ca="1" si="55"/>
        <v/>
      </c>
      <c r="M74" s="135" t="str">
        <f t="shared" ca="1" si="56"/>
        <v/>
      </c>
      <c r="N74" s="135" t="str">
        <f t="shared" ca="1" si="57"/>
        <v/>
      </c>
      <c r="O74" s="135" t="str">
        <f t="shared" ca="1" si="58"/>
        <v/>
      </c>
      <c r="P74" s="135" t="str">
        <f t="shared" ca="1" si="59"/>
        <v/>
      </c>
      <c r="Q74" s="135" t="str">
        <f t="shared" ca="1" si="60"/>
        <v/>
      </c>
      <c r="R74" s="135" t="str">
        <f t="shared" ca="1" si="61"/>
        <v/>
      </c>
      <c r="S74" s="135" t="str">
        <f t="shared" ca="1" si="62"/>
        <v/>
      </c>
      <c r="T74" s="135" t="str">
        <f t="shared" ca="1" si="63"/>
        <v/>
      </c>
      <c r="U74" s="49" t="str">
        <f t="shared" ca="1" si="106"/>
        <v/>
      </c>
      <c r="V74" s="7" t="str">
        <f t="shared" ca="1" si="107"/>
        <v/>
      </c>
      <c r="W74" s="7" t="str">
        <f t="shared" ca="1" si="108"/>
        <v/>
      </c>
      <c r="X74" s="7" t="str">
        <f t="shared" ca="1" si="109"/>
        <v/>
      </c>
      <c r="Y74" s="91"/>
      <c r="Z74" s="247" t="str">
        <f t="shared" si="110"/>
        <v/>
      </c>
      <c r="AA74" s="247" t="str">
        <f t="shared" si="111"/>
        <v/>
      </c>
      <c r="AB74" s="247" t="str">
        <f t="shared" si="112"/>
        <v/>
      </c>
      <c r="AC74" s="247" t="str">
        <f t="shared" si="113"/>
        <v/>
      </c>
      <c r="AD74" s="247" t="str">
        <f t="shared" si="114"/>
        <v/>
      </c>
      <c r="AE74" s="247" t="str">
        <f t="shared" si="115"/>
        <v/>
      </c>
      <c r="AF74" s="247" t="str">
        <f t="shared" si="116"/>
        <v/>
      </c>
      <c r="AG74" s="247" t="str">
        <f t="shared" si="117"/>
        <v/>
      </c>
      <c r="AH74" s="247" t="str">
        <f t="shared" si="118"/>
        <v/>
      </c>
      <c r="AI74" s="247" t="str">
        <f t="shared" si="119"/>
        <v/>
      </c>
      <c r="AK74" s="247" t="str">
        <f t="shared" si="120"/>
        <v/>
      </c>
      <c r="AL74" s="247" t="str">
        <f t="shared" si="121"/>
        <v/>
      </c>
      <c r="AM74" s="247" t="str">
        <f t="shared" si="122"/>
        <v/>
      </c>
      <c r="AN74" s="247" t="str">
        <f t="shared" si="123"/>
        <v/>
      </c>
      <c r="AO74" s="247" t="str">
        <f t="shared" si="124"/>
        <v/>
      </c>
      <c r="AP74" s="247" t="str">
        <f t="shared" si="125"/>
        <v/>
      </c>
      <c r="AQ74" s="247" t="str">
        <f t="shared" si="126"/>
        <v/>
      </c>
      <c r="AR74" s="247" t="str">
        <f t="shared" si="127"/>
        <v/>
      </c>
      <c r="AS74" s="247" t="str">
        <f t="shared" si="128"/>
        <v/>
      </c>
      <c r="AT74" s="247" t="str">
        <f t="shared" si="129"/>
        <v/>
      </c>
      <c r="AU74" s="189"/>
      <c r="AV74" t="str">
        <f>IF(ISBLANK('Field information 1'!F75),"",'Field information 1'!F75)</f>
        <v/>
      </c>
      <c r="AW74" s="334"/>
      <c r="AX74" s="247" t="str" cm="1">
        <f t="array" aca="1" ref="AX74" ca="1">INDIRECT(TEXT(MIN(IF((Calc!$Z$5:$AI$104&lt;&gt;"")*(COUNTIF($AX$4:AX73,Calc!$Z$5:$AI$104)=0),ROW(Calc!$Z$5:$AI$104)*100+COLUMN(Calc!$Z$5:$AI$104),7^8)),"Calc!R0C00"),)&amp;""</f>
        <v/>
      </c>
      <c r="AY74" t="str" cm="1">
        <f t="array" aca="1" ref="AY74" ca="1">INDIRECT(TEXT(MIN(IF((Calc!$AK$5:$AT$104&lt;&gt;"")*(COUNTIF(AY$4:$AY73,Calc!$AK$5:$AT$104)=0),ROW(Calc!$AK$5:$AT$104)*100+COLUMN(Calc!$AK$5:$AT$104),7^8)),"Calc!R0C00"),)&amp;""</f>
        <v/>
      </c>
      <c r="AZ74" s="247" t="str">
        <f t="shared" ca="1" si="132"/>
        <v/>
      </c>
      <c r="BA74" s="324">
        <f t="shared" si="138"/>
        <v>70</v>
      </c>
      <c r="BB74">
        <f t="shared" ca="1" si="133"/>
        <v>0</v>
      </c>
      <c r="BC74" t="str">
        <f ca="1">IF($AX74="","",
VLOOKUP(LEFT($AX74,LEN($AX74)-2),'Field information 2'!$B$12:$P$111,11,FALSE))</f>
        <v/>
      </c>
      <c r="BD74" t="str">
        <f ca="1">IF($AX74="","",
VLOOKUP(LEFT($AX74,LEN($AX74)-2),'Field information 2'!$B$12:$P$111,13,FALSE))</f>
        <v/>
      </c>
      <c r="BE74" t="str">
        <f ca="1">IF($AX74="","",
VLOOKUP(LEFT($AX74,LEN($AX74)-2),'Field information 2'!$B$12:$P$111,15,FALSE))</f>
        <v/>
      </c>
      <c r="BF74">
        <f t="shared" ca="1" si="134"/>
        <v>0</v>
      </c>
      <c r="BG74" t="str">
        <f t="shared" ca="1" si="135"/>
        <v/>
      </c>
      <c r="BH74" s="7" t="str">
        <f ca="1">IF(OR(AX74="",'Soil results'!$D$7="",'Soil results'!$D$8=""),"",
IF('Soil results'!$D$7="LOI",
  IF('Soil results'!$D$8="mg/kg",'Soil results'!D79/10000,'Soil results'!D79),
IF('Soil results'!$D$7="Dumas",
  IF('Soil results'!$D$8="mg/kg",'Soil results'!D79*1.72/10000,'Soil results'!D79*1.72))))</f>
        <v/>
      </c>
      <c r="BI74" t="str">
        <f ca="1">IF($AX74="","",
VLOOKUP(LEFT($AX74,LEN($AX74)-2),'Field information 2'!$B$12:$I$111,8,FALSE))</f>
        <v/>
      </c>
      <c r="BJ74" t="str">
        <f ca="1">IF(BI74="","",
VLOOKUP(BI74,'Fertiliser recommendations'!$A$5:$B$62,2,FALSE))</f>
        <v/>
      </c>
      <c r="BK74" s="38" t="str">
        <f ca="1">IF($AX74="","",
IF(AND(BJ74="g",VLOOKUP(LEFT($AX74,LEN($AX74)-2),'Field information 2'!$B$12:$P$111,9,FALSE)&lt;&gt;"yes"),
IF(BG74="10-25% OM",6,IF(BG74="&gt;25% OM",12,IF(BG74="SCL; CL; ZCL; SC; ZC; C",6,IF(BG74="SL; SZL; ZL",5,IF(BG74="S; LS",4,"?"))))),
IF(OR(BJ74="a",AND(BJ74="g",VLOOKUP(LEFT($AX74,LEN($AX74)-2),'Field information 2'!$B$12:$P$111,9,FALSE)="yes")),
IF(BG74="10-25% OM",8,IF(BG74="&gt;25% OM",16,IF(BG74="SCL; CL; ZCL; SC; ZC; C",8,IF(BG74="SL; SZL; ZL",7,IF(BG74="S; LS",6,"?"))))),"")))</f>
        <v/>
      </c>
      <c r="BL74" t="str">
        <f ca="1">IF(AX74&lt;&gt;"",COUNTBLANK('Soil results'!D79:D79)+COUNTBLANK('Soil results'!F79:I79)+COUNTBLANK('Soil results'!K79:Q79),"")</f>
        <v/>
      </c>
      <c r="BM74" t="str">
        <f ca="1">IF(AX74&lt;&gt;"",
IF(OR(ISNUMBER(SEARCH("10*01*01",'Field information 2'!$M$5)),ISNUMBER(SEARCH("10*01*03",'Field information 2'!$M$5))),0.25,1),"")</f>
        <v/>
      </c>
      <c r="BN74" s="275" t="str">
        <f ca="1">IF(AX74&lt;&gt;"",
IF(COUNTIF('Soil results'!G80:G$159,"="&amp;'Soil results'!G79)+COUNTIF('Soil results'!H80:H$159,"="&amp;'Soil results'!H79)+COUNTIF('Soil results'!I80:I$159,"="&amp;'Soil results'!I79)=0,"no",
IF(MOD(COUNTIF('Soil results'!G80:G$159,"="&amp;'Soil results'!G79)+COUNTIF('Soil results'!H80:H$159,"="&amp;'Soil results'!H79)+COUNTIF('Soil results'!I80:I$159,"="&amp;'Soil results'!I79),3)=0,"yes","no")),"")</f>
        <v/>
      </c>
      <c r="BO74" s="276" t="str">
        <f t="shared" ca="1" si="136"/>
        <v/>
      </c>
      <c r="BP74" s="33"/>
      <c r="BQ74" s="276"/>
      <c r="BR74" s="276"/>
      <c r="BS74" s="276" t="str">
        <f t="shared" ca="1" si="137"/>
        <v/>
      </c>
      <c r="BT74" s="153" t="str">
        <f ca="1">IF(AX74="","",
IF(OR(Assessment!F76="limited benefit",Assessment!F76="benefit", Assessment!M76="limited benefit",Assessment!M76="benefit", Assessment!R76="limited benefit",Assessment!R76="benefit", Assessment!W76="limited benefit",Assessment!W76="benefit", Assessment!AB76="limited benefit",Assessment!AB76="benefit", AND(ISNUMBER(Assessment!AF76),Assessment!AG76="ok"), Assessment!AJ76="benefit"),"yes","no"))</f>
        <v/>
      </c>
      <c r="BW74" t="s">
        <v>382</v>
      </c>
    </row>
    <row r="75" spans="1:75" ht="15" x14ac:dyDescent="0.25">
      <c r="A75" s="272">
        <f>IF(AND('Field information 2'!L82&gt;0, 'Field information 2'!M82=0),"data missing", 'Field information 2'!M82-'Field information 2'!L82)</f>
        <v>0</v>
      </c>
      <c r="B75" s="272">
        <f>IF(AND('Field information 2'!N82&gt;0,'Field information 2'!O82=0),"data missing",'Field information 2'!O82-'Field information 2'!N82)</f>
        <v>0</v>
      </c>
      <c r="C75" s="272">
        <f>IF(AND('Field information 2'!P82&gt;0, 'Field information 2'!Q82=0),"data missing",'Field information 2'!Q82-'Field information 2'!P82)</f>
        <v>0</v>
      </c>
      <c r="D75">
        <f>'Field information 2'!L82</f>
        <v>0</v>
      </c>
      <c r="E75" s="249" t="str">
        <f>IF(OR('Field information 2'!L82&gt;0,'Field information 2'!N82&gt;0,'Field information 2'!P82&gt;0),"Y","N")</f>
        <v>N</v>
      </c>
      <c r="F75" s="277" t="str">
        <f t="shared" si="130"/>
        <v/>
      </c>
      <c r="G75" t="str">
        <f>IF(OR(ISBLANK('Field information 1'!B76),AND(OR(ISBLANK('Field information 2'!L82), 'Field information 2'!L82=0),OR(ISBLANK('Field information 2'!N82), 'Field information 2'!N82=0), OR(ISBLANK('Field information 2'!P82), 'Field information 2'!P82=0))),"",
IF(ISTEXT('Field information 1'!B76), 'Field information 1'!B76, TEXT('Field information 1'!B76,"0")))</f>
        <v/>
      </c>
      <c r="H75" t="str">
        <f>IF(OR(ISBLANK('Field information 1'!B76),ISBLANK('Field information 2'!L82),ISBLANK('Field information 2'!F82)),"",'Field information 2'!F82)</f>
        <v/>
      </c>
      <c r="I75" s="91" t="str">
        <f>IF(OR(ISBLANK('Field information 1'!E76),G75=""),"",CEILING('Field information 1'!E76/10,1))</f>
        <v/>
      </c>
      <c r="J75" s="91" t="str">
        <f t="shared" si="131"/>
        <v>no</v>
      </c>
      <c r="K75" s="135" t="str">
        <f t="shared" ca="1" si="54"/>
        <v/>
      </c>
      <c r="L75" s="135" t="str">
        <f t="shared" ca="1" si="55"/>
        <v/>
      </c>
      <c r="M75" s="135" t="str">
        <f t="shared" ca="1" si="56"/>
        <v/>
      </c>
      <c r="N75" s="135" t="str">
        <f t="shared" ca="1" si="57"/>
        <v/>
      </c>
      <c r="O75" s="135" t="str">
        <f t="shared" ca="1" si="58"/>
        <v/>
      </c>
      <c r="P75" s="135" t="str">
        <f t="shared" ca="1" si="59"/>
        <v/>
      </c>
      <c r="Q75" s="135" t="str">
        <f t="shared" ca="1" si="60"/>
        <v/>
      </c>
      <c r="R75" s="135" t="str">
        <f t="shared" ca="1" si="61"/>
        <v/>
      </c>
      <c r="S75" s="135" t="str">
        <f t="shared" ca="1" si="62"/>
        <v/>
      </c>
      <c r="T75" s="135" t="str">
        <f t="shared" ca="1" si="63"/>
        <v/>
      </c>
      <c r="U75" s="49" t="str">
        <f t="shared" ca="1" si="106"/>
        <v/>
      </c>
      <c r="V75" s="7" t="str">
        <f t="shared" ca="1" si="107"/>
        <v/>
      </c>
      <c r="W75" s="7" t="str">
        <f t="shared" ca="1" si="108"/>
        <v/>
      </c>
      <c r="X75" s="7" t="str">
        <f t="shared" ca="1" si="109"/>
        <v/>
      </c>
      <c r="Y75" s="91"/>
      <c r="Z75" s="247" t="str">
        <f t="shared" si="110"/>
        <v/>
      </c>
      <c r="AA75" s="247" t="str">
        <f t="shared" si="111"/>
        <v/>
      </c>
      <c r="AB75" s="247" t="str">
        <f t="shared" si="112"/>
        <v/>
      </c>
      <c r="AC75" s="247" t="str">
        <f t="shared" si="113"/>
        <v/>
      </c>
      <c r="AD75" s="247" t="str">
        <f t="shared" si="114"/>
        <v/>
      </c>
      <c r="AE75" s="247" t="str">
        <f t="shared" si="115"/>
        <v/>
      </c>
      <c r="AF75" s="247" t="str">
        <f t="shared" si="116"/>
        <v/>
      </c>
      <c r="AG75" s="247" t="str">
        <f t="shared" si="117"/>
        <v/>
      </c>
      <c r="AH75" s="247" t="str">
        <f t="shared" si="118"/>
        <v/>
      </c>
      <c r="AI75" s="247" t="str">
        <f t="shared" si="119"/>
        <v/>
      </c>
      <c r="AK75" s="247" t="str">
        <f t="shared" si="120"/>
        <v/>
      </c>
      <c r="AL75" s="247" t="str">
        <f t="shared" si="121"/>
        <v/>
      </c>
      <c r="AM75" s="247" t="str">
        <f t="shared" si="122"/>
        <v/>
      </c>
      <c r="AN75" s="247" t="str">
        <f t="shared" si="123"/>
        <v/>
      </c>
      <c r="AO75" s="247" t="str">
        <f t="shared" si="124"/>
        <v/>
      </c>
      <c r="AP75" s="247" t="str">
        <f t="shared" si="125"/>
        <v/>
      </c>
      <c r="AQ75" s="247" t="str">
        <f t="shared" si="126"/>
        <v/>
      </c>
      <c r="AR75" s="247" t="str">
        <f t="shared" si="127"/>
        <v/>
      </c>
      <c r="AS75" s="247" t="str">
        <f t="shared" si="128"/>
        <v/>
      </c>
      <c r="AT75" s="247" t="str">
        <f t="shared" si="129"/>
        <v/>
      </c>
      <c r="AU75" s="189"/>
      <c r="AV75" t="str">
        <f>IF(ISBLANK('Field information 1'!F76),"",'Field information 1'!F76)</f>
        <v/>
      </c>
      <c r="AW75" s="334"/>
      <c r="AX75" s="247" t="str" cm="1">
        <f t="array" aca="1" ref="AX75" ca="1">INDIRECT(TEXT(MIN(IF((Calc!$Z$5:$AI$104&lt;&gt;"")*(COUNTIF($AX$4:AX74,Calc!$Z$5:$AI$104)=0),ROW(Calc!$Z$5:$AI$104)*100+COLUMN(Calc!$Z$5:$AI$104),7^8)),"Calc!R0C00"),)&amp;""</f>
        <v/>
      </c>
      <c r="AY75" t="str" cm="1">
        <f t="array" aca="1" ref="AY75" ca="1">INDIRECT(TEXT(MIN(IF((Calc!$AK$5:$AT$104&lt;&gt;"")*(COUNTIF(AY$4:$AY74,Calc!$AK$5:$AT$104)=0),ROW(Calc!$AK$5:$AT$104)*100+COLUMN(Calc!$AK$5:$AT$104),7^8)),"Calc!R0C00"),)&amp;""</f>
        <v/>
      </c>
      <c r="AZ75" s="247" t="str">
        <f t="shared" ca="1" si="132"/>
        <v/>
      </c>
      <c r="BA75" s="324">
        <f t="shared" si="138"/>
        <v>71</v>
      </c>
      <c r="BB75">
        <f t="shared" ca="1" si="133"/>
        <v>0</v>
      </c>
      <c r="BC75" t="str">
        <f ca="1">IF($AX75="","",
VLOOKUP(LEFT($AX75,LEN($AX75)-2),'Field information 2'!$B$12:$P$111,11,FALSE))</f>
        <v/>
      </c>
      <c r="BD75" t="str">
        <f ca="1">IF($AX75="","",
VLOOKUP(LEFT($AX75,LEN($AX75)-2),'Field information 2'!$B$12:$P$111,13,FALSE))</f>
        <v/>
      </c>
      <c r="BE75" t="str">
        <f ca="1">IF($AX75="","",
VLOOKUP(LEFT($AX75,LEN($AX75)-2),'Field information 2'!$B$12:$P$111,15,FALSE))</f>
        <v/>
      </c>
      <c r="BF75">
        <f t="shared" ca="1" si="134"/>
        <v>0</v>
      </c>
      <c r="BG75" t="str">
        <f t="shared" ca="1" si="135"/>
        <v/>
      </c>
      <c r="BH75" s="7" t="str">
        <f ca="1">IF(OR(AX75="",'Soil results'!$D$7="",'Soil results'!$D$8=""),"",
IF('Soil results'!$D$7="LOI",
  IF('Soil results'!$D$8="mg/kg",'Soil results'!D80/10000,'Soil results'!D80),
IF('Soil results'!$D$7="Dumas",
  IF('Soil results'!$D$8="mg/kg",'Soil results'!D80*1.72/10000,'Soil results'!D80*1.72))))</f>
        <v/>
      </c>
      <c r="BI75" t="str">
        <f ca="1">IF($AX75="","",
VLOOKUP(LEFT($AX75,LEN($AX75)-2),'Field information 2'!$B$12:$I$111,8,FALSE))</f>
        <v/>
      </c>
      <c r="BJ75" t="str">
        <f ca="1">IF(BI75="","",
VLOOKUP(BI75,'Fertiliser recommendations'!$A$5:$B$62,2,FALSE))</f>
        <v/>
      </c>
      <c r="BK75" s="38" t="str">
        <f ca="1">IF($AX75="","",
IF(AND(BJ75="g",VLOOKUP(LEFT($AX75,LEN($AX75)-2),'Field information 2'!$B$12:$P$111,9,FALSE)&lt;&gt;"yes"),
IF(BG75="10-25% OM",6,IF(BG75="&gt;25% OM",12,IF(BG75="SCL; CL; ZCL; SC; ZC; C",6,IF(BG75="SL; SZL; ZL",5,IF(BG75="S; LS",4,"?"))))),
IF(OR(BJ75="a",AND(BJ75="g",VLOOKUP(LEFT($AX75,LEN($AX75)-2),'Field information 2'!$B$12:$P$111,9,FALSE)="yes")),
IF(BG75="10-25% OM",8,IF(BG75="&gt;25% OM",16,IF(BG75="SCL; CL; ZCL; SC; ZC; C",8,IF(BG75="SL; SZL; ZL",7,IF(BG75="S; LS",6,"?"))))),"")))</f>
        <v/>
      </c>
      <c r="BL75" t="str">
        <f ca="1">IF(AX75&lt;&gt;"",COUNTBLANK('Soil results'!D80:D80)+COUNTBLANK('Soil results'!F80:I80)+COUNTBLANK('Soil results'!K80:Q80),"")</f>
        <v/>
      </c>
      <c r="BM75" t="str">
        <f ca="1">IF(AX75&lt;&gt;"",
IF(OR(ISNUMBER(SEARCH("10*01*01",'Field information 2'!$M$5)),ISNUMBER(SEARCH("10*01*03",'Field information 2'!$M$5))),0.25,1),"")</f>
        <v/>
      </c>
      <c r="BN75" s="275" t="str">
        <f ca="1">IF(AX75&lt;&gt;"",
IF(COUNTIF('Soil results'!G81:G$159,"="&amp;'Soil results'!G80)+COUNTIF('Soil results'!H81:H$159,"="&amp;'Soil results'!H80)+COUNTIF('Soil results'!I81:I$159,"="&amp;'Soil results'!I80)=0,"no",
IF(MOD(COUNTIF('Soil results'!G81:G$159,"="&amp;'Soil results'!G80)+COUNTIF('Soil results'!H81:H$159,"="&amp;'Soil results'!H80)+COUNTIF('Soil results'!I81:I$159,"="&amp;'Soil results'!I80),3)=0,"yes","no")),"")</f>
        <v/>
      </c>
      <c r="BO75" s="276" t="str">
        <f t="shared" ca="1" si="136"/>
        <v/>
      </c>
      <c r="BP75" s="33"/>
      <c r="BQ75" s="276"/>
      <c r="BR75" s="276"/>
      <c r="BS75" s="276" t="str">
        <f t="shared" ca="1" si="137"/>
        <v/>
      </c>
      <c r="BT75" s="153" t="str">
        <f ca="1">IF(AX75="","",
IF(OR(Assessment!F77="limited benefit",Assessment!F77="benefit", Assessment!M77="limited benefit",Assessment!M77="benefit", Assessment!R77="limited benefit",Assessment!R77="benefit", Assessment!W77="limited benefit",Assessment!W77="benefit", Assessment!AB77="limited benefit",Assessment!AB77="benefit", AND(ISNUMBER(Assessment!AF77),Assessment!AG77="ok"), Assessment!AJ77="benefit"),"yes","no"))</f>
        <v/>
      </c>
    </row>
    <row r="76" spans="1:75" ht="15" x14ac:dyDescent="0.25">
      <c r="A76" s="272">
        <f>IF(AND('Field information 2'!L83&gt;0, 'Field information 2'!M83=0),"data missing", 'Field information 2'!M83-'Field information 2'!L83)</f>
        <v>0</v>
      </c>
      <c r="B76" s="272">
        <f>IF(AND('Field information 2'!N83&gt;0,'Field information 2'!O83=0),"data missing",'Field information 2'!O83-'Field information 2'!N83)</f>
        <v>0</v>
      </c>
      <c r="C76" s="272">
        <f>IF(AND('Field information 2'!P83&gt;0, 'Field information 2'!Q83=0),"data missing",'Field information 2'!Q83-'Field information 2'!P83)</f>
        <v>0</v>
      </c>
      <c r="D76">
        <f>'Field information 2'!L83</f>
        <v>0</v>
      </c>
      <c r="E76" s="249" t="str">
        <f>IF(OR('Field information 2'!L83&gt;0,'Field information 2'!N83&gt;0,'Field information 2'!P83&gt;0),"Y","N")</f>
        <v>N</v>
      </c>
      <c r="F76" s="277" t="str">
        <f t="shared" si="130"/>
        <v/>
      </c>
      <c r="G76" t="str">
        <f>IF(OR(ISBLANK('Field information 1'!B77),AND(OR(ISBLANK('Field information 2'!L83), 'Field information 2'!L83=0),OR(ISBLANK('Field information 2'!N83), 'Field information 2'!N83=0), OR(ISBLANK('Field information 2'!P83), 'Field information 2'!P83=0))),"",
IF(ISTEXT('Field information 1'!B77), 'Field information 1'!B77, TEXT('Field information 1'!B77,"0")))</f>
        <v/>
      </c>
      <c r="H76" t="str">
        <f>IF(OR(ISBLANK('Field information 1'!B77),ISBLANK('Field information 2'!L83),ISBLANK('Field information 2'!F83)),"",'Field information 2'!F83)</f>
        <v/>
      </c>
      <c r="I76" s="91" t="str">
        <f>IF(OR(ISBLANK('Field information 1'!E77),G76=""),"",CEILING('Field information 1'!E77/10,1))</f>
        <v/>
      </c>
      <c r="J76" s="91" t="str">
        <f t="shared" si="131"/>
        <v>no</v>
      </c>
      <c r="K76" s="135" t="str">
        <f t="shared" ca="1" si="54"/>
        <v/>
      </c>
      <c r="L76" s="135" t="str">
        <f t="shared" ca="1" si="55"/>
        <v/>
      </c>
      <c r="M76" s="135" t="str">
        <f t="shared" ca="1" si="56"/>
        <v/>
      </c>
      <c r="N76" s="135" t="str">
        <f t="shared" ca="1" si="57"/>
        <v/>
      </c>
      <c r="O76" s="135" t="str">
        <f t="shared" ca="1" si="58"/>
        <v/>
      </c>
      <c r="P76" s="135" t="str">
        <f t="shared" ca="1" si="59"/>
        <v/>
      </c>
      <c r="Q76" s="135" t="str">
        <f t="shared" ca="1" si="60"/>
        <v/>
      </c>
      <c r="R76" s="135" t="str">
        <f t="shared" ca="1" si="61"/>
        <v/>
      </c>
      <c r="S76" s="135" t="str">
        <f t="shared" ca="1" si="62"/>
        <v/>
      </c>
      <c r="T76" s="135" t="str">
        <f t="shared" ca="1" si="63"/>
        <v/>
      </c>
      <c r="U76" s="49" t="str">
        <f t="shared" ca="1" si="106"/>
        <v/>
      </c>
      <c r="V76" s="7" t="str">
        <f t="shared" ca="1" si="107"/>
        <v/>
      </c>
      <c r="W76" s="7" t="str">
        <f t="shared" ca="1" si="108"/>
        <v/>
      </c>
      <c r="X76" s="7" t="str">
        <f t="shared" ca="1" si="109"/>
        <v/>
      </c>
      <c r="Y76" s="91"/>
      <c r="Z76" s="247" t="str">
        <f t="shared" si="110"/>
        <v/>
      </c>
      <c r="AA76" s="247" t="str">
        <f t="shared" si="111"/>
        <v/>
      </c>
      <c r="AB76" s="247" t="str">
        <f t="shared" si="112"/>
        <v/>
      </c>
      <c r="AC76" s="247" t="str">
        <f t="shared" si="113"/>
        <v/>
      </c>
      <c r="AD76" s="247" t="str">
        <f t="shared" si="114"/>
        <v/>
      </c>
      <c r="AE76" s="247" t="str">
        <f t="shared" si="115"/>
        <v/>
      </c>
      <c r="AF76" s="247" t="str">
        <f t="shared" si="116"/>
        <v/>
      </c>
      <c r="AG76" s="247" t="str">
        <f t="shared" si="117"/>
        <v/>
      </c>
      <c r="AH76" s="247" t="str">
        <f t="shared" si="118"/>
        <v/>
      </c>
      <c r="AI76" s="247" t="str">
        <f t="shared" si="119"/>
        <v/>
      </c>
      <c r="AK76" s="247" t="str">
        <f t="shared" si="120"/>
        <v/>
      </c>
      <c r="AL76" s="247" t="str">
        <f t="shared" si="121"/>
        <v/>
      </c>
      <c r="AM76" s="247" t="str">
        <f t="shared" si="122"/>
        <v/>
      </c>
      <c r="AN76" s="247" t="str">
        <f t="shared" si="123"/>
        <v/>
      </c>
      <c r="AO76" s="247" t="str">
        <f t="shared" si="124"/>
        <v/>
      </c>
      <c r="AP76" s="247" t="str">
        <f t="shared" si="125"/>
        <v/>
      </c>
      <c r="AQ76" s="247" t="str">
        <f t="shared" si="126"/>
        <v/>
      </c>
      <c r="AR76" s="247" t="str">
        <f t="shared" si="127"/>
        <v/>
      </c>
      <c r="AS76" s="247" t="str">
        <f t="shared" si="128"/>
        <v/>
      </c>
      <c r="AT76" s="247" t="str">
        <f t="shared" si="129"/>
        <v/>
      </c>
      <c r="AU76" s="189"/>
      <c r="AV76" t="str">
        <f>IF(ISBLANK('Field information 1'!F77),"",'Field information 1'!F77)</f>
        <v/>
      </c>
      <c r="AW76" s="334"/>
      <c r="AX76" s="247" t="str" cm="1">
        <f t="array" aca="1" ref="AX76" ca="1">INDIRECT(TEXT(MIN(IF((Calc!$Z$5:$AI$104&lt;&gt;"")*(COUNTIF($AX$4:AX75,Calc!$Z$5:$AI$104)=0),ROW(Calc!$Z$5:$AI$104)*100+COLUMN(Calc!$Z$5:$AI$104),7^8)),"Calc!R0C00"),)&amp;""</f>
        <v/>
      </c>
      <c r="AY76" t="str" cm="1">
        <f t="array" aca="1" ref="AY76" ca="1">INDIRECT(TEXT(MIN(IF((Calc!$AK$5:$AT$104&lt;&gt;"")*(COUNTIF(AY$4:$AY75,Calc!$AK$5:$AT$104)=0),ROW(Calc!$AK$5:$AT$104)*100+COLUMN(Calc!$AK$5:$AT$104),7^8)),"Calc!R0C00"),)&amp;""</f>
        <v/>
      </c>
      <c r="AZ76" s="247" t="str">
        <f t="shared" ca="1" si="132"/>
        <v/>
      </c>
      <c r="BA76" s="324">
        <f t="shared" si="138"/>
        <v>72</v>
      </c>
      <c r="BB76">
        <f t="shared" ca="1" si="133"/>
        <v>0</v>
      </c>
      <c r="BC76" t="str">
        <f ca="1">IF($AX76="","",
VLOOKUP(LEFT($AX76,LEN($AX76)-2),'Field information 2'!$B$12:$P$111,11,FALSE))</f>
        <v/>
      </c>
      <c r="BD76" t="str">
        <f ca="1">IF($AX76="","",
VLOOKUP(LEFT($AX76,LEN($AX76)-2),'Field information 2'!$B$12:$P$111,13,FALSE))</f>
        <v/>
      </c>
      <c r="BE76" t="str">
        <f ca="1">IF($AX76="","",
VLOOKUP(LEFT($AX76,LEN($AX76)-2),'Field information 2'!$B$12:$P$111,15,FALSE))</f>
        <v/>
      </c>
      <c r="BF76">
        <f t="shared" ca="1" si="134"/>
        <v>0</v>
      </c>
      <c r="BG76" t="str">
        <f t="shared" ca="1" si="135"/>
        <v/>
      </c>
      <c r="BH76" s="7" t="str">
        <f ca="1">IF(OR(AX76="",'Soil results'!$D$7="",'Soil results'!$D$8=""),"",
IF('Soil results'!$D$7="LOI",
  IF('Soil results'!$D$8="mg/kg",'Soil results'!D81/10000,'Soil results'!D81),
IF('Soil results'!$D$7="Dumas",
  IF('Soil results'!$D$8="mg/kg",'Soil results'!D81*1.72/10000,'Soil results'!D81*1.72))))</f>
        <v/>
      </c>
      <c r="BI76" t="str">
        <f ca="1">IF($AX76="","",
VLOOKUP(LEFT($AX76,LEN($AX76)-2),'Field information 2'!$B$12:$I$111,8,FALSE))</f>
        <v/>
      </c>
      <c r="BJ76" t="str">
        <f ca="1">IF(BI76="","",
VLOOKUP(BI76,'Fertiliser recommendations'!$A$5:$B$62,2,FALSE))</f>
        <v/>
      </c>
      <c r="BK76" s="38" t="str">
        <f ca="1">IF($AX76="","",
IF(AND(BJ76="g",VLOOKUP(LEFT($AX76,LEN($AX76)-2),'Field information 2'!$B$12:$P$111,9,FALSE)&lt;&gt;"yes"),
IF(BG76="10-25% OM",6,IF(BG76="&gt;25% OM",12,IF(BG76="SCL; CL; ZCL; SC; ZC; C",6,IF(BG76="SL; SZL; ZL",5,IF(BG76="S; LS",4,"?"))))),
IF(OR(BJ76="a",AND(BJ76="g",VLOOKUP(LEFT($AX76,LEN($AX76)-2),'Field information 2'!$B$12:$P$111,9,FALSE)="yes")),
IF(BG76="10-25% OM",8,IF(BG76="&gt;25% OM",16,IF(BG76="SCL; CL; ZCL; SC; ZC; C",8,IF(BG76="SL; SZL; ZL",7,IF(BG76="S; LS",6,"?"))))),"")))</f>
        <v/>
      </c>
      <c r="BL76" t="str">
        <f ca="1">IF(AX76&lt;&gt;"",COUNTBLANK('Soil results'!D81:D81)+COUNTBLANK('Soil results'!F81:I81)+COUNTBLANK('Soil results'!K81:Q81),"")</f>
        <v/>
      </c>
      <c r="BM76" t="str">
        <f ca="1">IF(AX76&lt;&gt;"",
IF(OR(ISNUMBER(SEARCH("10*01*01",'Field information 2'!$M$5)),ISNUMBER(SEARCH("10*01*03",'Field information 2'!$M$5))),0.25,1),"")</f>
        <v/>
      </c>
      <c r="BN76" s="275" t="str">
        <f ca="1">IF(AX76&lt;&gt;"",
IF(COUNTIF('Soil results'!G82:G$159,"="&amp;'Soil results'!G81)+COUNTIF('Soil results'!H82:H$159,"="&amp;'Soil results'!H81)+COUNTIF('Soil results'!I82:I$159,"="&amp;'Soil results'!I81)=0,"no",
IF(MOD(COUNTIF('Soil results'!G82:G$159,"="&amp;'Soil results'!G81)+COUNTIF('Soil results'!H82:H$159,"="&amp;'Soil results'!H81)+COUNTIF('Soil results'!I82:I$159,"="&amp;'Soil results'!I81),3)=0,"yes","no")),"")</f>
        <v/>
      </c>
      <c r="BO76" s="276" t="str">
        <f t="shared" ca="1" si="136"/>
        <v/>
      </c>
      <c r="BP76" s="33"/>
      <c r="BQ76" s="276"/>
      <c r="BR76" s="276"/>
      <c r="BS76" s="276" t="str">
        <f t="shared" ca="1" si="137"/>
        <v/>
      </c>
      <c r="BT76" s="153" t="str">
        <f ca="1">IF(AX76="","",
IF(OR(Assessment!F78="limited benefit",Assessment!F78="benefit", Assessment!M78="limited benefit",Assessment!M78="benefit", Assessment!R78="limited benefit",Assessment!R78="benefit", Assessment!W78="limited benefit",Assessment!W78="benefit", Assessment!AB78="limited benefit",Assessment!AB78="benefit", AND(ISNUMBER(Assessment!AF78),Assessment!AG78="ok"), Assessment!AJ78="benefit"),"yes","no"))</f>
        <v/>
      </c>
      <c r="BW76" t="s">
        <v>383</v>
      </c>
    </row>
    <row r="77" spans="1:75" ht="15" x14ac:dyDescent="0.25">
      <c r="A77" s="272">
        <f>IF(AND('Field information 2'!L84&gt;0, 'Field information 2'!M84=0),"data missing", 'Field information 2'!M84-'Field information 2'!L84)</f>
        <v>0</v>
      </c>
      <c r="B77" s="272">
        <f>IF(AND('Field information 2'!N84&gt;0,'Field information 2'!O84=0),"data missing",'Field information 2'!O84-'Field information 2'!N84)</f>
        <v>0</v>
      </c>
      <c r="C77" s="272">
        <f>IF(AND('Field information 2'!P84&gt;0, 'Field information 2'!Q84=0),"data missing",'Field information 2'!Q84-'Field information 2'!P84)</f>
        <v>0</v>
      </c>
      <c r="D77">
        <f>'Field information 2'!L84</f>
        <v>0</v>
      </c>
      <c r="E77" s="249" t="str">
        <f>IF(OR('Field information 2'!L84&gt;0,'Field information 2'!N84&gt;0,'Field information 2'!P84&gt;0),"Y","N")</f>
        <v>N</v>
      </c>
      <c r="F77" s="277" t="str">
        <f t="shared" si="130"/>
        <v/>
      </c>
      <c r="G77" t="str">
        <f>IF(OR(ISBLANK('Field information 1'!B78),AND(OR(ISBLANK('Field information 2'!L84), 'Field information 2'!L84=0),OR(ISBLANK('Field information 2'!N84), 'Field information 2'!N84=0), OR(ISBLANK('Field information 2'!P84), 'Field information 2'!P84=0))),"",
IF(ISTEXT('Field information 1'!B78), 'Field information 1'!B78, TEXT('Field information 1'!B78,"0")))</f>
        <v/>
      </c>
      <c r="H77" t="str">
        <f>IF(OR(ISBLANK('Field information 1'!B78),ISBLANK('Field information 2'!L84),ISBLANK('Field information 2'!F84)),"",'Field information 2'!F84)</f>
        <v/>
      </c>
      <c r="I77" s="91" t="str">
        <f>IF(OR(ISBLANK('Field information 1'!E78),G77=""),"",CEILING('Field information 1'!E78/10,1))</f>
        <v/>
      </c>
      <c r="J77" s="91" t="str">
        <f t="shared" si="131"/>
        <v>no</v>
      </c>
      <c r="K77" s="135" t="str">
        <f t="shared" ca="1" si="54"/>
        <v/>
      </c>
      <c r="L77" s="135" t="str">
        <f t="shared" ca="1" si="55"/>
        <v/>
      </c>
      <c r="M77" s="135" t="str">
        <f t="shared" ca="1" si="56"/>
        <v/>
      </c>
      <c r="N77" s="135" t="str">
        <f t="shared" ca="1" si="57"/>
        <v/>
      </c>
      <c r="O77" s="135" t="str">
        <f t="shared" ca="1" si="58"/>
        <v/>
      </c>
      <c r="P77" s="135" t="str">
        <f t="shared" ca="1" si="59"/>
        <v/>
      </c>
      <c r="Q77" s="135" t="str">
        <f t="shared" ca="1" si="60"/>
        <v/>
      </c>
      <c r="R77" s="135" t="str">
        <f t="shared" ca="1" si="61"/>
        <v/>
      </c>
      <c r="S77" s="135" t="str">
        <f t="shared" ca="1" si="62"/>
        <v/>
      </c>
      <c r="T77" s="135" t="str">
        <f t="shared" ca="1" si="63"/>
        <v/>
      </c>
      <c r="U77" s="49" t="str">
        <f t="shared" ca="1" si="106"/>
        <v/>
      </c>
      <c r="V77" s="7" t="str">
        <f t="shared" ca="1" si="107"/>
        <v/>
      </c>
      <c r="W77" s="7" t="str">
        <f t="shared" ca="1" si="108"/>
        <v/>
      </c>
      <c r="X77" s="7" t="str">
        <f t="shared" ca="1" si="109"/>
        <v/>
      </c>
      <c r="Y77" s="91"/>
      <c r="Z77" s="247" t="str">
        <f t="shared" si="110"/>
        <v/>
      </c>
      <c r="AA77" s="247" t="str">
        <f t="shared" si="111"/>
        <v/>
      </c>
      <c r="AB77" s="247" t="str">
        <f t="shared" si="112"/>
        <v/>
      </c>
      <c r="AC77" s="247" t="str">
        <f t="shared" si="113"/>
        <v/>
      </c>
      <c r="AD77" s="247" t="str">
        <f t="shared" si="114"/>
        <v/>
      </c>
      <c r="AE77" s="247" t="str">
        <f t="shared" si="115"/>
        <v/>
      </c>
      <c r="AF77" s="247" t="str">
        <f t="shared" si="116"/>
        <v/>
      </c>
      <c r="AG77" s="247" t="str">
        <f t="shared" si="117"/>
        <v/>
      </c>
      <c r="AH77" s="247" t="str">
        <f t="shared" si="118"/>
        <v/>
      </c>
      <c r="AI77" s="247" t="str">
        <f t="shared" si="119"/>
        <v/>
      </c>
      <c r="AK77" s="247" t="str">
        <f t="shared" si="120"/>
        <v/>
      </c>
      <c r="AL77" s="247" t="str">
        <f t="shared" si="121"/>
        <v/>
      </c>
      <c r="AM77" s="247" t="str">
        <f t="shared" si="122"/>
        <v/>
      </c>
      <c r="AN77" s="247" t="str">
        <f t="shared" si="123"/>
        <v/>
      </c>
      <c r="AO77" s="247" t="str">
        <f t="shared" si="124"/>
        <v/>
      </c>
      <c r="AP77" s="247" t="str">
        <f t="shared" si="125"/>
        <v/>
      </c>
      <c r="AQ77" s="247" t="str">
        <f t="shared" si="126"/>
        <v/>
      </c>
      <c r="AR77" s="247" t="str">
        <f t="shared" si="127"/>
        <v/>
      </c>
      <c r="AS77" s="247" t="str">
        <f t="shared" si="128"/>
        <v/>
      </c>
      <c r="AT77" s="247" t="str">
        <f t="shared" si="129"/>
        <v/>
      </c>
      <c r="AU77" s="189"/>
      <c r="AV77" t="str">
        <f>IF(ISBLANK('Field information 1'!F78),"",'Field information 1'!F78)</f>
        <v/>
      </c>
      <c r="AW77" s="334"/>
      <c r="AX77" s="247" t="str" cm="1">
        <f t="array" aca="1" ref="AX77" ca="1">INDIRECT(TEXT(MIN(IF((Calc!$Z$5:$AI$104&lt;&gt;"")*(COUNTIF($AX$4:AX76,Calc!$Z$5:$AI$104)=0),ROW(Calc!$Z$5:$AI$104)*100+COLUMN(Calc!$Z$5:$AI$104),7^8)),"Calc!R0C00"),)&amp;""</f>
        <v/>
      </c>
      <c r="AY77" t="str" cm="1">
        <f t="array" aca="1" ref="AY77" ca="1">INDIRECT(TEXT(MIN(IF((Calc!$AK$5:$AT$104&lt;&gt;"")*(COUNTIF(AY$4:$AY76,Calc!$AK$5:$AT$104)=0),ROW(Calc!$AK$5:$AT$104)*100+COLUMN(Calc!$AK$5:$AT$104),7^8)),"Calc!R0C00"),)&amp;""</f>
        <v/>
      </c>
      <c r="AZ77" s="247" t="str">
        <f t="shared" ca="1" si="132"/>
        <v/>
      </c>
      <c r="BA77" s="324">
        <f t="shared" si="138"/>
        <v>73</v>
      </c>
      <c r="BB77">
        <f t="shared" ca="1" si="133"/>
        <v>0</v>
      </c>
      <c r="BC77" t="str">
        <f ca="1">IF($AX77="","",
VLOOKUP(LEFT($AX77,LEN($AX77)-2),'Field information 2'!$B$12:$P$111,11,FALSE))</f>
        <v/>
      </c>
      <c r="BD77" t="str">
        <f ca="1">IF($AX77="","",
VLOOKUP(LEFT($AX77,LEN($AX77)-2),'Field information 2'!$B$12:$P$111,13,FALSE))</f>
        <v/>
      </c>
      <c r="BE77" t="str">
        <f ca="1">IF($AX77="","",
VLOOKUP(LEFT($AX77,LEN($AX77)-2),'Field information 2'!$B$12:$P$111,15,FALSE))</f>
        <v/>
      </c>
      <c r="BF77">
        <f t="shared" ca="1" si="134"/>
        <v>0</v>
      </c>
      <c r="BG77" t="str">
        <f t="shared" ca="1" si="135"/>
        <v/>
      </c>
      <c r="BH77" s="7" t="str">
        <f ca="1">IF(OR(AX77="",'Soil results'!$D$7="",'Soil results'!$D$8=""),"",
IF('Soil results'!$D$7="LOI",
  IF('Soil results'!$D$8="mg/kg",'Soil results'!D82/10000,'Soil results'!D82),
IF('Soil results'!$D$7="Dumas",
  IF('Soil results'!$D$8="mg/kg",'Soil results'!D82*1.72/10000,'Soil results'!D82*1.72))))</f>
        <v/>
      </c>
      <c r="BI77" t="str">
        <f ca="1">IF($AX77="","",
VLOOKUP(LEFT($AX77,LEN($AX77)-2),'Field information 2'!$B$12:$I$111,8,FALSE))</f>
        <v/>
      </c>
      <c r="BJ77" t="str">
        <f ca="1">IF(BI77="","",
VLOOKUP(BI77,'Fertiliser recommendations'!$A$5:$B$62,2,FALSE))</f>
        <v/>
      </c>
      <c r="BK77" s="38" t="str">
        <f ca="1">IF($AX77="","",
IF(AND(BJ77="g",VLOOKUP(LEFT($AX77,LEN($AX77)-2),'Field information 2'!$B$12:$P$111,9,FALSE)&lt;&gt;"yes"),
IF(BG77="10-25% OM",6,IF(BG77="&gt;25% OM",12,IF(BG77="SCL; CL; ZCL; SC; ZC; C",6,IF(BG77="SL; SZL; ZL",5,IF(BG77="S; LS",4,"?"))))),
IF(OR(BJ77="a",AND(BJ77="g",VLOOKUP(LEFT($AX77,LEN($AX77)-2),'Field information 2'!$B$12:$P$111,9,FALSE)="yes")),
IF(BG77="10-25% OM",8,IF(BG77="&gt;25% OM",16,IF(BG77="SCL; CL; ZCL; SC; ZC; C",8,IF(BG77="SL; SZL; ZL",7,IF(BG77="S; LS",6,"?"))))),"")))</f>
        <v/>
      </c>
      <c r="BL77" t="str">
        <f ca="1">IF(AX77&lt;&gt;"",COUNTBLANK('Soil results'!D82:D82)+COUNTBLANK('Soil results'!F82:I82)+COUNTBLANK('Soil results'!K82:Q82),"")</f>
        <v/>
      </c>
      <c r="BM77" t="str">
        <f ca="1">IF(AX77&lt;&gt;"",
IF(OR(ISNUMBER(SEARCH("10*01*01",'Field information 2'!$M$5)),ISNUMBER(SEARCH("10*01*03",'Field information 2'!$M$5))),0.25,1),"")</f>
        <v/>
      </c>
      <c r="BN77" s="275" t="str">
        <f ca="1">IF(AX77&lt;&gt;"",
IF(COUNTIF('Soil results'!G83:G$159,"="&amp;'Soil results'!G82)+COUNTIF('Soil results'!H83:H$159,"="&amp;'Soil results'!H82)+COUNTIF('Soil results'!I83:I$159,"="&amp;'Soil results'!I82)=0,"no",
IF(MOD(COUNTIF('Soil results'!G83:G$159,"="&amp;'Soil results'!G82)+COUNTIF('Soil results'!H83:H$159,"="&amp;'Soil results'!H82)+COUNTIF('Soil results'!I83:I$159,"="&amp;'Soil results'!I82),3)=0,"yes","no")),"")</f>
        <v/>
      </c>
      <c r="BO77" s="276" t="str">
        <f t="shared" ca="1" si="136"/>
        <v/>
      </c>
      <c r="BP77" s="33"/>
      <c r="BQ77" s="276"/>
      <c r="BR77" s="276"/>
      <c r="BS77" s="276" t="str">
        <f t="shared" ca="1" si="137"/>
        <v/>
      </c>
      <c r="BT77" s="153" t="str">
        <f ca="1">IF(AX77="","",
IF(OR(Assessment!F79="limited benefit",Assessment!F79="benefit", Assessment!M79="limited benefit",Assessment!M79="benefit", Assessment!R79="limited benefit",Assessment!R79="benefit", Assessment!W79="limited benefit",Assessment!W79="benefit", Assessment!AB79="limited benefit",Assessment!AB79="benefit", AND(ISNUMBER(Assessment!AF79),Assessment!AG79="ok"), Assessment!AJ79="benefit"),"yes","no"))</f>
        <v/>
      </c>
      <c r="BW77" t="s">
        <v>384</v>
      </c>
    </row>
    <row r="78" spans="1:75" ht="15" x14ac:dyDescent="0.25">
      <c r="A78" s="272">
        <f>IF(AND('Field information 2'!L85&gt;0, 'Field information 2'!M85=0),"data missing", 'Field information 2'!M85-'Field information 2'!L85)</f>
        <v>0</v>
      </c>
      <c r="B78" s="272">
        <f>IF(AND('Field information 2'!N85&gt;0,'Field information 2'!O85=0),"data missing",'Field information 2'!O85-'Field information 2'!N85)</f>
        <v>0</v>
      </c>
      <c r="C78" s="272">
        <f>IF(AND('Field information 2'!P85&gt;0, 'Field information 2'!Q85=0),"data missing",'Field information 2'!Q85-'Field information 2'!P85)</f>
        <v>0</v>
      </c>
      <c r="D78">
        <f>'Field information 2'!L85</f>
        <v>0</v>
      </c>
      <c r="E78" s="249" t="str">
        <f>IF(OR('Field information 2'!L85&gt;0,'Field information 2'!N85&gt;0,'Field information 2'!P85&gt;0),"Y","N")</f>
        <v>N</v>
      </c>
      <c r="F78" s="277" t="str">
        <f t="shared" si="130"/>
        <v/>
      </c>
      <c r="G78" t="str">
        <f>IF(OR(ISBLANK('Field information 1'!B79),AND(OR(ISBLANK('Field information 2'!L85), 'Field information 2'!L85=0),OR(ISBLANK('Field information 2'!N85), 'Field information 2'!N85=0), OR(ISBLANK('Field information 2'!P85), 'Field information 2'!P85=0))),"",
IF(ISTEXT('Field information 1'!B79), 'Field information 1'!B79, TEXT('Field information 1'!B79,"0")))</f>
        <v/>
      </c>
      <c r="H78" t="str">
        <f>IF(OR(ISBLANK('Field information 1'!B79),ISBLANK('Field information 2'!L85),ISBLANK('Field information 2'!F85)),"",'Field information 2'!F85)</f>
        <v/>
      </c>
      <c r="I78" s="91" t="str">
        <f>IF(OR(ISBLANK('Field information 1'!E79),G78=""),"",CEILING('Field information 1'!E79/10,1))</f>
        <v/>
      </c>
      <c r="J78" s="91" t="str">
        <f t="shared" si="131"/>
        <v>no</v>
      </c>
      <c r="K78" s="135" t="str">
        <f t="shared" ref="K78:K104" ca="1" si="139">VLOOKUP(Z78,$AX$5:$BH$154,11,FALSE)</f>
        <v/>
      </c>
      <c r="L78" s="135" t="str">
        <f t="shared" ref="L78:L104" ca="1" si="140">VLOOKUP(AA78,$AX$5:$BH$154,11,FALSE)</f>
        <v/>
      </c>
      <c r="M78" s="135" t="str">
        <f t="shared" ref="M78:M104" ca="1" si="141">VLOOKUP(AB78,$AX$5:$BH$154,11,FALSE)</f>
        <v/>
      </c>
      <c r="N78" s="135" t="str">
        <f t="shared" ref="N78:N104" ca="1" si="142">VLOOKUP(AC78,$AX$5:$BH$154,11,FALSE)</f>
        <v/>
      </c>
      <c r="O78" s="135" t="str">
        <f t="shared" ref="O78:O104" ca="1" si="143">VLOOKUP(AD78,$AX$5:$BH$154,11,FALSE)</f>
        <v/>
      </c>
      <c r="P78" s="135" t="str">
        <f t="shared" ref="P78:P104" ca="1" si="144">VLOOKUP(AE78,$AX$5:$BH$154,11,FALSE)</f>
        <v/>
      </c>
      <c r="Q78" s="135" t="str">
        <f t="shared" ref="Q78:Q104" ca="1" si="145">VLOOKUP(AF78,$AX$5:$BH$154,11,FALSE)</f>
        <v/>
      </c>
      <c r="R78" s="135" t="str">
        <f t="shared" ref="R78:R104" ca="1" si="146">VLOOKUP(AG78,$AX$5:$BH$154,11,FALSE)</f>
        <v/>
      </c>
      <c r="S78" s="135" t="str">
        <f t="shared" ref="S78:S104" ca="1" si="147">VLOOKUP(AH78,$AX$5:$BH$154,11,FALSE)</f>
        <v/>
      </c>
      <c r="T78" s="135" t="str">
        <f t="shared" ref="T78:T104" ca="1" si="148">VLOOKUP(AI78,$AX$5:$BH$154,11,FALSE)</f>
        <v/>
      </c>
      <c r="U78" s="49" t="str">
        <f t="shared" ca="1" si="106"/>
        <v/>
      </c>
      <c r="V78" s="7" t="str">
        <f t="shared" ca="1" si="107"/>
        <v/>
      </c>
      <c r="W78" s="7" t="str">
        <f t="shared" ca="1" si="108"/>
        <v/>
      </c>
      <c r="X78" s="7" t="str">
        <f t="shared" ca="1" si="109"/>
        <v/>
      </c>
      <c r="Y78" s="91"/>
      <c r="Z78" s="247" t="str">
        <f t="shared" si="110"/>
        <v/>
      </c>
      <c r="AA78" s="247" t="str">
        <f t="shared" si="111"/>
        <v/>
      </c>
      <c r="AB78" s="247" t="str">
        <f t="shared" si="112"/>
        <v/>
      </c>
      <c r="AC78" s="247" t="str">
        <f t="shared" si="113"/>
        <v/>
      </c>
      <c r="AD78" s="247" t="str">
        <f t="shared" si="114"/>
        <v/>
      </c>
      <c r="AE78" s="247" t="str">
        <f t="shared" si="115"/>
        <v/>
      </c>
      <c r="AF78" s="247" t="str">
        <f t="shared" si="116"/>
        <v/>
      </c>
      <c r="AG78" s="247" t="str">
        <f t="shared" si="117"/>
        <v/>
      </c>
      <c r="AH78" s="247" t="str">
        <f t="shared" si="118"/>
        <v/>
      </c>
      <c r="AI78" s="247" t="str">
        <f t="shared" si="119"/>
        <v/>
      </c>
      <c r="AK78" s="247" t="str">
        <f t="shared" si="120"/>
        <v/>
      </c>
      <c r="AL78" s="247" t="str">
        <f t="shared" si="121"/>
        <v/>
      </c>
      <c r="AM78" s="247" t="str">
        <f t="shared" si="122"/>
        <v/>
      </c>
      <c r="AN78" s="247" t="str">
        <f t="shared" si="123"/>
        <v/>
      </c>
      <c r="AO78" s="247" t="str">
        <f t="shared" si="124"/>
        <v/>
      </c>
      <c r="AP78" s="247" t="str">
        <f t="shared" si="125"/>
        <v/>
      </c>
      <c r="AQ78" s="247" t="str">
        <f t="shared" si="126"/>
        <v/>
      </c>
      <c r="AR78" s="247" t="str">
        <f t="shared" si="127"/>
        <v/>
      </c>
      <c r="AS78" s="247" t="str">
        <f t="shared" si="128"/>
        <v/>
      </c>
      <c r="AT78" s="247" t="str">
        <f t="shared" si="129"/>
        <v/>
      </c>
      <c r="AU78" s="189"/>
      <c r="AV78" t="str">
        <f>IF(ISBLANK('Field information 1'!F79),"",'Field information 1'!F79)</f>
        <v/>
      </c>
      <c r="AW78" s="334"/>
      <c r="AX78" s="247" t="str" cm="1">
        <f t="array" aca="1" ref="AX78" ca="1">INDIRECT(TEXT(MIN(IF((Calc!$Z$5:$AI$104&lt;&gt;"")*(COUNTIF($AX$4:AX77,Calc!$Z$5:$AI$104)=0),ROW(Calc!$Z$5:$AI$104)*100+COLUMN(Calc!$Z$5:$AI$104),7^8)),"Calc!R0C00"),)&amp;""</f>
        <v/>
      </c>
      <c r="AY78" t="str" cm="1">
        <f t="array" aca="1" ref="AY78" ca="1">INDIRECT(TEXT(MIN(IF((Calc!$AK$5:$AT$104&lt;&gt;"")*(COUNTIF(AY$4:$AY77,Calc!$AK$5:$AT$104)=0),ROW(Calc!$AK$5:$AT$104)*100+COLUMN(Calc!$AK$5:$AT$104),7^8)),"Calc!R0C00"),)&amp;""</f>
        <v/>
      </c>
      <c r="AZ78" s="247" t="str">
        <f t="shared" ca="1" si="132"/>
        <v/>
      </c>
      <c r="BA78" s="324">
        <f t="shared" si="138"/>
        <v>74</v>
      </c>
      <c r="BB78">
        <f t="shared" ca="1" si="133"/>
        <v>0</v>
      </c>
      <c r="BC78" t="str">
        <f ca="1">IF($AX78="","",
VLOOKUP(LEFT($AX78,LEN($AX78)-2),'Field information 2'!$B$12:$P$111,11,FALSE))</f>
        <v/>
      </c>
      <c r="BD78" t="str">
        <f ca="1">IF($AX78="","",
VLOOKUP(LEFT($AX78,LEN($AX78)-2),'Field information 2'!$B$12:$P$111,13,FALSE))</f>
        <v/>
      </c>
      <c r="BE78" t="str">
        <f ca="1">IF($AX78="","",
VLOOKUP(LEFT($AX78,LEN($AX78)-2),'Field information 2'!$B$12:$P$111,15,FALSE))</f>
        <v/>
      </c>
      <c r="BF78">
        <f t="shared" ca="1" si="134"/>
        <v>0</v>
      </c>
      <c r="BG78" t="str">
        <f t="shared" ca="1" si="135"/>
        <v/>
      </c>
      <c r="BH78" s="7" t="str">
        <f ca="1">IF(OR(AX78="",'Soil results'!$D$7="",'Soil results'!$D$8=""),"",
IF('Soil results'!$D$7="LOI",
  IF('Soil results'!$D$8="mg/kg",'Soil results'!D83/10000,'Soil results'!D83),
IF('Soil results'!$D$7="Dumas",
  IF('Soil results'!$D$8="mg/kg",'Soil results'!D83*1.72/10000,'Soil results'!D83*1.72))))</f>
        <v/>
      </c>
      <c r="BI78" t="str">
        <f ca="1">IF($AX78="","",
VLOOKUP(LEFT($AX78,LEN($AX78)-2),'Field information 2'!$B$12:$I$111,8,FALSE))</f>
        <v/>
      </c>
      <c r="BJ78" t="str">
        <f ca="1">IF(BI78="","",
VLOOKUP(BI78,'Fertiliser recommendations'!$A$5:$B$62,2,FALSE))</f>
        <v/>
      </c>
      <c r="BK78" s="38" t="str">
        <f ca="1">IF($AX78="","",
IF(AND(BJ78="g",VLOOKUP(LEFT($AX78,LEN($AX78)-2),'Field information 2'!$B$12:$P$111,9,FALSE)&lt;&gt;"yes"),
IF(BG78="10-25% OM",6,IF(BG78="&gt;25% OM",12,IF(BG78="SCL; CL; ZCL; SC; ZC; C",6,IF(BG78="SL; SZL; ZL",5,IF(BG78="S; LS",4,"?"))))),
IF(OR(BJ78="a",AND(BJ78="g",VLOOKUP(LEFT($AX78,LEN($AX78)-2),'Field information 2'!$B$12:$P$111,9,FALSE)="yes")),
IF(BG78="10-25% OM",8,IF(BG78="&gt;25% OM",16,IF(BG78="SCL; CL; ZCL; SC; ZC; C",8,IF(BG78="SL; SZL; ZL",7,IF(BG78="S; LS",6,"?"))))),"")))</f>
        <v/>
      </c>
      <c r="BL78" t="str">
        <f ca="1">IF(AX78&lt;&gt;"",COUNTBLANK('Soil results'!D83:D83)+COUNTBLANK('Soil results'!F83:I83)+COUNTBLANK('Soil results'!K83:Q83),"")</f>
        <v/>
      </c>
      <c r="BM78" t="str">
        <f ca="1">IF(AX78&lt;&gt;"",
IF(OR(ISNUMBER(SEARCH("10*01*01",'Field information 2'!$M$5)),ISNUMBER(SEARCH("10*01*03",'Field information 2'!$M$5))),0.25,1),"")</f>
        <v/>
      </c>
      <c r="BN78" s="275" t="str">
        <f ca="1">IF(AX78&lt;&gt;"",
IF(COUNTIF('Soil results'!G84:G$159,"="&amp;'Soil results'!G83)+COUNTIF('Soil results'!H84:H$159,"="&amp;'Soil results'!H83)+COUNTIF('Soil results'!I84:I$159,"="&amp;'Soil results'!I83)=0,"no",
IF(MOD(COUNTIF('Soil results'!G84:G$159,"="&amp;'Soil results'!G83)+COUNTIF('Soil results'!H84:H$159,"="&amp;'Soil results'!H83)+COUNTIF('Soil results'!I84:I$159,"="&amp;'Soil results'!I83),3)=0,"yes","no")),"")</f>
        <v/>
      </c>
      <c r="BO78" s="276" t="str">
        <f t="shared" ca="1" si="136"/>
        <v/>
      </c>
      <c r="BP78" s="33"/>
      <c r="BQ78" s="276"/>
      <c r="BR78" s="276"/>
      <c r="BS78" s="276" t="str">
        <f t="shared" ca="1" si="137"/>
        <v/>
      </c>
      <c r="BT78" s="153" t="str">
        <f ca="1">IF(AX78="","",
IF(OR(Assessment!F80="limited benefit",Assessment!F80="benefit", Assessment!M80="limited benefit",Assessment!M80="benefit", Assessment!R80="limited benefit",Assessment!R80="benefit", Assessment!W80="limited benefit",Assessment!W80="benefit", Assessment!AB80="limited benefit",Assessment!AB80="benefit", AND(ISNUMBER(Assessment!AF80),Assessment!AG80="ok"), Assessment!AJ80="benefit"),"yes","no"))</f>
        <v/>
      </c>
      <c r="BW78" t="s">
        <v>385</v>
      </c>
    </row>
    <row r="79" spans="1:75" ht="15" x14ac:dyDescent="0.25">
      <c r="A79" s="272">
        <f>IF(AND('Field information 2'!L86&gt;0, 'Field information 2'!M86=0),"data missing", 'Field information 2'!M86-'Field information 2'!L86)</f>
        <v>0</v>
      </c>
      <c r="B79" s="272">
        <f>IF(AND('Field information 2'!N86&gt;0,'Field information 2'!O86=0),"data missing",'Field information 2'!O86-'Field information 2'!N86)</f>
        <v>0</v>
      </c>
      <c r="C79" s="272">
        <f>IF(AND('Field information 2'!P86&gt;0, 'Field information 2'!Q86=0),"data missing",'Field information 2'!Q86-'Field information 2'!P86)</f>
        <v>0</v>
      </c>
      <c r="D79">
        <f>'Field information 2'!L86</f>
        <v>0</v>
      </c>
      <c r="E79" s="249" t="str">
        <f>IF(OR('Field information 2'!L86&gt;0,'Field information 2'!N86&gt;0,'Field information 2'!P86&gt;0),"Y","N")</f>
        <v>N</v>
      </c>
      <c r="F79" s="277" t="str">
        <f t="shared" si="130"/>
        <v/>
      </c>
      <c r="G79" t="str">
        <f>IF(OR(ISBLANK('Field information 1'!B80),AND(OR(ISBLANK('Field information 2'!L86), 'Field information 2'!L86=0),OR(ISBLANK('Field information 2'!N86), 'Field information 2'!N86=0), OR(ISBLANK('Field information 2'!P86), 'Field information 2'!P86=0))),"",
IF(ISTEXT('Field information 1'!B80), 'Field information 1'!B80, TEXT('Field information 1'!B80,"0")))</f>
        <v/>
      </c>
      <c r="H79" t="str">
        <f>IF(OR(ISBLANK('Field information 1'!B80),ISBLANK('Field information 2'!L86),ISBLANK('Field information 2'!F86)),"",'Field information 2'!F86)</f>
        <v/>
      </c>
      <c r="I79" s="91" t="str">
        <f>IF(OR(ISBLANK('Field information 1'!E80),G79=""),"",CEILING('Field information 1'!E80/10,1))</f>
        <v/>
      </c>
      <c r="J79" s="91" t="str">
        <f t="shared" si="131"/>
        <v>no</v>
      </c>
      <c r="K79" s="135" t="str">
        <f t="shared" ca="1" si="139"/>
        <v/>
      </c>
      <c r="L79" s="135" t="str">
        <f t="shared" ca="1" si="140"/>
        <v/>
      </c>
      <c r="M79" s="135" t="str">
        <f t="shared" ca="1" si="141"/>
        <v/>
      </c>
      <c r="N79" s="135" t="str">
        <f t="shared" ca="1" si="142"/>
        <v/>
      </c>
      <c r="O79" s="135" t="str">
        <f t="shared" ca="1" si="143"/>
        <v/>
      </c>
      <c r="P79" s="135" t="str">
        <f t="shared" ca="1" si="144"/>
        <v/>
      </c>
      <c r="Q79" s="135" t="str">
        <f t="shared" ca="1" si="145"/>
        <v/>
      </c>
      <c r="R79" s="135" t="str">
        <f t="shared" ca="1" si="146"/>
        <v/>
      </c>
      <c r="S79" s="135" t="str">
        <f t="shared" ca="1" si="147"/>
        <v/>
      </c>
      <c r="T79" s="135" t="str">
        <f t="shared" ca="1" si="148"/>
        <v/>
      </c>
      <c r="U79" s="49" t="str">
        <f t="shared" ca="1" si="106"/>
        <v/>
      </c>
      <c r="V79" s="7" t="str">
        <f t="shared" ca="1" si="107"/>
        <v/>
      </c>
      <c r="W79" s="7" t="str">
        <f t="shared" ca="1" si="108"/>
        <v/>
      </c>
      <c r="X79" s="7" t="str">
        <f t="shared" ca="1" si="109"/>
        <v/>
      </c>
      <c r="Y79" s="91"/>
      <c r="Z79" s="247" t="str">
        <f t="shared" si="110"/>
        <v/>
      </c>
      <c r="AA79" s="247" t="str">
        <f t="shared" si="111"/>
        <v/>
      </c>
      <c r="AB79" s="247" t="str">
        <f t="shared" si="112"/>
        <v/>
      </c>
      <c r="AC79" s="247" t="str">
        <f t="shared" si="113"/>
        <v/>
      </c>
      <c r="AD79" s="247" t="str">
        <f t="shared" si="114"/>
        <v/>
      </c>
      <c r="AE79" s="247" t="str">
        <f t="shared" si="115"/>
        <v/>
      </c>
      <c r="AF79" s="247" t="str">
        <f t="shared" si="116"/>
        <v/>
      </c>
      <c r="AG79" s="247" t="str">
        <f t="shared" si="117"/>
        <v/>
      </c>
      <c r="AH79" s="247" t="str">
        <f t="shared" si="118"/>
        <v/>
      </c>
      <c r="AI79" s="247" t="str">
        <f t="shared" si="119"/>
        <v/>
      </c>
      <c r="AK79" s="247" t="str">
        <f t="shared" si="120"/>
        <v/>
      </c>
      <c r="AL79" s="247" t="str">
        <f t="shared" si="121"/>
        <v/>
      </c>
      <c r="AM79" s="247" t="str">
        <f t="shared" si="122"/>
        <v/>
      </c>
      <c r="AN79" s="247" t="str">
        <f t="shared" si="123"/>
        <v/>
      </c>
      <c r="AO79" s="247" t="str">
        <f t="shared" si="124"/>
        <v/>
      </c>
      <c r="AP79" s="247" t="str">
        <f t="shared" si="125"/>
        <v/>
      </c>
      <c r="AQ79" s="247" t="str">
        <f t="shared" si="126"/>
        <v/>
      </c>
      <c r="AR79" s="247" t="str">
        <f t="shared" si="127"/>
        <v/>
      </c>
      <c r="AS79" s="247" t="str">
        <f t="shared" si="128"/>
        <v/>
      </c>
      <c r="AT79" s="247" t="str">
        <f t="shared" si="129"/>
        <v/>
      </c>
      <c r="AU79" s="189"/>
      <c r="AV79" t="str">
        <f>IF(ISBLANK('Field information 1'!F80),"",'Field information 1'!F80)</f>
        <v/>
      </c>
      <c r="AW79" s="334"/>
      <c r="AX79" s="247" t="str" cm="1">
        <f t="array" aca="1" ref="AX79" ca="1">INDIRECT(TEXT(MIN(IF((Calc!$Z$5:$AI$104&lt;&gt;"")*(COUNTIF($AX$4:AX78,Calc!$Z$5:$AI$104)=0),ROW(Calc!$Z$5:$AI$104)*100+COLUMN(Calc!$Z$5:$AI$104),7^8)),"Calc!R0C00"),)&amp;""</f>
        <v/>
      </c>
      <c r="AY79" t="str" cm="1">
        <f t="array" aca="1" ref="AY79" ca="1">INDIRECT(TEXT(MIN(IF((Calc!$AK$5:$AT$104&lt;&gt;"")*(COUNTIF(AY$4:$AY78,Calc!$AK$5:$AT$104)=0),ROW(Calc!$AK$5:$AT$104)*100+COLUMN(Calc!$AK$5:$AT$104),7^8)),"Calc!R0C00"),)&amp;""</f>
        <v/>
      </c>
      <c r="AZ79" s="247" t="str">
        <f t="shared" ca="1" si="132"/>
        <v/>
      </c>
      <c r="BA79" s="324">
        <f t="shared" si="138"/>
        <v>75</v>
      </c>
      <c r="BB79">
        <f t="shared" ca="1" si="133"/>
        <v>0</v>
      </c>
      <c r="BC79" t="str">
        <f ca="1">IF($AX79="","",
VLOOKUP(LEFT($AX79,LEN($AX79)-2),'Field information 2'!$B$12:$P$111,11,FALSE))</f>
        <v/>
      </c>
      <c r="BD79" t="str">
        <f ca="1">IF($AX79="","",
VLOOKUP(LEFT($AX79,LEN($AX79)-2),'Field information 2'!$B$12:$P$111,13,FALSE))</f>
        <v/>
      </c>
      <c r="BE79" t="str">
        <f ca="1">IF($AX79="","",
VLOOKUP(LEFT($AX79,LEN($AX79)-2),'Field information 2'!$B$12:$P$111,15,FALSE))</f>
        <v/>
      </c>
      <c r="BF79">
        <f t="shared" ca="1" si="134"/>
        <v>0</v>
      </c>
      <c r="BG79" t="str">
        <f t="shared" ca="1" si="135"/>
        <v/>
      </c>
      <c r="BH79" s="7" t="str">
        <f ca="1">IF(OR(AX79="",'Soil results'!$D$7="",'Soil results'!$D$8=""),"",
IF('Soil results'!$D$7="LOI",
  IF('Soil results'!$D$8="mg/kg",'Soil results'!D84/10000,'Soil results'!D84),
IF('Soil results'!$D$7="Dumas",
  IF('Soil results'!$D$8="mg/kg",'Soil results'!D84*1.72/10000,'Soil results'!D84*1.72))))</f>
        <v/>
      </c>
      <c r="BI79" t="str">
        <f ca="1">IF($AX79="","",
VLOOKUP(LEFT($AX79,LEN($AX79)-2),'Field information 2'!$B$12:$I$111,8,FALSE))</f>
        <v/>
      </c>
      <c r="BJ79" t="str">
        <f ca="1">IF(BI79="","",
VLOOKUP(BI79,'Fertiliser recommendations'!$A$5:$B$62,2,FALSE))</f>
        <v/>
      </c>
      <c r="BK79" s="38" t="str">
        <f ca="1">IF($AX79="","",
IF(AND(BJ79="g",VLOOKUP(LEFT($AX79,LEN($AX79)-2),'Field information 2'!$B$12:$P$111,9,FALSE)&lt;&gt;"yes"),
IF(BG79="10-25% OM",6,IF(BG79="&gt;25% OM",12,IF(BG79="SCL; CL; ZCL; SC; ZC; C",6,IF(BG79="SL; SZL; ZL",5,IF(BG79="S; LS",4,"?"))))),
IF(OR(BJ79="a",AND(BJ79="g",VLOOKUP(LEFT($AX79,LEN($AX79)-2),'Field information 2'!$B$12:$P$111,9,FALSE)="yes")),
IF(BG79="10-25% OM",8,IF(BG79="&gt;25% OM",16,IF(BG79="SCL; CL; ZCL; SC; ZC; C",8,IF(BG79="SL; SZL; ZL",7,IF(BG79="S; LS",6,"?"))))),"")))</f>
        <v/>
      </c>
      <c r="BL79" t="str">
        <f ca="1">IF(AX79&lt;&gt;"",COUNTBLANK('Soil results'!D84:D84)+COUNTBLANK('Soil results'!F84:I84)+COUNTBLANK('Soil results'!K84:Q84),"")</f>
        <v/>
      </c>
      <c r="BM79" t="str">
        <f ca="1">IF(AX79&lt;&gt;"",
IF(OR(ISNUMBER(SEARCH("10*01*01",'Field information 2'!$M$5)),ISNUMBER(SEARCH("10*01*03",'Field information 2'!$M$5))),0.25,1),"")</f>
        <v/>
      </c>
      <c r="BN79" s="275" t="str">
        <f ca="1">IF(AX79&lt;&gt;"",
IF(COUNTIF('Soil results'!G85:G$159,"="&amp;'Soil results'!G84)+COUNTIF('Soil results'!H85:H$159,"="&amp;'Soil results'!H84)+COUNTIF('Soil results'!I85:I$159,"="&amp;'Soil results'!I84)=0,"no",
IF(MOD(COUNTIF('Soil results'!G85:G$159,"="&amp;'Soil results'!G84)+COUNTIF('Soil results'!H85:H$159,"="&amp;'Soil results'!H84)+COUNTIF('Soil results'!I85:I$159,"="&amp;'Soil results'!I84),3)=0,"yes","no")),"")</f>
        <v/>
      </c>
      <c r="BO79" s="276" t="str">
        <f t="shared" ca="1" si="136"/>
        <v/>
      </c>
      <c r="BP79" s="33"/>
      <c r="BQ79" s="276"/>
      <c r="BR79" s="276"/>
      <c r="BS79" s="276" t="str">
        <f t="shared" ca="1" si="137"/>
        <v/>
      </c>
      <c r="BT79" s="153" t="str">
        <f ca="1">IF(AX79="","",
IF(OR(Assessment!F81="limited benefit",Assessment!F81="benefit", Assessment!M81="limited benefit",Assessment!M81="benefit", Assessment!R81="limited benefit",Assessment!R81="benefit", Assessment!W81="limited benefit",Assessment!W81="benefit", Assessment!AB81="limited benefit",Assessment!AB81="benefit", AND(ISNUMBER(Assessment!AF81),Assessment!AG81="ok"), Assessment!AJ81="benefit"),"yes","no"))</f>
        <v/>
      </c>
      <c r="BW79" t="s">
        <v>386</v>
      </c>
    </row>
    <row r="80" spans="1:75" ht="15" x14ac:dyDescent="0.25">
      <c r="A80" s="272">
        <f>IF(AND('Field information 2'!L87&gt;0, 'Field information 2'!M87=0),"data missing", 'Field information 2'!M87-'Field information 2'!L87)</f>
        <v>0</v>
      </c>
      <c r="B80" s="272">
        <f>IF(AND('Field information 2'!N87&gt;0,'Field information 2'!O87=0),"data missing",'Field information 2'!O87-'Field information 2'!N87)</f>
        <v>0</v>
      </c>
      <c r="C80" s="272">
        <f>IF(AND('Field information 2'!P87&gt;0, 'Field information 2'!Q87=0),"data missing",'Field information 2'!Q87-'Field information 2'!P87)</f>
        <v>0</v>
      </c>
      <c r="D80">
        <f>'Field information 2'!L87</f>
        <v>0</v>
      </c>
      <c r="E80" s="249" t="str">
        <f>IF(OR('Field information 2'!L87&gt;0,'Field information 2'!N87&gt;0,'Field information 2'!P87&gt;0),"Y","N")</f>
        <v>N</v>
      </c>
      <c r="F80" s="277" t="str">
        <f t="shared" si="130"/>
        <v/>
      </c>
      <c r="G80" t="str">
        <f>IF(OR(ISBLANK('Field information 1'!B81),AND(OR(ISBLANK('Field information 2'!L87), 'Field information 2'!L87=0),OR(ISBLANK('Field information 2'!N87), 'Field information 2'!N87=0), OR(ISBLANK('Field information 2'!P87), 'Field information 2'!P87=0))),"",
IF(ISTEXT('Field information 1'!B81), 'Field information 1'!B81, TEXT('Field information 1'!B81,"0")))</f>
        <v/>
      </c>
      <c r="H80" t="str">
        <f>IF(OR(ISBLANK('Field information 1'!B81),ISBLANK('Field information 2'!L87),ISBLANK('Field information 2'!F87)),"",'Field information 2'!F87)</f>
        <v/>
      </c>
      <c r="I80" s="91" t="str">
        <f>IF(OR(ISBLANK('Field information 1'!E81),G80=""),"",CEILING('Field information 1'!E81/10,1))</f>
        <v/>
      </c>
      <c r="J80" s="91" t="str">
        <f t="shared" si="131"/>
        <v>no</v>
      </c>
      <c r="K80" s="135" t="str">
        <f t="shared" ca="1" si="139"/>
        <v/>
      </c>
      <c r="L80" s="135" t="str">
        <f t="shared" ca="1" si="140"/>
        <v/>
      </c>
      <c r="M80" s="135" t="str">
        <f t="shared" ca="1" si="141"/>
        <v/>
      </c>
      <c r="N80" s="135" t="str">
        <f t="shared" ca="1" si="142"/>
        <v/>
      </c>
      <c r="O80" s="135" t="str">
        <f t="shared" ca="1" si="143"/>
        <v/>
      </c>
      <c r="P80" s="135" t="str">
        <f t="shared" ca="1" si="144"/>
        <v/>
      </c>
      <c r="Q80" s="135" t="str">
        <f t="shared" ca="1" si="145"/>
        <v/>
      </c>
      <c r="R80" s="135" t="str">
        <f t="shared" ca="1" si="146"/>
        <v/>
      </c>
      <c r="S80" s="135" t="str">
        <f t="shared" ca="1" si="147"/>
        <v/>
      </c>
      <c r="T80" s="135" t="str">
        <f t="shared" ca="1" si="148"/>
        <v/>
      </c>
      <c r="U80" s="49" t="str">
        <f t="shared" ca="1" si="106"/>
        <v/>
      </c>
      <c r="V80" s="7" t="str">
        <f t="shared" ca="1" si="107"/>
        <v/>
      </c>
      <c r="W80" s="7" t="str">
        <f t="shared" ca="1" si="108"/>
        <v/>
      </c>
      <c r="X80" s="7" t="str">
        <f t="shared" ca="1" si="109"/>
        <v/>
      </c>
      <c r="Y80" s="91"/>
      <c r="Z80" s="247" t="str">
        <f t="shared" si="110"/>
        <v/>
      </c>
      <c r="AA80" s="247" t="str">
        <f t="shared" si="111"/>
        <v/>
      </c>
      <c r="AB80" s="247" t="str">
        <f t="shared" si="112"/>
        <v/>
      </c>
      <c r="AC80" s="247" t="str">
        <f t="shared" si="113"/>
        <v/>
      </c>
      <c r="AD80" s="247" t="str">
        <f t="shared" si="114"/>
        <v/>
      </c>
      <c r="AE80" s="247" t="str">
        <f t="shared" si="115"/>
        <v/>
      </c>
      <c r="AF80" s="247" t="str">
        <f t="shared" si="116"/>
        <v/>
      </c>
      <c r="AG80" s="247" t="str">
        <f t="shared" si="117"/>
        <v/>
      </c>
      <c r="AH80" s="247" t="str">
        <f t="shared" si="118"/>
        <v/>
      </c>
      <c r="AI80" s="247" t="str">
        <f t="shared" si="119"/>
        <v/>
      </c>
      <c r="AK80" s="247" t="str">
        <f t="shared" si="120"/>
        <v/>
      </c>
      <c r="AL80" s="247" t="str">
        <f t="shared" si="121"/>
        <v/>
      </c>
      <c r="AM80" s="247" t="str">
        <f t="shared" si="122"/>
        <v/>
      </c>
      <c r="AN80" s="247" t="str">
        <f t="shared" si="123"/>
        <v/>
      </c>
      <c r="AO80" s="247" t="str">
        <f t="shared" si="124"/>
        <v/>
      </c>
      <c r="AP80" s="247" t="str">
        <f t="shared" si="125"/>
        <v/>
      </c>
      <c r="AQ80" s="247" t="str">
        <f t="shared" si="126"/>
        <v/>
      </c>
      <c r="AR80" s="247" t="str">
        <f t="shared" si="127"/>
        <v/>
      </c>
      <c r="AS80" s="247" t="str">
        <f t="shared" si="128"/>
        <v/>
      </c>
      <c r="AT80" s="247" t="str">
        <f t="shared" si="129"/>
        <v/>
      </c>
      <c r="AU80" s="189"/>
      <c r="AV80" t="str">
        <f>IF(ISBLANK('Field information 1'!F81),"",'Field information 1'!F81)</f>
        <v/>
      </c>
      <c r="AW80" s="334"/>
      <c r="AX80" s="247" t="str" cm="1">
        <f t="array" aca="1" ref="AX80" ca="1">INDIRECT(TEXT(MIN(IF((Calc!$Z$5:$AI$104&lt;&gt;"")*(COUNTIF($AX$4:AX79,Calc!$Z$5:$AI$104)=0),ROW(Calc!$Z$5:$AI$104)*100+COLUMN(Calc!$Z$5:$AI$104),7^8)),"Calc!R0C00"),)&amp;""</f>
        <v/>
      </c>
      <c r="AY80" t="str" cm="1">
        <f t="array" aca="1" ref="AY80" ca="1">INDIRECT(TEXT(MIN(IF((Calc!$AK$5:$AT$104&lt;&gt;"")*(COUNTIF(AY$4:$AY79,Calc!$AK$5:$AT$104)=0),ROW(Calc!$AK$5:$AT$104)*100+COLUMN(Calc!$AK$5:$AT$104),7^8)),"Calc!R0C00"),)&amp;""</f>
        <v/>
      </c>
      <c r="AZ80" s="247" t="str">
        <f t="shared" ca="1" si="132"/>
        <v/>
      </c>
      <c r="BA80" s="324">
        <f t="shared" si="138"/>
        <v>76</v>
      </c>
      <c r="BB80">
        <f t="shared" ca="1" si="133"/>
        <v>0</v>
      </c>
      <c r="BC80" t="str">
        <f ca="1">IF($AX80="","",
VLOOKUP(LEFT($AX80,LEN($AX80)-2),'Field information 2'!$B$12:$P$111,11,FALSE))</f>
        <v/>
      </c>
      <c r="BD80" t="str">
        <f ca="1">IF($AX80="","",
VLOOKUP(LEFT($AX80,LEN($AX80)-2),'Field information 2'!$B$12:$P$111,13,FALSE))</f>
        <v/>
      </c>
      <c r="BE80" t="str">
        <f ca="1">IF($AX80="","",
VLOOKUP(LEFT($AX80,LEN($AX80)-2),'Field information 2'!$B$12:$P$111,15,FALSE))</f>
        <v/>
      </c>
      <c r="BF80">
        <f t="shared" ca="1" si="134"/>
        <v>0</v>
      </c>
      <c r="BG80" t="str">
        <f t="shared" ca="1" si="135"/>
        <v/>
      </c>
      <c r="BH80" s="7" t="str">
        <f ca="1">IF(OR(AX80="",'Soil results'!$D$7="",'Soil results'!$D$8=""),"",
IF('Soil results'!$D$7="LOI",
  IF('Soil results'!$D$8="mg/kg",'Soil results'!D85/10000,'Soil results'!D85),
IF('Soil results'!$D$7="Dumas",
  IF('Soil results'!$D$8="mg/kg",'Soil results'!D85*1.72/10000,'Soil results'!D85*1.72))))</f>
        <v/>
      </c>
      <c r="BI80" t="str">
        <f ca="1">IF($AX80="","",
VLOOKUP(LEFT($AX80,LEN($AX80)-2),'Field information 2'!$B$12:$I$111,8,FALSE))</f>
        <v/>
      </c>
      <c r="BJ80" t="str">
        <f ca="1">IF(BI80="","",
VLOOKUP(BI80,'Fertiliser recommendations'!$A$5:$B$62,2,FALSE))</f>
        <v/>
      </c>
      <c r="BK80" s="38" t="str">
        <f ca="1">IF($AX80="","",
IF(AND(BJ80="g",VLOOKUP(LEFT($AX80,LEN($AX80)-2),'Field information 2'!$B$12:$P$111,9,FALSE)&lt;&gt;"yes"),
IF(BG80="10-25% OM",6,IF(BG80="&gt;25% OM",12,IF(BG80="SCL; CL; ZCL; SC; ZC; C",6,IF(BG80="SL; SZL; ZL",5,IF(BG80="S; LS",4,"?"))))),
IF(OR(BJ80="a",AND(BJ80="g",VLOOKUP(LEFT($AX80,LEN($AX80)-2),'Field information 2'!$B$12:$P$111,9,FALSE)="yes")),
IF(BG80="10-25% OM",8,IF(BG80="&gt;25% OM",16,IF(BG80="SCL; CL; ZCL; SC; ZC; C",8,IF(BG80="SL; SZL; ZL",7,IF(BG80="S; LS",6,"?"))))),"")))</f>
        <v/>
      </c>
      <c r="BL80" t="str">
        <f ca="1">IF(AX80&lt;&gt;"",COUNTBLANK('Soil results'!D85:D85)+COUNTBLANK('Soil results'!F85:I85)+COUNTBLANK('Soil results'!K85:Q85),"")</f>
        <v/>
      </c>
      <c r="BM80" t="str">
        <f ca="1">IF(AX80&lt;&gt;"",
IF(OR(ISNUMBER(SEARCH("10*01*01",'Field information 2'!$M$5)),ISNUMBER(SEARCH("10*01*03",'Field information 2'!$M$5))),0.25,1),"")</f>
        <v/>
      </c>
      <c r="BN80" s="275" t="str">
        <f ca="1">IF(AX80&lt;&gt;"",
IF(COUNTIF('Soil results'!G86:G$159,"="&amp;'Soil results'!G85)+COUNTIF('Soil results'!H86:H$159,"="&amp;'Soil results'!H85)+COUNTIF('Soil results'!I86:I$159,"="&amp;'Soil results'!I85)=0,"no",
IF(MOD(COUNTIF('Soil results'!G86:G$159,"="&amp;'Soil results'!G85)+COUNTIF('Soil results'!H86:H$159,"="&amp;'Soil results'!H85)+COUNTIF('Soil results'!I86:I$159,"="&amp;'Soil results'!I85),3)=0,"yes","no")),"")</f>
        <v/>
      </c>
      <c r="BO80" s="276" t="str">
        <f t="shared" ca="1" si="136"/>
        <v/>
      </c>
      <c r="BP80" s="33"/>
      <c r="BQ80" s="276"/>
      <c r="BR80" s="276"/>
      <c r="BS80" s="276" t="str">
        <f t="shared" ca="1" si="137"/>
        <v/>
      </c>
      <c r="BT80" s="153" t="str">
        <f ca="1">IF(AX80="","",
IF(OR(Assessment!F82="limited benefit",Assessment!F82="benefit", Assessment!M82="limited benefit",Assessment!M82="benefit", Assessment!R82="limited benefit",Assessment!R82="benefit", Assessment!W82="limited benefit",Assessment!W82="benefit", Assessment!AB82="limited benefit",Assessment!AB82="benefit", AND(ISNUMBER(Assessment!AF82),Assessment!AG82="ok"), Assessment!AJ82="benefit"),"yes","no"))</f>
        <v/>
      </c>
      <c r="BW80" t="s">
        <v>387</v>
      </c>
    </row>
    <row r="81" spans="1:75" ht="15" x14ac:dyDescent="0.25">
      <c r="A81" s="272">
        <f>IF(AND('Field information 2'!L88&gt;0, 'Field information 2'!M88=0),"data missing", 'Field information 2'!M88-'Field information 2'!L88)</f>
        <v>0</v>
      </c>
      <c r="B81" s="272">
        <f>IF(AND('Field information 2'!N88&gt;0,'Field information 2'!O88=0),"data missing",'Field information 2'!O88-'Field information 2'!N88)</f>
        <v>0</v>
      </c>
      <c r="C81" s="272">
        <f>IF(AND('Field information 2'!P88&gt;0, 'Field information 2'!Q88=0),"data missing",'Field information 2'!Q88-'Field information 2'!P88)</f>
        <v>0</v>
      </c>
      <c r="D81">
        <f>'Field information 2'!L88</f>
        <v>0</v>
      </c>
      <c r="E81" s="249" t="str">
        <f>IF(OR('Field information 2'!L88&gt;0,'Field information 2'!N88&gt;0,'Field information 2'!P88&gt;0),"Y","N")</f>
        <v>N</v>
      </c>
      <c r="F81" s="277" t="str">
        <f t="shared" si="130"/>
        <v/>
      </c>
      <c r="G81" t="str">
        <f>IF(OR(ISBLANK('Field information 1'!B82),AND(OR(ISBLANK('Field information 2'!L88), 'Field information 2'!L88=0),OR(ISBLANK('Field information 2'!N88), 'Field information 2'!N88=0), OR(ISBLANK('Field information 2'!P88), 'Field information 2'!P88=0))),"",
IF(ISTEXT('Field information 1'!B82), 'Field information 1'!B82, TEXT('Field information 1'!B82,"0")))</f>
        <v/>
      </c>
      <c r="H81" t="str">
        <f>IF(OR(ISBLANK('Field information 1'!B82),ISBLANK('Field information 2'!L88),ISBLANK('Field information 2'!F88)),"",'Field information 2'!F88)</f>
        <v/>
      </c>
      <c r="I81" s="91" t="str">
        <f>IF(OR(ISBLANK('Field information 1'!E82),G81=""),"",CEILING('Field information 1'!E82/10,1))</f>
        <v/>
      </c>
      <c r="J81" s="91" t="str">
        <f t="shared" si="131"/>
        <v>no</v>
      </c>
      <c r="K81" s="135" t="str">
        <f t="shared" ca="1" si="139"/>
        <v/>
      </c>
      <c r="L81" s="135" t="str">
        <f t="shared" ca="1" si="140"/>
        <v/>
      </c>
      <c r="M81" s="135" t="str">
        <f t="shared" ca="1" si="141"/>
        <v/>
      </c>
      <c r="N81" s="135" t="str">
        <f t="shared" ca="1" si="142"/>
        <v/>
      </c>
      <c r="O81" s="135" t="str">
        <f t="shared" ca="1" si="143"/>
        <v/>
      </c>
      <c r="P81" s="135" t="str">
        <f t="shared" ca="1" si="144"/>
        <v/>
      </c>
      <c r="Q81" s="135" t="str">
        <f t="shared" ca="1" si="145"/>
        <v/>
      </c>
      <c r="R81" s="135" t="str">
        <f t="shared" ca="1" si="146"/>
        <v/>
      </c>
      <c r="S81" s="135" t="str">
        <f t="shared" ca="1" si="147"/>
        <v/>
      </c>
      <c r="T81" s="135" t="str">
        <f t="shared" ca="1" si="148"/>
        <v/>
      </c>
      <c r="U81" s="49" t="str">
        <f t="shared" ca="1" si="106"/>
        <v/>
      </c>
      <c r="V81" s="7" t="str">
        <f t="shared" ca="1" si="107"/>
        <v/>
      </c>
      <c r="W81" s="7" t="str">
        <f t="shared" ca="1" si="108"/>
        <v/>
      </c>
      <c r="X81" s="7" t="str">
        <f t="shared" ca="1" si="109"/>
        <v/>
      </c>
      <c r="Y81" s="91"/>
      <c r="Z81" s="247" t="str">
        <f t="shared" si="110"/>
        <v/>
      </c>
      <c r="AA81" s="247" t="str">
        <f t="shared" si="111"/>
        <v/>
      </c>
      <c r="AB81" s="247" t="str">
        <f t="shared" si="112"/>
        <v/>
      </c>
      <c r="AC81" s="247" t="str">
        <f t="shared" si="113"/>
        <v/>
      </c>
      <c r="AD81" s="247" t="str">
        <f t="shared" si="114"/>
        <v/>
      </c>
      <c r="AE81" s="247" t="str">
        <f t="shared" si="115"/>
        <v/>
      </c>
      <c r="AF81" s="247" t="str">
        <f t="shared" si="116"/>
        <v/>
      </c>
      <c r="AG81" s="247" t="str">
        <f t="shared" si="117"/>
        <v/>
      </c>
      <c r="AH81" s="247" t="str">
        <f t="shared" si="118"/>
        <v/>
      </c>
      <c r="AI81" s="247" t="str">
        <f t="shared" si="119"/>
        <v/>
      </c>
      <c r="AK81" s="247" t="str">
        <f t="shared" si="120"/>
        <v/>
      </c>
      <c r="AL81" s="247" t="str">
        <f t="shared" si="121"/>
        <v/>
      </c>
      <c r="AM81" s="247" t="str">
        <f t="shared" si="122"/>
        <v/>
      </c>
      <c r="AN81" s="247" t="str">
        <f t="shared" si="123"/>
        <v/>
      </c>
      <c r="AO81" s="247" t="str">
        <f t="shared" si="124"/>
        <v/>
      </c>
      <c r="AP81" s="247" t="str">
        <f t="shared" si="125"/>
        <v/>
      </c>
      <c r="AQ81" s="247" t="str">
        <f t="shared" si="126"/>
        <v/>
      </c>
      <c r="AR81" s="247" t="str">
        <f t="shared" si="127"/>
        <v/>
      </c>
      <c r="AS81" s="247" t="str">
        <f t="shared" si="128"/>
        <v/>
      </c>
      <c r="AT81" s="247" t="str">
        <f t="shared" si="129"/>
        <v/>
      </c>
      <c r="AU81" s="189"/>
      <c r="AV81" t="str">
        <f>IF(ISBLANK('Field information 1'!F82),"",'Field information 1'!F82)</f>
        <v/>
      </c>
      <c r="AW81" s="334"/>
      <c r="AX81" s="247" t="str" cm="1">
        <f t="array" aca="1" ref="AX81" ca="1">INDIRECT(TEXT(MIN(IF((Calc!$Z$5:$AI$104&lt;&gt;"")*(COUNTIF($AX$4:AX80,Calc!$Z$5:$AI$104)=0),ROW(Calc!$Z$5:$AI$104)*100+COLUMN(Calc!$Z$5:$AI$104),7^8)),"Calc!R0C00"),)&amp;""</f>
        <v/>
      </c>
      <c r="AY81" t="str" cm="1">
        <f t="array" aca="1" ref="AY81" ca="1">INDIRECT(TEXT(MIN(IF((Calc!$AK$5:$AT$104&lt;&gt;"")*(COUNTIF(AY$4:$AY80,Calc!$AK$5:$AT$104)=0),ROW(Calc!$AK$5:$AT$104)*100+COLUMN(Calc!$AK$5:$AT$104),7^8)),"Calc!R0C00"),)&amp;""</f>
        <v/>
      </c>
      <c r="AZ81" s="247" t="str">
        <f t="shared" ca="1" si="132"/>
        <v/>
      </c>
      <c r="BA81" s="324">
        <f t="shared" si="138"/>
        <v>77</v>
      </c>
      <c r="BB81">
        <f t="shared" ca="1" si="133"/>
        <v>0</v>
      </c>
      <c r="BC81" t="str">
        <f ca="1">IF($AX81="","",
VLOOKUP(LEFT($AX81,LEN($AX81)-2),'Field information 2'!$B$12:$P$111,11,FALSE))</f>
        <v/>
      </c>
      <c r="BD81" t="str">
        <f ca="1">IF($AX81="","",
VLOOKUP(LEFT($AX81,LEN($AX81)-2),'Field information 2'!$B$12:$P$111,13,FALSE))</f>
        <v/>
      </c>
      <c r="BE81" t="str">
        <f ca="1">IF($AX81="","",
VLOOKUP(LEFT($AX81,LEN($AX81)-2),'Field information 2'!$B$12:$P$111,15,FALSE))</f>
        <v/>
      </c>
      <c r="BF81">
        <f t="shared" ca="1" si="134"/>
        <v>0</v>
      </c>
      <c r="BG81" t="str">
        <f t="shared" ca="1" si="135"/>
        <v/>
      </c>
      <c r="BH81" s="7" t="str">
        <f ca="1">IF(OR(AX81="",'Soil results'!$D$7="",'Soil results'!$D$8=""),"",
IF('Soil results'!$D$7="LOI",
  IF('Soil results'!$D$8="mg/kg",'Soil results'!D86/10000,'Soil results'!D86),
IF('Soil results'!$D$7="Dumas",
  IF('Soil results'!$D$8="mg/kg",'Soil results'!D86*1.72/10000,'Soil results'!D86*1.72))))</f>
        <v/>
      </c>
      <c r="BI81" t="str">
        <f ca="1">IF($AX81="","",
VLOOKUP(LEFT($AX81,LEN($AX81)-2),'Field information 2'!$B$12:$I$111,8,FALSE))</f>
        <v/>
      </c>
      <c r="BJ81" t="str">
        <f ca="1">IF(BI81="","",
VLOOKUP(BI81,'Fertiliser recommendations'!$A$5:$B$62,2,FALSE))</f>
        <v/>
      </c>
      <c r="BK81" s="38" t="str">
        <f ca="1">IF($AX81="","",
IF(AND(BJ81="g",VLOOKUP(LEFT($AX81,LEN($AX81)-2),'Field information 2'!$B$12:$P$111,9,FALSE)&lt;&gt;"yes"),
IF(BG81="10-25% OM",6,IF(BG81="&gt;25% OM",12,IF(BG81="SCL; CL; ZCL; SC; ZC; C",6,IF(BG81="SL; SZL; ZL",5,IF(BG81="S; LS",4,"?"))))),
IF(OR(BJ81="a",AND(BJ81="g",VLOOKUP(LEFT($AX81,LEN($AX81)-2),'Field information 2'!$B$12:$P$111,9,FALSE)="yes")),
IF(BG81="10-25% OM",8,IF(BG81="&gt;25% OM",16,IF(BG81="SCL; CL; ZCL; SC; ZC; C",8,IF(BG81="SL; SZL; ZL",7,IF(BG81="S; LS",6,"?"))))),"")))</f>
        <v/>
      </c>
      <c r="BL81" t="str">
        <f ca="1">IF(AX81&lt;&gt;"",COUNTBLANK('Soil results'!D86:D86)+COUNTBLANK('Soil results'!F86:I86)+COUNTBLANK('Soil results'!K86:Q86),"")</f>
        <v/>
      </c>
      <c r="BM81" t="str">
        <f ca="1">IF(AX81&lt;&gt;"",
IF(OR(ISNUMBER(SEARCH("10*01*01",'Field information 2'!$M$5)),ISNUMBER(SEARCH("10*01*03",'Field information 2'!$M$5))),0.25,1),"")</f>
        <v/>
      </c>
      <c r="BN81" s="275" t="str">
        <f ca="1">IF(AX81&lt;&gt;"",
IF(COUNTIF('Soil results'!G87:G$159,"="&amp;'Soil results'!G86)+COUNTIF('Soil results'!H87:H$159,"="&amp;'Soil results'!H86)+COUNTIF('Soil results'!I87:I$159,"="&amp;'Soil results'!I86)=0,"no",
IF(MOD(COUNTIF('Soil results'!G87:G$159,"="&amp;'Soil results'!G86)+COUNTIF('Soil results'!H87:H$159,"="&amp;'Soil results'!H86)+COUNTIF('Soil results'!I87:I$159,"="&amp;'Soil results'!I86),3)=0,"yes","no")),"")</f>
        <v/>
      </c>
      <c r="BO81" s="276" t="str">
        <f t="shared" ca="1" si="136"/>
        <v/>
      </c>
      <c r="BP81" s="33"/>
      <c r="BQ81" s="276"/>
      <c r="BR81" s="276"/>
      <c r="BS81" s="276" t="str">
        <f t="shared" ca="1" si="137"/>
        <v/>
      </c>
      <c r="BT81" s="153" t="str">
        <f ca="1">IF(AX81="","",
IF(OR(Assessment!F83="limited benefit",Assessment!F83="benefit", Assessment!M83="limited benefit",Assessment!M83="benefit", Assessment!R83="limited benefit",Assessment!R83="benefit", Assessment!W83="limited benefit",Assessment!W83="benefit", Assessment!AB83="limited benefit",Assessment!AB83="benefit", AND(ISNUMBER(Assessment!AF83),Assessment!AG83="ok"), Assessment!AJ83="benefit"),"yes","no"))</f>
        <v/>
      </c>
      <c r="BW81" t="s">
        <v>388</v>
      </c>
    </row>
    <row r="82" spans="1:75" ht="15" x14ac:dyDescent="0.25">
      <c r="A82" s="272">
        <f>IF(AND('Field information 2'!L89&gt;0, 'Field information 2'!M89=0),"data missing", 'Field information 2'!M89-'Field information 2'!L89)</f>
        <v>0</v>
      </c>
      <c r="B82" s="272">
        <f>IF(AND('Field information 2'!N89&gt;0,'Field information 2'!O89=0),"data missing",'Field information 2'!O89-'Field information 2'!N89)</f>
        <v>0</v>
      </c>
      <c r="C82" s="272">
        <f>IF(AND('Field information 2'!P89&gt;0, 'Field information 2'!Q89=0),"data missing",'Field information 2'!Q89-'Field information 2'!P89)</f>
        <v>0</v>
      </c>
      <c r="D82">
        <f>'Field information 2'!L89</f>
        <v>0</v>
      </c>
      <c r="E82" s="249" t="str">
        <f>IF(OR('Field information 2'!L89&gt;0,'Field information 2'!N89&gt;0,'Field information 2'!P89&gt;0),"Y","N")</f>
        <v>N</v>
      </c>
      <c r="F82" s="277" t="str">
        <f t="shared" si="130"/>
        <v/>
      </c>
      <c r="G82" t="str">
        <f>IF(OR(ISBLANK('Field information 1'!B83),AND(OR(ISBLANK('Field information 2'!L89), 'Field information 2'!L89=0),OR(ISBLANK('Field information 2'!N89), 'Field information 2'!N89=0), OR(ISBLANK('Field information 2'!P89), 'Field information 2'!P89=0))),"",
IF(ISTEXT('Field information 1'!B83), 'Field information 1'!B83, TEXT('Field information 1'!B83,"0")))</f>
        <v/>
      </c>
      <c r="H82" t="str">
        <f>IF(OR(ISBLANK('Field information 1'!B83),ISBLANK('Field information 2'!L89),ISBLANK('Field information 2'!F89)),"",'Field information 2'!F89)</f>
        <v/>
      </c>
      <c r="I82" s="91" t="str">
        <f>IF(OR(ISBLANK('Field information 1'!E83),G82=""),"",CEILING('Field information 1'!E83/10,1))</f>
        <v/>
      </c>
      <c r="J82" s="91" t="str">
        <f t="shared" si="131"/>
        <v>no</v>
      </c>
      <c r="K82" s="135" t="str">
        <f t="shared" ca="1" si="139"/>
        <v/>
      </c>
      <c r="L82" s="135" t="str">
        <f t="shared" ca="1" si="140"/>
        <v/>
      </c>
      <c r="M82" s="135" t="str">
        <f t="shared" ca="1" si="141"/>
        <v/>
      </c>
      <c r="N82" s="135" t="str">
        <f t="shared" ca="1" si="142"/>
        <v/>
      </c>
      <c r="O82" s="135" t="str">
        <f t="shared" ca="1" si="143"/>
        <v/>
      </c>
      <c r="P82" s="135" t="str">
        <f t="shared" ca="1" si="144"/>
        <v/>
      </c>
      <c r="Q82" s="135" t="str">
        <f t="shared" ca="1" si="145"/>
        <v/>
      </c>
      <c r="R82" s="135" t="str">
        <f t="shared" ca="1" si="146"/>
        <v/>
      </c>
      <c r="S82" s="135" t="str">
        <f t="shared" ca="1" si="147"/>
        <v/>
      </c>
      <c r="T82" s="135" t="str">
        <f t="shared" ca="1" si="148"/>
        <v/>
      </c>
      <c r="U82" s="49" t="str">
        <f t="shared" ca="1" si="106"/>
        <v/>
      </c>
      <c r="V82" s="7" t="str">
        <f t="shared" ca="1" si="107"/>
        <v/>
      </c>
      <c r="W82" s="7" t="str">
        <f t="shared" ca="1" si="108"/>
        <v/>
      </c>
      <c r="X82" s="7" t="str">
        <f t="shared" ca="1" si="109"/>
        <v/>
      </c>
      <c r="Y82" s="91"/>
      <c r="Z82" s="247" t="str">
        <f t="shared" si="110"/>
        <v/>
      </c>
      <c r="AA82" s="247" t="str">
        <f t="shared" si="111"/>
        <v/>
      </c>
      <c r="AB82" s="247" t="str">
        <f t="shared" si="112"/>
        <v/>
      </c>
      <c r="AC82" s="247" t="str">
        <f t="shared" si="113"/>
        <v/>
      </c>
      <c r="AD82" s="247" t="str">
        <f t="shared" si="114"/>
        <v/>
      </c>
      <c r="AE82" s="247" t="str">
        <f t="shared" si="115"/>
        <v/>
      </c>
      <c r="AF82" s="247" t="str">
        <f t="shared" si="116"/>
        <v/>
      </c>
      <c r="AG82" s="247" t="str">
        <f t="shared" si="117"/>
        <v/>
      </c>
      <c r="AH82" s="247" t="str">
        <f t="shared" si="118"/>
        <v/>
      </c>
      <c r="AI82" s="247" t="str">
        <f t="shared" si="119"/>
        <v/>
      </c>
      <c r="AK82" s="247" t="str">
        <f t="shared" si="120"/>
        <v/>
      </c>
      <c r="AL82" s="247" t="str">
        <f t="shared" si="121"/>
        <v/>
      </c>
      <c r="AM82" s="247" t="str">
        <f t="shared" si="122"/>
        <v/>
      </c>
      <c r="AN82" s="247" t="str">
        <f t="shared" si="123"/>
        <v/>
      </c>
      <c r="AO82" s="247" t="str">
        <f t="shared" si="124"/>
        <v/>
      </c>
      <c r="AP82" s="247" t="str">
        <f t="shared" si="125"/>
        <v/>
      </c>
      <c r="AQ82" s="247" t="str">
        <f t="shared" si="126"/>
        <v/>
      </c>
      <c r="AR82" s="247" t="str">
        <f t="shared" si="127"/>
        <v/>
      </c>
      <c r="AS82" s="247" t="str">
        <f t="shared" si="128"/>
        <v/>
      </c>
      <c r="AT82" s="247" t="str">
        <f t="shared" si="129"/>
        <v/>
      </c>
      <c r="AU82" s="189"/>
      <c r="AV82" t="str">
        <f>IF(ISBLANK('Field information 1'!F83),"",'Field information 1'!F83)</f>
        <v/>
      </c>
      <c r="AW82" s="334"/>
      <c r="AX82" s="247" t="str" cm="1">
        <f t="array" aca="1" ref="AX82" ca="1">INDIRECT(TEXT(MIN(IF((Calc!$Z$5:$AI$104&lt;&gt;"")*(COUNTIF($AX$4:AX81,Calc!$Z$5:$AI$104)=0),ROW(Calc!$Z$5:$AI$104)*100+COLUMN(Calc!$Z$5:$AI$104),7^8)),"Calc!R0C00"),)&amp;""</f>
        <v/>
      </c>
      <c r="AY82" t="str" cm="1">
        <f t="array" aca="1" ref="AY82" ca="1">INDIRECT(TEXT(MIN(IF((Calc!$AK$5:$AT$104&lt;&gt;"")*(COUNTIF(AY$4:$AY81,Calc!$AK$5:$AT$104)=0),ROW(Calc!$AK$5:$AT$104)*100+COLUMN(Calc!$AK$5:$AT$104),7^8)),"Calc!R0C00"),)&amp;""</f>
        <v/>
      </c>
      <c r="AZ82" s="247" t="str">
        <f t="shared" ca="1" si="132"/>
        <v/>
      </c>
      <c r="BA82" s="324">
        <f t="shared" si="138"/>
        <v>78</v>
      </c>
      <c r="BB82">
        <f t="shared" ca="1" si="133"/>
        <v>0</v>
      </c>
      <c r="BC82" t="str">
        <f ca="1">IF($AX82="","",
VLOOKUP(LEFT($AX82,LEN($AX82)-2),'Field information 2'!$B$12:$P$111,11,FALSE))</f>
        <v/>
      </c>
      <c r="BD82" t="str">
        <f ca="1">IF($AX82="","",
VLOOKUP(LEFT($AX82,LEN($AX82)-2),'Field information 2'!$B$12:$P$111,13,FALSE))</f>
        <v/>
      </c>
      <c r="BE82" t="str">
        <f ca="1">IF($AX82="","",
VLOOKUP(LEFT($AX82,LEN($AX82)-2),'Field information 2'!$B$12:$P$111,15,FALSE))</f>
        <v/>
      </c>
      <c r="BF82">
        <f t="shared" ca="1" si="134"/>
        <v>0</v>
      </c>
      <c r="BG82" t="str">
        <f t="shared" ca="1" si="135"/>
        <v/>
      </c>
      <c r="BH82" s="7" t="str">
        <f ca="1">IF(OR(AX82="",'Soil results'!$D$7="",'Soil results'!$D$8=""),"",
IF('Soil results'!$D$7="LOI",
  IF('Soil results'!$D$8="mg/kg",'Soil results'!D87/10000,'Soil results'!D87),
IF('Soil results'!$D$7="Dumas",
  IF('Soil results'!$D$8="mg/kg",'Soil results'!D87*1.72/10000,'Soil results'!D87*1.72))))</f>
        <v/>
      </c>
      <c r="BI82" t="str">
        <f ca="1">IF($AX82="","",
VLOOKUP(LEFT($AX82,LEN($AX82)-2),'Field information 2'!$B$12:$I$111,8,FALSE))</f>
        <v/>
      </c>
      <c r="BJ82" t="str">
        <f ca="1">IF(BI82="","",
VLOOKUP(BI82,'Fertiliser recommendations'!$A$5:$B$62,2,FALSE))</f>
        <v/>
      </c>
      <c r="BK82" s="38" t="str">
        <f ca="1">IF($AX82="","",
IF(AND(BJ82="g",VLOOKUP(LEFT($AX82,LEN($AX82)-2),'Field information 2'!$B$12:$P$111,9,FALSE)&lt;&gt;"yes"),
IF(BG82="10-25% OM",6,IF(BG82="&gt;25% OM",12,IF(BG82="SCL; CL; ZCL; SC; ZC; C",6,IF(BG82="SL; SZL; ZL",5,IF(BG82="S; LS",4,"?"))))),
IF(OR(BJ82="a",AND(BJ82="g",VLOOKUP(LEFT($AX82,LEN($AX82)-2),'Field information 2'!$B$12:$P$111,9,FALSE)="yes")),
IF(BG82="10-25% OM",8,IF(BG82="&gt;25% OM",16,IF(BG82="SCL; CL; ZCL; SC; ZC; C",8,IF(BG82="SL; SZL; ZL",7,IF(BG82="S; LS",6,"?"))))),"")))</f>
        <v/>
      </c>
      <c r="BL82" t="str">
        <f ca="1">IF(AX82&lt;&gt;"",COUNTBLANK('Soil results'!D87:D87)+COUNTBLANK('Soil results'!F87:I87)+COUNTBLANK('Soil results'!K87:Q87),"")</f>
        <v/>
      </c>
      <c r="BM82" t="str">
        <f ca="1">IF(AX82&lt;&gt;"",
IF(OR(ISNUMBER(SEARCH("10*01*01",'Field information 2'!$M$5)),ISNUMBER(SEARCH("10*01*03",'Field information 2'!$M$5))),0.25,1),"")</f>
        <v/>
      </c>
      <c r="BN82" s="275" t="str">
        <f ca="1">IF(AX82&lt;&gt;"",
IF(COUNTIF('Soil results'!G88:G$159,"="&amp;'Soil results'!G87)+COUNTIF('Soil results'!H88:H$159,"="&amp;'Soil results'!H87)+COUNTIF('Soil results'!I88:I$159,"="&amp;'Soil results'!I87)=0,"no",
IF(MOD(COUNTIF('Soil results'!G88:G$159,"="&amp;'Soil results'!G87)+COUNTIF('Soil results'!H88:H$159,"="&amp;'Soil results'!H87)+COUNTIF('Soil results'!I88:I$159,"="&amp;'Soil results'!I87),3)=0,"yes","no")),"")</f>
        <v/>
      </c>
      <c r="BO82" s="276" t="str">
        <f t="shared" ca="1" si="136"/>
        <v/>
      </c>
      <c r="BP82" s="33"/>
      <c r="BQ82" s="276"/>
      <c r="BR82" s="276"/>
      <c r="BS82" s="276" t="str">
        <f t="shared" ca="1" si="137"/>
        <v/>
      </c>
      <c r="BT82" s="153" t="str">
        <f ca="1">IF(AX82="","",
IF(OR(Assessment!F84="limited benefit",Assessment!F84="benefit", Assessment!M84="limited benefit",Assessment!M84="benefit", Assessment!R84="limited benefit",Assessment!R84="benefit", Assessment!W84="limited benefit",Assessment!W84="benefit", Assessment!AB84="limited benefit",Assessment!AB84="benefit", AND(ISNUMBER(Assessment!AF84),Assessment!AG84="ok"), Assessment!AJ84="benefit"),"yes","no"))</f>
        <v/>
      </c>
    </row>
    <row r="83" spans="1:75" ht="15" x14ac:dyDescent="0.25">
      <c r="A83" s="272">
        <f>IF(AND('Field information 2'!L90&gt;0, 'Field information 2'!M90=0),"data missing", 'Field information 2'!M90-'Field information 2'!L90)</f>
        <v>0</v>
      </c>
      <c r="B83" s="272">
        <f>IF(AND('Field information 2'!N90&gt;0,'Field information 2'!O90=0),"data missing",'Field information 2'!O90-'Field information 2'!N90)</f>
        <v>0</v>
      </c>
      <c r="C83" s="272">
        <f>IF(AND('Field information 2'!P90&gt;0, 'Field information 2'!Q90=0),"data missing",'Field information 2'!Q90-'Field information 2'!P90)</f>
        <v>0</v>
      </c>
      <c r="D83">
        <f>'Field information 2'!L90</f>
        <v>0</v>
      </c>
      <c r="E83" s="249" t="str">
        <f>IF(OR('Field information 2'!L90&gt;0,'Field information 2'!N90&gt;0,'Field information 2'!P90&gt;0),"Y","N")</f>
        <v>N</v>
      </c>
      <c r="F83" s="277" t="str">
        <f t="shared" si="130"/>
        <v/>
      </c>
      <c r="G83" t="str">
        <f>IF(OR(ISBLANK('Field information 1'!B84),AND(OR(ISBLANK('Field information 2'!L90), 'Field information 2'!L90=0),OR(ISBLANK('Field information 2'!N90), 'Field information 2'!N90=0), OR(ISBLANK('Field information 2'!P90), 'Field information 2'!P90=0))),"",
IF(ISTEXT('Field information 1'!B84), 'Field information 1'!B84, TEXT('Field information 1'!B84,"0")))</f>
        <v/>
      </c>
      <c r="H83" t="str">
        <f>IF(OR(ISBLANK('Field information 1'!B84),ISBLANK('Field information 2'!L90),ISBLANK('Field information 2'!F90)),"",'Field information 2'!F90)</f>
        <v/>
      </c>
      <c r="I83" s="91" t="str">
        <f>IF(OR(ISBLANK('Field information 1'!E84),G83=""),"",CEILING('Field information 1'!E84/10,1))</f>
        <v/>
      </c>
      <c r="J83" s="91" t="str">
        <f t="shared" si="131"/>
        <v>no</v>
      </c>
      <c r="K83" s="135" t="str">
        <f t="shared" ca="1" si="139"/>
        <v/>
      </c>
      <c r="L83" s="135" t="str">
        <f t="shared" ca="1" si="140"/>
        <v/>
      </c>
      <c r="M83" s="135" t="str">
        <f t="shared" ca="1" si="141"/>
        <v/>
      </c>
      <c r="N83" s="135" t="str">
        <f t="shared" ca="1" si="142"/>
        <v/>
      </c>
      <c r="O83" s="135" t="str">
        <f t="shared" ca="1" si="143"/>
        <v/>
      </c>
      <c r="P83" s="135" t="str">
        <f t="shared" ca="1" si="144"/>
        <v/>
      </c>
      <c r="Q83" s="135" t="str">
        <f t="shared" ca="1" si="145"/>
        <v/>
      </c>
      <c r="R83" s="135" t="str">
        <f t="shared" ca="1" si="146"/>
        <v/>
      </c>
      <c r="S83" s="135" t="str">
        <f t="shared" ca="1" si="147"/>
        <v/>
      </c>
      <c r="T83" s="135" t="str">
        <f t="shared" ca="1" si="148"/>
        <v/>
      </c>
      <c r="U83" s="49" t="str">
        <f t="shared" ca="1" si="106"/>
        <v/>
      </c>
      <c r="V83" s="7" t="str">
        <f t="shared" ca="1" si="107"/>
        <v/>
      </c>
      <c r="W83" s="7" t="str">
        <f t="shared" ca="1" si="108"/>
        <v/>
      </c>
      <c r="X83" s="7" t="str">
        <f t="shared" ca="1" si="109"/>
        <v/>
      </c>
      <c r="Y83" s="91"/>
      <c r="Z83" s="247" t="str">
        <f t="shared" si="110"/>
        <v/>
      </c>
      <c r="AA83" s="247" t="str">
        <f t="shared" si="111"/>
        <v/>
      </c>
      <c r="AB83" s="247" t="str">
        <f t="shared" si="112"/>
        <v/>
      </c>
      <c r="AC83" s="247" t="str">
        <f t="shared" si="113"/>
        <v/>
      </c>
      <c r="AD83" s="247" t="str">
        <f t="shared" si="114"/>
        <v/>
      </c>
      <c r="AE83" s="247" t="str">
        <f t="shared" si="115"/>
        <v/>
      </c>
      <c r="AF83" s="247" t="str">
        <f t="shared" si="116"/>
        <v/>
      </c>
      <c r="AG83" s="247" t="str">
        <f t="shared" si="117"/>
        <v/>
      </c>
      <c r="AH83" s="247" t="str">
        <f t="shared" si="118"/>
        <v/>
      </c>
      <c r="AI83" s="247" t="str">
        <f t="shared" si="119"/>
        <v/>
      </c>
      <c r="AK83" s="247" t="str">
        <f t="shared" si="120"/>
        <v/>
      </c>
      <c r="AL83" s="247" t="str">
        <f t="shared" si="121"/>
        <v/>
      </c>
      <c r="AM83" s="247" t="str">
        <f t="shared" si="122"/>
        <v/>
      </c>
      <c r="AN83" s="247" t="str">
        <f t="shared" si="123"/>
        <v/>
      </c>
      <c r="AO83" s="247" t="str">
        <f t="shared" si="124"/>
        <v/>
      </c>
      <c r="AP83" s="247" t="str">
        <f t="shared" si="125"/>
        <v/>
      </c>
      <c r="AQ83" s="247" t="str">
        <f t="shared" si="126"/>
        <v/>
      </c>
      <c r="AR83" s="247" t="str">
        <f t="shared" si="127"/>
        <v/>
      </c>
      <c r="AS83" s="247" t="str">
        <f t="shared" si="128"/>
        <v/>
      </c>
      <c r="AT83" s="247" t="str">
        <f t="shared" si="129"/>
        <v/>
      </c>
      <c r="AU83" s="189"/>
      <c r="AV83" t="str">
        <f>IF(ISBLANK('Field information 1'!F84),"",'Field information 1'!F84)</f>
        <v/>
      </c>
      <c r="AW83" s="334"/>
      <c r="AX83" s="247" t="str" cm="1">
        <f t="array" aca="1" ref="AX83" ca="1">INDIRECT(TEXT(MIN(IF((Calc!$Z$5:$AI$104&lt;&gt;"")*(COUNTIF($AX$4:AX82,Calc!$Z$5:$AI$104)=0),ROW(Calc!$Z$5:$AI$104)*100+COLUMN(Calc!$Z$5:$AI$104),7^8)),"Calc!R0C00"),)&amp;""</f>
        <v/>
      </c>
      <c r="AY83" t="str" cm="1">
        <f t="array" aca="1" ref="AY83" ca="1">INDIRECT(TEXT(MIN(IF((Calc!$AK$5:$AT$104&lt;&gt;"")*(COUNTIF(AY$4:$AY82,Calc!$AK$5:$AT$104)=0),ROW(Calc!$AK$5:$AT$104)*100+COLUMN(Calc!$AK$5:$AT$104),7^8)),"Calc!R0C00"),)&amp;""</f>
        <v/>
      </c>
      <c r="AZ83" s="247" t="str">
        <f t="shared" ca="1" si="132"/>
        <v/>
      </c>
      <c r="BA83" s="324">
        <f t="shared" si="138"/>
        <v>79</v>
      </c>
      <c r="BB83">
        <f t="shared" ca="1" si="133"/>
        <v>0</v>
      </c>
      <c r="BC83" t="str">
        <f ca="1">IF($AX83="","",
VLOOKUP(LEFT($AX83,LEN($AX83)-2),'Field information 2'!$B$12:$P$111,11,FALSE))</f>
        <v/>
      </c>
      <c r="BD83" t="str">
        <f ca="1">IF($AX83="","",
VLOOKUP(LEFT($AX83,LEN($AX83)-2),'Field information 2'!$B$12:$P$111,13,FALSE))</f>
        <v/>
      </c>
      <c r="BE83" t="str">
        <f ca="1">IF($AX83="","",
VLOOKUP(LEFT($AX83,LEN($AX83)-2),'Field information 2'!$B$12:$P$111,15,FALSE))</f>
        <v/>
      </c>
      <c r="BF83">
        <f t="shared" ca="1" si="134"/>
        <v>0</v>
      </c>
      <c r="BG83" t="str">
        <f t="shared" ca="1" si="135"/>
        <v/>
      </c>
      <c r="BH83" s="7" t="str">
        <f ca="1">IF(OR(AX83="",'Soil results'!$D$7="",'Soil results'!$D$8=""),"",
IF('Soil results'!$D$7="LOI",
  IF('Soil results'!$D$8="mg/kg",'Soil results'!D88/10000,'Soil results'!D88),
IF('Soil results'!$D$7="Dumas",
  IF('Soil results'!$D$8="mg/kg",'Soil results'!D88*1.72/10000,'Soil results'!D88*1.72))))</f>
        <v/>
      </c>
      <c r="BI83" t="str">
        <f ca="1">IF($AX83="","",
VLOOKUP(LEFT($AX83,LEN($AX83)-2),'Field information 2'!$B$12:$I$111,8,FALSE))</f>
        <v/>
      </c>
      <c r="BJ83" t="str">
        <f ca="1">IF(BI83="","",
VLOOKUP(BI83,'Fertiliser recommendations'!$A$5:$B$62,2,FALSE))</f>
        <v/>
      </c>
      <c r="BK83" s="38" t="str">
        <f ca="1">IF($AX83="","",
IF(AND(BJ83="g",VLOOKUP(LEFT($AX83,LEN($AX83)-2),'Field information 2'!$B$12:$P$111,9,FALSE)&lt;&gt;"yes"),
IF(BG83="10-25% OM",6,IF(BG83="&gt;25% OM",12,IF(BG83="SCL; CL; ZCL; SC; ZC; C",6,IF(BG83="SL; SZL; ZL",5,IF(BG83="S; LS",4,"?"))))),
IF(OR(BJ83="a",AND(BJ83="g",VLOOKUP(LEFT($AX83,LEN($AX83)-2),'Field information 2'!$B$12:$P$111,9,FALSE)="yes")),
IF(BG83="10-25% OM",8,IF(BG83="&gt;25% OM",16,IF(BG83="SCL; CL; ZCL; SC; ZC; C",8,IF(BG83="SL; SZL; ZL",7,IF(BG83="S; LS",6,"?"))))),"")))</f>
        <v/>
      </c>
      <c r="BL83" t="str">
        <f ca="1">IF(AX83&lt;&gt;"",COUNTBLANK('Soil results'!D88:D88)+COUNTBLANK('Soil results'!F88:I88)+COUNTBLANK('Soil results'!K88:Q88),"")</f>
        <v/>
      </c>
      <c r="BM83" t="str">
        <f ca="1">IF(AX83&lt;&gt;"",
IF(OR(ISNUMBER(SEARCH("10*01*01",'Field information 2'!$M$5)),ISNUMBER(SEARCH("10*01*03",'Field information 2'!$M$5))),0.25,1),"")</f>
        <v/>
      </c>
      <c r="BN83" s="275" t="str">
        <f ca="1">IF(AX83&lt;&gt;"",
IF(COUNTIF('Soil results'!G89:G$159,"="&amp;'Soil results'!G88)+COUNTIF('Soil results'!H89:H$159,"="&amp;'Soil results'!H88)+COUNTIF('Soil results'!I89:I$159,"="&amp;'Soil results'!I88)=0,"no",
IF(MOD(COUNTIF('Soil results'!G89:G$159,"="&amp;'Soil results'!G88)+COUNTIF('Soil results'!H89:H$159,"="&amp;'Soil results'!H88)+COUNTIF('Soil results'!I89:I$159,"="&amp;'Soil results'!I88),3)=0,"yes","no")),"")</f>
        <v/>
      </c>
      <c r="BO83" s="276" t="str">
        <f t="shared" ca="1" si="136"/>
        <v/>
      </c>
      <c r="BP83" s="33"/>
      <c r="BQ83" s="276"/>
      <c r="BR83" s="276"/>
      <c r="BS83" s="276" t="str">
        <f t="shared" ca="1" si="137"/>
        <v/>
      </c>
      <c r="BT83" s="153" t="str">
        <f ca="1">IF(AX83="","",
IF(OR(Assessment!F85="limited benefit",Assessment!F85="benefit", Assessment!M85="limited benefit",Assessment!M85="benefit", Assessment!R85="limited benefit",Assessment!R85="benefit", Assessment!W85="limited benefit",Assessment!W85="benefit", Assessment!AB85="limited benefit",Assessment!AB85="benefit", AND(ISNUMBER(Assessment!AF85),Assessment!AG85="ok"), Assessment!AJ85="benefit"),"yes","no"))</f>
        <v/>
      </c>
      <c r="BW83" t="s">
        <v>389</v>
      </c>
    </row>
    <row r="84" spans="1:75" ht="15" x14ac:dyDescent="0.25">
      <c r="A84" s="272">
        <f>IF(AND('Field information 2'!L91&gt;0, 'Field information 2'!M91=0),"data missing", 'Field information 2'!M91-'Field information 2'!L91)</f>
        <v>0</v>
      </c>
      <c r="B84" s="272">
        <f>IF(AND('Field information 2'!N91&gt;0,'Field information 2'!O91=0),"data missing",'Field information 2'!O91-'Field information 2'!N91)</f>
        <v>0</v>
      </c>
      <c r="C84" s="272">
        <f>IF(AND('Field information 2'!P91&gt;0, 'Field information 2'!Q91=0),"data missing",'Field information 2'!Q91-'Field information 2'!P91)</f>
        <v>0</v>
      </c>
      <c r="D84">
        <f>'Field information 2'!L91</f>
        <v>0</v>
      </c>
      <c r="E84" s="249" t="str">
        <f>IF(OR('Field information 2'!L91&gt;0,'Field information 2'!N91&gt;0,'Field information 2'!P91&gt;0),"Y","N")</f>
        <v>N</v>
      </c>
      <c r="F84" s="277" t="str">
        <f t="shared" si="130"/>
        <v/>
      </c>
      <c r="G84" t="str">
        <f>IF(OR(ISBLANK('Field information 1'!B85),AND(OR(ISBLANK('Field information 2'!L91), 'Field information 2'!L91=0),OR(ISBLANK('Field information 2'!N91), 'Field information 2'!N91=0), OR(ISBLANK('Field information 2'!P91), 'Field information 2'!P91=0))),"",
IF(ISTEXT('Field information 1'!B85), 'Field information 1'!B85, TEXT('Field information 1'!B85,"0")))</f>
        <v/>
      </c>
      <c r="H84" t="str">
        <f>IF(OR(ISBLANK('Field information 1'!B85),ISBLANK('Field information 2'!L91),ISBLANK('Field information 2'!F91)),"",'Field information 2'!F91)</f>
        <v/>
      </c>
      <c r="I84" s="91" t="str">
        <f>IF(OR(ISBLANK('Field information 1'!E85),G84=""),"",CEILING('Field information 1'!E85/10,1))</f>
        <v/>
      </c>
      <c r="J84" s="91" t="str">
        <f t="shared" si="131"/>
        <v>no</v>
      </c>
      <c r="K84" s="135" t="str">
        <f t="shared" ca="1" si="139"/>
        <v/>
      </c>
      <c r="L84" s="135" t="str">
        <f t="shared" ca="1" si="140"/>
        <v/>
      </c>
      <c r="M84" s="135" t="str">
        <f t="shared" ca="1" si="141"/>
        <v/>
      </c>
      <c r="N84" s="135" t="str">
        <f t="shared" ca="1" si="142"/>
        <v/>
      </c>
      <c r="O84" s="135" t="str">
        <f t="shared" ca="1" si="143"/>
        <v/>
      </c>
      <c r="P84" s="135" t="str">
        <f t="shared" ca="1" si="144"/>
        <v/>
      </c>
      <c r="Q84" s="135" t="str">
        <f t="shared" ca="1" si="145"/>
        <v/>
      </c>
      <c r="R84" s="135" t="str">
        <f t="shared" ca="1" si="146"/>
        <v/>
      </c>
      <c r="S84" s="135" t="str">
        <f t="shared" ca="1" si="147"/>
        <v/>
      </c>
      <c r="T84" s="135" t="str">
        <f t="shared" ca="1" si="148"/>
        <v/>
      </c>
      <c r="U84" s="49" t="str">
        <f t="shared" ca="1" si="106"/>
        <v/>
      </c>
      <c r="V84" s="7" t="str">
        <f t="shared" ca="1" si="107"/>
        <v/>
      </c>
      <c r="W84" s="7" t="str">
        <f t="shared" ca="1" si="108"/>
        <v/>
      </c>
      <c r="X84" s="7" t="str">
        <f t="shared" ca="1" si="109"/>
        <v/>
      </c>
      <c r="Y84" s="91"/>
      <c r="Z84" s="247" t="str">
        <f t="shared" si="110"/>
        <v/>
      </c>
      <c r="AA84" s="247" t="str">
        <f t="shared" si="111"/>
        <v/>
      </c>
      <c r="AB84" s="247" t="str">
        <f t="shared" si="112"/>
        <v/>
      </c>
      <c r="AC84" s="247" t="str">
        <f t="shared" si="113"/>
        <v/>
      </c>
      <c r="AD84" s="247" t="str">
        <f t="shared" si="114"/>
        <v/>
      </c>
      <c r="AE84" s="247" t="str">
        <f t="shared" si="115"/>
        <v/>
      </c>
      <c r="AF84" s="247" t="str">
        <f t="shared" si="116"/>
        <v/>
      </c>
      <c r="AG84" s="247" t="str">
        <f t="shared" si="117"/>
        <v/>
      </c>
      <c r="AH84" s="247" t="str">
        <f t="shared" si="118"/>
        <v/>
      </c>
      <c r="AI84" s="247" t="str">
        <f t="shared" si="119"/>
        <v/>
      </c>
      <c r="AK84" s="247" t="str">
        <f t="shared" si="120"/>
        <v/>
      </c>
      <c r="AL84" s="247" t="str">
        <f t="shared" si="121"/>
        <v/>
      </c>
      <c r="AM84" s="247" t="str">
        <f t="shared" si="122"/>
        <v/>
      </c>
      <c r="AN84" s="247" t="str">
        <f t="shared" si="123"/>
        <v/>
      </c>
      <c r="AO84" s="247" t="str">
        <f t="shared" si="124"/>
        <v/>
      </c>
      <c r="AP84" s="247" t="str">
        <f t="shared" si="125"/>
        <v/>
      </c>
      <c r="AQ84" s="247" t="str">
        <f t="shared" si="126"/>
        <v/>
      </c>
      <c r="AR84" s="247" t="str">
        <f t="shared" si="127"/>
        <v/>
      </c>
      <c r="AS84" s="247" t="str">
        <f t="shared" si="128"/>
        <v/>
      </c>
      <c r="AT84" s="247" t="str">
        <f t="shared" si="129"/>
        <v/>
      </c>
      <c r="AU84" s="189"/>
      <c r="AV84" t="str">
        <f>IF(ISBLANK('Field information 1'!F85),"",'Field information 1'!F85)</f>
        <v/>
      </c>
      <c r="AW84" s="334"/>
      <c r="AX84" s="247" t="str" cm="1">
        <f t="array" aca="1" ref="AX84" ca="1">INDIRECT(TEXT(MIN(IF((Calc!$Z$5:$AI$104&lt;&gt;"")*(COUNTIF($AX$4:AX83,Calc!$Z$5:$AI$104)=0),ROW(Calc!$Z$5:$AI$104)*100+COLUMN(Calc!$Z$5:$AI$104),7^8)),"Calc!R0C00"),)&amp;""</f>
        <v/>
      </c>
      <c r="AY84" t="str" cm="1">
        <f t="array" aca="1" ref="AY84" ca="1">INDIRECT(TEXT(MIN(IF((Calc!$AK$5:$AT$104&lt;&gt;"")*(COUNTIF(AY$4:$AY83,Calc!$AK$5:$AT$104)=0),ROW(Calc!$AK$5:$AT$104)*100+COLUMN(Calc!$AK$5:$AT$104),7^8)),"Calc!R0C00"),)&amp;""</f>
        <v/>
      </c>
      <c r="AZ84" s="247" t="str">
        <f t="shared" ca="1" si="132"/>
        <v/>
      </c>
      <c r="BA84" s="324">
        <f t="shared" si="138"/>
        <v>80</v>
      </c>
      <c r="BB84">
        <f t="shared" ca="1" si="133"/>
        <v>0</v>
      </c>
      <c r="BC84" t="str">
        <f ca="1">IF($AX84="","",
VLOOKUP(LEFT($AX84,LEN($AX84)-2),'Field information 2'!$B$12:$P$111,11,FALSE))</f>
        <v/>
      </c>
      <c r="BD84" t="str">
        <f ca="1">IF($AX84="","",
VLOOKUP(LEFT($AX84,LEN($AX84)-2),'Field information 2'!$B$12:$P$111,13,FALSE))</f>
        <v/>
      </c>
      <c r="BE84" t="str">
        <f ca="1">IF($AX84="","",
VLOOKUP(LEFT($AX84,LEN($AX84)-2),'Field information 2'!$B$12:$P$111,15,FALSE))</f>
        <v/>
      </c>
      <c r="BF84">
        <f t="shared" ca="1" si="134"/>
        <v>0</v>
      </c>
      <c r="BG84" t="str">
        <f t="shared" ca="1" si="135"/>
        <v/>
      </c>
      <c r="BH84" s="7" t="str">
        <f ca="1">IF(OR(AX84="",'Soil results'!$D$7="",'Soil results'!$D$8=""),"",
IF('Soil results'!$D$7="LOI",
  IF('Soil results'!$D$8="mg/kg",'Soil results'!D89/10000,'Soil results'!D89),
IF('Soil results'!$D$7="Dumas",
  IF('Soil results'!$D$8="mg/kg",'Soil results'!D89*1.72/10000,'Soil results'!D89*1.72))))</f>
        <v/>
      </c>
      <c r="BI84" t="str">
        <f ca="1">IF($AX84="","",
VLOOKUP(LEFT($AX84,LEN($AX84)-2),'Field information 2'!$B$12:$I$111,8,FALSE))</f>
        <v/>
      </c>
      <c r="BJ84" t="str">
        <f ca="1">IF(BI84="","",
VLOOKUP(BI84,'Fertiliser recommendations'!$A$5:$B$62,2,FALSE))</f>
        <v/>
      </c>
      <c r="BK84" s="38" t="str">
        <f ca="1">IF($AX84="","",
IF(AND(BJ84="g",VLOOKUP(LEFT($AX84,LEN($AX84)-2),'Field information 2'!$B$12:$P$111,9,FALSE)&lt;&gt;"yes"),
IF(BG84="10-25% OM",6,IF(BG84="&gt;25% OM",12,IF(BG84="SCL; CL; ZCL; SC; ZC; C",6,IF(BG84="SL; SZL; ZL",5,IF(BG84="S; LS",4,"?"))))),
IF(OR(BJ84="a",AND(BJ84="g",VLOOKUP(LEFT($AX84,LEN($AX84)-2),'Field information 2'!$B$12:$P$111,9,FALSE)="yes")),
IF(BG84="10-25% OM",8,IF(BG84="&gt;25% OM",16,IF(BG84="SCL; CL; ZCL; SC; ZC; C",8,IF(BG84="SL; SZL; ZL",7,IF(BG84="S; LS",6,"?"))))),"")))</f>
        <v/>
      </c>
      <c r="BL84" t="str">
        <f ca="1">IF(AX84&lt;&gt;"",COUNTBLANK('Soil results'!D89:D89)+COUNTBLANK('Soil results'!F89:I89)+COUNTBLANK('Soil results'!K89:Q89),"")</f>
        <v/>
      </c>
      <c r="BM84" t="str">
        <f ca="1">IF(AX84&lt;&gt;"",
IF(OR(ISNUMBER(SEARCH("10*01*01",'Field information 2'!$M$5)),ISNUMBER(SEARCH("10*01*03",'Field information 2'!$M$5))),0.25,1),"")</f>
        <v/>
      </c>
      <c r="BN84" s="275" t="str">
        <f ca="1">IF(AX84&lt;&gt;"",
IF(COUNTIF('Soil results'!G90:G$159,"="&amp;'Soil results'!G89)+COUNTIF('Soil results'!H90:H$159,"="&amp;'Soil results'!H89)+COUNTIF('Soil results'!I90:I$159,"="&amp;'Soil results'!I89)=0,"no",
IF(MOD(COUNTIF('Soil results'!G90:G$159,"="&amp;'Soil results'!G89)+COUNTIF('Soil results'!H90:H$159,"="&amp;'Soil results'!H89)+COUNTIF('Soil results'!I90:I$159,"="&amp;'Soil results'!I89),3)=0,"yes","no")),"")</f>
        <v/>
      </c>
      <c r="BO84" s="276" t="str">
        <f t="shared" ca="1" si="136"/>
        <v/>
      </c>
      <c r="BP84" s="33"/>
      <c r="BQ84" s="276"/>
      <c r="BR84" s="276"/>
      <c r="BS84" s="276" t="str">
        <f t="shared" ca="1" si="137"/>
        <v/>
      </c>
      <c r="BT84" s="153" t="str">
        <f ca="1">IF(AX84="","",
IF(OR(Assessment!F86="limited benefit",Assessment!F86="benefit", Assessment!M86="limited benefit",Assessment!M86="benefit", Assessment!R86="limited benefit",Assessment!R86="benefit", Assessment!W86="limited benefit",Assessment!W86="benefit", Assessment!AB86="limited benefit",Assessment!AB86="benefit", AND(ISNUMBER(Assessment!AF86),Assessment!AG86="ok"), Assessment!AJ86="benefit"),"yes","no"))</f>
        <v/>
      </c>
      <c r="BW84" t="s">
        <v>390</v>
      </c>
    </row>
    <row r="85" spans="1:75" ht="15" x14ac:dyDescent="0.25">
      <c r="A85" s="272">
        <f>IF(AND('Field information 2'!L92&gt;0, 'Field information 2'!M92=0),"data missing", 'Field information 2'!M92-'Field information 2'!L92)</f>
        <v>0</v>
      </c>
      <c r="B85" s="272">
        <f>IF(AND('Field information 2'!N92&gt;0,'Field information 2'!O92=0),"data missing",'Field information 2'!O92-'Field information 2'!N92)</f>
        <v>0</v>
      </c>
      <c r="C85" s="272">
        <f>IF(AND('Field information 2'!P92&gt;0, 'Field information 2'!Q92=0),"data missing",'Field information 2'!Q92-'Field information 2'!P92)</f>
        <v>0</v>
      </c>
      <c r="D85">
        <f>'Field information 2'!L92</f>
        <v>0</v>
      </c>
      <c r="E85" s="249" t="str">
        <f>IF(OR('Field information 2'!L92&gt;0,'Field information 2'!N92&gt;0,'Field information 2'!P92&gt;0),"Y","N")</f>
        <v>N</v>
      </c>
      <c r="F85" s="277" t="str">
        <f t="shared" si="130"/>
        <v/>
      </c>
      <c r="G85" t="str">
        <f>IF(OR(ISBLANK('Field information 1'!B86),AND(OR(ISBLANK('Field information 2'!L92), 'Field information 2'!L92=0),OR(ISBLANK('Field information 2'!N92), 'Field information 2'!N92=0), OR(ISBLANK('Field information 2'!P92), 'Field information 2'!P92=0))),"",
IF(ISTEXT('Field information 1'!B86), 'Field information 1'!B86, TEXT('Field information 1'!B86,"0")))</f>
        <v/>
      </c>
      <c r="H85" t="str">
        <f>IF(OR(ISBLANK('Field information 1'!B86),ISBLANK('Field information 2'!L92),ISBLANK('Field information 2'!F92)),"",'Field information 2'!F92)</f>
        <v/>
      </c>
      <c r="I85" s="91" t="str">
        <f>IF(OR(ISBLANK('Field information 1'!E86),G85=""),"",CEILING('Field information 1'!E86/10,1))</f>
        <v/>
      </c>
      <c r="J85" s="91" t="str">
        <f t="shared" si="131"/>
        <v>no</v>
      </c>
      <c r="K85" s="135" t="str">
        <f t="shared" ca="1" si="139"/>
        <v/>
      </c>
      <c r="L85" s="135" t="str">
        <f t="shared" ca="1" si="140"/>
        <v/>
      </c>
      <c r="M85" s="135" t="str">
        <f t="shared" ca="1" si="141"/>
        <v/>
      </c>
      <c r="N85" s="135" t="str">
        <f t="shared" ca="1" si="142"/>
        <v/>
      </c>
      <c r="O85" s="135" t="str">
        <f t="shared" ca="1" si="143"/>
        <v/>
      </c>
      <c r="P85" s="135" t="str">
        <f t="shared" ca="1" si="144"/>
        <v/>
      </c>
      <c r="Q85" s="135" t="str">
        <f t="shared" ca="1" si="145"/>
        <v/>
      </c>
      <c r="R85" s="135" t="str">
        <f t="shared" ca="1" si="146"/>
        <v/>
      </c>
      <c r="S85" s="135" t="str">
        <f t="shared" ca="1" si="147"/>
        <v/>
      </c>
      <c r="T85" s="135" t="str">
        <f t="shared" ca="1" si="148"/>
        <v/>
      </c>
      <c r="U85" s="49" t="str">
        <f t="shared" ca="1" si="106"/>
        <v/>
      </c>
      <c r="V85" s="7" t="str">
        <f t="shared" ca="1" si="107"/>
        <v/>
      </c>
      <c r="W85" s="7" t="str">
        <f t="shared" ca="1" si="108"/>
        <v/>
      </c>
      <c r="X85" s="7" t="str">
        <f t="shared" ca="1" si="109"/>
        <v/>
      </c>
      <c r="Y85" s="91"/>
      <c r="Z85" s="247" t="str">
        <f t="shared" si="110"/>
        <v/>
      </c>
      <c r="AA85" s="247" t="str">
        <f t="shared" si="111"/>
        <v/>
      </c>
      <c r="AB85" s="247" t="str">
        <f t="shared" si="112"/>
        <v/>
      </c>
      <c r="AC85" s="247" t="str">
        <f t="shared" si="113"/>
        <v/>
      </c>
      <c r="AD85" s="247" t="str">
        <f t="shared" si="114"/>
        <v/>
      </c>
      <c r="AE85" s="247" t="str">
        <f t="shared" si="115"/>
        <v/>
      </c>
      <c r="AF85" s="247" t="str">
        <f t="shared" si="116"/>
        <v/>
      </c>
      <c r="AG85" s="247" t="str">
        <f t="shared" si="117"/>
        <v/>
      </c>
      <c r="AH85" s="247" t="str">
        <f t="shared" si="118"/>
        <v/>
      </c>
      <c r="AI85" s="247" t="str">
        <f t="shared" si="119"/>
        <v/>
      </c>
      <c r="AK85" s="247" t="str">
        <f t="shared" si="120"/>
        <v/>
      </c>
      <c r="AL85" s="247" t="str">
        <f t="shared" si="121"/>
        <v/>
      </c>
      <c r="AM85" s="247" t="str">
        <f t="shared" si="122"/>
        <v/>
      </c>
      <c r="AN85" s="247" t="str">
        <f t="shared" si="123"/>
        <v/>
      </c>
      <c r="AO85" s="247" t="str">
        <f t="shared" si="124"/>
        <v/>
      </c>
      <c r="AP85" s="247" t="str">
        <f t="shared" si="125"/>
        <v/>
      </c>
      <c r="AQ85" s="247" t="str">
        <f t="shared" si="126"/>
        <v/>
      </c>
      <c r="AR85" s="247" t="str">
        <f t="shared" si="127"/>
        <v/>
      </c>
      <c r="AS85" s="247" t="str">
        <f t="shared" si="128"/>
        <v/>
      </c>
      <c r="AT85" s="247" t="str">
        <f t="shared" si="129"/>
        <v/>
      </c>
      <c r="AU85" s="189"/>
      <c r="AV85" t="str">
        <f>IF(ISBLANK('Field information 1'!F86),"",'Field information 1'!F86)</f>
        <v/>
      </c>
      <c r="AW85" s="334"/>
      <c r="AX85" s="247" t="str" cm="1">
        <f t="array" aca="1" ref="AX85" ca="1">INDIRECT(TEXT(MIN(IF((Calc!$Z$5:$AI$104&lt;&gt;"")*(COUNTIF($AX$4:AX84,Calc!$Z$5:$AI$104)=0),ROW(Calc!$Z$5:$AI$104)*100+COLUMN(Calc!$Z$5:$AI$104),7^8)),"Calc!R0C00"),)&amp;""</f>
        <v/>
      </c>
      <c r="AY85" t="str" cm="1">
        <f t="array" aca="1" ref="AY85" ca="1">INDIRECT(TEXT(MIN(IF((Calc!$AK$5:$AT$104&lt;&gt;"")*(COUNTIF(AY$4:$AY84,Calc!$AK$5:$AT$104)=0),ROW(Calc!$AK$5:$AT$104)*100+COLUMN(Calc!$AK$5:$AT$104),7^8)),"Calc!R0C00"),)&amp;""</f>
        <v/>
      </c>
      <c r="AZ85" s="247" t="str">
        <f t="shared" ca="1" si="132"/>
        <v/>
      </c>
      <c r="BA85" s="324">
        <f t="shared" si="138"/>
        <v>81</v>
      </c>
      <c r="BB85">
        <f t="shared" ca="1" si="133"/>
        <v>0</v>
      </c>
      <c r="BC85" t="str">
        <f ca="1">IF($AX85="","",
VLOOKUP(LEFT($AX85,LEN($AX85)-2),'Field information 2'!$B$12:$P$111,11,FALSE))</f>
        <v/>
      </c>
      <c r="BD85" t="str">
        <f ca="1">IF($AX85="","",
VLOOKUP(LEFT($AX85,LEN($AX85)-2),'Field information 2'!$B$12:$P$111,13,FALSE))</f>
        <v/>
      </c>
      <c r="BE85" t="str">
        <f ca="1">IF($AX85="","",
VLOOKUP(LEFT($AX85,LEN($AX85)-2),'Field information 2'!$B$12:$P$111,15,FALSE))</f>
        <v/>
      </c>
      <c r="BF85">
        <f t="shared" ca="1" si="134"/>
        <v>0</v>
      </c>
      <c r="BG85" t="str">
        <f t="shared" ca="1" si="135"/>
        <v/>
      </c>
      <c r="BH85" s="7" t="str">
        <f ca="1">IF(OR(AX85="",'Soil results'!$D$7="",'Soil results'!$D$8=""),"",
IF('Soil results'!$D$7="LOI",
  IF('Soil results'!$D$8="mg/kg",'Soil results'!D90/10000,'Soil results'!D90),
IF('Soil results'!$D$7="Dumas",
  IF('Soil results'!$D$8="mg/kg",'Soil results'!D90*1.72/10000,'Soil results'!D90*1.72))))</f>
        <v/>
      </c>
      <c r="BI85" t="str">
        <f ca="1">IF($AX85="","",
VLOOKUP(LEFT($AX85,LEN($AX85)-2),'Field information 2'!$B$12:$I$111,8,FALSE))</f>
        <v/>
      </c>
      <c r="BJ85" t="str">
        <f ca="1">IF(BI85="","",
VLOOKUP(BI85,'Fertiliser recommendations'!$A$5:$B$62,2,FALSE))</f>
        <v/>
      </c>
      <c r="BK85" s="38" t="str">
        <f ca="1">IF($AX85="","",
IF(AND(BJ85="g",VLOOKUP(LEFT($AX85,LEN($AX85)-2),'Field information 2'!$B$12:$P$111,9,FALSE)&lt;&gt;"yes"),
IF(BG85="10-25% OM",6,IF(BG85="&gt;25% OM",12,IF(BG85="SCL; CL; ZCL; SC; ZC; C",6,IF(BG85="SL; SZL; ZL",5,IF(BG85="S; LS",4,"?"))))),
IF(OR(BJ85="a",AND(BJ85="g",VLOOKUP(LEFT($AX85,LEN($AX85)-2),'Field information 2'!$B$12:$P$111,9,FALSE)="yes")),
IF(BG85="10-25% OM",8,IF(BG85="&gt;25% OM",16,IF(BG85="SCL; CL; ZCL; SC; ZC; C",8,IF(BG85="SL; SZL; ZL",7,IF(BG85="S; LS",6,"?"))))),"")))</f>
        <v/>
      </c>
      <c r="BL85" t="str">
        <f ca="1">IF(AX85&lt;&gt;"",COUNTBLANK('Soil results'!D90:D90)+COUNTBLANK('Soil results'!F90:I90)+COUNTBLANK('Soil results'!K90:Q90),"")</f>
        <v/>
      </c>
      <c r="BM85" t="str">
        <f ca="1">IF(AX85&lt;&gt;"",
IF(OR(ISNUMBER(SEARCH("10*01*01",'Field information 2'!$M$5)),ISNUMBER(SEARCH("10*01*03",'Field information 2'!$M$5))),0.25,1),"")</f>
        <v/>
      </c>
      <c r="BN85" s="275" t="str">
        <f ca="1">IF(AX85&lt;&gt;"",
IF(COUNTIF('Soil results'!G91:G$159,"="&amp;'Soil results'!G90)+COUNTIF('Soil results'!H91:H$159,"="&amp;'Soil results'!H90)+COUNTIF('Soil results'!I91:I$159,"="&amp;'Soil results'!I90)=0,"no",
IF(MOD(COUNTIF('Soil results'!G91:G$159,"="&amp;'Soil results'!G90)+COUNTIF('Soil results'!H91:H$159,"="&amp;'Soil results'!H90)+COUNTIF('Soil results'!I91:I$159,"="&amp;'Soil results'!I90),3)=0,"yes","no")),"")</f>
        <v/>
      </c>
      <c r="BO85" s="276" t="str">
        <f t="shared" ca="1" si="136"/>
        <v/>
      </c>
      <c r="BP85" s="33"/>
      <c r="BQ85" s="276"/>
      <c r="BR85" s="276"/>
      <c r="BS85" s="276" t="str">
        <f t="shared" ca="1" si="137"/>
        <v/>
      </c>
      <c r="BT85" s="153" t="str">
        <f ca="1">IF(AX85="","",
IF(OR(Assessment!F87="limited benefit",Assessment!F87="benefit", Assessment!M87="limited benefit",Assessment!M87="benefit", Assessment!R87="limited benefit",Assessment!R87="benefit", Assessment!W87="limited benefit",Assessment!W87="benefit", Assessment!AB87="limited benefit",Assessment!AB87="benefit", AND(ISNUMBER(Assessment!AF87),Assessment!AG87="ok"), Assessment!AJ87="benefit"),"yes","no"))</f>
        <v/>
      </c>
      <c r="BW85" t="s">
        <v>391</v>
      </c>
    </row>
    <row r="86" spans="1:75" ht="15" x14ac:dyDescent="0.25">
      <c r="A86" s="272">
        <f>IF(AND('Field information 2'!L93&gt;0, 'Field information 2'!M93=0),"data missing", 'Field information 2'!M93-'Field information 2'!L93)</f>
        <v>0</v>
      </c>
      <c r="B86" s="272">
        <f>IF(AND('Field information 2'!N93&gt;0,'Field information 2'!O93=0),"data missing",'Field information 2'!O93-'Field information 2'!N93)</f>
        <v>0</v>
      </c>
      <c r="C86" s="272">
        <f>IF(AND('Field information 2'!P93&gt;0, 'Field information 2'!Q93=0),"data missing",'Field information 2'!Q93-'Field information 2'!P93)</f>
        <v>0</v>
      </c>
      <c r="D86">
        <f>'Field information 2'!L93</f>
        <v>0</v>
      </c>
      <c r="E86" s="249" t="str">
        <f>IF(OR('Field information 2'!L93&gt;0,'Field information 2'!N93&gt;0,'Field information 2'!P93&gt;0),"Y","N")</f>
        <v>N</v>
      </c>
      <c r="F86" s="277" t="str">
        <f t="shared" si="130"/>
        <v/>
      </c>
      <c r="G86" t="str">
        <f>IF(OR(ISBLANK('Field information 1'!B87),AND(OR(ISBLANK('Field information 2'!L93), 'Field information 2'!L93=0),OR(ISBLANK('Field information 2'!N93), 'Field information 2'!N93=0), OR(ISBLANK('Field information 2'!P93), 'Field information 2'!P93=0))),"",
IF(ISTEXT('Field information 1'!B87), 'Field information 1'!B87, TEXT('Field information 1'!B87,"0")))</f>
        <v/>
      </c>
      <c r="H86" t="str">
        <f>IF(OR(ISBLANK('Field information 1'!B87),ISBLANK('Field information 2'!L93),ISBLANK('Field information 2'!F93)),"",'Field information 2'!F93)</f>
        <v/>
      </c>
      <c r="I86" s="91" t="str">
        <f>IF(OR(ISBLANK('Field information 1'!E87),G86=""),"",CEILING('Field information 1'!E87/10,1))</f>
        <v/>
      </c>
      <c r="J86" s="91" t="str">
        <f t="shared" si="131"/>
        <v>no</v>
      </c>
      <c r="K86" s="135" t="str">
        <f t="shared" ca="1" si="139"/>
        <v/>
      </c>
      <c r="L86" s="135" t="str">
        <f t="shared" ca="1" si="140"/>
        <v/>
      </c>
      <c r="M86" s="135" t="str">
        <f t="shared" ca="1" si="141"/>
        <v/>
      </c>
      <c r="N86" s="135" t="str">
        <f t="shared" ca="1" si="142"/>
        <v/>
      </c>
      <c r="O86" s="135" t="str">
        <f t="shared" ca="1" si="143"/>
        <v/>
      </c>
      <c r="P86" s="135" t="str">
        <f t="shared" ca="1" si="144"/>
        <v/>
      </c>
      <c r="Q86" s="135" t="str">
        <f t="shared" ca="1" si="145"/>
        <v/>
      </c>
      <c r="R86" s="135" t="str">
        <f t="shared" ca="1" si="146"/>
        <v/>
      </c>
      <c r="S86" s="135" t="str">
        <f t="shared" ca="1" si="147"/>
        <v/>
      </c>
      <c r="T86" s="135" t="str">
        <f t="shared" ca="1" si="148"/>
        <v/>
      </c>
      <c r="U86" s="49" t="str">
        <f t="shared" ca="1" si="106"/>
        <v/>
      </c>
      <c r="V86" s="7" t="str">
        <f t="shared" ca="1" si="107"/>
        <v/>
      </c>
      <c r="W86" s="7" t="str">
        <f t="shared" ca="1" si="108"/>
        <v/>
      </c>
      <c r="X86" s="7" t="str">
        <f t="shared" ca="1" si="109"/>
        <v/>
      </c>
      <c r="Y86" s="91"/>
      <c r="Z86" s="247" t="str">
        <f t="shared" si="110"/>
        <v/>
      </c>
      <c r="AA86" s="247" t="str">
        <f t="shared" si="111"/>
        <v/>
      </c>
      <c r="AB86" s="247" t="str">
        <f t="shared" si="112"/>
        <v/>
      </c>
      <c r="AC86" s="247" t="str">
        <f t="shared" si="113"/>
        <v/>
      </c>
      <c r="AD86" s="247" t="str">
        <f t="shared" si="114"/>
        <v/>
      </c>
      <c r="AE86" s="247" t="str">
        <f t="shared" si="115"/>
        <v/>
      </c>
      <c r="AF86" s="247" t="str">
        <f t="shared" si="116"/>
        <v/>
      </c>
      <c r="AG86" s="247" t="str">
        <f t="shared" si="117"/>
        <v/>
      </c>
      <c r="AH86" s="247" t="str">
        <f t="shared" si="118"/>
        <v/>
      </c>
      <c r="AI86" s="247" t="str">
        <f t="shared" si="119"/>
        <v/>
      </c>
      <c r="AK86" s="247" t="str">
        <f t="shared" si="120"/>
        <v/>
      </c>
      <c r="AL86" s="247" t="str">
        <f t="shared" si="121"/>
        <v/>
      </c>
      <c r="AM86" s="247" t="str">
        <f t="shared" si="122"/>
        <v/>
      </c>
      <c r="AN86" s="247" t="str">
        <f t="shared" si="123"/>
        <v/>
      </c>
      <c r="AO86" s="247" t="str">
        <f t="shared" si="124"/>
        <v/>
      </c>
      <c r="AP86" s="247" t="str">
        <f t="shared" si="125"/>
        <v/>
      </c>
      <c r="AQ86" s="247" t="str">
        <f t="shared" si="126"/>
        <v/>
      </c>
      <c r="AR86" s="247" t="str">
        <f t="shared" si="127"/>
        <v/>
      </c>
      <c r="AS86" s="247" t="str">
        <f t="shared" si="128"/>
        <v/>
      </c>
      <c r="AT86" s="247" t="str">
        <f t="shared" si="129"/>
        <v/>
      </c>
      <c r="AU86" s="189"/>
      <c r="AV86" t="str">
        <f>IF(ISBLANK('Field information 1'!F87),"",'Field information 1'!F87)</f>
        <v/>
      </c>
      <c r="AW86" s="334"/>
      <c r="AX86" s="247" t="str" cm="1">
        <f t="array" aca="1" ref="AX86" ca="1">INDIRECT(TEXT(MIN(IF((Calc!$Z$5:$AI$104&lt;&gt;"")*(COUNTIF($AX$4:AX85,Calc!$Z$5:$AI$104)=0),ROW(Calc!$Z$5:$AI$104)*100+COLUMN(Calc!$Z$5:$AI$104),7^8)),"Calc!R0C00"),)&amp;""</f>
        <v/>
      </c>
      <c r="AY86" t="str" cm="1">
        <f t="array" aca="1" ref="AY86" ca="1">INDIRECT(TEXT(MIN(IF((Calc!$AK$5:$AT$104&lt;&gt;"")*(COUNTIF(AY$4:$AY85,Calc!$AK$5:$AT$104)=0),ROW(Calc!$AK$5:$AT$104)*100+COLUMN(Calc!$AK$5:$AT$104),7^8)),"Calc!R0C00"),)&amp;""</f>
        <v/>
      </c>
      <c r="AZ86" s="247" t="str">
        <f t="shared" ca="1" si="132"/>
        <v/>
      </c>
      <c r="BA86" s="324">
        <f t="shared" si="138"/>
        <v>82</v>
      </c>
      <c r="BB86">
        <f t="shared" ca="1" si="133"/>
        <v>0</v>
      </c>
      <c r="BC86" t="str">
        <f ca="1">IF($AX86="","",
VLOOKUP(LEFT($AX86,LEN($AX86)-2),'Field information 2'!$B$12:$P$111,11,FALSE))</f>
        <v/>
      </c>
      <c r="BD86" t="str">
        <f ca="1">IF($AX86="","",
VLOOKUP(LEFT($AX86,LEN($AX86)-2),'Field information 2'!$B$12:$P$111,13,FALSE))</f>
        <v/>
      </c>
      <c r="BE86" t="str">
        <f ca="1">IF($AX86="","",
VLOOKUP(LEFT($AX86,LEN($AX86)-2),'Field information 2'!$B$12:$P$111,15,FALSE))</f>
        <v/>
      </c>
      <c r="BF86">
        <f t="shared" ca="1" si="134"/>
        <v>0</v>
      </c>
      <c r="BG86" t="str">
        <f t="shared" ca="1" si="135"/>
        <v/>
      </c>
      <c r="BH86" s="7" t="str">
        <f ca="1">IF(OR(AX86="",'Soil results'!$D$7="",'Soil results'!$D$8=""),"",
IF('Soil results'!$D$7="LOI",
  IF('Soil results'!$D$8="mg/kg",'Soil results'!D91/10000,'Soil results'!D91),
IF('Soil results'!$D$7="Dumas",
  IF('Soil results'!$D$8="mg/kg",'Soil results'!D91*1.72/10000,'Soil results'!D91*1.72))))</f>
        <v/>
      </c>
      <c r="BI86" t="str">
        <f ca="1">IF($AX86="","",
VLOOKUP(LEFT($AX86,LEN($AX86)-2),'Field information 2'!$B$12:$I$111,8,FALSE))</f>
        <v/>
      </c>
      <c r="BJ86" t="str">
        <f ca="1">IF(BI86="","",
VLOOKUP(BI86,'Fertiliser recommendations'!$A$5:$B$62,2,FALSE))</f>
        <v/>
      </c>
      <c r="BK86" s="38" t="str">
        <f ca="1">IF($AX86="","",
IF(AND(BJ86="g",VLOOKUP(LEFT($AX86,LEN($AX86)-2),'Field information 2'!$B$12:$P$111,9,FALSE)&lt;&gt;"yes"),
IF(BG86="10-25% OM",6,IF(BG86="&gt;25% OM",12,IF(BG86="SCL; CL; ZCL; SC; ZC; C",6,IF(BG86="SL; SZL; ZL",5,IF(BG86="S; LS",4,"?"))))),
IF(OR(BJ86="a",AND(BJ86="g",VLOOKUP(LEFT($AX86,LEN($AX86)-2),'Field information 2'!$B$12:$P$111,9,FALSE)="yes")),
IF(BG86="10-25% OM",8,IF(BG86="&gt;25% OM",16,IF(BG86="SCL; CL; ZCL; SC; ZC; C",8,IF(BG86="SL; SZL; ZL",7,IF(BG86="S; LS",6,"?"))))),"")))</f>
        <v/>
      </c>
      <c r="BL86" t="str">
        <f ca="1">IF(AX86&lt;&gt;"",COUNTBLANK('Soil results'!D91:D91)+COUNTBLANK('Soil results'!F91:I91)+COUNTBLANK('Soil results'!K91:Q91),"")</f>
        <v/>
      </c>
      <c r="BM86" t="str">
        <f ca="1">IF(AX86&lt;&gt;"",
IF(OR(ISNUMBER(SEARCH("10*01*01",'Field information 2'!$M$5)),ISNUMBER(SEARCH("10*01*03",'Field information 2'!$M$5))),0.25,1),"")</f>
        <v/>
      </c>
      <c r="BN86" s="275" t="str">
        <f ca="1">IF(AX86&lt;&gt;"",
IF(COUNTIF('Soil results'!G92:G$159,"="&amp;'Soil results'!G91)+COUNTIF('Soil results'!H92:H$159,"="&amp;'Soil results'!H91)+COUNTIF('Soil results'!I92:I$159,"="&amp;'Soil results'!I91)=0,"no",
IF(MOD(COUNTIF('Soil results'!G92:G$159,"="&amp;'Soil results'!G91)+COUNTIF('Soil results'!H92:H$159,"="&amp;'Soil results'!H91)+COUNTIF('Soil results'!I92:I$159,"="&amp;'Soil results'!I91),3)=0,"yes","no")),"")</f>
        <v/>
      </c>
      <c r="BO86" s="276" t="str">
        <f t="shared" ca="1" si="136"/>
        <v/>
      </c>
      <c r="BP86" s="33"/>
      <c r="BQ86" s="276"/>
      <c r="BR86" s="276"/>
      <c r="BS86" s="276" t="str">
        <f t="shared" ca="1" si="137"/>
        <v/>
      </c>
      <c r="BT86" s="153" t="str">
        <f ca="1">IF(AX86="","",
IF(OR(Assessment!F88="limited benefit",Assessment!F88="benefit", Assessment!M88="limited benefit",Assessment!M88="benefit", Assessment!R88="limited benefit",Assessment!R88="benefit", Assessment!W88="limited benefit",Assessment!W88="benefit", Assessment!AB88="limited benefit",Assessment!AB88="benefit", AND(ISNUMBER(Assessment!AF88),Assessment!AG88="ok"), Assessment!AJ88="benefit"),"yes","no"))</f>
        <v/>
      </c>
      <c r="BW86" t="s">
        <v>392</v>
      </c>
    </row>
    <row r="87" spans="1:75" ht="15" x14ac:dyDescent="0.25">
      <c r="A87" s="272">
        <f>IF(AND('Field information 2'!L94&gt;0, 'Field information 2'!M94=0),"data missing", 'Field information 2'!M94-'Field information 2'!L94)</f>
        <v>0</v>
      </c>
      <c r="B87" s="272">
        <f>IF(AND('Field information 2'!N94&gt;0,'Field information 2'!O94=0),"data missing",'Field information 2'!O94-'Field information 2'!N94)</f>
        <v>0</v>
      </c>
      <c r="C87" s="272">
        <f>IF(AND('Field information 2'!P94&gt;0, 'Field information 2'!Q94=0),"data missing",'Field information 2'!Q94-'Field information 2'!P94)</f>
        <v>0</v>
      </c>
      <c r="D87">
        <f>'Field information 2'!L94</f>
        <v>0</v>
      </c>
      <c r="E87" s="249" t="str">
        <f>IF(OR('Field information 2'!L94&gt;0,'Field information 2'!N94&gt;0,'Field information 2'!P94&gt;0),"Y","N")</f>
        <v>N</v>
      </c>
      <c r="F87" s="277" t="str">
        <f t="shared" si="130"/>
        <v/>
      </c>
      <c r="G87" t="str">
        <f>IF(OR(ISBLANK('Field information 1'!B88),AND(OR(ISBLANK('Field information 2'!L94), 'Field information 2'!L94=0),OR(ISBLANK('Field information 2'!N94), 'Field information 2'!N94=0), OR(ISBLANK('Field information 2'!P94), 'Field information 2'!P94=0))),"",
IF(ISTEXT('Field information 1'!B88), 'Field information 1'!B88, TEXT('Field information 1'!B88,"0")))</f>
        <v/>
      </c>
      <c r="H87" t="str">
        <f>IF(OR(ISBLANK('Field information 1'!B88),ISBLANK('Field information 2'!L94),ISBLANK('Field information 2'!F94)),"",'Field information 2'!F94)</f>
        <v/>
      </c>
      <c r="I87" s="91" t="str">
        <f>IF(OR(ISBLANK('Field information 1'!E88),G87=""),"",CEILING('Field information 1'!E88/10,1))</f>
        <v/>
      </c>
      <c r="J87" s="91" t="str">
        <f t="shared" si="131"/>
        <v>no</v>
      </c>
      <c r="K87" s="135" t="str">
        <f t="shared" ca="1" si="139"/>
        <v/>
      </c>
      <c r="L87" s="135" t="str">
        <f t="shared" ca="1" si="140"/>
        <v/>
      </c>
      <c r="M87" s="135" t="str">
        <f t="shared" ca="1" si="141"/>
        <v/>
      </c>
      <c r="N87" s="135" t="str">
        <f t="shared" ca="1" si="142"/>
        <v/>
      </c>
      <c r="O87" s="135" t="str">
        <f t="shared" ca="1" si="143"/>
        <v/>
      </c>
      <c r="P87" s="135" t="str">
        <f t="shared" ca="1" si="144"/>
        <v/>
      </c>
      <c r="Q87" s="135" t="str">
        <f t="shared" ca="1" si="145"/>
        <v/>
      </c>
      <c r="R87" s="135" t="str">
        <f t="shared" ca="1" si="146"/>
        <v/>
      </c>
      <c r="S87" s="135" t="str">
        <f t="shared" ca="1" si="147"/>
        <v/>
      </c>
      <c r="T87" s="135" t="str">
        <f t="shared" ca="1" si="148"/>
        <v/>
      </c>
      <c r="U87" s="49" t="str">
        <f t="shared" ca="1" si="106"/>
        <v/>
      </c>
      <c r="V87" s="7" t="str">
        <f t="shared" ca="1" si="107"/>
        <v/>
      </c>
      <c r="W87" s="7" t="str">
        <f t="shared" ca="1" si="108"/>
        <v/>
      </c>
      <c r="X87" s="7" t="str">
        <f t="shared" ca="1" si="109"/>
        <v/>
      </c>
      <c r="Y87" s="91"/>
      <c r="Z87" s="247" t="str">
        <f t="shared" si="110"/>
        <v/>
      </c>
      <c r="AA87" s="247" t="str">
        <f t="shared" si="111"/>
        <v/>
      </c>
      <c r="AB87" s="247" t="str">
        <f t="shared" si="112"/>
        <v/>
      </c>
      <c r="AC87" s="247" t="str">
        <f t="shared" si="113"/>
        <v/>
      </c>
      <c r="AD87" s="247" t="str">
        <f t="shared" si="114"/>
        <v/>
      </c>
      <c r="AE87" s="247" t="str">
        <f t="shared" si="115"/>
        <v/>
      </c>
      <c r="AF87" s="247" t="str">
        <f t="shared" si="116"/>
        <v/>
      </c>
      <c r="AG87" s="247" t="str">
        <f t="shared" si="117"/>
        <v/>
      </c>
      <c r="AH87" s="247" t="str">
        <f t="shared" si="118"/>
        <v/>
      </c>
      <c r="AI87" s="247" t="str">
        <f t="shared" si="119"/>
        <v/>
      </c>
      <c r="AK87" s="247" t="str">
        <f t="shared" si="120"/>
        <v/>
      </c>
      <c r="AL87" s="247" t="str">
        <f t="shared" si="121"/>
        <v/>
      </c>
      <c r="AM87" s="247" t="str">
        <f t="shared" si="122"/>
        <v/>
      </c>
      <c r="AN87" s="247" t="str">
        <f t="shared" si="123"/>
        <v/>
      </c>
      <c r="AO87" s="247" t="str">
        <f t="shared" si="124"/>
        <v/>
      </c>
      <c r="AP87" s="247" t="str">
        <f t="shared" si="125"/>
        <v/>
      </c>
      <c r="AQ87" s="247" t="str">
        <f t="shared" si="126"/>
        <v/>
      </c>
      <c r="AR87" s="247" t="str">
        <f t="shared" si="127"/>
        <v/>
      </c>
      <c r="AS87" s="247" t="str">
        <f t="shared" si="128"/>
        <v/>
      </c>
      <c r="AT87" s="247" t="str">
        <f t="shared" si="129"/>
        <v/>
      </c>
      <c r="AU87" s="189"/>
      <c r="AV87" t="str">
        <f>IF(ISBLANK('Field information 1'!F88),"",'Field information 1'!F88)</f>
        <v/>
      </c>
      <c r="AW87" s="334"/>
      <c r="AX87" s="247" t="str" cm="1">
        <f t="array" aca="1" ref="AX87" ca="1">INDIRECT(TEXT(MIN(IF((Calc!$Z$5:$AI$104&lt;&gt;"")*(COUNTIF($AX$4:AX86,Calc!$Z$5:$AI$104)=0),ROW(Calc!$Z$5:$AI$104)*100+COLUMN(Calc!$Z$5:$AI$104),7^8)),"Calc!R0C00"),)&amp;""</f>
        <v/>
      </c>
      <c r="AY87" t="str" cm="1">
        <f t="array" aca="1" ref="AY87" ca="1">INDIRECT(TEXT(MIN(IF((Calc!$AK$5:$AT$104&lt;&gt;"")*(COUNTIF(AY$4:$AY86,Calc!$AK$5:$AT$104)=0),ROW(Calc!$AK$5:$AT$104)*100+COLUMN(Calc!$AK$5:$AT$104),7^8)),"Calc!R0C00"),)&amp;""</f>
        <v/>
      </c>
      <c r="AZ87" s="247" t="str">
        <f t="shared" ca="1" si="132"/>
        <v/>
      </c>
      <c r="BA87" s="324">
        <f t="shared" si="138"/>
        <v>83</v>
      </c>
      <c r="BB87">
        <f t="shared" ca="1" si="133"/>
        <v>0</v>
      </c>
      <c r="BC87" t="str">
        <f ca="1">IF($AX87="","",
VLOOKUP(LEFT($AX87,LEN($AX87)-2),'Field information 2'!$B$12:$P$111,11,FALSE))</f>
        <v/>
      </c>
      <c r="BD87" t="str">
        <f ca="1">IF($AX87="","",
VLOOKUP(LEFT($AX87,LEN($AX87)-2),'Field information 2'!$B$12:$P$111,13,FALSE))</f>
        <v/>
      </c>
      <c r="BE87" t="str">
        <f ca="1">IF($AX87="","",
VLOOKUP(LEFT($AX87,LEN($AX87)-2),'Field information 2'!$B$12:$P$111,15,FALSE))</f>
        <v/>
      </c>
      <c r="BF87">
        <f t="shared" ca="1" si="134"/>
        <v>0</v>
      </c>
      <c r="BG87" t="str">
        <f t="shared" ca="1" si="135"/>
        <v/>
      </c>
      <c r="BH87" s="7" t="str">
        <f ca="1">IF(OR(AX87="",'Soil results'!$D$7="",'Soil results'!$D$8=""),"",
IF('Soil results'!$D$7="LOI",
  IF('Soil results'!$D$8="mg/kg",'Soil results'!D92/10000,'Soil results'!D92),
IF('Soil results'!$D$7="Dumas",
  IF('Soil results'!$D$8="mg/kg",'Soil results'!D92*1.72/10000,'Soil results'!D92*1.72))))</f>
        <v/>
      </c>
      <c r="BI87" t="str">
        <f ca="1">IF($AX87="","",
VLOOKUP(LEFT($AX87,LEN($AX87)-2),'Field information 2'!$B$12:$I$111,8,FALSE))</f>
        <v/>
      </c>
      <c r="BJ87" t="str">
        <f ca="1">IF(BI87="","",
VLOOKUP(BI87,'Fertiliser recommendations'!$A$5:$B$62,2,FALSE))</f>
        <v/>
      </c>
      <c r="BK87" s="38" t="str">
        <f ca="1">IF($AX87="","",
IF(AND(BJ87="g",VLOOKUP(LEFT($AX87,LEN($AX87)-2),'Field information 2'!$B$12:$P$111,9,FALSE)&lt;&gt;"yes"),
IF(BG87="10-25% OM",6,IF(BG87="&gt;25% OM",12,IF(BG87="SCL; CL; ZCL; SC; ZC; C",6,IF(BG87="SL; SZL; ZL",5,IF(BG87="S; LS",4,"?"))))),
IF(OR(BJ87="a",AND(BJ87="g",VLOOKUP(LEFT($AX87,LEN($AX87)-2),'Field information 2'!$B$12:$P$111,9,FALSE)="yes")),
IF(BG87="10-25% OM",8,IF(BG87="&gt;25% OM",16,IF(BG87="SCL; CL; ZCL; SC; ZC; C",8,IF(BG87="SL; SZL; ZL",7,IF(BG87="S; LS",6,"?"))))),"")))</f>
        <v/>
      </c>
      <c r="BL87" t="str">
        <f ca="1">IF(AX87&lt;&gt;"",COUNTBLANK('Soil results'!D92:D92)+COUNTBLANK('Soil results'!F92:I92)+COUNTBLANK('Soil results'!K92:Q92),"")</f>
        <v/>
      </c>
      <c r="BM87" t="str">
        <f ca="1">IF(AX87&lt;&gt;"",
IF(OR(ISNUMBER(SEARCH("10*01*01",'Field information 2'!$M$5)),ISNUMBER(SEARCH("10*01*03",'Field information 2'!$M$5))),0.25,1),"")</f>
        <v/>
      </c>
      <c r="BN87" s="275" t="str">
        <f ca="1">IF(AX87&lt;&gt;"",
IF(COUNTIF('Soil results'!G93:G$159,"="&amp;'Soil results'!G92)+COUNTIF('Soil results'!H93:H$159,"="&amp;'Soil results'!H92)+COUNTIF('Soil results'!I93:I$159,"="&amp;'Soil results'!I92)=0,"no",
IF(MOD(COUNTIF('Soil results'!G93:G$159,"="&amp;'Soil results'!G92)+COUNTIF('Soil results'!H93:H$159,"="&amp;'Soil results'!H92)+COUNTIF('Soil results'!I93:I$159,"="&amp;'Soil results'!I92),3)=0,"yes","no")),"")</f>
        <v/>
      </c>
      <c r="BO87" s="276" t="str">
        <f t="shared" ca="1" si="136"/>
        <v/>
      </c>
      <c r="BP87" s="33"/>
      <c r="BQ87" s="276"/>
      <c r="BR87" s="276"/>
      <c r="BS87" s="276" t="str">
        <f t="shared" ca="1" si="137"/>
        <v/>
      </c>
      <c r="BT87" s="153" t="str">
        <f ca="1">IF(AX87="","",
IF(OR(Assessment!F89="limited benefit",Assessment!F89="benefit", Assessment!M89="limited benefit",Assessment!M89="benefit", Assessment!R89="limited benefit",Assessment!R89="benefit", Assessment!W89="limited benefit",Assessment!W89="benefit", Assessment!AB89="limited benefit",Assessment!AB89="benefit", AND(ISNUMBER(Assessment!AF89),Assessment!AG89="ok"), Assessment!AJ89="benefit"),"yes","no"))</f>
        <v/>
      </c>
    </row>
    <row r="88" spans="1:75" ht="15" x14ac:dyDescent="0.25">
      <c r="A88" s="272">
        <f>IF(AND('Field information 2'!L95&gt;0, 'Field information 2'!M95=0),"data missing", 'Field information 2'!M95-'Field information 2'!L95)</f>
        <v>0</v>
      </c>
      <c r="B88" s="272">
        <f>IF(AND('Field information 2'!N95&gt;0,'Field information 2'!O95=0),"data missing",'Field information 2'!O95-'Field information 2'!N95)</f>
        <v>0</v>
      </c>
      <c r="C88" s="272">
        <f>IF(AND('Field information 2'!P95&gt;0, 'Field information 2'!Q95=0),"data missing",'Field information 2'!Q95-'Field information 2'!P95)</f>
        <v>0</v>
      </c>
      <c r="D88">
        <f>'Field information 2'!L95</f>
        <v>0</v>
      </c>
      <c r="E88" s="249" t="str">
        <f>IF(OR('Field information 2'!L95&gt;0,'Field information 2'!N95&gt;0,'Field information 2'!P95&gt;0),"Y","N")</f>
        <v>N</v>
      </c>
      <c r="F88" s="277" t="str">
        <f t="shared" si="130"/>
        <v/>
      </c>
      <c r="G88" t="str">
        <f>IF(OR(ISBLANK('Field information 1'!B89),AND(OR(ISBLANK('Field information 2'!L95), 'Field information 2'!L95=0),OR(ISBLANK('Field information 2'!N95), 'Field information 2'!N95=0), OR(ISBLANK('Field information 2'!P95), 'Field information 2'!P95=0))),"",
IF(ISTEXT('Field information 1'!B89), 'Field information 1'!B89, TEXT('Field information 1'!B89,"0")))</f>
        <v/>
      </c>
      <c r="H88" t="str">
        <f>IF(OR(ISBLANK('Field information 1'!B89),ISBLANK('Field information 2'!L95),ISBLANK('Field information 2'!F95)),"",'Field information 2'!F95)</f>
        <v/>
      </c>
      <c r="I88" s="91" t="str">
        <f>IF(OR(ISBLANK('Field information 1'!E89),G88=""),"",CEILING('Field information 1'!E89/10,1))</f>
        <v/>
      </c>
      <c r="J88" s="91" t="str">
        <f t="shared" si="131"/>
        <v>no</v>
      </c>
      <c r="K88" s="135" t="str">
        <f t="shared" ca="1" si="139"/>
        <v/>
      </c>
      <c r="L88" s="135" t="str">
        <f t="shared" ca="1" si="140"/>
        <v/>
      </c>
      <c r="M88" s="135" t="str">
        <f t="shared" ca="1" si="141"/>
        <v/>
      </c>
      <c r="N88" s="135" t="str">
        <f t="shared" ca="1" si="142"/>
        <v/>
      </c>
      <c r="O88" s="135" t="str">
        <f t="shared" ca="1" si="143"/>
        <v/>
      </c>
      <c r="P88" s="135" t="str">
        <f t="shared" ca="1" si="144"/>
        <v/>
      </c>
      <c r="Q88" s="135" t="str">
        <f t="shared" ca="1" si="145"/>
        <v/>
      </c>
      <c r="R88" s="135" t="str">
        <f t="shared" ca="1" si="146"/>
        <v/>
      </c>
      <c r="S88" s="135" t="str">
        <f t="shared" ca="1" si="147"/>
        <v/>
      </c>
      <c r="T88" s="135" t="str">
        <f t="shared" ca="1" si="148"/>
        <v/>
      </c>
      <c r="U88" s="49" t="str">
        <f t="shared" ca="1" si="106"/>
        <v/>
      </c>
      <c r="V88" s="7" t="str">
        <f t="shared" ca="1" si="107"/>
        <v/>
      </c>
      <c r="W88" s="7" t="str">
        <f t="shared" ca="1" si="108"/>
        <v/>
      </c>
      <c r="X88" s="7" t="str">
        <f t="shared" ca="1" si="109"/>
        <v/>
      </c>
      <c r="Y88" s="91"/>
      <c r="Z88" s="247" t="str">
        <f t="shared" si="110"/>
        <v/>
      </c>
      <c r="AA88" s="247" t="str">
        <f t="shared" si="111"/>
        <v/>
      </c>
      <c r="AB88" s="247" t="str">
        <f t="shared" si="112"/>
        <v/>
      </c>
      <c r="AC88" s="247" t="str">
        <f t="shared" si="113"/>
        <v/>
      </c>
      <c r="AD88" s="247" t="str">
        <f t="shared" si="114"/>
        <v/>
      </c>
      <c r="AE88" s="247" t="str">
        <f t="shared" si="115"/>
        <v/>
      </c>
      <c r="AF88" s="247" t="str">
        <f t="shared" si="116"/>
        <v/>
      </c>
      <c r="AG88" s="247" t="str">
        <f t="shared" si="117"/>
        <v/>
      </c>
      <c r="AH88" s="247" t="str">
        <f t="shared" si="118"/>
        <v/>
      </c>
      <c r="AI88" s="247" t="str">
        <f t="shared" si="119"/>
        <v/>
      </c>
      <c r="AK88" s="247" t="str">
        <f t="shared" si="120"/>
        <v/>
      </c>
      <c r="AL88" s="247" t="str">
        <f t="shared" si="121"/>
        <v/>
      </c>
      <c r="AM88" s="247" t="str">
        <f t="shared" si="122"/>
        <v/>
      </c>
      <c r="AN88" s="247" t="str">
        <f t="shared" si="123"/>
        <v/>
      </c>
      <c r="AO88" s="247" t="str">
        <f t="shared" si="124"/>
        <v/>
      </c>
      <c r="AP88" s="247" t="str">
        <f t="shared" si="125"/>
        <v/>
      </c>
      <c r="AQ88" s="247" t="str">
        <f t="shared" si="126"/>
        <v/>
      </c>
      <c r="AR88" s="247" t="str">
        <f t="shared" si="127"/>
        <v/>
      </c>
      <c r="AS88" s="247" t="str">
        <f t="shared" si="128"/>
        <v/>
      </c>
      <c r="AT88" s="247" t="str">
        <f t="shared" si="129"/>
        <v/>
      </c>
      <c r="AU88" s="189"/>
      <c r="AV88" t="str">
        <f>IF(ISBLANK('Field information 1'!F89),"",'Field information 1'!F89)</f>
        <v/>
      </c>
      <c r="AW88" s="334"/>
      <c r="AX88" s="247" t="str" cm="1">
        <f t="array" aca="1" ref="AX88" ca="1">INDIRECT(TEXT(MIN(IF((Calc!$Z$5:$AI$104&lt;&gt;"")*(COUNTIF($AX$4:AX87,Calc!$Z$5:$AI$104)=0),ROW(Calc!$Z$5:$AI$104)*100+COLUMN(Calc!$Z$5:$AI$104),7^8)),"Calc!R0C00"),)&amp;""</f>
        <v/>
      </c>
      <c r="AY88" t="str" cm="1">
        <f t="array" aca="1" ref="AY88" ca="1">INDIRECT(TEXT(MIN(IF((Calc!$AK$5:$AT$104&lt;&gt;"")*(COUNTIF(AY$4:$AY87,Calc!$AK$5:$AT$104)=0),ROW(Calc!$AK$5:$AT$104)*100+COLUMN(Calc!$AK$5:$AT$104),7^8)),"Calc!R0C00"),)&amp;""</f>
        <v/>
      </c>
      <c r="AZ88" s="247" t="str">
        <f t="shared" ca="1" si="132"/>
        <v/>
      </c>
      <c r="BA88" s="324">
        <f t="shared" si="138"/>
        <v>84</v>
      </c>
      <c r="BB88">
        <f t="shared" ca="1" si="133"/>
        <v>0</v>
      </c>
      <c r="BC88" t="str">
        <f ca="1">IF($AX88="","",
VLOOKUP(LEFT($AX88,LEN($AX88)-2),'Field information 2'!$B$12:$P$111,11,FALSE))</f>
        <v/>
      </c>
      <c r="BD88" t="str">
        <f ca="1">IF($AX88="","",
VLOOKUP(LEFT($AX88,LEN($AX88)-2),'Field information 2'!$B$12:$P$111,13,FALSE))</f>
        <v/>
      </c>
      <c r="BE88" t="str">
        <f ca="1">IF($AX88="","",
VLOOKUP(LEFT($AX88,LEN($AX88)-2),'Field information 2'!$B$12:$P$111,15,FALSE))</f>
        <v/>
      </c>
      <c r="BF88">
        <f t="shared" ca="1" si="134"/>
        <v>0</v>
      </c>
      <c r="BG88" t="str">
        <f t="shared" ca="1" si="135"/>
        <v/>
      </c>
      <c r="BH88" s="7" t="str">
        <f ca="1">IF(OR(AX88="",'Soil results'!$D$7="",'Soil results'!$D$8=""),"",
IF('Soil results'!$D$7="LOI",
  IF('Soil results'!$D$8="mg/kg",'Soil results'!D93/10000,'Soil results'!D93),
IF('Soil results'!$D$7="Dumas",
  IF('Soil results'!$D$8="mg/kg",'Soil results'!D93*1.72/10000,'Soil results'!D93*1.72))))</f>
        <v/>
      </c>
      <c r="BI88" t="str">
        <f ca="1">IF($AX88="","",
VLOOKUP(LEFT($AX88,LEN($AX88)-2),'Field information 2'!$B$12:$I$111,8,FALSE))</f>
        <v/>
      </c>
      <c r="BJ88" t="str">
        <f ca="1">IF(BI88="","",
VLOOKUP(BI88,'Fertiliser recommendations'!$A$5:$B$62,2,FALSE))</f>
        <v/>
      </c>
      <c r="BK88" s="38" t="str">
        <f ca="1">IF($AX88="","",
IF(AND(BJ88="g",VLOOKUP(LEFT($AX88,LEN($AX88)-2),'Field information 2'!$B$12:$P$111,9,FALSE)&lt;&gt;"yes"),
IF(BG88="10-25% OM",6,IF(BG88="&gt;25% OM",12,IF(BG88="SCL; CL; ZCL; SC; ZC; C",6,IF(BG88="SL; SZL; ZL",5,IF(BG88="S; LS",4,"?"))))),
IF(OR(BJ88="a",AND(BJ88="g",VLOOKUP(LEFT($AX88,LEN($AX88)-2),'Field information 2'!$B$12:$P$111,9,FALSE)="yes")),
IF(BG88="10-25% OM",8,IF(BG88="&gt;25% OM",16,IF(BG88="SCL; CL; ZCL; SC; ZC; C",8,IF(BG88="SL; SZL; ZL",7,IF(BG88="S; LS",6,"?"))))),"")))</f>
        <v/>
      </c>
      <c r="BL88" t="str">
        <f ca="1">IF(AX88&lt;&gt;"",COUNTBLANK('Soil results'!D93:D93)+COUNTBLANK('Soil results'!F93:I93)+COUNTBLANK('Soil results'!K93:Q93),"")</f>
        <v/>
      </c>
      <c r="BM88" t="str">
        <f ca="1">IF(AX88&lt;&gt;"",
IF(OR(ISNUMBER(SEARCH("10*01*01",'Field information 2'!$M$5)),ISNUMBER(SEARCH("10*01*03",'Field information 2'!$M$5))),0.25,1),"")</f>
        <v/>
      </c>
      <c r="BN88" s="275" t="str">
        <f ca="1">IF(AX88&lt;&gt;"",
IF(COUNTIF('Soil results'!G94:G$159,"="&amp;'Soil results'!G93)+COUNTIF('Soil results'!H94:H$159,"="&amp;'Soil results'!H93)+COUNTIF('Soil results'!I94:I$159,"="&amp;'Soil results'!I93)=0,"no",
IF(MOD(COUNTIF('Soil results'!G94:G$159,"="&amp;'Soil results'!G93)+COUNTIF('Soil results'!H94:H$159,"="&amp;'Soil results'!H93)+COUNTIF('Soil results'!I94:I$159,"="&amp;'Soil results'!I93),3)=0,"yes","no")),"")</f>
        <v/>
      </c>
      <c r="BO88" s="276" t="str">
        <f t="shared" ca="1" si="136"/>
        <v/>
      </c>
      <c r="BP88" s="33"/>
      <c r="BQ88" s="276"/>
      <c r="BR88" s="276"/>
      <c r="BS88" s="276" t="str">
        <f t="shared" ca="1" si="137"/>
        <v/>
      </c>
      <c r="BT88" s="153" t="str">
        <f ca="1">IF(AX88="","",
IF(OR(Assessment!F90="limited benefit",Assessment!F90="benefit", Assessment!M90="limited benefit",Assessment!M90="benefit", Assessment!R90="limited benefit",Assessment!R90="benefit", Assessment!W90="limited benefit",Assessment!W90="benefit", Assessment!AB90="limited benefit",Assessment!AB90="benefit", AND(ISNUMBER(Assessment!AF90),Assessment!AG90="ok"), Assessment!AJ90="benefit"),"yes","no"))</f>
        <v/>
      </c>
      <c r="BW88" s="216" t="s">
        <v>393</v>
      </c>
    </row>
    <row r="89" spans="1:75" ht="15" x14ac:dyDescent="0.25">
      <c r="A89" s="272">
        <f>IF(AND('Field information 2'!L96&gt;0, 'Field information 2'!M96=0),"data missing", 'Field information 2'!M96-'Field information 2'!L96)</f>
        <v>0</v>
      </c>
      <c r="B89" s="272">
        <f>IF(AND('Field information 2'!N96&gt;0,'Field information 2'!O96=0),"data missing",'Field information 2'!O96-'Field information 2'!N96)</f>
        <v>0</v>
      </c>
      <c r="C89" s="272">
        <f>IF(AND('Field information 2'!P96&gt;0, 'Field information 2'!Q96=0),"data missing",'Field information 2'!Q96-'Field information 2'!P96)</f>
        <v>0</v>
      </c>
      <c r="D89">
        <f>'Field information 2'!L96</f>
        <v>0</v>
      </c>
      <c r="E89" s="249" t="str">
        <f>IF(OR('Field information 2'!L96&gt;0,'Field information 2'!N96&gt;0,'Field information 2'!P96&gt;0),"Y","N")</f>
        <v>N</v>
      </c>
      <c r="F89" s="277" t="str">
        <f t="shared" si="130"/>
        <v/>
      </c>
      <c r="G89" t="str">
        <f>IF(OR(ISBLANK('Field information 1'!B90),AND(OR(ISBLANK('Field information 2'!L96), 'Field information 2'!L96=0),OR(ISBLANK('Field information 2'!N96), 'Field information 2'!N96=0), OR(ISBLANK('Field information 2'!P96), 'Field information 2'!P96=0))),"",
IF(ISTEXT('Field information 1'!B90), 'Field information 1'!B90, TEXT('Field information 1'!B90,"0")))</f>
        <v/>
      </c>
      <c r="H89" t="str">
        <f>IF(OR(ISBLANK('Field information 1'!B90),ISBLANK('Field information 2'!L96),ISBLANK('Field information 2'!F96)),"",'Field information 2'!F96)</f>
        <v/>
      </c>
      <c r="I89" s="91" t="str">
        <f>IF(OR(ISBLANK('Field information 1'!E90),G89=""),"",CEILING('Field information 1'!E90/10,1))</f>
        <v/>
      </c>
      <c r="J89" s="91" t="str">
        <f t="shared" si="131"/>
        <v>no</v>
      </c>
      <c r="K89" s="135" t="str">
        <f t="shared" ca="1" si="139"/>
        <v/>
      </c>
      <c r="L89" s="135" t="str">
        <f t="shared" ca="1" si="140"/>
        <v/>
      </c>
      <c r="M89" s="135" t="str">
        <f t="shared" ca="1" si="141"/>
        <v/>
      </c>
      <c r="N89" s="135" t="str">
        <f t="shared" ca="1" si="142"/>
        <v/>
      </c>
      <c r="O89" s="135" t="str">
        <f t="shared" ca="1" si="143"/>
        <v/>
      </c>
      <c r="P89" s="135" t="str">
        <f t="shared" ca="1" si="144"/>
        <v/>
      </c>
      <c r="Q89" s="135" t="str">
        <f t="shared" ca="1" si="145"/>
        <v/>
      </c>
      <c r="R89" s="135" t="str">
        <f t="shared" ca="1" si="146"/>
        <v/>
      </c>
      <c r="S89" s="135" t="str">
        <f t="shared" ca="1" si="147"/>
        <v/>
      </c>
      <c r="T89" s="135" t="str">
        <f t="shared" ca="1" si="148"/>
        <v/>
      </c>
      <c r="U89" s="49" t="str">
        <f t="shared" ca="1" si="106"/>
        <v/>
      </c>
      <c r="V89" s="7" t="str">
        <f t="shared" ca="1" si="107"/>
        <v/>
      </c>
      <c r="W89" s="7" t="str">
        <f t="shared" ca="1" si="108"/>
        <v/>
      </c>
      <c r="X89" s="7" t="str">
        <f t="shared" ca="1" si="109"/>
        <v/>
      </c>
      <c r="Y89" s="91"/>
      <c r="Z89" s="247" t="str">
        <f t="shared" si="110"/>
        <v/>
      </c>
      <c r="AA89" s="247" t="str">
        <f t="shared" si="111"/>
        <v/>
      </c>
      <c r="AB89" s="247" t="str">
        <f t="shared" si="112"/>
        <v/>
      </c>
      <c r="AC89" s="247" t="str">
        <f t="shared" si="113"/>
        <v/>
      </c>
      <c r="AD89" s="247" t="str">
        <f t="shared" si="114"/>
        <v/>
      </c>
      <c r="AE89" s="247" t="str">
        <f t="shared" si="115"/>
        <v/>
      </c>
      <c r="AF89" s="247" t="str">
        <f t="shared" si="116"/>
        <v/>
      </c>
      <c r="AG89" s="247" t="str">
        <f t="shared" si="117"/>
        <v/>
      </c>
      <c r="AH89" s="247" t="str">
        <f t="shared" si="118"/>
        <v/>
      </c>
      <c r="AI89" s="247" t="str">
        <f t="shared" si="119"/>
        <v/>
      </c>
      <c r="AK89" s="247" t="str">
        <f t="shared" si="120"/>
        <v/>
      </c>
      <c r="AL89" s="247" t="str">
        <f t="shared" si="121"/>
        <v/>
      </c>
      <c r="AM89" s="247" t="str">
        <f t="shared" si="122"/>
        <v/>
      </c>
      <c r="AN89" s="247" t="str">
        <f t="shared" si="123"/>
        <v/>
      </c>
      <c r="AO89" s="247" t="str">
        <f t="shared" si="124"/>
        <v/>
      </c>
      <c r="AP89" s="247" t="str">
        <f t="shared" si="125"/>
        <v/>
      </c>
      <c r="AQ89" s="247" t="str">
        <f t="shared" si="126"/>
        <v/>
      </c>
      <c r="AR89" s="247" t="str">
        <f t="shared" si="127"/>
        <v/>
      </c>
      <c r="AS89" s="247" t="str">
        <f t="shared" si="128"/>
        <v/>
      </c>
      <c r="AT89" s="247" t="str">
        <f t="shared" si="129"/>
        <v/>
      </c>
      <c r="AU89" s="189"/>
      <c r="AV89" t="str">
        <f>IF(ISBLANK('Field information 1'!F90),"",'Field information 1'!F90)</f>
        <v/>
      </c>
      <c r="AW89" s="334"/>
      <c r="AX89" s="247" t="str" cm="1">
        <f t="array" aca="1" ref="AX89" ca="1">INDIRECT(TEXT(MIN(IF((Calc!$Z$5:$AI$104&lt;&gt;"")*(COUNTIF($AX$4:AX88,Calc!$Z$5:$AI$104)=0),ROW(Calc!$Z$5:$AI$104)*100+COLUMN(Calc!$Z$5:$AI$104),7^8)),"Calc!R0C00"),)&amp;""</f>
        <v/>
      </c>
      <c r="AY89" t="str" cm="1">
        <f t="array" aca="1" ref="AY89" ca="1">INDIRECT(TEXT(MIN(IF((Calc!$AK$5:$AT$104&lt;&gt;"")*(COUNTIF(AY$4:$AY88,Calc!$AK$5:$AT$104)=0),ROW(Calc!$AK$5:$AT$104)*100+COLUMN(Calc!$AK$5:$AT$104),7^8)),"Calc!R0C00"),)&amp;""</f>
        <v/>
      </c>
      <c r="AZ89" s="247" t="str">
        <f t="shared" ca="1" si="132"/>
        <v/>
      </c>
      <c r="BA89" s="324">
        <f t="shared" si="138"/>
        <v>85</v>
      </c>
      <c r="BB89">
        <f t="shared" ca="1" si="133"/>
        <v>0</v>
      </c>
      <c r="BC89" t="str">
        <f ca="1">IF($AX89="","",
VLOOKUP(LEFT($AX89,LEN($AX89)-2),'Field information 2'!$B$12:$P$111,11,FALSE))</f>
        <v/>
      </c>
      <c r="BD89" t="str">
        <f ca="1">IF($AX89="","",
VLOOKUP(LEFT($AX89,LEN($AX89)-2),'Field information 2'!$B$12:$P$111,13,FALSE))</f>
        <v/>
      </c>
      <c r="BE89" t="str">
        <f ca="1">IF($AX89="","",
VLOOKUP(LEFT($AX89,LEN($AX89)-2),'Field information 2'!$B$12:$P$111,15,FALSE))</f>
        <v/>
      </c>
      <c r="BF89">
        <f t="shared" ca="1" si="134"/>
        <v>0</v>
      </c>
      <c r="BG89" t="str">
        <f t="shared" ca="1" si="135"/>
        <v/>
      </c>
      <c r="BH89" s="7" t="str">
        <f ca="1">IF(OR(AX89="",'Soil results'!$D$7="",'Soil results'!$D$8=""),"",
IF('Soil results'!$D$7="LOI",
  IF('Soil results'!$D$8="mg/kg",'Soil results'!D94/10000,'Soil results'!D94),
IF('Soil results'!$D$7="Dumas",
  IF('Soil results'!$D$8="mg/kg",'Soil results'!D94*1.72/10000,'Soil results'!D94*1.72))))</f>
        <v/>
      </c>
      <c r="BI89" t="str">
        <f ca="1">IF($AX89="","",
VLOOKUP(LEFT($AX89,LEN($AX89)-2),'Field information 2'!$B$12:$I$111,8,FALSE))</f>
        <v/>
      </c>
      <c r="BJ89" t="str">
        <f ca="1">IF(BI89="","",
VLOOKUP(BI89,'Fertiliser recommendations'!$A$5:$B$62,2,FALSE))</f>
        <v/>
      </c>
      <c r="BK89" s="38" t="str">
        <f ca="1">IF($AX89="","",
IF(AND(BJ89="g",VLOOKUP(LEFT($AX89,LEN($AX89)-2),'Field information 2'!$B$12:$P$111,9,FALSE)&lt;&gt;"yes"),
IF(BG89="10-25% OM",6,IF(BG89="&gt;25% OM",12,IF(BG89="SCL; CL; ZCL; SC; ZC; C",6,IF(BG89="SL; SZL; ZL",5,IF(BG89="S; LS",4,"?"))))),
IF(OR(BJ89="a",AND(BJ89="g",VLOOKUP(LEFT($AX89,LEN($AX89)-2),'Field information 2'!$B$12:$P$111,9,FALSE)="yes")),
IF(BG89="10-25% OM",8,IF(BG89="&gt;25% OM",16,IF(BG89="SCL; CL; ZCL; SC; ZC; C",8,IF(BG89="SL; SZL; ZL",7,IF(BG89="S; LS",6,"?"))))),"")))</f>
        <v/>
      </c>
      <c r="BL89" t="str">
        <f ca="1">IF(AX89&lt;&gt;"",COUNTBLANK('Soil results'!D94:D94)+COUNTBLANK('Soil results'!F94:I94)+COUNTBLANK('Soil results'!K94:Q94),"")</f>
        <v/>
      </c>
      <c r="BM89" t="str">
        <f ca="1">IF(AX89&lt;&gt;"",
IF(OR(ISNUMBER(SEARCH("10*01*01",'Field information 2'!$M$5)),ISNUMBER(SEARCH("10*01*03",'Field information 2'!$M$5))),0.25,1),"")</f>
        <v/>
      </c>
      <c r="BN89" s="275" t="str">
        <f ca="1">IF(AX89&lt;&gt;"",
IF(COUNTIF('Soil results'!G95:G$159,"="&amp;'Soil results'!G94)+COUNTIF('Soil results'!H95:H$159,"="&amp;'Soil results'!H94)+COUNTIF('Soil results'!I95:I$159,"="&amp;'Soil results'!I94)=0,"no",
IF(MOD(COUNTIF('Soil results'!G95:G$159,"="&amp;'Soil results'!G94)+COUNTIF('Soil results'!H95:H$159,"="&amp;'Soil results'!H94)+COUNTIF('Soil results'!I95:I$159,"="&amp;'Soil results'!I94),3)=0,"yes","no")),"")</f>
        <v/>
      </c>
      <c r="BO89" s="276" t="str">
        <f t="shared" ca="1" si="136"/>
        <v/>
      </c>
      <c r="BP89" s="33"/>
      <c r="BQ89" s="276"/>
      <c r="BR89" s="276"/>
      <c r="BS89" s="276" t="str">
        <f t="shared" ca="1" si="137"/>
        <v/>
      </c>
      <c r="BT89" s="153" t="str">
        <f ca="1">IF(AX89="","",
IF(OR(Assessment!F91="limited benefit",Assessment!F91="benefit", Assessment!M91="limited benefit",Assessment!M91="benefit", Assessment!R91="limited benefit",Assessment!R91="benefit", Assessment!W91="limited benefit",Assessment!W91="benefit", Assessment!AB91="limited benefit",Assessment!AB91="benefit", AND(ISNUMBER(Assessment!AF91),Assessment!AG91="ok"), Assessment!AJ91="benefit"),"yes","no"))</f>
        <v/>
      </c>
      <c r="BW89" t="s">
        <v>394</v>
      </c>
    </row>
    <row r="90" spans="1:75" ht="15" x14ac:dyDescent="0.25">
      <c r="A90" s="272">
        <f>IF(AND('Field information 2'!L97&gt;0, 'Field information 2'!M97=0),"data missing", 'Field information 2'!M97-'Field information 2'!L97)</f>
        <v>0</v>
      </c>
      <c r="B90" s="272">
        <f>IF(AND('Field information 2'!N97&gt;0,'Field information 2'!O97=0),"data missing",'Field information 2'!O97-'Field information 2'!N97)</f>
        <v>0</v>
      </c>
      <c r="C90" s="272">
        <f>IF(AND('Field information 2'!P97&gt;0, 'Field information 2'!Q97=0),"data missing",'Field information 2'!Q97-'Field information 2'!P97)</f>
        <v>0</v>
      </c>
      <c r="D90">
        <f>'Field information 2'!L97</f>
        <v>0</v>
      </c>
      <c r="E90" s="249" t="str">
        <f>IF(OR('Field information 2'!L97&gt;0,'Field information 2'!N97&gt;0,'Field information 2'!P97&gt;0),"Y","N")</f>
        <v>N</v>
      </c>
      <c r="F90" s="277" t="str">
        <f t="shared" si="130"/>
        <v/>
      </c>
      <c r="G90" t="str">
        <f>IF(OR(ISBLANK('Field information 1'!B91),AND(OR(ISBLANK('Field information 2'!L97), 'Field information 2'!L97=0),OR(ISBLANK('Field information 2'!N97), 'Field information 2'!N97=0), OR(ISBLANK('Field information 2'!P97), 'Field information 2'!P97=0))),"",
IF(ISTEXT('Field information 1'!B91), 'Field information 1'!B91, TEXT('Field information 1'!B91,"0")))</f>
        <v/>
      </c>
      <c r="H90" t="str">
        <f>IF(OR(ISBLANK('Field information 1'!B91),ISBLANK('Field information 2'!L97),ISBLANK('Field information 2'!F97)),"",'Field information 2'!F97)</f>
        <v/>
      </c>
      <c r="I90" s="91" t="str">
        <f>IF(OR(ISBLANK('Field information 1'!E91),G90=""),"",CEILING('Field information 1'!E91/10,1))</f>
        <v/>
      </c>
      <c r="J90" s="91" t="str">
        <f t="shared" si="131"/>
        <v>no</v>
      </c>
      <c r="K90" s="135" t="str">
        <f t="shared" ca="1" si="139"/>
        <v/>
      </c>
      <c r="L90" s="135" t="str">
        <f t="shared" ca="1" si="140"/>
        <v/>
      </c>
      <c r="M90" s="135" t="str">
        <f t="shared" ca="1" si="141"/>
        <v/>
      </c>
      <c r="N90" s="135" t="str">
        <f t="shared" ca="1" si="142"/>
        <v/>
      </c>
      <c r="O90" s="135" t="str">
        <f t="shared" ca="1" si="143"/>
        <v/>
      </c>
      <c r="P90" s="135" t="str">
        <f t="shared" ca="1" si="144"/>
        <v/>
      </c>
      <c r="Q90" s="135" t="str">
        <f t="shared" ca="1" si="145"/>
        <v/>
      </c>
      <c r="R90" s="135" t="str">
        <f t="shared" ca="1" si="146"/>
        <v/>
      </c>
      <c r="S90" s="135" t="str">
        <f t="shared" ca="1" si="147"/>
        <v/>
      </c>
      <c r="T90" s="135" t="str">
        <f t="shared" ca="1" si="148"/>
        <v/>
      </c>
      <c r="U90" s="49" t="str">
        <f t="shared" ca="1" si="106"/>
        <v/>
      </c>
      <c r="V90" s="7" t="str">
        <f t="shared" ca="1" si="107"/>
        <v/>
      </c>
      <c r="W90" s="7" t="str">
        <f t="shared" ca="1" si="108"/>
        <v/>
      </c>
      <c r="X90" s="7" t="str">
        <f t="shared" ca="1" si="109"/>
        <v/>
      </c>
      <c r="Y90" s="91"/>
      <c r="Z90" s="247" t="str">
        <f t="shared" si="110"/>
        <v/>
      </c>
      <c r="AA90" s="247" t="str">
        <f t="shared" si="111"/>
        <v/>
      </c>
      <c r="AB90" s="247" t="str">
        <f t="shared" si="112"/>
        <v/>
      </c>
      <c r="AC90" s="247" t="str">
        <f t="shared" si="113"/>
        <v/>
      </c>
      <c r="AD90" s="247" t="str">
        <f t="shared" si="114"/>
        <v/>
      </c>
      <c r="AE90" s="247" t="str">
        <f t="shared" si="115"/>
        <v/>
      </c>
      <c r="AF90" s="247" t="str">
        <f t="shared" si="116"/>
        <v/>
      </c>
      <c r="AG90" s="247" t="str">
        <f t="shared" si="117"/>
        <v/>
      </c>
      <c r="AH90" s="247" t="str">
        <f t="shared" si="118"/>
        <v/>
      </c>
      <c r="AI90" s="247" t="str">
        <f t="shared" si="119"/>
        <v/>
      </c>
      <c r="AK90" s="247" t="str">
        <f t="shared" si="120"/>
        <v/>
      </c>
      <c r="AL90" s="247" t="str">
        <f t="shared" si="121"/>
        <v/>
      </c>
      <c r="AM90" s="247" t="str">
        <f t="shared" si="122"/>
        <v/>
      </c>
      <c r="AN90" s="247" t="str">
        <f t="shared" si="123"/>
        <v/>
      </c>
      <c r="AO90" s="247" t="str">
        <f t="shared" si="124"/>
        <v/>
      </c>
      <c r="AP90" s="247" t="str">
        <f t="shared" si="125"/>
        <v/>
      </c>
      <c r="AQ90" s="247" t="str">
        <f t="shared" si="126"/>
        <v/>
      </c>
      <c r="AR90" s="247" t="str">
        <f t="shared" si="127"/>
        <v/>
      </c>
      <c r="AS90" s="247" t="str">
        <f t="shared" si="128"/>
        <v/>
      </c>
      <c r="AT90" s="247" t="str">
        <f t="shared" si="129"/>
        <v/>
      </c>
      <c r="AU90" s="189"/>
      <c r="AV90" t="str">
        <f>IF(ISBLANK('Field information 1'!F91),"",'Field information 1'!F91)</f>
        <v/>
      </c>
      <c r="AW90" s="334"/>
      <c r="AX90" s="247" t="str" cm="1">
        <f t="array" aca="1" ref="AX90" ca="1">INDIRECT(TEXT(MIN(IF((Calc!$Z$5:$AI$104&lt;&gt;"")*(COUNTIF($AX$4:AX89,Calc!$Z$5:$AI$104)=0),ROW(Calc!$Z$5:$AI$104)*100+COLUMN(Calc!$Z$5:$AI$104),7^8)),"Calc!R0C00"),)&amp;""</f>
        <v/>
      </c>
      <c r="AY90" t="str" cm="1">
        <f t="array" aca="1" ref="AY90" ca="1">INDIRECT(TEXT(MIN(IF((Calc!$AK$5:$AT$104&lt;&gt;"")*(COUNTIF(AY$4:$AY89,Calc!$AK$5:$AT$104)=0),ROW(Calc!$AK$5:$AT$104)*100+COLUMN(Calc!$AK$5:$AT$104),7^8)),"Calc!R0C00"),)&amp;""</f>
        <v/>
      </c>
      <c r="AZ90" s="247" t="str">
        <f t="shared" ca="1" si="132"/>
        <v/>
      </c>
      <c r="BA90" s="324">
        <f t="shared" si="138"/>
        <v>86</v>
      </c>
      <c r="BB90">
        <f t="shared" ca="1" si="133"/>
        <v>0</v>
      </c>
      <c r="BC90" t="str">
        <f ca="1">IF($AX90="","",
VLOOKUP(LEFT($AX90,LEN($AX90)-2),'Field information 2'!$B$12:$P$111,11,FALSE))</f>
        <v/>
      </c>
      <c r="BD90" t="str">
        <f ca="1">IF($AX90="","",
VLOOKUP(LEFT($AX90,LEN($AX90)-2),'Field information 2'!$B$12:$P$111,13,FALSE))</f>
        <v/>
      </c>
      <c r="BE90" t="str">
        <f ca="1">IF($AX90="","",
VLOOKUP(LEFT($AX90,LEN($AX90)-2),'Field information 2'!$B$12:$P$111,15,FALSE))</f>
        <v/>
      </c>
      <c r="BF90">
        <f t="shared" ca="1" si="134"/>
        <v>0</v>
      </c>
      <c r="BG90" t="str">
        <f t="shared" ca="1" si="135"/>
        <v/>
      </c>
      <c r="BH90" s="7" t="str">
        <f ca="1">IF(OR(AX90="",'Soil results'!$D$7="",'Soil results'!$D$8=""),"",
IF('Soil results'!$D$7="LOI",
  IF('Soil results'!$D$8="mg/kg",'Soil results'!D95/10000,'Soil results'!D95),
IF('Soil results'!$D$7="Dumas",
  IF('Soil results'!$D$8="mg/kg",'Soil results'!D95*1.72/10000,'Soil results'!D95*1.72))))</f>
        <v/>
      </c>
      <c r="BI90" t="str">
        <f ca="1">IF($AX90="","",
VLOOKUP(LEFT($AX90,LEN($AX90)-2),'Field information 2'!$B$12:$I$111,8,FALSE))</f>
        <v/>
      </c>
      <c r="BJ90" t="str">
        <f ca="1">IF(BI90="","",
VLOOKUP(BI90,'Fertiliser recommendations'!$A$5:$B$62,2,FALSE))</f>
        <v/>
      </c>
      <c r="BK90" s="38" t="str">
        <f ca="1">IF($AX90="","",
IF(AND(BJ90="g",VLOOKUP(LEFT($AX90,LEN($AX90)-2),'Field information 2'!$B$12:$P$111,9,FALSE)&lt;&gt;"yes"),
IF(BG90="10-25% OM",6,IF(BG90="&gt;25% OM",12,IF(BG90="SCL; CL; ZCL; SC; ZC; C",6,IF(BG90="SL; SZL; ZL",5,IF(BG90="S; LS",4,"?"))))),
IF(OR(BJ90="a",AND(BJ90="g",VLOOKUP(LEFT($AX90,LEN($AX90)-2),'Field information 2'!$B$12:$P$111,9,FALSE)="yes")),
IF(BG90="10-25% OM",8,IF(BG90="&gt;25% OM",16,IF(BG90="SCL; CL; ZCL; SC; ZC; C",8,IF(BG90="SL; SZL; ZL",7,IF(BG90="S; LS",6,"?"))))),"")))</f>
        <v/>
      </c>
      <c r="BL90" t="str">
        <f ca="1">IF(AX90&lt;&gt;"",COUNTBLANK('Soil results'!D95:D95)+COUNTBLANK('Soil results'!F95:I95)+COUNTBLANK('Soil results'!K95:Q95),"")</f>
        <v/>
      </c>
      <c r="BM90" t="str">
        <f ca="1">IF(AX90&lt;&gt;"",
IF(OR(ISNUMBER(SEARCH("10*01*01",'Field information 2'!$M$5)),ISNUMBER(SEARCH("10*01*03",'Field information 2'!$M$5))),0.25,1),"")</f>
        <v/>
      </c>
      <c r="BN90" s="275" t="str">
        <f ca="1">IF(AX90&lt;&gt;"",
IF(COUNTIF('Soil results'!G96:G$159,"="&amp;'Soil results'!G95)+COUNTIF('Soil results'!H96:H$159,"="&amp;'Soil results'!H95)+COUNTIF('Soil results'!I96:I$159,"="&amp;'Soil results'!I95)=0,"no",
IF(MOD(COUNTIF('Soil results'!G96:G$159,"="&amp;'Soil results'!G95)+COUNTIF('Soil results'!H96:H$159,"="&amp;'Soil results'!H95)+COUNTIF('Soil results'!I96:I$159,"="&amp;'Soil results'!I95),3)=0,"yes","no")),"")</f>
        <v/>
      </c>
      <c r="BO90" s="276" t="str">
        <f t="shared" ca="1" si="136"/>
        <v/>
      </c>
      <c r="BP90" s="33"/>
      <c r="BQ90" s="276"/>
      <c r="BR90" s="276"/>
      <c r="BS90" s="276" t="str">
        <f t="shared" ca="1" si="137"/>
        <v/>
      </c>
      <c r="BT90" s="153" t="str">
        <f ca="1">IF(AX90="","",
IF(OR(Assessment!F92="limited benefit",Assessment!F92="benefit", Assessment!M92="limited benefit",Assessment!M92="benefit", Assessment!R92="limited benefit",Assessment!R92="benefit", Assessment!W92="limited benefit",Assessment!W92="benefit", Assessment!AB92="limited benefit",Assessment!AB92="benefit", AND(ISNUMBER(Assessment!AF92),Assessment!AG92="ok"), Assessment!AJ92="benefit"),"yes","no"))</f>
        <v/>
      </c>
      <c r="BW90" t="s">
        <v>395</v>
      </c>
    </row>
    <row r="91" spans="1:75" ht="15" x14ac:dyDescent="0.25">
      <c r="A91" s="272">
        <f>IF(AND('Field information 2'!L98&gt;0, 'Field information 2'!M98=0),"data missing", 'Field information 2'!M98-'Field information 2'!L98)</f>
        <v>0</v>
      </c>
      <c r="B91" s="272">
        <f>IF(AND('Field information 2'!N98&gt;0,'Field information 2'!O98=0),"data missing",'Field information 2'!O98-'Field information 2'!N98)</f>
        <v>0</v>
      </c>
      <c r="C91" s="272">
        <f>IF(AND('Field information 2'!P98&gt;0, 'Field information 2'!Q98=0),"data missing",'Field information 2'!Q98-'Field information 2'!P98)</f>
        <v>0</v>
      </c>
      <c r="D91">
        <f>'Field information 2'!L98</f>
        <v>0</v>
      </c>
      <c r="E91" s="249" t="str">
        <f>IF(OR('Field information 2'!L98&gt;0,'Field information 2'!N98&gt;0,'Field information 2'!P98&gt;0),"Y","N")</f>
        <v>N</v>
      </c>
      <c r="F91" s="277" t="str">
        <f t="shared" si="130"/>
        <v/>
      </c>
      <c r="G91" t="str">
        <f>IF(OR(ISBLANK('Field information 1'!B92),AND(OR(ISBLANK('Field information 2'!L98), 'Field information 2'!L98=0),OR(ISBLANK('Field information 2'!N98), 'Field information 2'!N98=0), OR(ISBLANK('Field information 2'!P98), 'Field information 2'!P98=0))),"",
IF(ISTEXT('Field information 1'!B92), 'Field information 1'!B92, TEXT('Field information 1'!B92,"0")))</f>
        <v/>
      </c>
      <c r="H91" t="str">
        <f>IF(OR(ISBLANK('Field information 1'!B92),ISBLANK('Field information 2'!L98),ISBLANK('Field information 2'!F98)),"",'Field information 2'!F98)</f>
        <v/>
      </c>
      <c r="I91" s="91" t="str">
        <f>IF(OR(ISBLANK('Field information 1'!E92),G91=""),"",CEILING('Field information 1'!E92/10,1))</f>
        <v/>
      </c>
      <c r="J91" s="91" t="str">
        <f t="shared" si="131"/>
        <v>no</v>
      </c>
      <c r="K91" s="135" t="str">
        <f t="shared" ca="1" si="139"/>
        <v/>
      </c>
      <c r="L91" s="135" t="str">
        <f t="shared" ca="1" si="140"/>
        <v/>
      </c>
      <c r="M91" s="135" t="str">
        <f t="shared" ca="1" si="141"/>
        <v/>
      </c>
      <c r="N91" s="135" t="str">
        <f t="shared" ca="1" si="142"/>
        <v/>
      </c>
      <c r="O91" s="135" t="str">
        <f t="shared" ca="1" si="143"/>
        <v/>
      </c>
      <c r="P91" s="135" t="str">
        <f t="shared" ca="1" si="144"/>
        <v/>
      </c>
      <c r="Q91" s="135" t="str">
        <f t="shared" ca="1" si="145"/>
        <v/>
      </c>
      <c r="R91" s="135" t="str">
        <f t="shared" ca="1" si="146"/>
        <v/>
      </c>
      <c r="S91" s="135" t="str">
        <f t="shared" ca="1" si="147"/>
        <v/>
      </c>
      <c r="T91" s="135" t="str">
        <f t="shared" ca="1" si="148"/>
        <v/>
      </c>
      <c r="U91" s="49" t="str">
        <f t="shared" ca="1" si="106"/>
        <v/>
      </c>
      <c r="V91" s="7" t="str">
        <f t="shared" ca="1" si="107"/>
        <v/>
      </c>
      <c r="W91" s="7" t="str">
        <f t="shared" ca="1" si="108"/>
        <v/>
      </c>
      <c r="X91" s="7" t="str">
        <f t="shared" ca="1" si="109"/>
        <v/>
      </c>
      <c r="Y91" s="91"/>
      <c r="Z91" s="247" t="str">
        <f t="shared" si="110"/>
        <v/>
      </c>
      <c r="AA91" s="247" t="str">
        <f t="shared" si="111"/>
        <v/>
      </c>
      <c r="AB91" s="247" t="str">
        <f t="shared" si="112"/>
        <v/>
      </c>
      <c r="AC91" s="247" t="str">
        <f t="shared" si="113"/>
        <v/>
      </c>
      <c r="AD91" s="247" t="str">
        <f t="shared" si="114"/>
        <v/>
      </c>
      <c r="AE91" s="247" t="str">
        <f t="shared" si="115"/>
        <v/>
      </c>
      <c r="AF91" s="247" t="str">
        <f t="shared" si="116"/>
        <v/>
      </c>
      <c r="AG91" s="247" t="str">
        <f t="shared" si="117"/>
        <v/>
      </c>
      <c r="AH91" s="247" t="str">
        <f t="shared" si="118"/>
        <v/>
      </c>
      <c r="AI91" s="247" t="str">
        <f t="shared" si="119"/>
        <v/>
      </c>
      <c r="AK91" s="247" t="str">
        <f t="shared" si="120"/>
        <v/>
      </c>
      <c r="AL91" s="247" t="str">
        <f t="shared" si="121"/>
        <v/>
      </c>
      <c r="AM91" s="247" t="str">
        <f t="shared" si="122"/>
        <v/>
      </c>
      <c r="AN91" s="247" t="str">
        <f t="shared" si="123"/>
        <v/>
      </c>
      <c r="AO91" s="247" t="str">
        <f t="shared" si="124"/>
        <v/>
      </c>
      <c r="AP91" s="247" t="str">
        <f t="shared" si="125"/>
        <v/>
      </c>
      <c r="AQ91" s="247" t="str">
        <f t="shared" si="126"/>
        <v/>
      </c>
      <c r="AR91" s="247" t="str">
        <f t="shared" si="127"/>
        <v/>
      </c>
      <c r="AS91" s="247" t="str">
        <f t="shared" si="128"/>
        <v/>
      </c>
      <c r="AT91" s="247" t="str">
        <f t="shared" si="129"/>
        <v/>
      </c>
      <c r="AU91" s="189"/>
      <c r="AV91" t="str">
        <f>IF(ISBLANK('Field information 1'!F92),"",'Field information 1'!F92)</f>
        <v/>
      </c>
      <c r="AW91" s="334"/>
      <c r="AX91" s="247" t="str" cm="1">
        <f t="array" aca="1" ref="AX91" ca="1">INDIRECT(TEXT(MIN(IF((Calc!$Z$5:$AI$104&lt;&gt;"")*(COUNTIF($AX$4:AX90,Calc!$Z$5:$AI$104)=0),ROW(Calc!$Z$5:$AI$104)*100+COLUMN(Calc!$Z$5:$AI$104),7^8)),"Calc!R0C00"),)&amp;""</f>
        <v/>
      </c>
      <c r="AY91" t="str" cm="1">
        <f t="array" aca="1" ref="AY91" ca="1">INDIRECT(TEXT(MIN(IF((Calc!$AK$5:$AT$104&lt;&gt;"")*(COUNTIF(AY$4:$AY90,Calc!$AK$5:$AT$104)=0),ROW(Calc!$AK$5:$AT$104)*100+COLUMN(Calc!$AK$5:$AT$104),7^8)),"Calc!R0C00"),)&amp;""</f>
        <v/>
      </c>
      <c r="AZ91" s="247" t="str">
        <f t="shared" ca="1" si="132"/>
        <v/>
      </c>
      <c r="BA91" s="324">
        <f t="shared" si="138"/>
        <v>87</v>
      </c>
      <c r="BB91">
        <f t="shared" ca="1" si="133"/>
        <v>0</v>
      </c>
      <c r="BC91" t="str">
        <f ca="1">IF($AX91="","",
VLOOKUP(LEFT($AX91,LEN($AX91)-2),'Field information 2'!$B$12:$P$111,11,FALSE))</f>
        <v/>
      </c>
      <c r="BD91" t="str">
        <f ca="1">IF($AX91="","",
VLOOKUP(LEFT($AX91,LEN($AX91)-2),'Field information 2'!$B$12:$P$111,13,FALSE))</f>
        <v/>
      </c>
      <c r="BE91" t="str">
        <f ca="1">IF($AX91="","",
VLOOKUP(LEFT($AX91,LEN($AX91)-2),'Field information 2'!$B$12:$P$111,15,FALSE))</f>
        <v/>
      </c>
      <c r="BF91">
        <f t="shared" ca="1" si="134"/>
        <v>0</v>
      </c>
      <c r="BG91" t="str">
        <f t="shared" ca="1" si="135"/>
        <v/>
      </c>
      <c r="BH91" s="7" t="str">
        <f ca="1">IF(OR(AX91="",'Soil results'!$D$7="",'Soil results'!$D$8=""),"",
IF('Soil results'!$D$7="LOI",
  IF('Soil results'!$D$8="mg/kg",'Soil results'!D96/10000,'Soil results'!D96),
IF('Soil results'!$D$7="Dumas",
  IF('Soil results'!$D$8="mg/kg",'Soil results'!D96*1.72/10000,'Soil results'!D96*1.72))))</f>
        <v/>
      </c>
      <c r="BI91" t="str">
        <f ca="1">IF($AX91="","",
VLOOKUP(LEFT($AX91,LEN($AX91)-2),'Field information 2'!$B$12:$I$111,8,FALSE))</f>
        <v/>
      </c>
      <c r="BJ91" t="str">
        <f ca="1">IF(BI91="","",
VLOOKUP(BI91,'Fertiliser recommendations'!$A$5:$B$62,2,FALSE))</f>
        <v/>
      </c>
      <c r="BK91" s="38" t="str">
        <f ca="1">IF($AX91="","",
IF(AND(BJ91="g",VLOOKUP(LEFT($AX91,LEN($AX91)-2),'Field information 2'!$B$12:$P$111,9,FALSE)&lt;&gt;"yes"),
IF(BG91="10-25% OM",6,IF(BG91="&gt;25% OM",12,IF(BG91="SCL; CL; ZCL; SC; ZC; C",6,IF(BG91="SL; SZL; ZL",5,IF(BG91="S; LS",4,"?"))))),
IF(OR(BJ91="a",AND(BJ91="g",VLOOKUP(LEFT($AX91,LEN($AX91)-2),'Field information 2'!$B$12:$P$111,9,FALSE)="yes")),
IF(BG91="10-25% OM",8,IF(BG91="&gt;25% OM",16,IF(BG91="SCL; CL; ZCL; SC; ZC; C",8,IF(BG91="SL; SZL; ZL",7,IF(BG91="S; LS",6,"?"))))),"")))</f>
        <v/>
      </c>
      <c r="BL91" t="str">
        <f ca="1">IF(AX91&lt;&gt;"",COUNTBLANK('Soil results'!D96:D96)+COUNTBLANK('Soil results'!F96:I96)+COUNTBLANK('Soil results'!K96:Q96),"")</f>
        <v/>
      </c>
      <c r="BM91" t="str">
        <f ca="1">IF(AX91&lt;&gt;"",
IF(OR(ISNUMBER(SEARCH("10*01*01",'Field information 2'!$M$5)),ISNUMBER(SEARCH("10*01*03",'Field information 2'!$M$5))),0.25,1),"")</f>
        <v/>
      </c>
      <c r="BN91" s="275" t="str">
        <f ca="1">IF(AX91&lt;&gt;"",
IF(COUNTIF('Soil results'!G97:G$159,"="&amp;'Soil results'!G96)+COUNTIF('Soil results'!H97:H$159,"="&amp;'Soil results'!H96)+COUNTIF('Soil results'!I97:I$159,"="&amp;'Soil results'!I96)=0,"no",
IF(MOD(COUNTIF('Soil results'!G97:G$159,"="&amp;'Soil results'!G96)+COUNTIF('Soil results'!H97:H$159,"="&amp;'Soil results'!H96)+COUNTIF('Soil results'!I97:I$159,"="&amp;'Soil results'!I96),3)=0,"yes","no")),"")</f>
        <v/>
      </c>
      <c r="BO91" s="276" t="str">
        <f t="shared" ca="1" si="136"/>
        <v/>
      </c>
      <c r="BP91" s="33"/>
      <c r="BQ91" s="276"/>
      <c r="BR91" s="276"/>
      <c r="BS91" s="276" t="str">
        <f t="shared" ca="1" si="137"/>
        <v/>
      </c>
      <c r="BT91" s="153" t="str">
        <f ca="1">IF(AX91="","",
IF(OR(Assessment!F93="limited benefit",Assessment!F93="benefit", Assessment!M93="limited benefit",Assessment!M93="benefit", Assessment!R93="limited benefit",Assessment!R93="benefit", Assessment!W93="limited benefit",Assessment!W93="benefit", Assessment!AB93="limited benefit",Assessment!AB93="benefit", AND(ISNUMBER(Assessment!AF93),Assessment!AG93="ok"), Assessment!AJ93="benefit"),"yes","no"))</f>
        <v/>
      </c>
      <c r="BW91" t="s">
        <v>396</v>
      </c>
    </row>
    <row r="92" spans="1:75" ht="15" x14ac:dyDescent="0.25">
      <c r="A92" s="272">
        <f>IF(AND('Field information 2'!L99&gt;0, 'Field information 2'!M99=0),"data missing", 'Field information 2'!M99-'Field information 2'!L99)</f>
        <v>0</v>
      </c>
      <c r="B92" s="272">
        <f>IF(AND('Field information 2'!N99&gt;0,'Field information 2'!O99=0),"data missing",'Field information 2'!O99-'Field information 2'!N99)</f>
        <v>0</v>
      </c>
      <c r="C92" s="272">
        <f>IF(AND('Field information 2'!P99&gt;0, 'Field information 2'!Q99=0),"data missing",'Field information 2'!Q99-'Field information 2'!P99)</f>
        <v>0</v>
      </c>
      <c r="D92">
        <f>'Field information 2'!L99</f>
        <v>0</v>
      </c>
      <c r="E92" s="249" t="str">
        <f>IF(OR('Field information 2'!L99&gt;0,'Field information 2'!N99&gt;0,'Field information 2'!P99&gt;0),"Y","N")</f>
        <v>N</v>
      </c>
      <c r="F92" s="277" t="str">
        <f t="shared" si="130"/>
        <v/>
      </c>
      <c r="G92" t="str">
        <f>IF(OR(ISBLANK('Field information 1'!B93),AND(OR(ISBLANK('Field information 2'!L99), 'Field information 2'!L99=0),OR(ISBLANK('Field information 2'!N99), 'Field information 2'!N99=0), OR(ISBLANK('Field information 2'!P99), 'Field information 2'!P99=0))),"",
IF(ISTEXT('Field information 1'!B93), 'Field information 1'!B93, TEXT('Field information 1'!B93,"0")))</f>
        <v/>
      </c>
      <c r="H92" t="str">
        <f>IF(OR(ISBLANK('Field information 1'!B93),ISBLANK('Field information 2'!L99),ISBLANK('Field information 2'!F99)),"",'Field information 2'!F99)</f>
        <v/>
      </c>
      <c r="I92" s="91" t="str">
        <f>IF(OR(ISBLANK('Field information 1'!E93),G92=""),"",CEILING('Field information 1'!E93/10,1))</f>
        <v/>
      </c>
      <c r="J92" s="91" t="str">
        <f t="shared" si="131"/>
        <v>no</v>
      </c>
      <c r="K92" s="135" t="str">
        <f t="shared" ca="1" si="139"/>
        <v/>
      </c>
      <c r="L92" s="135" t="str">
        <f t="shared" ca="1" si="140"/>
        <v/>
      </c>
      <c r="M92" s="135" t="str">
        <f t="shared" ca="1" si="141"/>
        <v/>
      </c>
      <c r="N92" s="135" t="str">
        <f t="shared" ca="1" si="142"/>
        <v/>
      </c>
      <c r="O92" s="135" t="str">
        <f t="shared" ca="1" si="143"/>
        <v/>
      </c>
      <c r="P92" s="135" t="str">
        <f t="shared" ca="1" si="144"/>
        <v/>
      </c>
      <c r="Q92" s="135" t="str">
        <f t="shared" ca="1" si="145"/>
        <v/>
      </c>
      <c r="R92" s="135" t="str">
        <f t="shared" ca="1" si="146"/>
        <v/>
      </c>
      <c r="S92" s="135" t="str">
        <f t="shared" ca="1" si="147"/>
        <v/>
      </c>
      <c r="T92" s="135" t="str">
        <f t="shared" ca="1" si="148"/>
        <v/>
      </c>
      <c r="U92" s="49" t="str">
        <f t="shared" ca="1" si="106"/>
        <v/>
      </c>
      <c r="V92" s="7" t="str">
        <f t="shared" ca="1" si="107"/>
        <v/>
      </c>
      <c r="W92" s="7" t="str">
        <f t="shared" ca="1" si="108"/>
        <v/>
      </c>
      <c r="X92" s="7" t="str">
        <f t="shared" ca="1" si="109"/>
        <v/>
      </c>
      <c r="Y92" s="91"/>
      <c r="Z92" s="247" t="str">
        <f t="shared" si="110"/>
        <v/>
      </c>
      <c r="AA92" s="247" t="str">
        <f t="shared" si="111"/>
        <v/>
      </c>
      <c r="AB92" s="247" t="str">
        <f t="shared" si="112"/>
        <v/>
      </c>
      <c r="AC92" s="247" t="str">
        <f t="shared" si="113"/>
        <v/>
      </c>
      <c r="AD92" s="247" t="str">
        <f t="shared" si="114"/>
        <v/>
      </c>
      <c r="AE92" s="247" t="str">
        <f t="shared" si="115"/>
        <v/>
      </c>
      <c r="AF92" s="247" t="str">
        <f t="shared" si="116"/>
        <v/>
      </c>
      <c r="AG92" s="247" t="str">
        <f t="shared" si="117"/>
        <v/>
      </c>
      <c r="AH92" s="247" t="str">
        <f t="shared" si="118"/>
        <v/>
      </c>
      <c r="AI92" s="247" t="str">
        <f t="shared" si="119"/>
        <v/>
      </c>
      <c r="AK92" s="247" t="str">
        <f t="shared" si="120"/>
        <v/>
      </c>
      <c r="AL92" s="247" t="str">
        <f t="shared" si="121"/>
        <v/>
      </c>
      <c r="AM92" s="247" t="str">
        <f t="shared" si="122"/>
        <v/>
      </c>
      <c r="AN92" s="247" t="str">
        <f t="shared" si="123"/>
        <v/>
      </c>
      <c r="AO92" s="247" t="str">
        <f t="shared" si="124"/>
        <v/>
      </c>
      <c r="AP92" s="247" t="str">
        <f t="shared" si="125"/>
        <v/>
      </c>
      <c r="AQ92" s="247" t="str">
        <f t="shared" si="126"/>
        <v/>
      </c>
      <c r="AR92" s="247" t="str">
        <f t="shared" si="127"/>
        <v/>
      </c>
      <c r="AS92" s="247" t="str">
        <f t="shared" si="128"/>
        <v/>
      </c>
      <c r="AT92" s="247" t="str">
        <f t="shared" si="129"/>
        <v/>
      </c>
      <c r="AU92" s="189"/>
      <c r="AV92" t="str">
        <f>IF(ISBLANK('Field information 1'!F93),"",'Field information 1'!F93)</f>
        <v/>
      </c>
      <c r="AW92" s="334"/>
      <c r="AX92" s="247" t="str" cm="1">
        <f t="array" aca="1" ref="AX92" ca="1">INDIRECT(TEXT(MIN(IF((Calc!$Z$5:$AI$104&lt;&gt;"")*(COUNTIF($AX$4:AX91,Calc!$Z$5:$AI$104)=0),ROW(Calc!$Z$5:$AI$104)*100+COLUMN(Calc!$Z$5:$AI$104),7^8)),"Calc!R0C00"),)&amp;""</f>
        <v/>
      </c>
      <c r="AY92" t="str" cm="1">
        <f t="array" aca="1" ref="AY92" ca="1">INDIRECT(TEXT(MIN(IF((Calc!$AK$5:$AT$104&lt;&gt;"")*(COUNTIF(AY$4:$AY91,Calc!$AK$5:$AT$104)=0),ROW(Calc!$AK$5:$AT$104)*100+COLUMN(Calc!$AK$5:$AT$104),7^8)),"Calc!R0C00"),)&amp;""</f>
        <v/>
      </c>
      <c r="AZ92" s="247" t="str">
        <f t="shared" ca="1" si="132"/>
        <v/>
      </c>
      <c r="BA92" s="324">
        <f t="shared" si="138"/>
        <v>88</v>
      </c>
      <c r="BB92">
        <f t="shared" ca="1" si="133"/>
        <v>0</v>
      </c>
      <c r="BC92" t="str">
        <f ca="1">IF($AX92="","",
VLOOKUP(LEFT($AX92,LEN($AX92)-2),'Field information 2'!$B$12:$P$111,11,FALSE))</f>
        <v/>
      </c>
      <c r="BD92" t="str">
        <f ca="1">IF($AX92="","",
VLOOKUP(LEFT($AX92,LEN($AX92)-2),'Field information 2'!$B$12:$P$111,13,FALSE))</f>
        <v/>
      </c>
      <c r="BE92" t="str">
        <f ca="1">IF($AX92="","",
VLOOKUP(LEFT($AX92,LEN($AX92)-2),'Field information 2'!$B$12:$P$111,15,FALSE))</f>
        <v/>
      </c>
      <c r="BF92">
        <f t="shared" ca="1" si="134"/>
        <v>0</v>
      </c>
      <c r="BG92" t="str">
        <f t="shared" ca="1" si="135"/>
        <v/>
      </c>
      <c r="BH92" s="7" t="str">
        <f ca="1">IF(OR(AX92="",'Soil results'!$D$7="",'Soil results'!$D$8=""),"",
IF('Soil results'!$D$7="LOI",
  IF('Soil results'!$D$8="mg/kg",'Soil results'!D97/10000,'Soil results'!D97),
IF('Soil results'!$D$7="Dumas",
  IF('Soil results'!$D$8="mg/kg",'Soil results'!D97*1.72/10000,'Soil results'!D97*1.72))))</f>
        <v/>
      </c>
      <c r="BI92" t="str">
        <f ca="1">IF($AX92="","",
VLOOKUP(LEFT($AX92,LEN($AX92)-2),'Field information 2'!$B$12:$I$111,8,FALSE))</f>
        <v/>
      </c>
      <c r="BJ92" t="str">
        <f ca="1">IF(BI92="","",
VLOOKUP(BI92,'Fertiliser recommendations'!$A$5:$B$62,2,FALSE))</f>
        <v/>
      </c>
      <c r="BK92" s="38" t="str">
        <f ca="1">IF($AX92="","",
IF(AND(BJ92="g",VLOOKUP(LEFT($AX92,LEN($AX92)-2),'Field information 2'!$B$12:$P$111,9,FALSE)&lt;&gt;"yes"),
IF(BG92="10-25% OM",6,IF(BG92="&gt;25% OM",12,IF(BG92="SCL; CL; ZCL; SC; ZC; C",6,IF(BG92="SL; SZL; ZL",5,IF(BG92="S; LS",4,"?"))))),
IF(OR(BJ92="a",AND(BJ92="g",VLOOKUP(LEFT($AX92,LEN($AX92)-2),'Field information 2'!$B$12:$P$111,9,FALSE)="yes")),
IF(BG92="10-25% OM",8,IF(BG92="&gt;25% OM",16,IF(BG92="SCL; CL; ZCL; SC; ZC; C",8,IF(BG92="SL; SZL; ZL",7,IF(BG92="S; LS",6,"?"))))),"")))</f>
        <v/>
      </c>
      <c r="BL92" t="str">
        <f ca="1">IF(AX92&lt;&gt;"",COUNTBLANK('Soil results'!D97:D97)+COUNTBLANK('Soil results'!F97:I97)+COUNTBLANK('Soil results'!K97:Q97),"")</f>
        <v/>
      </c>
      <c r="BM92" t="str">
        <f ca="1">IF(AX92&lt;&gt;"",
IF(OR(ISNUMBER(SEARCH("10*01*01",'Field information 2'!$M$5)),ISNUMBER(SEARCH("10*01*03",'Field information 2'!$M$5))),0.25,1),"")</f>
        <v/>
      </c>
      <c r="BN92" s="275" t="str">
        <f ca="1">IF(AX92&lt;&gt;"",
IF(COUNTIF('Soil results'!G98:G$159,"="&amp;'Soil results'!G97)+COUNTIF('Soil results'!H98:H$159,"="&amp;'Soil results'!H97)+COUNTIF('Soil results'!I98:I$159,"="&amp;'Soil results'!I97)=0,"no",
IF(MOD(COUNTIF('Soil results'!G98:G$159,"="&amp;'Soil results'!G97)+COUNTIF('Soil results'!H98:H$159,"="&amp;'Soil results'!H97)+COUNTIF('Soil results'!I98:I$159,"="&amp;'Soil results'!I97),3)=0,"yes","no")),"")</f>
        <v/>
      </c>
      <c r="BO92" s="276" t="str">
        <f t="shared" ca="1" si="136"/>
        <v/>
      </c>
      <c r="BP92" s="33"/>
      <c r="BQ92" s="276"/>
      <c r="BR92" s="276"/>
      <c r="BS92" s="276" t="str">
        <f t="shared" ca="1" si="137"/>
        <v/>
      </c>
      <c r="BT92" s="153" t="str">
        <f ca="1">IF(AX92="","",
IF(OR(Assessment!F94="limited benefit",Assessment!F94="benefit", Assessment!M94="limited benefit",Assessment!M94="benefit", Assessment!R94="limited benefit",Assessment!R94="benefit", Assessment!W94="limited benefit",Assessment!W94="benefit", Assessment!AB94="limited benefit",Assessment!AB94="benefit", AND(ISNUMBER(Assessment!AF94),Assessment!AG94="ok"), Assessment!AJ94="benefit"),"yes","no"))</f>
        <v/>
      </c>
      <c r="BW92" t="s">
        <v>397</v>
      </c>
    </row>
    <row r="93" spans="1:75" ht="15" x14ac:dyDescent="0.25">
      <c r="A93" s="272">
        <f>IF(AND('Field information 2'!L100&gt;0, 'Field information 2'!M100=0),"data missing", 'Field information 2'!M100-'Field information 2'!L100)</f>
        <v>0</v>
      </c>
      <c r="B93" s="272">
        <f>IF(AND('Field information 2'!N100&gt;0,'Field information 2'!O100=0),"data missing",'Field information 2'!O100-'Field information 2'!N100)</f>
        <v>0</v>
      </c>
      <c r="C93" s="272">
        <f>IF(AND('Field information 2'!P100&gt;0, 'Field information 2'!Q100=0),"data missing",'Field information 2'!Q100-'Field information 2'!P100)</f>
        <v>0</v>
      </c>
      <c r="D93">
        <f>'Field information 2'!L100</f>
        <v>0</v>
      </c>
      <c r="E93" s="249" t="str">
        <f>IF(OR('Field information 2'!L100&gt;0,'Field information 2'!N100&gt;0,'Field information 2'!P100&gt;0),"Y","N")</f>
        <v>N</v>
      </c>
      <c r="F93" s="277" t="str">
        <f t="shared" si="130"/>
        <v/>
      </c>
      <c r="G93" t="str">
        <f>IF(OR(ISBLANK('Field information 1'!B94),AND(OR(ISBLANK('Field information 2'!L100), 'Field information 2'!L100=0),OR(ISBLANK('Field information 2'!N100), 'Field information 2'!N100=0), OR(ISBLANK('Field information 2'!P100), 'Field information 2'!P100=0))),"",
IF(ISTEXT('Field information 1'!B94), 'Field information 1'!B94, TEXT('Field information 1'!B94,"0")))</f>
        <v/>
      </c>
      <c r="H93" t="str">
        <f>IF(OR(ISBLANK('Field information 1'!B94),ISBLANK('Field information 2'!L100),ISBLANK('Field information 2'!F100)),"",'Field information 2'!F100)</f>
        <v/>
      </c>
      <c r="I93" s="91" t="str">
        <f>IF(OR(ISBLANK('Field information 1'!E94),G93=""),"",CEILING('Field information 1'!E94/10,1))</f>
        <v/>
      </c>
      <c r="J93" s="91" t="str">
        <f t="shared" si="131"/>
        <v>no</v>
      </c>
      <c r="K93" s="135" t="str">
        <f t="shared" ca="1" si="139"/>
        <v/>
      </c>
      <c r="L93" s="135" t="str">
        <f t="shared" ca="1" si="140"/>
        <v/>
      </c>
      <c r="M93" s="135" t="str">
        <f t="shared" ca="1" si="141"/>
        <v/>
      </c>
      <c r="N93" s="135" t="str">
        <f t="shared" ca="1" si="142"/>
        <v/>
      </c>
      <c r="O93" s="135" t="str">
        <f t="shared" ca="1" si="143"/>
        <v/>
      </c>
      <c r="P93" s="135" t="str">
        <f t="shared" ca="1" si="144"/>
        <v/>
      </c>
      <c r="Q93" s="135" t="str">
        <f t="shared" ca="1" si="145"/>
        <v/>
      </c>
      <c r="R93" s="135" t="str">
        <f t="shared" ca="1" si="146"/>
        <v/>
      </c>
      <c r="S93" s="135" t="str">
        <f t="shared" ca="1" si="147"/>
        <v/>
      </c>
      <c r="T93" s="135" t="str">
        <f t="shared" ca="1" si="148"/>
        <v/>
      </c>
      <c r="U93" s="49" t="str">
        <f t="shared" ca="1" si="106"/>
        <v/>
      </c>
      <c r="V93" s="7" t="str">
        <f t="shared" ca="1" si="107"/>
        <v/>
      </c>
      <c r="W93" s="7" t="str">
        <f t="shared" ca="1" si="108"/>
        <v/>
      </c>
      <c r="X93" s="7" t="str">
        <f t="shared" ca="1" si="109"/>
        <v/>
      </c>
      <c r="Y93" s="91"/>
      <c r="Z93" s="247" t="str">
        <f t="shared" si="110"/>
        <v/>
      </c>
      <c r="AA93" s="247" t="str">
        <f t="shared" si="111"/>
        <v/>
      </c>
      <c r="AB93" s="247" t="str">
        <f t="shared" si="112"/>
        <v/>
      </c>
      <c r="AC93" s="247" t="str">
        <f t="shared" si="113"/>
        <v/>
      </c>
      <c r="AD93" s="247" t="str">
        <f t="shared" si="114"/>
        <v/>
      </c>
      <c r="AE93" s="247" t="str">
        <f t="shared" si="115"/>
        <v/>
      </c>
      <c r="AF93" s="247" t="str">
        <f t="shared" si="116"/>
        <v/>
      </c>
      <c r="AG93" s="247" t="str">
        <f t="shared" si="117"/>
        <v/>
      </c>
      <c r="AH93" s="247" t="str">
        <f t="shared" si="118"/>
        <v/>
      </c>
      <c r="AI93" s="247" t="str">
        <f t="shared" si="119"/>
        <v/>
      </c>
      <c r="AK93" s="247" t="str">
        <f t="shared" si="120"/>
        <v/>
      </c>
      <c r="AL93" s="247" t="str">
        <f t="shared" si="121"/>
        <v/>
      </c>
      <c r="AM93" s="247" t="str">
        <f t="shared" si="122"/>
        <v/>
      </c>
      <c r="AN93" s="247" t="str">
        <f t="shared" si="123"/>
        <v/>
      </c>
      <c r="AO93" s="247" t="str">
        <f t="shared" si="124"/>
        <v/>
      </c>
      <c r="AP93" s="247" t="str">
        <f t="shared" si="125"/>
        <v/>
      </c>
      <c r="AQ93" s="247" t="str">
        <f t="shared" si="126"/>
        <v/>
      </c>
      <c r="AR93" s="247" t="str">
        <f t="shared" si="127"/>
        <v/>
      </c>
      <c r="AS93" s="247" t="str">
        <f t="shared" si="128"/>
        <v/>
      </c>
      <c r="AT93" s="247" t="str">
        <f t="shared" si="129"/>
        <v/>
      </c>
      <c r="AU93" s="189"/>
      <c r="AV93" t="str">
        <f>IF(ISBLANK('Field information 1'!F94),"",'Field information 1'!F94)</f>
        <v/>
      </c>
      <c r="AW93" s="334"/>
      <c r="AX93" s="247" t="str" cm="1">
        <f t="array" aca="1" ref="AX93" ca="1">INDIRECT(TEXT(MIN(IF((Calc!$Z$5:$AI$104&lt;&gt;"")*(COUNTIF($AX$4:AX92,Calc!$Z$5:$AI$104)=0),ROW(Calc!$Z$5:$AI$104)*100+COLUMN(Calc!$Z$5:$AI$104),7^8)),"Calc!R0C00"),)&amp;""</f>
        <v/>
      </c>
      <c r="AY93" t="str" cm="1">
        <f t="array" aca="1" ref="AY93" ca="1">INDIRECT(TEXT(MIN(IF((Calc!$AK$5:$AT$104&lt;&gt;"")*(COUNTIF(AY$4:$AY92,Calc!$AK$5:$AT$104)=0),ROW(Calc!$AK$5:$AT$104)*100+COLUMN(Calc!$AK$5:$AT$104),7^8)),"Calc!R0C00"),)&amp;""</f>
        <v/>
      </c>
      <c r="AZ93" s="247" t="str">
        <f t="shared" ca="1" si="132"/>
        <v/>
      </c>
      <c r="BA93" s="324">
        <f t="shared" si="138"/>
        <v>89</v>
      </c>
      <c r="BB93">
        <f t="shared" ca="1" si="133"/>
        <v>0</v>
      </c>
      <c r="BC93" t="str">
        <f ca="1">IF($AX93="","",
VLOOKUP(LEFT($AX93,LEN($AX93)-2),'Field information 2'!$B$12:$P$111,11,FALSE))</f>
        <v/>
      </c>
      <c r="BD93" t="str">
        <f ca="1">IF($AX93="","",
VLOOKUP(LEFT($AX93,LEN($AX93)-2),'Field information 2'!$B$12:$P$111,13,FALSE))</f>
        <v/>
      </c>
      <c r="BE93" t="str">
        <f ca="1">IF($AX93="","",
VLOOKUP(LEFT($AX93,LEN($AX93)-2),'Field information 2'!$B$12:$P$111,15,FALSE))</f>
        <v/>
      </c>
      <c r="BF93">
        <f t="shared" ca="1" si="134"/>
        <v>0</v>
      </c>
      <c r="BG93" t="str">
        <f t="shared" ca="1" si="135"/>
        <v/>
      </c>
      <c r="BH93" s="7" t="str">
        <f ca="1">IF(OR(AX93="",'Soil results'!$D$7="",'Soil results'!$D$8=""),"",
IF('Soil results'!$D$7="LOI",
  IF('Soil results'!$D$8="mg/kg",'Soil results'!D98/10000,'Soil results'!D98),
IF('Soil results'!$D$7="Dumas",
  IF('Soil results'!$D$8="mg/kg",'Soil results'!D98*1.72/10000,'Soil results'!D98*1.72))))</f>
        <v/>
      </c>
      <c r="BI93" t="str">
        <f ca="1">IF($AX93="","",
VLOOKUP(LEFT($AX93,LEN($AX93)-2),'Field information 2'!$B$12:$I$111,8,FALSE))</f>
        <v/>
      </c>
      <c r="BJ93" t="str">
        <f ca="1">IF(BI93="","",
VLOOKUP(BI93,'Fertiliser recommendations'!$A$5:$B$62,2,FALSE))</f>
        <v/>
      </c>
      <c r="BK93" s="38" t="str">
        <f ca="1">IF($AX93="","",
IF(AND(BJ93="g",VLOOKUP(LEFT($AX93,LEN($AX93)-2),'Field information 2'!$B$12:$P$111,9,FALSE)&lt;&gt;"yes"),
IF(BG93="10-25% OM",6,IF(BG93="&gt;25% OM",12,IF(BG93="SCL; CL; ZCL; SC; ZC; C",6,IF(BG93="SL; SZL; ZL",5,IF(BG93="S; LS",4,"?"))))),
IF(OR(BJ93="a",AND(BJ93="g",VLOOKUP(LEFT($AX93,LEN($AX93)-2),'Field information 2'!$B$12:$P$111,9,FALSE)="yes")),
IF(BG93="10-25% OM",8,IF(BG93="&gt;25% OM",16,IF(BG93="SCL; CL; ZCL; SC; ZC; C",8,IF(BG93="SL; SZL; ZL",7,IF(BG93="S; LS",6,"?"))))),"")))</f>
        <v/>
      </c>
      <c r="BL93" t="str">
        <f ca="1">IF(AX93&lt;&gt;"",COUNTBLANK('Soil results'!D98:D98)+COUNTBLANK('Soil results'!F98:I98)+COUNTBLANK('Soil results'!K98:Q98),"")</f>
        <v/>
      </c>
      <c r="BM93" t="str">
        <f ca="1">IF(AX93&lt;&gt;"",
IF(OR(ISNUMBER(SEARCH("10*01*01",'Field information 2'!$M$5)),ISNUMBER(SEARCH("10*01*03",'Field information 2'!$M$5))),0.25,1),"")</f>
        <v/>
      </c>
      <c r="BN93" s="275" t="str">
        <f ca="1">IF(AX93&lt;&gt;"",
IF(COUNTIF('Soil results'!G99:G$159,"="&amp;'Soil results'!G98)+COUNTIF('Soil results'!H99:H$159,"="&amp;'Soil results'!H98)+COUNTIF('Soil results'!I99:I$159,"="&amp;'Soil results'!I98)=0,"no",
IF(MOD(COUNTIF('Soil results'!G99:G$159,"="&amp;'Soil results'!G98)+COUNTIF('Soil results'!H99:H$159,"="&amp;'Soil results'!H98)+COUNTIF('Soil results'!I99:I$159,"="&amp;'Soil results'!I98),3)=0,"yes","no")),"")</f>
        <v/>
      </c>
      <c r="BO93" s="276" t="str">
        <f t="shared" ca="1" si="136"/>
        <v/>
      </c>
      <c r="BP93" s="33"/>
      <c r="BQ93" s="276"/>
      <c r="BR93" s="276"/>
      <c r="BS93" s="276" t="str">
        <f t="shared" ca="1" si="137"/>
        <v/>
      </c>
      <c r="BT93" s="153" t="str">
        <f ca="1">IF(AX93="","",
IF(OR(Assessment!F95="limited benefit",Assessment!F95="benefit", Assessment!M95="limited benefit",Assessment!M95="benefit", Assessment!R95="limited benefit",Assessment!R95="benefit", Assessment!W95="limited benefit",Assessment!W95="benefit", Assessment!AB95="limited benefit",Assessment!AB95="benefit", AND(ISNUMBER(Assessment!AF95),Assessment!AG95="ok"), Assessment!AJ95="benefit"),"yes","no"))</f>
        <v/>
      </c>
    </row>
    <row r="94" spans="1:75" ht="15" x14ac:dyDescent="0.25">
      <c r="A94" s="272">
        <f>IF(AND('Field information 2'!L101&gt;0, 'Field information 2'!M101=0),"data missing", 'Field information 2'!M101-'Field information 2'!L101)</f>
        <v>0</v>
      </c>
      <c r="B94" s="272">
        <f>IF(AND('Field information 2'!N101&gt;0,'Field information 2'!O101=0),"data missing",'Field information 2'!O101-'Field information 2'!N101)</f>
        <v>0</v>
      </c>
      <c r="C94" s="272">
        <f>IF(AND('Field information 2'!P101&gt;0, 'Field information 2'!Q101=0),"data missing",'Field information 2'!Q101-'Field information 2'!P101)</f>
        <v>0</v>
      </c>
      <c r="D94">
        <f>'Field information 2'!L101</f>
        <v>0</v>
      </c>
      <c r="E94" s="249" t="str">
        <f>IF(OR('Field information 2'!L101&gt;0,'Field information 2'!N101&gt;0,'Field information 2'!P101&gt;0),"Y","N")</f>
        <v>N</v>
      </c>
      <c r="F94" s="277" t="str">
        <f t="shared" si="130"/>
        <v/>
      </c>
      <c r="G94" t="str">
        <f>IF(OR(ISBLANK('Field information 1'!B95),AND(OR(ISBLANK('Field information 2'!L101), 'Field information 2'!L101=0),OR(ISBLANK('Field information 2'!N101), 'Field information 2'!N101=0), OR(ISBLANK('Field information 2'!P101), 'Field information 2'!P101=0))),"",
IF(ISTEXT('Field information 1'!B95), 'Field information 1'!B95, TEXT('Field information 1'!B95,"0")))</f>
        <v/>
      </c>
      <c r="H94" t="str">
        <f>IF(OR(ISBLANK('Field information 1'!B95),ISBLANK('Field information 2'!L101),ISBLANK('Field information 2'!F101)),"",'Field information 2'!F101)</f>
        <v/>
      </c>
      <c r="I94" s="91" t="str">
        <f>IF(OR(ISBLANK('Field information 1'!E95),G94=""),"",CEILING('Field information 1'!E95/10,1))</f>
        <v/>
      </c>
      <c r="J94" s="91" t="str">
        <f t="shared" si="131"/>
        <v>no</v>
      </c>
      <c r="K94" s="135" t="str">
        <f t="shared" ca="1" si="139"/>
        <v/>
      </c>
      <c r="L94" s="135" t="str">
        <f t="shared" ca="1" si="140"/>
        <v/>
      </c>
      <c r="M94" s="135" t="str">
        <f t="shared" ca="1" si="141"/>
        <v/>
      </c>
      <c r="N94" s="135" t="str">
        <f t="shared" ca="1" si="142"/>
        <v/>
      </c>
      <c r="O94" s="135" t="str">
        <f t="shared" ca="1" si="143"/>
        <v/>
      </c>
      <c r="P94" s="135" t="str">
        <f t="shared" ca="1" si="144"/>
        <v/>
      </c>
      <c r="Q94" s="135" t="str">
        <f t="shared" ca="1" si="145"/>
        <v/>
      </c>
      <c r="R94" s="135" t="str">
        <f t="shared" ca="1" si="146"/>
        <v/>
      </c>
      <c r="S94" s="135" t="str">
        <f t="shared" ca="1" si="147"/>
        <v/>
      </c>
      <c r="T94" s="135" t="str">
        <f t="shared" ca="1" si="148"/>
        <v/>
      </c>
      <c r="U94" s="49" t="str">
        <f t="shared" ca="1" si="106"/>
        <v/>
      </c>
      <c r="V94" s="7" t="str">
        <f t="shared" ca="1" si="107"/>
        <v/>
      </c>
      <c r="W94" s="7" t="str">
        <f t="shared" ca="1" si="108"/>
        <v/>
      </c>
      <c r="X94" s="7" t="str">
        <f t="shared" ca="1" si="109"/>
        <v/>
      </c>
      <c r="Y94" s="91"/>
      <c r="Z94" s="247" t="str">
        <f t="shared" si="110"/>
        <v/>
      </c>
      <c r="AA94" s="247" t="str">
        <f t="shared" si="111"/>
        <v/>
      </c>
      <c r="AB94" s="247" t="str">
        <f t="shared" si="112"/>
        <v/>
      </c>
      <c r="AC94" s="247" t="str">
        <f t="shared" si="113"/>
        <v/>
      </c>
      <c r="AD94" s="247" t="str">
        <f t="shared" si="114"/>
        <v/>
      </c>
      <c r="AE94" s="247" t="str">
        <f t="shared" si="115"/>
        <v/>
      </c>
      <c r="AF94" s="247" t="str">
        <f t="shared" si="116"/>
        <v/>
      </c>
      <c r="AG94" s="247" t="str">
        <f t="shared" si="117"/>
        <v/>
      </c>
      <c r="AH94" s="247" t="str">
        <f t="shared" si="118"/>
        <v/>
      </c>
      <c r="AI94" s="247" t="str">
        <f t="shared" si="119"/>
        <v/>
      </c>
      <c r="AK94" s="247" t="str">
        <f t="shared" si="120"/>
        <v/>
      </c>
      <c r="AL94" s="247" t="str">
        <f t="shared" si="121"/>
        <v/>
      </c>
      <c r="AM94" s="247" t="str">
        <f t="shared" si="122"/>
        <v/>
      </c>
      <c r="AN94" s="247" t="str">
        <f t="shared" si="123"/>
        <v/>
      </c>
      <c r="AO94" s="247" t="str">
        <f t="shared" si="124"/>
        <v/>
      </c>
      <c r="AP94" s="247" t="str">
        <f t="shared" si="125"/>
        <v/>
      </c>
      <c r="AQ94" s="247" t="str">
        <f t="shared" si="126"/>
        <v/>
      </c>
      <c r="AR94" s="247" t="str">
        <f t="shared" si="127"/>
        <v/>
      </c>
      <c r="AS94" s="247" t="str">
        <f t="shared" si="128"/>
        <v/>
      </c>
      <c r="AT94" s="247" t="str">
        <f t="shared" si="129"/>
        <v/>
      </c>
      <c r="AU94" s="189"/>
      <c r="AV94" t="str">
        <f>IF(ISBLANK('Field information 1'!F95),"",'Field information 1'!F95)</f>
        <v/>
      </c>
      <c r="AW94" s="334"/>
      <c r="AX94" s="247" t="str" cm="1">
        <f t="array" aca="1" ref="AX94" ca="1">INDIRECT(TEXT(MIN(IF((Calc!$Z$5:$AI$104&lt;&gt;"")*(COUNTIF($AX$4:AX93,Calc!$Z$5:$AI$104)=0),ROW(Calc!$Z$5:$AI$104)*100+COLUMN(Calc!$Z$5:$AI$104),7^8)),"Calc!R0C00"),)&amp;""</f>
        <v/>
      </c>
      <c r="AY94" t="str" cm="1">
        <f t="array" aca="1" ref="AY94" ca="1">INDIRECT(TEXT(MIN(IF((Calc!$AK$5:$AT$104&lt;&gt;"")*(COUNTIF(AY$4:$AY93,Calc!$AK$5:$AT$104)=0),ROW(Calc!$AK$5:$AT$104)*100+COLUMN(Calc!$AK$5:$AT$104),7^8)),"Calc!R0C00"),)&amp;""</f>
        <v/>
      </c>
      <c r="AZ94" s="247" t="str">
        <f t="shared" ca="1" si="132"/>
        <v/>
      </c>
      <c r="BA94" s="324">
        <f t="shared" si="138"/>
        <v>90</v>
      </c>
      <c r="BB94">
        <f t="shared" ca="1" si="133"/>
        <v>0</v>
      </c>
      <c r="BC94" t="str">
        <f ca="1">IF($AX94="","",
VLOOKUP(LEFT($AX94,LEN($AX94)-2),'Field information 2'!$B$12:$P$111,11,FALSE))</f>
        <v/>
      </c>
      <c r="BD94" t="str">
        <f ca="1">IF($AX94="","",
VLOOKUP(LEFT($AX94,LEN($AX94)-2),'Field information 2'!$B$12:$P$111,13,FALSE))</f>
        <v/>
      </c>
      <c r="BE94" t="str">
        <f ca="1">IF($AX94="","",
VLOOKUP(LEFT($AX94,LEN($AX94)-2),'Field information 2'!$B$12:$P$111,15,FALSE))</f>
        <v/>
      </c>
      <c r="BF94">
        <f t="shared" ca="1" si="134"/>
        <v>0</v>
      </c>
      <c r="BG94" t="str">
        <f t="shared" ca="1" si="135"/>
        <v/>
      </c>
      <c r="BH94" s="7" t="str">
        <f ca="1">IF(OR(AX94="",'Soil results'!$D$7="",'Soil results'!$D$8=""),"",
IF('Soil results'!$D$7="LOI",
  IF('Soil results'!$D$8="mg/kg",'Soil results'!D99/10000,'Soil results'!D99),
IF('Soil results'!$D$7="Dumas",
  IF('Soil results'!$D$8="mg/kg",'Soil results'!D99*1.72/10000,'Soil results'!D99*1.72))))</f>
        <v/>
      </c>
      <c r="BI94" t="str">
        <f ca="1">IF($AX94="","",
VLOOKUP(LEFT($AX94,LEN($AX94)-2),'Field information 2'!$B$12:$I$111,8,FALSE))</f>
        <v/>
      </c>
      <c r="BJ94" t="str">
        <f ca="1">IF(BI94="","",
VLOOKUP(BI94,'Fertiliser recommendations'!$A$5:$B$62,2,FALSE))</f>
        <v/>
      </c>
      <c r="BK94" s="38" t="str">
        <f ca="1">IF($AX94="","",
IF(AND(BJ94="g",VLOOKUP(LEFT($AX94,LEN($AX94)-2),'Field information 2'!$B$12:$P$111,9,FALSE)&lt;&gt;"yes"),
IF(BG94="10-25% OM",6,IF(BG94="&gt;25% OM",12,IF(BG94="SCL; CL; ZCL; SC; ZC; C",6,IF(BG94="SL; SZL; ZL",5,IF(BG94="S; LS",4,"?"))))),
IF(OR(BJ94="a",AND(BJ94="g",VLOOKUP(LEFT($AX94,LEN($AX94)-2),'Field information 2'!$B$12:$P$111,9,FALSE)="yes")),
IF(BG94="10-25% OM",8,IF(BG94="&gt;25% OM",16,IF(BG94="SCL; CL; ZCL; SC; ZC; C",8,IF(BG94="SL; SZL; ZL",7,IF(BG94="S; LS",6,"?"))))),"")))</f>
        <v/>
      </c>
      <c r="BL94" t="str">
        <f ca="1">IF(AX94&lt;&gt;"",COUNTBLANK('Soil results'!D99:D99)+COUNTBLANK('Soil results'!F99:I99)+COUNTBLANK('Soil results'!K99:Q99),"")</f>
        <v/>
      </c>
      <c r="BM94" t="str">
        <f ca="1">IF(AX94&lt;&gt;"",
IF(OR(ISNUMBER(SEARCH("10*01*01",'Field information 2'!$M$5)),ISNUMBER(SEARCH("10*01*03",'Field information 2'!$M$5))),0.25,1),"")</f>
        <v/>
      </c>
      <c r="BN94" s="275" t="str">
        <f ca="1">IF(AX94&lt;&gt;"",
IF(COUNTIF('Soil results'!G100:G$159,"="&amp;'Soil results'!G99)+COUNTIF('Soil results'!H100:H$159,"="&amp;'Soil results'!H99)+COUNTIF('Soil results'!I100:I$159,"="&amp;'Soil results'!I99)=0,"no",
IF(MOD(COUNTIF('Soil results'!G100:G$159,"="&amp;'Soil results'!G99)+COUNTIF('Soil results'!H100:H$159,"="&amp;'Soil results'!H99)+COUNTIF('Soil results'!I100:I$159,"="&amp;'Soil results'!I99),3)=0,"yes","no")),"")</f>
        <v/>
      </c>
      <c r="BO94" s="276" t="str">
        <f t="shared" ca="1" si="136"/>
        <v/>
      </c>
      <c r="BP94" s="33"/>
      <c r="BQ94" s="276"/>
      <c r="BR94" s="276"/>
      <c r="BS94" s="276" t="str">
        <f t="shared" ca="1" si="137"/>
        <v/>
      </c>
      <c r="BT94" s="153" t="str">
        <f ca="1">IF(AX94="","",
IF(OR(Assessment!F96="limited benefit",Assessment!F96="benefit", Assessment!M96="limited benefit",Assessment!M96="benefit", Assessment!R96="limited benefit",Assessment!R96="benefit", Assessment!W96="limited benefit",Assessment!W96="benefit", Assessment!AB96="limited benefit",Assessment!AB96="benefit", AND(ISNUMBER(Assessment!AF96),Assessment!AG96="ok"), Assessment!AJ96="benefit"),"yes","no"))</f>
        <v/>
      </c>
      <c r="BW94" t="s">
        <v>398</v>
      </c>
    </row>
    <row r="95" spans="1:75" ht="15" x14ac:dyDescent="0.25">
      <c r="A95" s="272">
        <f>IF(AND('Field information 2'!L102&gt;0, 'Field information 2'!M102=0),"data missing", 'Field information 2'!M102-'Field information 2'!L102)</f>
        <v>0</v>
      </c>
      <c r="B95" s="272">
        <f>IF(AND('Field information 2'!N102&gt;0,'Field information 2'!O102=0),"data missing",'Field information 2'!O102-'Field information 2'!N102)</f>
        <v>0</v>
      </c>
      <c r="C95" s="272">
        <f>IF(AND('Field information 2'!P102&gt;0, 'Field information 2'!Q102=0),"data missing",'Field information 2'!Q102-'Field information 2'!P102)</f>
        <v>0</v>
      </c>
      <c r="D95">
        <f>'Field information 2'!L102</f>
        <v>0</v>
      </c>
      <c r="E95" s="249" t="str">
        <f>IF(OR('Field information 2'!L102&gt;0,'Field information 2'!N102&gt;0,'Field information 2'!P102&gt;0),"Y","N")</f>
        <v>N</v>
      </c>
      <c r="F95" s="277" t="str">
        <f t="shared" si="130"/>
        <v/>
      </c>
      <c r="G95" t="str">
        <f>IF(OR(ISBLANK('Field information 1'!B96),AND(OR(ISBLANK('Field information 2'!L102), 'Field information 2'!L102=0),OR(ISBLANK('Field information 2'!N102), 'Field information 2'!N102=0), OR(ISBLANK('Field information 2'!P102), 'Field information 2'!P102=0))),"",
IF(ISTEXT('Field information 1'!B96), 'Field information 1'!B96, TEXT('Field information 1'!B96,"0")))</f>
        <v/>
      </c>
      <c r="H95" t="str">
        <f>IF(OR(ISBLANK('Field information 1'!B96),ISBLANK('Field information 2'!L102),ISBLANK('Field information 2'!F102)),"",'Field information 2'!F102)</f>
        <v/>
      </c>
      <c r="I95" s="91" t="str">
        <f>IF(OR(ISBLANK('Field information 1'!E96),G95=""),"",CEILING('Field information 1'!E96/10,1))</f>
        <v/>
      </c>
      <c r="J95" s="91" t="str">
        <f t="shared" si="131"/>
        <v>no</v>
      </c>
      <c r="K95" s="135" t="str">
        <f t="shared" ca="1" si="139"/>
        <v/>
      </c>
      <c r="L95" s="135" t="str">
        <f t="shared" ca="1" si="140"/>
        <v/>
      </c>
      <c r="M95" s="135" t="str">
        <f t="shared" ca="1" si="141"/>
        <v/>
      </c>
      <c r="N95" s="135" t="str">
        <f t="shared" ca="1" si="142"/>
        <v/>
      </c>
      <c r="O95" s="135" t="str">
        <f t="shared" ca="1" si="143"/>
        <v/>
      </c>
      <c r="P95" s="135" t="str">
        <f t="shared" ca="1" si="144"/>
        <v/>
      </c>
      <c r="Q95" s="135" t="str">
        <f t="shared" ca="1" si="145"/>
        <v/>
      </c>
      <c r="R95" s="135" t="str">
        <f t="shared" ca="1" si="146"/>
        <v/>
      </c>
      <c r="S95" s="135" t="str">
        <f t="shared" ca="1" si="147"/>
        <v/>
      </c>
      <c r="T95" s="135" t="str">
        <f t="shared" ca="1" si="148"/>
        <v/>
      </c>
      <c r="U95" s="49" t="str">
        <f t="shared" ca="1" si="106"/>
        <v/>
      </c>
      <c r="V95" s="7" t="str">
        <f t="shared" ca="1" si="107"/>
        <v/>
      </c>
      <c r="W95" s="7" t="str">
        <f t="shared" ca="1" si="108"/>
        <v/>
      </c>
      <c r="X95" s="7" t="str">
        <f t="shared" ca="1" si="109"/>
        <v/>
      </c>
      <c r="Y95" s="91"/>
      <c r="Z95" s="247" t="str">
        <f t="shared" si="110"/>
        <v/>
      </c>
      <c r="AA95" s="247" t="str">
        <f t="shared" si="111"/>
        <v/>
      </c>
      <c r="AB95" s="247" t="str">
        <f t="shared" si="112"/>
        <v/>
      </c>
      <c r="AC95" s="247" t="str">
        <f t="shared" si="113"/>
        <v/>
      </c>
      <c r="AD95" s="247" t="str">
        <f t="shared" si="114"/>
        <v/>
      </c>
      <c r="AE95" s="247" t="str">
        <f t="shared" si="115"/>
        <v/>
      </c>
      <c r="AF95" s="247" t="str">
        <f t="shared" si="116"/>
        <v/>
      </c>
      <c r="AG95" s="247" t="str">
        <f t="shared" si="117"/>
        <v/>
      </c>
      <c r="AH95" s="247" t="str">
        <f t="shared" si="118"/>
        <v/>
      </c>
      <c r="AI95" s="247" t="str">
        <f t="shared" si="119"/>
        <v/>
      </c>
      <c r="AK95" s="247" t="str">
        <f t="shared" si="120"/>
        <v/>
      </c>
      <c r="AL95" s="247" t="str">
        <f t="shared" si="121"/>
        <v/>
      </c>
      <c r="AM95" s="247" t="str">
        <f t="shared" si="122"/>
        <v/>
      </c>
      <c r="AN95" s="247" t="str">
        <f t="shared" si="123"/>
        <v/>
      </c>
      <c r="AO95" s="247" t="str">
        <f t="shared" si="124"/>
        <v/>
      </c>
      <c r="AP95" s="247" t="str">
        <f t="shared" si="125"/>
        <v/>
      </c>
      <c r="AQ95" s="247" t="str">
        <f t="shared" si="126"/>
        <v/>
      </c>
      <c r="AR95" s="247" t="str">
        <f t="shared" si="127"/>
        <v/>
      </c>
      <c r="AS95" s="247" t="str">
        <f t="shared" si="128"/>
        <v/>
      </c>
      <c r="AT95" s="247" t="str">
        <f t="shared" si="129"/>
        <v/>
      </c>
      <c r="AU95" s="189"/>
      <c r="AV95" t="str">
        <f>IF(ISBLANK('Field information 1'!F96),"",'Field information 1'!F96)</f>
        <v/>
      </c>
      <c r="AW95" s="334"/>
      <c r="AX95" s="247" t="str" cm="1">
        <f t="array" aca="1" ref="AX95" ca="1">INDIRECT(TEXT(MIN(IF((Calc!$Z$5:$AI$104&lt;&gt;"")*(COUNTIF($AX$4:AX94,Calc!$Z$5:$AI$104)=0),ROW(Calc!$Z$5:$AI$104)*100+COLUMN(Calc!$Z$5:$AI$104),7^8)),"Calc!R0C00"),)&amp;""</f>
        <v/>
      </c>
      <c r="AY95" t="str" cm="1">
        <f t="array" aca="1" ref="AY95" ca="1">INDIRECT(TEXT(MIN(IF((Calc!$AK$5:$AT$104&lt;&gt;"")*(COUNTIF(AY$4:$AY94,Calc!$AK$5:$AT$104)=0),ROW(Calc!$AK$5:$AT$104)*100+COLUMN(Calc!$AK$5:$AT$104),7^8)),"Calc!R0C00"),)&amp;""</f>
        <v/>
      </c>
      <c r="AZ95" s="247" t="str">
        <f t="shared" ca="1" si="132"/>
        <v/>
      </c>
      <c r="BA95" s="324">
        <f t="shared" si="138"/>
        <v>91</v>
      </c>
      <c r="BB95">
        <f t="shared" ca="1" si="133"/>
        <v>0</v>
      </c>
      <c r="BC95" t="str">
        <f ca="1">IF($AX95="","",
VLOOKUP(LEFT($AX95,LEN($AX95)-2),'Field information 2'!$B$12:$P$111,11,FALSE))</f>
        <v/>
      </c>
      <c r="BD95" t="str">
        <f ca="1">IF($AX95="","",
VLOOKUP(LEFT($AX95,LEN($AX95)-2),'Field information 2'!$B$12:$P$111,13,FALSE))</f>
        <v/>
      </c>
      <c r="BE95" t="str">
        <f ca="1">IF($AX95="","",
VLOOKUP(LEFT($AX95,LEN($AX95)-2),'Field information 2'!$B$12:$P$111,15,FALSE))</f>
        <v/>
      </c>
      <c r="BF95">
        <f t="shared" ca="1" si="134"/>
        <v>0</v>
      </c>
      <c r="BG95" t="str">
        <f t="shared" ca="1" si="135"/>
        <v/>
      </c>
      <c r="BH95" s="7" t="str">
        <f ca="1">IF(OR(AX95="",'Soil results'!$D$7="",'Soil results'!$D$8=""),"",
IF('Soil results'!$D$7="LOI",
  IF('Soil results'!$D$8="mg/kg",'Soil results'!D100/10000,'Soil results'!D100),
IF('Soil results'!$D$7="Dumas",
  IF('Soil results'!$D$8="mg/kg",'Soil results'!D100*1.72/10000,'Soil results'!D100*1.72))))</f>
        <v/>
      </c>
      <c r="BI95" t="str">
        <f ca="1">IF($AX95="","",
VLOOKUP(LEFT($AX95,LEN($AX95)-2),'Field information 2'!$B$12:$I$111,8,FALSE))</f>
        <v/>
      </c>
      <c r="BJ95" t="str">
        <f ca="1">IF(BI95="","",
VLOOKUP(BI95,'Fertiliser recommendations'!$A$5:$B$62,2,FALSE))</f>
        <v/>
      </c>
      <c r="BK95" s="38" t="str">
        <f ca="1">IF($AX95="","",
IF(AND(BJ95="g",VLOOKUP(LEFT($AX95,LEN($AX95)-2),'Field information 2'!$B$12:$P$111,9,FALSE)&lt;&gt;"yes"),
IF(BG95="10-25% OM",6,IF(BG95="&gt;25% OM",12,IF(BG95="SCL; CL; ZCL; SC; ZC; C",6,IF(BG95="SL; SZL; ZL",5,IF(BG95="S; LS",4,"?"))))),
IF(OR(BJ95="a",AND(BJ95="g",VLOOKUP(LEFT($AX95,LEN($AX95)-2),'Field information 2'!$B$12:$P$111,9,FALSE)="yes")),
IF(BG95="10-25% OM",8,IF(BG95="&gt;25% OM",16,IF(BG95="SCL; CL; ZCL; SC; ZC; C",8,IF(BG95="SL; SZL; ZL",7,IF(BG95="S; LS",6,"?"))))),"")))</f>
        <v/>
      </c>
      <c r="BL95" t="str">
        <f ca="1">IF(AX95&lt;&gt;"",COUNTBLANK('Soil results'!D100:D100)+COUNTBLANK('Soil results'!F100:I100)+COUNTBLANK('Soil results'!K100:Q100),"")</f>
        <v/>
      </c>
      <c r="BM95" t="str">
        <f ca="1">IF(AX95&lt;&gt;"",
IF(OR(ISNUMBER(SEARCH("10*01*01",'Field information 2'!$M$5)),ISNUMBER(SEARCH("10*01*03",'Field information 2'!$M$5))),0.25,1),"")</f>
        <v/>
      </c>
      <c r="BN95" s="275" t="str">
        <f ca="1">IF(AX95&lt;&gt;"",
IF(COUNTIF('Soil results'!G101:G$159,"="&amp;'Soil results'!G100)+COUNTIF('Soil results'!H101:H$159,"="&amp;'Soil results'!H100)+COUNTIF('Soil results'!I101:I$159,"="&amp;'Soil results'!I100)=0,"no",
IF(MOD(COUNTIF('Soil results'!G101:G$159,"="&amp;'Soil results'!G100)+COUNTIF('Soil results'!H101:H$159,"="&amp;'Soil results'!H100)+COUNTIF('Soil results'!I101:I$159,"="&amp;'Soil results'!I100),3)=0,"yes","no")),"")</f>
        <v/>
      </c>
      <c r="BO95" s="276" t="str">
        <f t="shared" ca="1" si="136"/>
        <v/>
      </c>
      <c r="BP95" s="33"/>
      <c r="BQ95" s="276"/>
      <c r="BR95" s="276"/>
      <c r="BS95" s="276" t="str">
        <f t="shared" ca="1" si="137"/>
        <v/>
      </c>
      <c r="BT95" s="153" t="str">
        <f ca="1">IF(AX95="","",
IF(OR(Assessment!F97="limited benefit",Assessment!F97="benefit", Assessment!M97="limited benefit",Assessment!M97="benefit", Assessment!R97="limited benefit",Assessment!R97="benefit", Assessment!W97="limited benefit",Assessment!W97="benefit", Assessment!AB97="limited benefit",Assessment!AB97="benefit", AND(ISNUMBER(Assessment!AF97),Assessment!AG97="ok"), Assessment!AJ97="benefit"),"yes","no"))</f>
        <v/>
      </c>
      <c r="BW95" t="s">
        <v>399</v>
      </c>
    </row>
    <row r="96" spans="1:75" ht="15" x14ac:dyDescent="0.25">
      <c r="A96" s="272">
        <f>IF(AND('Field information 2'!L103&gt;0, 'Field information 2'!M103=0),"data missing", 'Field information 2'!M103-'Field information 2'!L103)</f>
        <v>0</v>
      </c>
      <c r="B96" s="272">
        <f>IF(AND('Field information 2'!N103&gt;0,'Field information 2'!O103=0),"data missing",'Field information 2'!O103-'Field information 2'!N103)</f>
        <v>0</v>
      </c>
      <c r="C96" s="272">
        <f>IF(AND('Field information 2'!P103&gt;0, 'Field information 2'!Q103=0),"data missing",'Field information 2'!Q103-'Field information 2'!P103)</f>
        <v>0</v>
      </c>
      <c r="D96">
        <f>'Field information 2'!L103</f>
        <v>0</v>
      </c>
      <c r="E96" s="249" t="str">
        <f>IF(OR('Field information 2'!L103&gt;0,'Field information 2'!N103&gt;0,'Field information 2'!P103&gt;0),"Y","N")</f>
        <v>N</v>
      </c>
      <c r="F96" s="277" t="str">
        <f t="shared" si="130"/>
        <v/>
      </c>
      <c r="G96" t="str">
        <f>IF(OR(ISBLANK('Field information 1'!B97),AND(OR(ISBLANK('Field information 2'!L103), 'Field information 2'!L103=0),OR(ISBLANK('Field information 2'!N103), 'Field information 2'!N103=0), OR(ISBLANK('Field information 2'!P103), 'Field information 2'!P103=0))),"",
IF(ISTEXT('Field information 1'!B97), 'Field information 1'!B97, TEXT('Field information 1'!B97,"0")))</f>
        <v/>
      </c>
      <c r="H96" t="str">
        <f>IF(OR(ISBLANK('Field information 1'!B97),ISBLANK('Field information 2'!L103),ISBLANK('Field information 2'!F103)),"",'Field information 2'!F103)</f>
        <v/>
      </c>
      <c r="I96" s="91" t="str">
        <f>IF(OR(ISBLANK('Field information 1'!E97),G96=""),"",CEILING('Field information 1'!E97/10,1))</f>
        <v/>
      </c>
      <c r="J96" s="91" t="str">
        <f t="shared" si="131"/>
        <v>no</v>
      </c>
      <c r="K96" s="135" t="str">
        <f t="shared" ca="1" si="139"/>
        <v/>
      </c>
      <c r="L96" s="135" t="str">
        <f t="shared" ca="1" si="140"/>
        <v/>
      </c>
      <c r="M96" s="135" t="str">
        <f t="shared" ca="1" si="141"/>
        <v/>
      </c>
      <c r="N96" s="135" t="str">
        <f t="shared" ca="1" si="142"/>
        <v/>
      </c>
      <c r="O96" s="135" t="str">
        <f t="shared" ca="1" si="143"/>
        <v/>
      </c>
      <c r="P96" s="135" t="str">
        <f t="shared" ca="1" si="144"/>
        <v/>
      </c>
      <c r="Q96" s="135" t="str">
        <f t="shared" ca="1" si="145"/>
        <v/>
      </c>
      <c r="R96" s="135" t="str">
        <f t="shared" ca="1" si="146"/>
        <v/>
      </c>
      <c r="S96" s="135" t="str">
        <f t="shared" ca="1" si="147"/>
        <v/>
      </c>
      <c r="T96" s="135" t="str">
        <f t="shared" ca="1" si="148"/>
        <v/>
      </c>
      <c r="U96" s="49" t="str">
        <f t="shared" ca="1" si="106"/>
        <v/>
      </c>
      <c r="V96" s="7" t="str">
        <f t="shared" ca="1" si="107"/>
        <v/>
      </c>
      <c r="W96" s="7" t="str">
        <f t="shared" ca="1" si="108"/>
        <v/>
      </c>
      <c r="X96" s="7" t="str">
        <f t="shared" ca="1" si="109"/>
        <v/>
      </c>
      <c r="Y96" s="91"/>
      <c r="Z96" s="247" t="str">
        <f t="shared" si="110"/>
        <v/>
      </c>
      <c r="AA96" s="247" t="str">
        <f t="shared" si="111"/>
        <v/>
      </c>
      <c r="AB96" s="247" t="str">
        <f t="shared" si="112"/>
        <v/>
      </c>
      <c r="AC96" s="247" t="str">
        <f t="shared" si="113"/>
        <v/>
      </c>
      <c r="AD96" s="247" t="str">
        <f t="shared" si="114"/>
        <v/>
      </c>
      <c r="AE96" s="247" t="str">
        <f t="shared" si="115"/>
        <v/>
      </c>
      <c r="AF96" s="247" t="str">
        <f t="shared" si="116"/>
        <v/>
      </c>
      <c r="AG96" s="247" t="str">
        <f t="shared" si="117"/>
        <v/>
      </c>
      <c r="AH96" s="247" t="str">
        <f t="shared" si="118"/>
        <v/>
      </c>
      <c r="AI96" s="247" t="str">
        <f t="shared" si="119"/>
        <v/>
      </c>
      <c r="AK96" s="247" t="str">
        <f t="shared" si="120"/>
        <v/>
      </c>
      <c r="AL96" s="247" t="str">
        <f t="shared" si="121"/>
        <v/>
      </c>
      <c r="AM96" s="247" t="str">
        <f t="shared" si="122"/>
        <v/>
      </c>
      <c r="AN96" s="247" t="str">
        <f t="shared" si="123"/>
        <v/>
      </c>
      <c r="AO96" s="247" t="str">
        <f t="shared" si="124"/>
        <v/>
      </c>
      <c r="AP96" s="247" t="str">
        <f t="shared" si="125"/>
        <v/>
      </c>
      <c r="AQ96" s="247" t="str">
        <f t="shared" si="126"/>
        <v/>
      </c>
      <c r="AR96" s="247" t="str">
        <f t="shared" si="127"/>
        <v/>
      </c>
      <c r="AS96" s="247" t="str">
        <f t="shared" si="128"/>
        <v/>
      </c>
      <c r="AT96" s="247" t="str">
        <f t="shared" si="129"/>
        <v/>
      </c>
      <c r="AU96" s="189"/>
      <c r="AV96" t="str">
        <f>IF(ISBLANK('Field information 1'!F97),"",'Field information 1'!F97)</f>
        <v/>
      </c>
      <c r="AW96" s="334"/>
      <c r="AX96" s="247" t="str" cm="1">
        <f t="array" aca="1" ref="AX96" ca="1">INDIRECT(TEXT(MIN(IF((Calc!$Z$5:$AI$104&lt;&gt;"")*(COUNTIF($AX$4:AX95,Calc!$Z$5:$AI$104)=0),ROW(Calc!$Z$5:$AI$104)*100+COLUMN(Calc!$Z$5:$AI$104),7^8)),"Calc!R0C00"),)&amp;""</f>
        <v/>
      </c>
      <c r="AY96" t="str" cm="1">
        <f t="array" aca="1" ref="AY96" ca="1">INDIRECT(TEXT(MIN(IF((Calc!$AK$5:$AT$104&lt;&gt;"")*(COUNTIF(AY$4:$AY95,Calc!$AK$5:$AT$104)=0),ROW(Calc!$AK$5:$AT$104)*100+COLUMN(Calc!$AK$5:$AT$104),7^8)),"Calc!R0C00"),)&amp;""</f>
        <v/>
      </c>
      <c r="AZ96" s="247" t="str">
        <f t="shared" ca="1" si="132"/>
        <v/>
      </c>
      <c r="BA96" s="324">
        <f t="shared" si="138"/>
        <v>92</v>
      </c>
      <c r="BB96">
        <f t="shared" ca="1" si="133"/>
        <v>0</v>
      </c>
      <c r="BC96" t="str">
        <f ca="1">IF($AX96="","",
VLOOKUP(LEFT($AX96,LEN($AX96)-2),'Field information 2'!$B$12:$P$111,11,FALSE))</f>
        <v/>
      </c>
      <c r="BD96" t="str">
        <f ca="1">IF($AX96="","",
VLOOKUP(LEFT($AX96,LEN($AX96)-2),'Field information 2'!$B$12:$P$111,13,FALSE))</f>
        <v/>
      </c>
      <c r="BE96" t="str">
        <f ca="1">IF($AX96="","",
VLOOKUP(LEFT($AX96,LEN($AX96)-2),'Field information 2'!$B$12:$P$111,15,FALSE))</f>
        <v/>
      </c>
      <c r="BF96">
        <f t="shared" ca="1" si="134"/>
        <v>0</v>
      </c>
      <c r="BG96" t="str">
        <f t="shared" ca="1" si="135"/>
        <v/>
      </c>
      <c r="BH96" s="7" t="str">
        <f ca="1">IF(OR(AX96="",'Soil results'!$D$7="",'Soil results'!$D$8=""),"",
IF('Soil results'!$D$7="LOI",
  IF('Soil results'!$D$8="mg/kg",'Soil results'!D101/10000,'Soil results'!D101),
IF('Soil results'!$D$7="Dumas",
  IF('Soil results'!$D$8="mg/kg",'Soil results'!D101*1.72/10000,'Soil results'!D101*1.72))))</f>
        <v/>
      </c>
      <c r="BI96" t="str">
        <f ca="1">IF($AX96="","",
VLOOKUP(LEFT($AX96,LEN($AX96)-2),'Field information 2'!$B$12:$I$111,8,FALSE))</f>
        <v/>
      </c>
      <c r="BJ96" t="str">
        <f ca="1">IF(BI96="","",
VLOOKUP(BI96,'Fertiliser recommendations'!$A$5:$B$62,2,FALSE))</f>
        <v/>
      </c>
      <c r="BK96" s="38" t="str">
        <f ca="1">IF($AX96="","",
IF(AND(BJ96="g",VLOOKUP(LEFT($AX96,LEN($AX96)-2),'Field information 2'!$B$12:$P$111,9,FALSE)&lt;&gt;"yes"),
IF(BG96="10-25% OM",6,IF(BG96="&gt;25% OM",12,IF(BG96="SCL; CL; ZCL; SC; ZC; C",6,IF(BG96="SL; SZL; ZL",5,IF(BG96="S; LS",4,"?"))))),
IF(OR(BJ96="a",AND(BJ96="g",VLOOKUP(LEFT($AX96,LEN($AX96)-2),'Field information 2'!$B$12:$P$111,9,FALSE)="yes")),
IF(BG96="10-25% OM",8,IF(BG96="&gt;25% OM",16,IF(BG96="SCL; CL; ZCL; SC; ZC; C",8,IF(BG96="SL; SZL; ZL",7,IF(BG96="S; LS",6,"?"))))),"")))</f>
        <v/>
      </c>
      <c r="BL96" t="str">
        <f ca="1">IF(AX96&lt;&gt;"",COUNTBLANK('Soil results'!D101:D101)+COUNTBLANK('Soil results'!F101:I101)+COUNTBLANK('Soil results'!K101:Q101),"")</f>
        <v/>
      </c>
      <c r="BM96" t="str">
        <f ca="1">IF(AX96&lt;&gt;"",
IF(OR(ISNUMBER(SEARCH("10*01*01",'Field information 2'!$M$5)),ISNUMBER(SEARCH("10*01*03",'Field information 2'!$M$5))),0.25,1),"")</f>
        <v/>
      </c>
      <c r="BN96" s="275" t="str">
        <f ca="1">IF(AX96&lt;&gt;"",
IF(COUNTIF('Soil results'!G102:G$159,"="&amp;'Soil results'!G101)+COUNTIF('Soil results'!H102:H$159,"="&amp;'Soil results'!H101)+COUNTIF('Soil results'!I102:I$159,"="&amp;'Soil results'!I101)=0,"no",
IF(MOD(COUNTIF('Soil results'!G102:G$159,"="&amp;'Soil results'!G101)+COUNTIF('Soil results'!H102:H$159,"="&amp;'Soil results'!H101)+COUNTIF('Soil results'!I102:I$159,"="&amp;'Soil results'!I101),3)=0,"yes","no")),"")</f>
        <v/>
      </c>
      <c r="BO96" s="276" t="str">
        <f t="shared" ca="1" si="136"/>
        <v/>
      </c>
      <c r="BP96" s="33"/>
      <c r="BQ96" s="276"/>
      <c r="BR96" s="276"/>
      <c r="BS96" s="276" t="str">
        <f t="shared" ca="1" si="137"/>
        <v/>
      </c>
      <c r="BT96" s="153" t="str">
        <f ca="1">IF(AX96="","",
IF(OR(Assessment!F98="limited benefit",Assessment!F98="benefit", Assessment!M98="limited benefit",Assessment!M98="benefit", Assessment!R98="limited benefit",Assessment!R98="benefit", Assessment!W98="limited benefit",Assessment!W98="benefit", Assessment!AB98="limited benefit",Assessment!AB98="benefit", AND(ISNUMBER(Assessment!AF98),Assessment!AG98="ok"), Assessment!AJ98="benefit"),"yes","no"))</f>
        <v/>
      </c>
      <c r="BW96" t="s">
        <v>400</v>
      </c>
    </row>
    <row r="97" spans="1:75" ht="15" x14ac:dyDescent="0.25">
      <c r="A97" s="272">
        <f>IF(AND('Field information 2'!L104&gt;0, 'Field information 2'!M104=0),"data missing", 'Field information 2'!M104-'Field information 2'!L104)</f>
        <v>0</v>
      </c>
      <c r="B97" s="272">
        <f>IF(AND('Field information 2'!N104&gt;0,'Field information 2'!O104=0),"data missing",'Field information 2'!O104-'Field information 2'!N104)</f>
        <v>0</v>
      </c>
      <c r="C97" s="272">
        <f>IF(AND('Field information 2'!P104&gt;0, 'Field information 2'!Q104=0),"data missing",'Field information 2'!Q104-'Field information 2'!P104)</f>
        <v>0</v>
      </c>
      <c r="D97">
        <f>'Field information 2'!L104</f>
        <v>0</v>
      </c>
      <c r="E97" s="249" t="str">
        <f>IF(OR('Field information 2'!L104&gt;0,'Field information 2'!N104&gt;0,'Field information 2'!P104&gt;0),"Y","N")</f>
        <v>N</v>
      </c>
      <c r="F97" s="277" t="str">
        <f t="shared" si="130"/>
        <v/>
      </c>
      <c r="G97" t="str">
        <f>IF(OR(ISBLANK('Field information 1'!B98),AND(OR(ISBLANK('Field information 2'!L104), 'Field information 2'!L104=0),OR(ISBLANK('Field information 2'!N104), 'Field information 2'!N104=0), OR(ISBLANK('Field information 2'!P104), 'Field information 2'!P104=0))),"",
IF(ISTEXT('Field information 1'!B98), 'Field information 1'!B98, TEXT('Field information 1'!B98,"0")))</f>
        <v/>
      </c>
      <c r="H97" t="str">
        <f>IF(OR(ISBLANK('Field information 1'!B98),ISBLANK('Field information 2'!L104),ISBLANK('Field information 2'!F104)),"",'Field information 2'!F104)</f>
        <v/>
      </c>
      <c r="I97" s="91" t="str">
        <f>IF(OR(ISBLANK('Field information 1'!E98),G97=""),"",CEILING('Field information 1'!E98/10,1))</f>
        <v/>
      </c>
      <c r="J97" s="91" t="str">
        <f t="shared" si="131"/>
        <v>no</v>
      </c>
      <c r="K97" s="135" t="str">
        <f t="shared" ca="1" si="139"/>
        <v/>
      </c>
      <c r="L97" s="135" t="str">
        <f t="shared" ca="1" si="140"/>
        <v/>
      </c>
      <c r="M97" s="135" t="str">
        <f t="shared" ca="1" si="141"/>
        <v/>
      </c>
      <c r="N97" s="135" t="str">
        <f t="shared" ca="1" si="142"/>
        <v/>
      </c>
      <c r="O97" s="135" t="str">
        <f t="shared" ca="1" si="143"/>
        <v/>
      </c>
      <c r="P97" s="135" t="str">
        <f t="shared" ca="1" si="144"/>
        <v/>
      </c>
      <c r="Q97" s="135" t="str">
        <f t="shared" ca="1" si="145"/>
        <v/>
      </c>
      <c r="R97" s="135" t="str">
        <f t="shared" ca="1" si="146"/>
        <v/>
      </c>
      <c r="S97" s="135" t="str">
        <f t="shared" ca="1" si="147"/>
        <v/>
      </c>
      <c r="T97" s="135" t="str">
        <f t="shared" ca="1" si="148"/>
        <v/>
      </c>
      <c r="U97" s="49" t="str">
        <f t="shared" ca="1" si="106"/>
        <v/>
      </c>
      <c r="V97" s="7" t="str">
        <f t="shared" ca="1" si="107"/>
        <v/>
      </c>
      <c r="W97" s="7" t="str">
        <f t="shared" ca="1" si="108"/>
        <v/>
      </c>
      <c r="X97" s="7" t="str">
        <f t="shared" ca="1" si="109"/>
        <v/>
      </c>
      <c r="Y97" s="91"/>
      <c r="Z97" s="247" t="str">
        <f t="shared" si="110"/>
        <v/>
      </c>
      <c r="AA97" s="247" t="str">
        <f t="shared" si="111"/>
        <v/>
      </c>
      <c r="AB97" s="247" t="str">
        <f t="shared" si="112"/>
        <v/>
      </c>
      <c r="AC97" s="247" t="str">
        <f t="shared" si="113"/>
        <v/>
      </c>
      <c r="AD97" s="247" t="str">
        <f t="shared" si="114"/>
        <v/>
      </c>
      <c r="AE97" s="247" t="str">
        <f t="shared" si="115"/>
        <v/>
      </c>
      <c r="AF97" s="247" t="str">
        <f t="shared" si="116"/>
        <v/>
      </c>
      <c r="AG97" s="247" t="str">
        <f t="shared" si="117"/>
        <v/>
      </c>
      <c r="AH97" s="247" t="str">
        <f t="shared" si="118"/>
        <v/>
      </c>
      <c r="AI97" s="247" t="str">
        <f t="shared" si="119"/>
        <v/>
      </c>
      <c r="AK97" s="247" t="str">
        <f t="shared" si="120"/>
        <v/>
      </c>
      <c r="AL97" s="247" t="str">
        <f t="shared" si="121"/>
        <v/>
      </c>
      <c r="AM97" s="247" t="str">
        <f t="shared" si="122"/>
        <v/>
      </c>
      <c r="AN97" s="247" t="str">
        <f t="shared" si="123"/>
        <v/>
      </c>
      <c r="AO97" s="247" t="str">
        <f t="shared" si="124"/>
        <v/>
      </c>
      <c r="AP97" s="247" t="str">
        <f t="shared" si="125"/>
        <v/>
      </c>
      <c r="AQ97" s="247" t="str">
        <f t="shared" si="126"/>
        <v/>
      </c>
      <c r="AR97" s="247" t="str">
        <f t="shared" si="127"/>
        <v/>
      </c>
      <c r="AS97" s="247" t="str">
        <f t="shared" si="128"/>
        <v/>
      </c>
      <c r="AT97" s="247" t="str">
        <f t="shared" si="129"/>
        <v/>
      </c>
      <c r="AU97" s="189"/>
      <c r="AV97" t="str">
        <f>IF(ISBLANK('Field information 1'!F98),"",'Field information 1'!F98)</f>
        <v/>
      </c>
      <c r="AW97" s="334"/>
      <c r="AX97" s="247" t="str" cm="1">
        <f t="array" aca="1" ref="AX97" ca="1">INDIRECT(TEXT(MIN(IF((Calc!$Z$5:$AI$104&lt;&gt;"")*(COUNTIF($AX$4:AX96,Calc!$Z$5:$AI$104)=0),ROW(Calc!$Z$5:$AI$104)*100+COLUMN(Calc!$Z$5:$AI$104),7^8)),"Calc!R0C00"),)&amp;""</f>
        <v/>
      </c>
      <c r="AY97" t="str" cm="1">
        <f t="array" aca="1" ref="AY97" ca="1">INDIRECT(TEXT(MIN(IF((Calc!$AK$5:$AT$104&lt;&gt;"")*(COUNTIF(AY$4:$AY96,Calc!$AK$5:$AT$104)=0),ROW(Calc!$AK$5:$AT$104)*100+COLUMN(Calc!$AK$5:$AT$104),7^8)),"Calc!R0C00"),)&amp;""</f>
        <v/>
      </c>
      <c r="AZ97" s="247" t="str">
        <f t="shared" ca="1" si="132"/>
        <v/>
      </c>
      <c r="BA97" s="324">
        <f t="shared" si="138"/>
        <v>93</v>
      </c>
      <c r="BB97">
        <f t="shared" ca="1" si="133"/>
        <v>0</v>
      </c>
      <c r="BC97" t="str">
        <f ca="1">IF($AX97="","",
VLOOKUP(LEFT($AX97,LEN($AX97)-2),'Field information 2'!$B$12:$P$111,11,FALSE))</f>
        <v/>
      </c>
      <c r="BD97" t="str">
        <f ca="1">IF($AX97="","",
VLOOKUP(LEFT($AX97,LEN($AX97)-2),'Field information 2'!$B$12:$P$111,13,FALSE))</f>
        <v/>
      </c>
      <c r="BE97" t="str">
        <f ca="1">IF($AX97="","",
VLOOKUP(LEFT($AX97,LEN($AX97)-2),'Field information 2'!$B$12:$P$111,15,FALSE))</f>
        <v/>
      </c>
      <c r="BF97">
        <f t="shared" ca="1" si="134"/>
        <v>0</v>
      </c>
      <c r="BG97" t="str">
        <f t="shared" ca="1" si="135"/>
        <v/>
      </c>
      <c r="BH97" s="7" t="str">
        <f ca="1">IF(OR(AX97="",'Soil results'!$D$7="",'Soil results'!$D$8=""),"",
IF('Soil results'!$D$7="LOI",
  IF('Soil results'!$D$8="mg/kg",'Soil results'!D102/10000,'Soil results'!D102),
IF('Soil results'!$D$7="Dumas",
  IF('Soil results'!$D$8="mg/kg",'Soil results'!D102*1.72/10000,'Soil results'!D102*1.72))))</f>
        <v/>
      </c>
      <c r="BI97" t="str">
        <f ca="1">IF($AX97="","",
VLOOKUP(LEFT($AX97,LEN($AX97)-2),'Field information 2'!$B$12:$I$111,8,FALSE))</f>
        <v/>
      </c>
      <c r="BJ97" t="str">
        <f ca="1">IF(BI97="","",
VLOOKUP(BI97,'Fertiliser recommendations'!$A$5:$B$62,2,FALSE))</f>
        <v/>
      </c>
      <c r="BK97" s="38" t="str">
        <f ca="1">IF($AX97="","",
IF(AND(BJ97="g",VLOOKUP(LEFT($AX97,LEN($AX97)-2),'Field information 2'!$B$12:$P$111,9,FALSE)&lt;&gt;"yes"),
IF(BG97="10-25% OM",6,IF(BG97="&gt;25% OM",12,IF(BG97="SCL; CL; ZCL; SC; ZC; C",6,IF(BG97="SL; SZL; ZL",5,IF(BG97="S; LS",4,"?"))))),
IF(OR(BJ97="a",AND(BJ97="g",VLOOKUP(LEFT($AX97,LEN($AX97)-2),'Field information 2'!$B$12:$P$111,9,FALSE)="yes")),
IF(BG97="10-25% OM",8,IF(BG97="&gt;25% OM",16,IF(BG97="SCL; CL; ZCL; SC; ZC; C",8,IF(BG97="SL; SZL; ZL",7,IF(BG97="S; LS",6,"?"))))),"")))</f>
        <v/>
      </c>
      <c r="BL97" t="str">
        <f ca="1">IF(AX97&lt;&gt;"",COUNTBLANK('Soil results'!D102:D102)+COUNTBLANK('Soil results'!F102:I102)+COUNTBLANK('Soil results'!K102:Q102),"")</f>
        <v/>
      </c>
      <c r="BM97" t="str">
        <f ca="1">IF(AX97&lt;&gt;"",
IF(OR(ISNUMBER(SEARCH("10*01*01",'Field information 2'!$M$5)),ISNUMBER(SEARCH("10*01*03",'Field information 2'!$M$5))),0.25,1),"")</f>
        <v/>
      </c>
      <c r="BN97" s="275" t="str">
        <f ca="1">IF(AX97&lt;&gt;"",
IF(COUNTIF('Soil results'!G103:G$159,"="&amp;'Soil results'!G102)+COUNTIF('Soil results'!H103:H$159,"="&amp;'Soil results'!H102)+COUNTIF('Soil results'!I103:I$159,"="&amp;'Soil results'!I102)=0,"no",
IF(MOD(COUNTIF('Soil results'!G103:G$159,"="&amp;'Soil results'!G102)+COUNTIF('Soil results'!H103:H$159,"="&amp;'Soil results'!H102)+COUNTIF('Soil results'!I103:I$159,"="&amp;'Soil results'!I102),3)=0,"yes","no")),"")</f>
        <v/>
      </c>
      <c r="BO97" s="276" t="str">
        <f t="shared" ca="1" si="136"/>
        <v/>
      </c>
      <c r="BP97" s="33"/>
      <c r="BQ97" s="276"/>
      <c r="BR97" s="276"/>
      <c r="BS97" s="276" t="str">
        <f t="shared" ca="1" si="137"/>
        <v/>
      </c>
      <c r="BT97" s="153" t="str">
        <f ca="1">IF(AX97="","",
IF(OR(Assessment!F99="limited benefit",Assessment!F99="benefit", Assessment!M99="limited benefit",Assessment!M99="benefit", Assessment!R99="limited benefit",Assessment!R99="benefit", Assessment!W99="limited benefit",Assessment!W99="benefit", Assessment!AB99="limited benefit",Assessment!AB99="benefit", AND(ISNUMBER(Assessment!AF99),Assessment!AG99="ok"), Assessment!AJ99="benefit"),"yes","no"))</f>
        <v/>
      </c>
      <c r="BW97" t="s">
        <v>401</v>
      </c>
    </row>
    <row r="98" spans="1:75" ht="15" x14ac:dyDescent="0.25">
      <c r="A98" s="272">
        <f>IF(AND('Field information 2'!L105&gt;0, 'Field information 2'!M105=0),"data missing", 'Field information 2'!M105-'Field information 2'!L105)</f>
        <v>0</v>
      </c>
      <c r="B98" s="272">
        <f>IF(AND('Field information 2'!N105&gt;0,'Field information 2'!O105=0),"data missing",'Field information 2'!O105-'Field information 2'!N105)</f>
        <v>0</v>
      </c>
      <c r="C98" s="272">
        <f>IF(AND('Field information 2'!P105&gt;0, 'Field information 2'!Q105=0),"data missing",'Field information 2'!Q105-'Field information 2'!P105)</f>
        <v>0</v>
      </c>
      <c r="D98">
        <f>'Field information 2'!L105</f>
        <v>0</v>
      </c>
      <c r="E98" s="249" t="str">
        <f>IF(OR('Field information 2'!L105&gt;0,'Field information 2'!N105&gt;0,'Field information 2'!P105&gt;0),"Y","N")</f>
        <v>N</v>
      </c>
      <c r="F98" s="277" t="str">
        <f t="shared" si="130"/>
        <v/>
      </c>
      <c r="G98" t="str">
        <f>IF(OR(ISBLANK('Field information 1'!B99),AND(OR(ISBLANK('Field information 2'!L105), 'Field information 2'!L105=0),OR(ISBLANK('Field information 2'!N105), 'Field information 2'!N105=0), OR(ISBLANK('Field information 2'!P105), 'Field information 2'!P105=0))),"",
IF(ISTEXT('Field information 1'!B99), 'Field information 1'!B99, TEXT('Field information 1'!B99,"0")))</f>
        <v/>
      </c>
      <c r="H98" t="str">
        <f>IF(OR(ISBLANK('Field information 1'!B99),ISBLANK('Field information 2'!L105),ISBLANK('Field information 2'!F105)),"",'Field information 2'!F105)</f>
        <v/>
      </c>
      <c r="I98" s="91" t="str">
        <f>IF(OR(ISBLANK('Field information 1'!E99),G98=""),"",CEILING('Field information 1'!E99/10,1))</f>
        <v/>
      </c>
      <c r="J98" s="91" t="str">
        <f t="shared" si="131"/>
        <v>no</v>
      </c>
      <c r="K98" s="135" t="str">
        <f t="shared" ca="1" si="139"/>
        <v/>
      </c>
      <c r="L98" s="135" t="str">
        <f t="shared" ca="1" si="140"/>
        <v/>
      </c>
      <c r="M98" s="135" t="str">
        <f t="shared" ca="1" si="141"/>
        <v/>
      </c>
      <c r="N98" s="135" t="str">
        <f t="shared" ca="1" si="142"/>
        <v/>
      </c>
      <c r="O98" s="135" t="str">
        <f t="shared" ca="1" si="143"/>
        <v/>
      </c>
      <c r="P98" s="135" t="str">
        <f t="shared" ca="1" si="144"/>
        <v/>
      </c>
      <c r="Q98" s="135" t="str">
        <f t="shared" ca="1" si="145"/>
        <v/>
      </c>
      <c r="R98" s="135" t="str">
        <f t="shared" ca="1" si="146"/>
        <v/>
      </c>
      <c r="S98" s="135" t="str">
        <f t="shared" ca="1" si="147"/>
        <v/>
      </c>
      <c r="T98" s="135" t="str">
        <f t="shared" ca="1" si="148"/>
        <v/>
      </c>
      <c r="U98" s="49" t="str">
        <f t="shared" ca="1" si="106"/>
        <v/>
      </c>
      <c r="V98" s="7" t="str">
        <f t="shared" ca="1" si="107"/>
        <v/>
      </c>
      <c r="W98" s="7" t="str">
        <f t="shared" ca="1" si="108"/>
        <v/>
      </c>
      <c r="X98" s="7" t="str">
        <f t="shared" ca="1" si="109"/>
        <v/>
      </c>
      <c r="Y98" s="91"/>
      <c r="Z98" s="247" t="str">
        <f t="shared" si="110"/>
        <v/>
      </c>
      <c r="AA98" s="247" t="str">
        <f t="shared" si="111"/>
        <v/>
      </c>
      <c r="AB98" s="247" t="str">
        <f t="shared" si="112"/>
        <v/>
      </c>
      <c r="AC98" s="247" t="str">
        <f t="shared" si="113"/>
        <v/>
      </c>
      <c r="AD98" s="247" t="str">
        <f t="shared" si="114"/>
        <v/>
      </c>
      <c r="AE98" s="247" t="str">
        <f t="shared" si="115"/>
        <v/>
      </c>
      <c r="AF98" s="247" t="str">
        <f t="shared" si="116"/>
        <v/>
      </c>
      <c r="AG98" s="247" t="str">
        <f t="shared" si="117"/>
        <v/>
      </c>
      <c r="AH98" s="247" t="str">
        <f t="shared" si="118"/>
        <v/>
      </c>
      <c r="AI98" s="247" t="str">
        <f t="shared" si="119"/>
        <v/>
      </c>
      <c r="AK98" s="247" t="str">
        <f t="shared" si="120"/>
        <v/>
      </c>
      <c r="AL98" s="247" t="str">
        <f t="shared" si="121"/>
        <v/>
      </c>
      <c r="AM98" s="247" t="str">
        <f t="shared" si="122"/>
        <v/>
      </c>
      <c r="AN98" s="247" t="str">
        <f t="shared" si="123"/>
        <v/>
      </c>
      <c r="AO98" s="247" t="str">
        <f t="shared" si="124"/>
        <v/>
      </c>
      <c r="AP98" s="247" t="str">
        <f t="shared" si="125"/>
        <v/>
      </c>
      <c r="AQ98" s="247" t="str">
        <f t="shared" si="126"/>
        <v/>
      </c>
      <c r="AR98" s="247" t="str">
        <f t="shared" si="127"/>
        <v/>
      </c>
      <c r="AS98" s="247" t="str">
        <f t="shared" si="128"/>
        <v/>
      </c>
      <c r="AT98" s="247" t="str">
        <f t="shared" si="129"/>
        <v/>
      </c>
      <c r="AU98" s="189"/>
      <c r="AV98" t="str">
        <f>IF(ISBLANK('Field information 1'!F99),"",'Field information 1'!F99)</f>
        <v/>
      </c>
      <c r="AW98" s="334"/>
      <c r="AX98" s="247" t="str" cm="1">
        <f t="array" aca="1" ref="AX98" ca="1">INDIRECT(TEXT(MIN(IF((Calc!$Z$5:$AI$104&lt;&gt;"")*(COUNTIF($AX$4:AX97,Calc!$Z$5:$AI$104)=0),ROW(Calc!$Z$5:$AI$104)*100+COLUMN(Calc!$Z$5:$AI$104),7^8)),"Calc!R0C00"),)&amp;""</f>
        <v/>
      </c>
      <c r="AY98" t="str" cm="1">
        <f t="array" aca="1" ref="AY98" ca="1">INDIRECT(TEXT(MIN(IF((Calc!$AK$5:$AT$104&lt;&gt;"")*(COUNTIF(AY$4:$AY97,Calc!$AK$5:$AT$104)=0),ROW(Calc!$AK$5:$AT$104)*100+COLUMN(Calc!$AK$5:$AT$104),7^8)),"Calc!R0C00"),)&amp;""</f>
        <v/>
      </c>
      <c r="AZ98" s="247" t="str">
        <f t="shared" ca="1" si="132"/>
        <v/>
      </c>
      <c r="BA98" s="324">
        <f t="shared" si="138"/>
        <v>94</v>
      </c>
      <c r="BB98">
        <f t="shared" ca="1" si="133"/>
        <v>0</v>
      </c>
      <c r="BC98" t="str">
        <f ca="1">IF($AX98="","",
VLOOKUP(LEFT($AX98,LEN($AX98)-2),'Field information 2'!$B$12:$P$111,11,FALSE))</f>
        <v/>
      </c>
      <c r="BD98" t="str">
        <f ca="1">IF($AX98="","",
VLOOKUP(LEFT($AX98,LEN($AX98)-2),'Field information 2'!$B$12:$P$111,13,FALSE))</f>
        <v/>
      </c>
      <c r="BE98" t="str">
        <f ca="1">IF($AX98="","",
VLOOKUP(LEFT($AX98,LEN($AX98)-2),'Field information 2'!$B$12:$P$111,15,FALSE))</f>
        <v/>
      </c>
      <c r="BF98">
        <f t="shared" ca="1" si="134"/>
        <v>0</v>
      </c>
      <c r="BG98" t="str">
        <f t="shared" ca="1" si="135"/>
        <v/>
      </c>
      <c r="BH98" s="7" t="str">
        <f ca="1">IF(OR(AX98="",'Soil results'!$D$7="",'Soil results'!$D$8=""),"",
IF('Soil results'!$D$7="LOI",
  IF('Soil results'!$D$8="mg/kg",'Soil results'!D103/10000,'Soil results'!D103),
IF('Soil results'!$D$7="Dumas",
  IF('Soil results'!$D$8="mg/kg",'Soil results'!D103*1.72/10000,'Soil results'!D103*1.72))))</f>
        <v/>
      </c>
      <c r="BI98" t="str">
        <f ca="1">IF($AX98="","",
VLOOKUP(LEFT($AX98,LEN($AX98)-2),'Field information 2'!$B$12:$I$111,8,FALSE))</f>
        <v/>
      </c>
      <c r="BJ98" t="str">
        <f ca="1">IF(BI98="","",
VLOOKUP(BI98,'Fertiliser recommendations'!$A$5:$B$62,2,FALSE))</f>
        <v/>
      </c>
      <c r="BK98" s="38" t="str">
        <f ca="1">IF($AX98="","",
IF(AND(BJ98="g",VLOOKUP(LEFT($AX98,LEN($AX98)-2),'Field information 2'!$B$12:$P$111,9,FALSE)&lt;&gt;"yes"),
IF(BG98="10-25% OM",6,IF(BG98="&gt;25% OM",12,IF(BG98="SCL; CL; ZCL; SC; ZC; C",6,IF(BG98="SL; SZL; ZL",5,IF(BG98="S; LS",4,"?"))))),
IF(OR(BJ98="a",AND(BJ98="g",VLOOKUP(LEFT($AX98,LEN($AX98)-2),'Field information 2'!$B$12:$P$111,9,FALSE)="yes")),
IF(BG98="10-25% OM",8,IF(BG98="&gt;25% OM",16,IF(BG98="SCL; CL; ZCL; SC; ZC; C",8,IF(BG98="SL; SZL; ZL",7,IF(BG98="S; LS",6,"?"))))),"")))</f>
        <v/>
      </c>
      <c r="BL98" t="str">
        <f ca="1">IF(AX98&lt;&gt;"",COUNTBLANK('Soil results'!D103:D103)+COUNTBLANK('Soil results'!F103:I103)+COUNTBLANK('Soil results'!K103:Q103),"")</f>
        <v/>
      </c>
      <c r="BM98" t="str">
        <f ca="1">IF(AX98&lt;&gt;"",
IF(OR(ISNUMBER(SEARCH("10*01*01",'Field information 2'!$M$5)),ISNUMBER(SEARCH("10*01*03",'Field information 2'!$M$5))),0.25,1),"")</f>
        <v/>
      </c>
      <c r="BN98" s="275" t="str">
        <f ca="1">IF(AX98&lt;&gt;"",
IF(COUNTIF('Soil results'!G104:G$159,"="&amp;'Soil results'!G103)+COUNTIF('Soil results'!H104:H$159,"="&amp;'Soil results'!H103)+COUNTIF('Soil results'!I104:I$159,"="&amp;'Soil results'!I103)=0,"no",
IF(MOD(COUNTIF('Soil results'!G104:G$159,"="&amp;'Soil results'!G103)+COUNTIF('Soil results'!H104:H$159,"="&amp;'Soil results'!H103)+COUNTIF('Soil results'!I104:I$159,"="&amp;'Soil results'!I103),3)=0,"yes","no")),"")</f>
        <v/>
      </c>
      <c r="BO98" s="276" t="str">
        <f t="shared" ca="1" si="136"/>
        <v/>
      </c>
      <c r="BP98" s="33"/>
      <c r="BQ98" s="276"/>
      <c r="BR98" s="276"/>
      <c r="BS98" s="276" t="str">
        <f t="shared" ca="1" si="137"/>
        <v/>
      </c>
      <c r="BT98" s="153" t="str">
        <f ca="1">IF(AX98="","",
IF(OR(Assessment!F100="limited benefit",Assessment!F100="benefit", Assessment!M100="limited benefit",Assessment!M100="benefit", Assessment!R100="limited benefit",Assessment!R100="benefit", Assessment!W100="limited benefit",Assessment!W100="benefit", Assessment!AB100="limited benefit",Assessment!AB100="benefit", AND(ISNUMBER(Assessment!AF100),Assessment!AG100="ok"), Assessment!AJ100="benefit"),"yes","no"))</f>
        <v/>
      </c>
      <c r="BW98" t="s">
        <v>402</v>
      </c>
    </row>
    <row r="99" spans="1:75" ht="15" x14ac:dyDescent="0.25">
      <c r="A99" s="272">
        <f>IF(AND('Field information 2'!L106&gt;0, 'Field information 2'!M106=0),"data missing", 'Field information 2'!M106-'Field information 2'!L106)</f>
        <v>0</v>
      </c>
      <c r="B99" s="272">
        <f>IF(AND('Field information 2'!N106&gt;0,'Field information 2'!O106=0),"data missing",'Field information 2'!O106-'Field information 2'!N106)</f>
        <v>0</v>
      </c>
      <c r="C99" s="272">
        <f>IF(AND('Field information 2'!P106&gt;0, 'Field information 2'!Q106=0),"data missing",'Field information 2'!Q106-'Field information 2'!P106)</f>
        <v>0</v>
      </c>
      <c r="D99">
        <f>'Field information 2'!L106</f>
        <v>0</v>
      </c>
      <c r="E99" s="249" t="str">
        <f>IF(OR('Field information 2'!L106&gt;0,'Field information 2'!N106&gt;0,'Field information 2'!P106&gt;0),"Y","N")</f>
        <v>N</v>
      </c>
      <c r="F99" s="277" t="str">
        <f t="shared" si="130"/>
        <v/>
      </c>
      <c r="G99" t="str">
        <f>IF(OR(ISBLANK('Field information 1'!B100),AND(OR(ISBLANK('Field information 2'!L106), 'Field information 2'!L106=0),OR(ISBLANK('Field information 2'!N106), 'Field information 2'!N106=0), OR(ISBLANK('Field information 2'!P106), 'Field information 2'!P106=0))),"",
IF(ISTEXT('Field information 1'!B100), 'Field information 1'!B100, TEXT('Field information 1'!B100,"0")))</f>
        <v/>
      </c>
      <c r="H99" t="str">
        <f>IF(OR(ISBLANK('Field information 1'!B100),ISBLANK('Field information 2'!L106),ISBLANK('Field information 2'!F106)),"",'Field information 2'!F106)</f>
        <v/>
      </c>
      <c r="I99" s="91" t="str">
        <f>IF(OR(ISBLANK('Field information 1'!E100),G99=""),"",CEILING('Field information 1'!E100/10,1))</f>
        <v/>
      </c>
      <c r="J99" s="91" t="str">
        <f t="shared" si="131"/>
        <v>no</v>
      </c>
      <c r="K99" s="135" t="str">
        <f t="shared" ca="1" si="139"/>
        <v/>
      </c>
      <c r="L99" s="135" t="str">
        <f t="shared" ca="1" si="140"/>
        <v/>
      </c>
      <c r="M99" s="135" t="str">
        <f t="shared" ca="1" si="141"/>
        <v/>
      </c>
      <c r="N99" s="135" t="str">
        <f t="shared" ca="1" si="142"/>
        <v/>
      </c>
      <c r="O99" s="135" t="str">
        <f t="shared" ca="1" si="143"/>
        <v/>
      </c>
      <c r="P99" s="135" t="str">
        <f t="shared" ca="1" si="144"/>
        <v/>
      </c>
      <c r="Q99" s="135" t="str">
        <f t="shared" ca="1" si="145"/>
        <v/>
      </c>
      <c r="R99" s="135" t="str">
        <f t="shared" ca="1" si="146"/>
        <v/>
      </c>
      <c r="S99" s="135" t="str">
        <f t="shared" ca="1" si="147"/>
        <v/>
      </c>
      <c r="T99" s="135" t="str">
        <f t="shared" ca="1" si="148"/>
        <v/>
      </c>
      <c r="U99" s="49" t="str">
        <f t="shared" ca="1" si="106"/>
        <v/>
      </c>
      <c r="V99" s="7" t="str">
        <f t="shared" ca="1" si="107"/>
        <v/>
      </c>
      <c r="W99" s="7" t="str">
        <f t="shared" ca="1" si="108"/>
        <v/>
      </c>
      <c r="X99" s="7" t="str">
        <f t="shared" ca="1" si="109"/>
        <v/>
      </c>
      <c r="Y99" s="91"/>
      <c r="Z99" s="247" t="str">
        <f t="shared" si="110"/>
        <v/>
      </c>
      <c r="AA99" s="247" t="str">
        <f t="shared" si="111"/>
        <v/>
      </c>
      <c r="AB99" s="247" t="str">
        <f t="shared" si="112"/>
        <v/>
      </c>
      <c r="AC99" s="247" t="str">
        <f t="shared" si="113"/>
        <v/>
      </c>
      <c r="AD99" s="247" t="str">
        <f t="shared" si="114"/>
        <v/>
      </c>
      <c r="AE99" s="247" t="str">
        <f t="shared" si="115"/>
        <v/>
      </c>
      <c r="AF99" s="247" t="str">
        <f t="shared" si="116"/>
        <v/>
      </c>
      <c r="AG99" s="247" t="str">
        <f t="shared" si="117"/>
        <v/>
      </c>
      <c r="AH99" s="247" t="str">
        <f t="shared" si="118"/>
        <v/>
      </c>
      <c r="AI99" s="247" t="str">
        <f t="shared" si="119"/>
        <v/>
      </c>
      <c r="AK99" s="247" t="str">
        <f t="shared" si="120"/>
        <v/>
      </c>
      <c r="AL99" s="247" t="str">
        <f t="shared" si="121"/>
        <v/>
      </c>
      <c r="AM99" s="247" t="str">
        <f t="shared" si="122"/>
        <v/>
      </c>
      <c r="AN99" s="247" t="str">
        <f t="shared" si="123"/>
        <v/>
      </c>
      <c r="AO99" s="247" t="str">
        <f t="shared" si="124"/>
        <v/>
      </c>
      <c r="AP99" s="247" t="str">
        <f t="shared" si="125"/>
        <v/>
      </c>
      <c r="AQ99" s="247" t="str">
        <f t="shared" si="126"/>
        <v/>
      </c>
      <c r="AR99" s="247" t="str">
        <f t="shared" si="127"/>
        <v/>
      </c>
      <c r="AS99" s="247" t="str">
        <f t="shared" si="128"/>
        <v/>
      </c>
      <c r="AT99" s="247" t="str">
        <f t="shared" si="129"/>
        <v/>
      </c>
      <c r="AU99" s="189"/>
      <c r="AV99" t="str">
        <f>IF(ISBLANK('Field information 1'!F100),"",'Field information 1'!F100)</f>
        <v/>
      </c>
      <c r="AW99" s="334"/>
      <c r="AX99" s="247" t="str" cm="1">
        <f t="array" aca="1" ref="AX99" ca="1">INDIRECT(TEXT(MIN(IF((Calc!$Z$5:$AI$104&lt;&gt;"")*(COUNTIF($AX$4:AX98,Calc!$Z$5:$AI$104)=0),ROW(Calc!$Z$5:$AI$104)*100+COLUMN(Calc!$Z$5:$AI$104),7^8)),"Calc!R0C00"),)&amp;""</f>
        <v/>
      </c>
      <c r="AY99" t="str" cm="1">
        <f t="array" aca="1" ref="AY99" ca="1">INDIRECT(TEXT(MIN(IF((Calc!$AK$5:$AT$104&lt;&gt;"")*(COUNTIF(AY$4:$AY98,Calc!$AK$5:$AT$104)=0),ROW(Calc!$AK$5:$AT$104)*100+COLUMN(Calc!$AK$5:$AT$104),7^8)),"Calc!R0C00"),)&amp;""</f>
        <v/>
      </c>
      <c r="AZ99" s="247" t="str">
        <f t="shared" ca="1" si="132"/>
        <v/>
      </c>
      <c r="BA99" s="324">
        <f t="shared" si="138"/>
        <v>95</v>
      </c>
      <c r="BB99">
        <f t="shared" ca="1" si="133"/>
        <v>0</v>
      </c>
      <c r="BC99" t="str">
        <f ca="1">IF($AX99="","",
VLOOKUP(LEFT($AX99,LEN($AX99)-2),'Field information 2'!$B$12:$P$111,11,FALSE))</f>
        <v/>
      </c>
      <c r="BD99" t="str">
        <f ca="1">IF($AX99="","",
VLOOKUP(LEFT($AX99,LEN($AX99)-2),'Field information 2'!$B$12:$P$111,13,FALSE))</f>
        <v/>
      </c>
      <c r="BE99" t="str">
        <f ca="1">IF($AX99="","",
VLOOKUP(LEFT($AX99,LEN($AX99)-2),'Field information 2'!$B$12:$P$111,15,FALSE))</f>
        <v/>
      </c>
      <c r="BF99">
        <f t="shared" ca="1" si="134"/>
        <v>0</v>
      </c>
      <c r="BG99" t="str">
        <f t="shared" ca="1" si="135"/>
        <v/>
      </c>
      <c r="BH99" s="7" t="str">
        <f ca="1">IF(OR(AX99="",'Soil results'!$D$7="",'Soil results'!$D$8=""),"",
IF('Soil results'!$D$7="LOI",
  IF('Soil results'!$D$8="mg/kg",'Soil results'!D104/10000,'Soil results'!D104),
IF('Soil results'!$D$7="Dumas",
  IF('Soil results'!$D$8="mg/kg",'Soil results'!D104*1.72/10000,'Soil results'!D104*1.72))))</f>
        <v/>
      </c>
      <c r="BI99" t="str">
        <f ca="1">IF($AX99="","",
VLOOKUP(LEFT($AX99,LEN($AX99)-2),'Field information 2'!$B$12:$I$111,8,FALSE))</f>
        <v/>
      </c>
      <c r="BJ99" t="str">
        <f ca="1">IF(BI99="","",
VLOOKUP(BI99,'Fertiliser recommendations'!$A$5:$B$62,2,FALSE))</f>
        <v/>
      </c>
      <c r="BK99" s="38" t="str">
        <f ca="1">IF($AX99="","",
IF(AND(BJ99="g",VLOOKUP(LEFT($AX99,LEN($AX99)-2),'Field information 2'!$B$12:$P$111,9,FALSE)&lt;&gt;"yes"),
IF(BG99="10-25% OM",6,IF(BG99="&gt;25% OM",12,IF(BG99="SCL; CL; ZCL; SC; ZC; C",6,IF(BG99="SL; SZL; ZL",5,IF(BG99="S; LS",4,"?"))))),
IF(OR(BJ99="a",AND(BJ99="g",VLOOKUP(LEFT($AX99,LEN($AX99)-2),'Field information 2'!$B$12:$P$111,9,FALSE)="yes")),
IF(BG99="10-25% OM",8,IF(BG99="&gt;25% OM",16,IF(BG99="SCL; CL; ZCL; SC; ZC; C",8,IF(BG99="SL; SZL; ZL",7,IF(BG99="S; LS",6,"?"))))),"")))</f>
        <v/>
      </c>
      <c r="BL99" t="str">
        <f ca="1">IF(AX99&lt;&gt;"",COUNTBLANK('Soil results'!D104:D104)+COUNTBLANK('Soil results'!F104:I104)+COUNTBLANK('Soil results'!K104:Q104),"")</f>
        <v/>
      </c>
      <c r="BM99" t="str">
        <f ca="1">IF(AX99&lt;&gt;"",
IF(OR(ISNUMBER(SEARCH("10*01*01",'Field information 2'!$M$5)),ISNUMBER(SEARCH("10*01*03",'Field information 2'!$M$5))),0.25,1),"")</f>
        <v/>
      </c>
      <c r="BN99" s="275" t="str">
        <f ca="1">IF(AX99&lt;&gt;"",
IF(COUNTIF('Soil results'!G105:G$159,"="&amp;'Soil results'!G104)+COUNTIF('Soil results'!H105:H$159,"="&amp;'Soil results'!H104)+COUNTIF('Soil results'!I105:I$159,"="&amp;'Soil results'!I104)=0,"no",
IF(MOD(COUNTIF('Soil results'!G105:G$159,"="&amp;'Soil results'!G104)+COUNTIF('Soil results'!H105:H$159,"="&amp;'Soil results'!H104)+COUNTIF('Soil results'!I105:I$159,"="&amp;'Soil results'!I104),3)=0,"yes","no")),"")</f>
        <v/>
      </c>
      <c r="BO99" s="276" t="str">
        <f t="shared" ca="1" si="136"/>
        <v/>
      </c>
      <c r="BP99" s="33"/>
      <c r="BQ99" s="276"/>
      <c r="BR99" s="276"/>
      <c r="BS99" s="276" t="str">
        <f t="shared" ca="1" si="137"/>
        <v/>
      </c>
      <c r="BT99" s="153" t="str">
        <f ca="1">IF(AX99="","",
IF(OR(Assessment!F101="limited benefit",Assessment!F101="benefit", Assessment!M101="limited benefit",Assessment!M101="benefit", Assessment!R101="limited benefit",Assessment!R101="benefit", Assessment!W101="limited benefit",Assessment!W101="benefit", Assessment!AB101="limited benefit",Assessment!AB101="benefit", AND(ISNUMBER(Assessment!AF101),Assessment!AG101="ok"), Assessment!AJ101="benefit"),"yes","no"))</f>
        <v/>
      </c>
      <c r="BW99" t="s">
        <v>403</v>
      </c>
    </row>
    <row r="100" spans="1:75" ht="15" x14ac:dyDescent="0.25">
      <c r="A100" s="272">
        <f>IF(AND('Field information 2'!L107&gt;0, 'Field information 2'!M107=0),"data missing", 'Field information 2'!M107-'Field information 2'!L107)</f>
        <v>0</v>
      </c>
      <c r="B100" s="272">
        <f>IF(AND('Field information 2'!N107&gt;0,'Field information 2'!O107=0),"data missing",'Field information 2'!O107-'Field information 2'!N107)</f>
        <v>0</v>
      </c>
      <c r="C100" s="272">
        <f>IF(AND('Field information 2'!P107&gt;0, 'Field information 2'!Q107=0),"data missing",'Field information 2'!Q107-'Field information 2'!P107)</f>
        <v>0</v>
      </c>
      <c r="D100">
        <f>'Field information 2'!L107</f>
        <v>0</v>
      </c>
      <c r="E100" s="249" t="str">
        <f>IF(OR('Field information 2'!L107&gt;0,'Field information 2'!N107&gt;0,'Field information 2'!P107&gt;0),"Y","N")</f>
        <v>N</v>
      </c>
      <c r="F100" s="277" t="str">
        <f t="shared" si="130"/>
        <v/>
      </c>
      <c r="G100" t="str">
        <f>IF(OR(ISBLANK('Field information 1'!B101),AND(OR(ISBLANK('Field information 2'!L107), 'Field information 2'!L107=0),OR(ISBLANK('Field information 2'!N107), 'Field information 2'!N107=0), OR(ISBLANK('Field information 2'!P107), 'Field information 2'!P107=0))),"",
IF(ISTEXT('Field information 1'!B101), 'Field information 1'!B101, TEXT('Field information 1'!B101,"0")))</f>
        <v/>
      </c>
      <c r="H100" t="str">
        <f>IF(OR(ISBLANK('Field information 1'!B101),ISBLANK('Field information 2'!L107),ISBLANK('Field information 2'!F107)),"",'Field information 2'!F107)</f>
        <v/>
      </c>
      <c r="I100" s="91" t="str">
        <f>IF(OR(ISBLANK('Field information 1'!E101),G100=""),"",CEILING('Field information 1'!E101/10,1))</f>
        <v/>
      </c>
      <c r="J100" s="91" t="str">
        <f t="shared" si="131"/>
        <v>no</v>
      </c>
      <c r="K100" s="135" t="str">
        <f t="shared" ca="1" si="139"/>
        <v/>
      </c>
      <c r="L100" s="135" t="str">
        <f t="shared" ca="1" si="140"/>
        <v/>
      </c>
      <c r="M100" s="135" t="str">
        <f t="shared" ca="1" si="141"/>
        <v/>
      </c>
      <c r="N100" s="135" t="str">
        <f t="shared" ca="1" si="142"/>
        <v/>
      </c>
      <c r="O100" s="135" t="str">
        <f t="shared" ca="1" si="143"/>
        <v/>
      </c>
      <c r="P100" s="135" t="str">
        <f t="shared" ca="1" si="144"/>
        <v/>
      </c>
      <c r="Q100" s="135" t="str">
        <f t="shared" ca="1" si="145"/>
        <v/>
      </c>
      <c r="R100" s="135" t="str">
        <f t="shared" ca="1" si="146"/>
        <v/>
      </c>
      <c r="S100" s="135" t="str">
        <f t="shared" ca="1" si="147"/>
        <v/>
      </c>
      <c r="T100" s="135" t="str">
        <f t="shared" ca="1" si="148"/>
        <v/>
      </c>
      <c r="U100" s="49" t="str">
        <f t="shared" ca="1" si="106"/>
        <v/>
      </c>
      <c r="V100" s="7" t="str">
        <f t="shared" ca="1" si="107"/>
        <v/>
      </c>
      <c r="W100" s="7" t="str">
        <f t="shared" ca="1" si="108"/>
        <v/>
      </c>
      <c r="X100" s="7" t="str">
        <f t="shared" ca="1" si="109"/>
        <v/>
      </c>
      <c r="Y100" s="91"/>
      <c r="Z100" s="247" t="str">
        <f t="shared" si="110"/>
        <v/>
      </c>
      <c r="AA100" s="247" t="str">
        <f t="shared" si="111"/>
        <v/>
      </c>
      <c r="AB100" s="247" t="str">
        <f t="shared" si="112"/>
        <v/>
      </c>
      <c r="AC100" s="247" t="str">
        <f t="shared" si="113"/>
        <v/>
      </c>
      <c r="AD100" s="247" t="str">
        <f t="shared" si="114"/>
        <v/>
      </c>
      <c r="AE100" s="247" t="str">
        <f t="shared" si="115"/>
        <v/>
      </c>
      <c r="AF100" s="247" t="str">
        <f t="shared" si="116"/>
        <v/>
      </c>
      <c r="AG100" s="247" t="str">
        <f t="shared" si="117"/>
        <v/>
      </c>
      <c r="AH100" s="247" t="str">
        <f t="shared" si="118"/>
        <v/>
      </c>
      <c r="AI100" s="247" t="str">
        <f t="shared" si="119"/>
        <v/>
      </c>
      <c r="AK100" s="247" t="str">
        <f t="shared" si="120"/>
        <v/>
      </c>
      <c r="AL100" s="247" t="str">
        <f t="shared" si="121"/>
        <v/>
      </c>
      <c r="AM100" s="247" t="str">
        <f t="shared" si="122"/>
        <v/>
      </c>
      <c r="AN100" s="247" t="str">
        <f t="shared" si="123"/>
        <v/>
      </c>
      <c r="AO100" s="247" t="str">
        <f t="shared" si="124"/>
        <v/>
      </c>
      <c r="AP100" s="247" t="str">
        <f t="shared" si="125"/>
        <v/>
      </c>
      <c r="AQ100" s="247" t="str">
        <f t="shared" si="126"/>
        <v/>
      </c>
      <c r="AR100" s="247" t="str">
        <f t="shared" si="127"/>
        <v/>
      </c>
      <c r="AS100" s="247" t="str">
        <f t="shared" si="128"/>
        <v/>
      </c>
      <c r="AT100" s="247" t="str">
        <f t="shared" si="129"/>
        <v/>
      </c>
      <c r="AU100" s="189"/>
      <c r="AV100" t="str">
        <f>IF(ISBLANK('Field information 1'!F101),"",'Field information 1'!F101)</f>
        <v/>
      </c>
      <c r="AW100" s="334"/>
      <c r="AX100" s="247" t="str" cm="1">
        <f t="array" aca="1" ref="AX100" ca="1">INDIRECT(TEXT(MIN(IF((Calc!$Z$5:$AI$104&lt;&gt;"")*(COUNTIF($AX$4:AX99,Calc!$Z$5:$AI$104)=0),ROW(Calc!$Z$5:$AI$104)*100+COLUMN(Calc!$Z$5:$AI$104),7^8)),"Calc!R0C00"),)&amp;""</f>
        <v/>
      </c>
      <c r="AY100" t="str" cm="1">
        <f t="array" aca="1" ref="AY100" ca="1">INDIRECT(TEXT(MIN(IF((Calc!$AK$5:$AT$104&lt;&gt;"")*(COUNTIF(AY$4:$AY99,Calc!$AK$5:$AT$104)=0),ROW(Calc!$AK$5:$AT$104)*100+COLUMN(Calc!$AK$5:$AT$104),7^8)),"Calc!R0C00"),)&amp;""</f>
        <v/>
      </c>
      <c r="AZ100" s="247" t="str">
        <f t="shared" ca="1" si="132"/>
        <v/>
      </c>
      <c r="BA100" s="324">
        <f t="shared" si="138"/>
        <v>96</v>
      </c>
      <c r="BB100">
        <f t="shared" ca="1" si="133"/>
        <v>0</v>
      </c>
      <c r="BC100" t="str">
        <f ca="1">IF($AX100="","",
VLOOKUP(LEFT($AX100,LEN($AX100)-2),'Field information 2'!$B$12:$P$111,11,FALSE))</f>
        <v/>
      </c>
      <c r="BD100" t="str">
        <f ca="1">IF($AX100="","",
VLOOKUP(LEFT($AX100,LEN($AX100)-2),'Field information 2'!$B$12:$P$111,13,FALSE))</f>
        <v/>
      </c>
      <c r="BE100" t="str">
        <f ca="1">IF($AX100="","",
VLOOKUP(LEFT($AX100,LEN($AX100)-2),'Field information 2'!$B$12:$P$111,15,FALSE))</f>
        <v/>
      </c>
      <c r="BF100">
        <f t="shared" ca="1" si="134"/>
        <v>0</v>
      </c>
      <c r="BG100" t="str">
        <f t="shared" ca="1" si="135"/>
        <v/>
      </c>
      <c r="BH100" s="7" t="str">
        <f ca="1">IF(OR(AX100="",'Soil results'!$D$7="",'Soil results'!$D$8=""),"",
IF('Soil results'!$D$7="LOI",
  IF('Soil results'!$D$8="mg/kg",'Soil results'!D105/10000,'Soil results'!D105),
IF('Soil results'!$D$7="Dumas",
  IF('Soil results'!$D$8="mg/kg",'Soil results'!D105*1.72/10000,'Soil results'!D105*1.72))))</f>
        <v/>
      </c>
      <c r="BI100" t="str">
        <f ca="1">IF($AX100="","",
VLOOKUP(LEFT($AX100,LEN($AX100)-2),'Field information 2'!$B$12:$I$111,8,FALSE))</f>
        <v/>
      </c>
      <c r="BJ100" t="str">
        <f ca="1">IF(BI100="","",
VLOOKUP(BI100,'Fertiliser recommendations'!$A$5:$B$62,2,FALSE))</f>
        <v/>
      </c>
      <c r="BK100" s="38" t="str">
        <f ca="1">IF($AX100="","",
IF(AND(BJ100="g",VLOOKUP(LEFT($AX100,LEN($AX100)-2),'Field information 2'!$B$12:$P$111,9,FALSE)&lt;&gt;"yes"),
IF(BG100="10-25% OM",6,IF(BG100="&gt;25% OM",12,IF(BG100="SCL; CL; ZCL; SC; ZC; C",6,IF(BG100="SL; SZL; ZL",5,IF(BG100="S; LS",4,"?"))))),
IF(OR(BJ100="a",AND(BJ100="g",VLOOKUP(LEFT($AX100,LEN($AX100)-2),'Field information 2'!$B$12:$P$111,9,FALSE)="yes")),
IF(BG100="10-25% OM",8,IF(BG100="&gt;25% OM",16,IF(BG100="SCL; CL; ZCL; SC; ZC; C",8,IF(BG100="SL; SZL; ZL",7,IF(BG100="S; LS",6,"?"))))),"")))</f>
        <v/>
      </c>
      <c r="BL100" t="str">
        <f ca="1">IF(AX100&lt;&gt;"",COUNTBLANK('Soil results'!D105:D105)+COUNTBLANK('Soil results'!F105:I105)+COUNTBLANK('Soil results'!K105:Q105),"")</f>
        <v/>
      </c>
      <c r="BM100" t="str">
        <f ca="1">IF(AX100&lt;&gt;"",
IF(OR(ISNUMBER(SEARCH("10*01*01",'Field information 2'!$M$5)),ISNUMBER(SEARCH("10*01*03",'Field information 2'!$M$5))),0.25,1),"")</f>
        <v/>
      </c>
      <c r="BN100" s="275" t="str">
        <f ca="1">IF(AX100&lt;&gt;"",
IF(COUNTIF('Soil results'!G106:G$159,"="&amp;'Soil results'!G105)+COUNTIF('Soil results'!H106:H$159,"="&amp;'Soil results'!H105)+COUNTIF('Soil results'!I106:I$159,"="&amp;'Soil results'!I105)=0,"no",
IF(MOD(COUNTIF('Soil results'!G106:G$159,"="&amp;'Soil results'!G105)+COUNTIF('Soil results'!H106:H$159,"="&amp;'Soil results'!H105)+COUNTIF('Soil results'!I106:I$159,"="&amp;'Soil results'!I105),3)=0,"yes","no")),"")</f>
        <v/>
      </c>
      <c r="BO100" s="276" t="str">
        <f t="shared" ca="1" si="136"/>
        <v/>
      </c>
      <c r="BP100" s="33"/>
      <c r="BQ100" s="276"/>
      <c r="BR100" s="276"/>
      <c r="BS100" s="276" t="str">
        <f t="shared" ca="1" si="137"/>
        <v/>
      </c>
      <c r="BT100" s="153" t="str">
        <f ca="1">IF(AX100="","",
IF(OR(Assessment!F102="limited benefit",Assessment!F102="benefit", Assessment!M102="limited benefit",Assessment!M102="benefit", Assessment!R102="limited benefit",Assessment!R102="benefit", Assessment!W102="limited benefit",Assessment!W102="benefit", Assessment!AB102="limited benefit",Assessment!AB102="benefit", AND(ISNUMBER(Assessment!AF102),Assessment!AG102="ok"), Assessment!AJ102="benefit"),"yes","no"))</f>
        <v/>
      </c>
    </row>
    <row r="101" spans="1:75" ht="15" x14ac:dyDescent="0.25">
      <c r="A101" s="272">
        <f>IF(AND('Field information 2'!L108&gt;0, 'Field information 2'!M108=0),"data missing", 'Field information 2'!M108-'Field information 2'!L108)</f>
        <v>0</v>
      </c>
      <c r="B101" s="272">
        <f>IF(AND('Field information 2'!N108&gt;0,'Field information 2'!O108=0),"data missing",'Field information 2'!O108-'Field information 2'!N108)</f>
        <v>0</v>
      </c>
      <c r="C101" s="272">
        <f>IF(AND('Field information 2'!P108&gt;0, 'Field information 2'!Q108=0),"data missing",'Field information 2'!Q108-'Field information 2'!P108)</f>
        <v>0</v>
      </c>
      <c r="D101">
        <f>'Field information 2'!L108</f>
        <v>0</v>
      </c>
      <c r="E101" s="249" t="str">
        <f>IF(OR('Field information 2'!L108&gt;0,'Field information 2'!N108&gt;0,'Field information 2'!P108&gt;0),"Y","N")</f>
        <v>N</v>
      </c>
      <c r="F101" s="277" t="str">
        <f t="shared" si="130"/>
        <v/>
      </c>
      <c r="G101" t="str">
        <f>IF(OR(ISBLANK('Field information 1'!B102),AND(OR(ISBLANK('Field information 2'!L108), 'Field information 2'!L108=0),OR(ISBLANK('Field information 2'!N108), 'Field information 2'!N108=0), OR(ISBLANK('Field information 2'!P108), 'Field information 2'!P108=0))),"",
IF(ISTEXT('Field information 1'!B102), 'Field information 1'!B102, TEXT('Field information 1'!B102,"0")))</f>
        <v/>
      </c>
      <c r="H101" t="str">
        <f>IF(OR(ISBLANK('Field information 1'!B102),ISBLANK('Field information 2'!L108),ISBLANK('Field information 2'!F108)),"",'Field information 2'!F108)</f>
        <v/>
      </c>
      <c r="I101" s="91" t="str">
        <f>IF(OR(ISBLANK('Field information 1'!E102),G101=""),"",CEILING('Field information 1'!E102/10,1))</f>
        <v/>
      </c>
      <c r="J101" s="91" t="str">
        <f t="shared" si="131"/>
        <v>no</v>
      </c>
      <c r="K101" s="135" t="str">
        <f t="shared" ca="1" si="139"/>
        <v/>
      </c>
      <c r="L101" s="135" t="str">
        <f t="shared" ca="1" si="140"/>
        <v/>
      </c>
      <c r="M101" s="135" t="str">
        <f t="shared" ca="1" si="141"/>
        <v/>
      </c>
      <c r="N101" s="135" t="str">
        <f t="shared" ca="1" si="142"/>
        <v/>
      </c>
      <c r="O101" s="135" t="str">
        <f t="shared" ca="1" si="143"/>
        <v/>
      </c>
      <c r="P101" s="135" t="str">
        <f t="shared" ca="1" si="144"/>
        <v/>
      </c>
      <c r="Q101" s="135" t="str">
        <f t="shared" ca="1" si="145"/>
        <v/>
      </c>
      <c r="R101" s="135" t="str">
        <f t="shared" ca="1" si="146"/>
        <v/>
      </c>
      <c r="S101" s="135" t="str">
        <f t="shared" ca="1" si="147"/>
        <v/>
      </c>
      <c r="T101" s="135" t="str">
        <f t="shared" ca="1" si="148"/>
        <v/>
      </c>
      <c r="U101" s="49" t="str">
        <f t="shared" ca="1" si="106"/>
        <v/>
      </c>
      <c r="V101" s="7" t="str">
        <f t="shared" ca="1" si="107"/>
        <v/>
      </c>
      <c r="W101" s="7" t="str">
        <f t="shared" ca="1" si="108"/>
        <v/>
      </c>
      <c r="X101" s="7" t="str">
        <f t="shared" ca="1" si="109"/>
        <v/>
      </c>
      <c r="Y101" s="91"/>
      <c r="Z101" s="247" t="str">
        <f t="shared" si="110"/>
        <v/>
      </c>
      <c r="AA101" s="247" t="str">
        <f t="shared" si="111"/>
        <v/>
      </c>
      <c r="AB101" s="247" t="str">
        <f t="shared" si="112"/>
        <v/>
      </c>
      <c r="AC101" s="247" t="str">
        <f t="shared" si="113"/>
        <v/>
      </c>
      <c r="AD101" s="247" t="str">
        <f t="shared" si="114"/>
        <v/>
      </c>
      <c r="AE101" s="247" t="str">
        <f t="shared" si="115"/>
        <v/>
      </c>
      <c r="AF101" s="247" t="str">
        <f t="shared" si="116"/>
        <v/>
      </c>
      <c r="AG101" s="247" t="str">
        <f t="shared" si="117"/>
        <v/>
      </c>
      <c r="AH101" s="247" t="str">
        <f t="shared" si="118"/>
        <v/>
      </c>
      <c r="AI101" s="247" t="str">
        <f t="shared" si="119"/>
        <v/>
      </c>
      <c r="AK101" s="247" t="str">
        <f t="shared" si="120"/>
        <v/>
      </c>
      <c r="AL101" s="247" t="str">
        <f t="shared" si="121"/>
        <v/>
      </c>
      <c r="AM101" s="247" t="str">
        <f t="shared" si="122"/>
        <v/>
      </c>
      <c r="AN101" s="247" t="str">
        <f t="shared" si="123"/>
        <v/>
      </c>
      <c r="AO101" s="247" t="str">
        <f t="shared" si="124"/>
        <v/>
      </c>
      <c r="AP101" s="247" t="str">
        <f t="shared" si="125"/>
        <v/>
      </c>
      <c r="AQ101" s="247" t="str">
        <f t="shared" si="126"/>
        <v/>
      </c>
      <c r="AR101" s="247" t="str">
        <f t="shared" si="127"/>
        <v/>
      </c>
      <c r="AS101" s="247" t="str">
        <f t="shared" si="128"/>
        <v/>
      </c>
      <c r="AT101" s="247" t="str">
        <f t="shared" si="129"/>
        <v/>
      </c>
      <c r="AU101" s="189"/>
      <c r="AV101" t="str">
        <f>IF(ISBLANK('Field information 1'!F102),"",'Field information 1'!F102)</f>
        <v/>
      </c>
      <c r="AW101" s="334"/>
      <c r="AX101" s="247" t="str" cm="1">
        <f t="array" aca="1" ref="AX101" ca="1">INDIRECT(TEXT(MIN(IF((Calc!$Z$5:$AI$104&lt;&gt;"")*(COUNTIF($AX$4:AX100,Calc!$Z$5:$AI$104)=0),ROW(Calc!$Z$5:$AI$104)*100+COLUMN(Calc!$Z$5:$AI$104),7^8)),"Calc!R0C00"),)&amp;""</f>
        <v/>
      </c>
      <c r="AY101" t="str" cm="1">
        <f t="array" aca="1" ref="AY101" ca="1">INDIRECT(TEXT(MIN(IF((Calc!$AK$5:$AT$104&lt;&gt;"")*(COUNTIF(AY$4:$AY100,Calc!$AK$5:$AT$104)=0),ROW(Calc!$AK$5:$AT$104)*100+COLUMN(Calc!$AK$5:$AT$104),7^8)),"Calc!R0C00"),)&amp;""</f>
        <v/>
      </c>
      <c r="AZ101" s="247" t="str">
        <f t="shared" ca="1" si="132"/>
        <v/>
      </c>
      <c r="BA101" s="324">
        <f t="shared" si="138"/>
        <v>97</v>
      </c>
      <c r="BB101">
        <f t="shared" ca="1" si="133"/>
        <v>0</v>
      </c>
      <c r="BC101" t="str">
        <f ca="1">IF($AX101="","",
VLOOKUP(LEFT($AX101,LEN($AX101)-2),'Field information 2'!$B$12:$P$111,11,FALSE))</f>
        <v/>
      </c>
      <c r="BD101" t="str">
        <f ca="1">IF($AX101="","",
VLOOKUP(LEFT($AX101,LEN($AX101)-2),'Field information 2'!$B$12:$P$111,13,FALSE))</f>
        <v/>
      </c>
      <c r="BE101" t="str">
        <f ca="1">IF($AX101="","",
VLOOKUP(LEFT($AX101,LEN($AX101)-2),'Field information 2'!$B$12:$P$111,15,FALSE))</f>
        <v/>
      </c>
      <c r="BF101">
        <f t="shared" ca="1" si="134"/>
        <v>0</v>
      </c>
      <c r="BG101" t="str">
        <f t="shared" ca="1" si="135"/>
        <v/>
      </c>
      <c r="BH101" s="7" t="str">
        <f ca="1">IF(OR(AX101="",'Soil results'!$D$7="",'Soil results'!$D$8=""),"",
IF('Soil results'!$D$7="LOI",
  IF('Soil results'!$D$8="mg/kg",'Soil results'!D106/10000,'Soil results'!D106),
IF('Soil results'!$D$7="Dumas",
  IF('Soil results'!$D$8="mg/kg",'Soil results'!D106*1.72/10000,'Soil results'!D106*1.72))))</f>
        <v/>
      </c>
      <c r="BI101" t="str">
        <f ca="1">IF($AX101="","",
VLOOKUP(LEFT($AX101,LEN($AX101)-2),'Field information 2'!$B$12:$I$111,8,FALSE))</f>
        <v/>
      </c>
      <c r="BJ101" t="str">
        <f ca="1">IF(BI101="","",
VLOOKUP(BI101,'Fertiliser recommendations'!$A$5:$B$62,2,FALSE))</f>
        <v/>
      </c>
      <c r="BK101" s="38" t="str">
        <f ca="1">IF($AX101="","",
IF(AND(BJ101="g",VLOOKUP(LEFT($AX101,LEN($AX101)-2),'Field information 2'!$B$12:$P$111,9,FALSE)&lt;&gt;"yes"),
IF(BG101="10-25% OM",6,IF(BG101="&gt;25% OM",12,IF(BG101="SCL; CL; ZCL; SC; ZC; C",6,IF(BG101="SL; SZL; ZL",5,IF(BG101="S; LS",4,"?"))))),
IF(OR(BJ101="a",AND(BJ101="g",VLOOKUP(LEFT($AX101,LEN($AX101)-2),'Field information 2'!$B$12:$P$111,9,FALSE)="yes")),
IF(BG101="10-25% OM",8,IF(BG101="&gt;25% OM",16,IF(BG101="SCL; CL; ZCL; SC; ZC; C",8,IF(BG101="SL; SZL; ZL",7,IF(BG101="S; LS",6,"?"))))),"")))</f>
        <v/>
      </c>
      <c r="BL101" t="str">
        <f ca="1">IF(AX101&lt;&gt;"",COUNTBLANK('Soil results'!D106:D106)+COUNTBLANK('Soil results'!F106:I106)+COUNTBLANK('Soil results'!K106:Q106),"")</f>
        <v/>
      </c>
      <c r="BM101" t="str">
        <f ca="1">IF(AX101&lt;&gt;"",
IF(OR(ISNUMBER(SEARCH("10*01*01",'Field information 2'!$M$5)),ISNUMBER(SEARCH("10*01*03",'Field information 2'!$M$5))),0.25,1),"")</f>
        <v/>
      </c>
      <c r="BN101" s="275" t="str">
        <f ca="1">IF(AX101&lt;&gt;"",
IF(COUNTIF('Soil results'!G107:G$159,"="&amp;'Soil results'!G106)+COUNTIF('Soil results'!H107:H$159,"="&amp;'Soil results'!H106)+COUNTIF('Soil results'!I107:I$159,"="&amp;'Soil results'!I106)=0,"no",
IF(MOD(COUNTIF('Soil results'!G107:G$159,"="&amp;'Soil results'!G106)+COUNTIF('Soil results'!H107:H$159,"="&amp;'Soil results'!H106)+COUNTIF('Soil results'!I107:I$159,"="&amp;'Soil results'!I106),3)=0,"yes","no")),"")</f>
        <v/>
      </c>
      <c r="BO101" s="276" t="str">
        <f t="shared" ca="1" si="136"/>
        <v/>
      </c>
      <c r="BP101" s="33"/>
      <c r="BQ101" s="276"/>
      <c r="BR101" s="276"/>
      <c r="BS101" s="276" t="str">
        <f t="shared" ca="1" si="137"/>
        <v/>
      </c>
      <c r="BT101" s="153" t="str">
        <f ca="1">IF(AX101="","",
IF(OR(Assessment!F103="limited benefit",Assessment!F103="benefit", Assessment!M103="limited benefit",Assessment!M103="benefit", Assessment!R103="limited benefit",Assessment!R103="benefit", Assessment!W103="limited benefit",Assessment!W103="benefit", Assessment!AB103="limited benefit",Assessment!AB103="benefit", AND(ISNUMBER(Assessment!AF103),Assessment!AG103="ok"), Assessment!AJ103="benefit"),"yes","no"))</f>
        <v/>
      </c>
      <c r="BW101" t="s">
        <v>404</v>
      </c>
    </row>
    <row r="102" spans="1:75" ht="15" x14ac:dyDescent="0.25">
      <c r="A102" s="272">
        <f>IF(AND('Field information 2'!L109&gt;0, 'Field information 2'!M109=0),"data missing", 'Field information 2'!M109-'Field information 2'!L109)</f>
        <v>0</v>
      </c>
      <c r="B102" s="272">
        <f>IF(AND('Field information 2'!N109&gt;0,'Field information 2'!O109=0),"data missing",'Field information 2'!O109-'Field information 2'!N109)</f>
        <v>0</v>
      </c>
      <c r="C102" s="272">
        <f>IF(AND('Field information 2'!P109&gt;0, 'Field information 2'!Q109=0),"data missing",'Field information 2'!Q109-'Field information 2'!P109)</f>
        <v>0</v>
      </c>
      <c r="D102">
        <f>'Field information 2'!L109</f>
        <v>0</v>
      </c>
      <c r="E102" s="249" t="str">
        <f>IF(OR('Field information 2'!L109&gt;0,'Field information 2'!N109&gt;0,'Field information 2'!P109&gt;0),"Y","N")</f>
        <v>N</v>
      </c>
      <c r="F102" s="277" t="str">
        <f t="shared" si="130"/>
        <v/>
      </c>
      <c r="G102" t="str">
        <f>IF(OR(ISBLANK('Field information 1'!B103),AND(OR(ISBLANK('Field information 2'!L109), 'Field information 2'!L109=0),OR(ISBLANK('Field information 2'!N109), 'Field information 2'!N109=0), OR(ISBLANK('Field information 2'!P109), 'Field information 2'!P109=0))),"",
IF(ISTEXT('Field information 1'!B103), 'Field information 1'!B103, TEXT('Field information 1'!B103,"0")))</f>
        <v/>
      </c>
      <c r="H102" t="str">
        <f>IF(OR(ISBLANK('Field information 1'!B103),ISBLANK('Field information 2'!L109),ISBLANK('Field information 2'!F109)),"",'Field information 2'!F109)</f>
        <v/>
      </c>
      <c r="I102" s="91" t="str">
        <f>IF(OR(ISBLANK('Field information 1'!E103),G102=""),"",CEILING('Field information 1'!E103/10,1))</f>
        <v/>
      </c>
      <c r="J102" s="91" t="str">
        <f t="shared" si="131"/>
        <v>no</v>
      </c>
      <c r="K102" s="135" t="str">
        <f t="shared" ca="1" si="139"/>
        <v/>
      </c>
      <c r="L102" s="135" t="str">
        <f t="shared" ca="1" si="140"/>
        <v/>
      </c>
      <c r="M102" s="135" t="str">
        <f t="shared" ca="1" si="141"/>
        <v/>
      </c>
      <c r="N102" s="135" t="str">
        <f t="shared" ca="1" si="142"/>
        <v/>
      </c>
      <c r="O102" s="135" t="str">
        <f t="shared" ca="1" si="143"/>
        <v/>
      </c>
      <c r="P102" s="135" t="str">
        <f t="shared" ca="1" si="144"/>
        <v/>
      </c>
      <c r="Q102" s="135" t="str">
        <f t="shared" ca="1" si="145"/>
        <v/>
      </c>
      <c r="R102" s="135" t="str">
        <f t="shared" ca="1" si="146"/>
        <v/>
      </c>
      <c r="S102" s="135" t="str">
        <f t="shared" ca="1" si="147"/>
        <v/>
      </c>
      <c r="T102" s="135" t="str">
        <f t="shared" ca="1" si="148"/>
        <v/>
      </c>
      <c r="U102" s="49" t="str">
        <f t="shared" ca="1" si="106"/>
        <v/>
      </c>
      <c r="V102" s="7" t="str">
        <f t="shared" ca="1" si="107"/>
        <v/>
      </c>
      <c r="W102" s="7" t="str">
        <f t="shared" ca="1" si="108"/>
        <v/>
      </c>
      <c r="X102" s="7" t="str">
        <f t="shared" ca="1" si="109"/>
        <v/>
      </c>
      <c r="Y102" s="91"/>
      <c r="Z102" s="247" t="str">
        <f t="shared" si="110"/>
        <v/>
      </c>
      <c r="AA102" s="247" t="str">
        <f t="shared" si="111"/>
        <v/>
      </c>
      <c r="AB102" s="247" t="str">
        <f t="shared" si="112"/>
        <v/>
      </c>
      <c r="AC102" s="247" t="str">
        <f t="shared" si="113"/>
        <v/>
      </c>
      <c r="AD102" s="247" t="str">
        <f t="shared" si="114"/>
        <v/>
      </c>
      <c r="AE102" s="247" t="str">
        <f t="shared" si="115"/>
        <v/>
      </c>
      <c r="AF102" s="247" t="str">
        <f t="shared" si="116"/>
        <v/>
      </c>
      <c r="AG102" s="247" t="str">
        <f t="shared" si="117"/>
        <v/>
      </c>
      <c r="AH102" s="247" t="str">
        <f t="shared" si="118"/>
        <v/>
      </c>
      <c r="AI102" s="247" t="str">
        <f t="shared" si="119"/>
        <v/>
      </c>
      <c r="AK102" s="247" t="str">
        <f t="shared" si="120"/>
        <v/>
      </c>
      <c r="AL102" s="247" t="str">
        <f t="shared" si="121"/>
        <v/>
      </c>
      <c r="AM102" s="247" t="str">
        <f t="shared" si="122"/>
        <v/>
      </c>
      <c r="AN102" s="247" t="str">
        <f t="shared" si="123"/>
        <v/>
      </c>
      <c r="AO102" s="247" t="str">
        <f t="shared" si="124"/>
        <v/>
      </c>
      <c r="AP102" s="247" t="str">
        <f t="shared" si="125"/>
        <v/>
      </c>
      <c r="AQ102" s="247" t="str">
        <f t="shared" si="126"/>
        <v/>
      </c>
      <c r="AR102" s="247" t="str">
        <f t="shared" si="127"/>
        <v/>
      </c>
      <c r="AS102" s="247" t="str">
        <f t="shared" si="128"/>
        <v/>
      </c>
      <c r="AT102" s="247" t="str">
        <f t="shared" si="129"/>
        <v/>
      </c>
      <c r="AU102" s="189"/>
      <c r="AV102" t="str">
        <f>IF(ISBLANK('Field information 1'!F103),"",'Field information 1'!F103)</f>
        <v/>
      </c>
      <c r="AW102" s="334"/>
      <c r="AX102" s="247" t="str" cm="1">
        <f t="array" aca="1" ref="AX102" ca="1">INDIRECT(TEXT(MIN(IF((Calc!$Z$5:$AI$104&lt;&gt;"")*(COUNTIF($AX$4:AX101,Calc!$Z$5:$AI$104)=0),ROW(Calc!$Z$5:$AI$104)*100+COLUMN(Calc!$Z$5:$AI$104),7^8)),"Calc!R0C00"),)&amp;""</f>
        <v/>
      </c>
      <c r="AY102" t="str" cm="1">
        <f t="array" aca="1" ref="AY102" ca="1">INDIRECT(TEXT(MIN(IF((Calc!$AK$5:$AT$104&lt;&gt;"")*(COUNTIF(AY$4:$AY101,Calc!$AK$5:$AT$104)=0),ROW(Calc!$AK$5:$AT$104)*100+COLUMN(Calc!$AK$5:$AT$104),7^8)),"Calc!R0C00"),)&amp;""</f>
        <v/>
      </c>
      <c r="AZ102" s="247" t="str">
        <f t="shared" ca="1" si="132"/>
        <v/>
      </c>
      <c r="BA102" s="324">
        <f t="shared" si="138"/>
        <v>98</v>
      </c>
      <c r="BB102">
        <f t="shared" ca="1" si="133"/>
        <v>0</v>
      </c>
      <c r="BC102" t="str">
        <f ca="1">IF($AX102="","",
VLOOKUP(LEFT($AX102,LEN($AX102)-2),'Field information 2'!$B$12:$P$111,11,FALSE))</f>
        <v/>
      </c>
      <c r="BD102" t="str">
        <f ca="1">IF($AX102="","",
VLOOKUP(LEFT($AX102,LEN($AX102)-2),'Field information 2'!$B$12:$P$111,13,FALSE))</f>
        <v/>
      </c>
      <c r="BE102" t="str">
        <f ca="1">IF($AX102="","",
VLOOKUP(LEFT($AX102,LEN($AX102)-2),'Field information 2'!$B$12:$P$111,15,FALSE))</f>
        <v/>
      </c>
      <c r="BF102">
        <f t="shared" ca="1" si="134"/>
        <v>0</v>
      </c>
      <c r="BG102" t="str">
        <f t="shared" ca="1" si="135"/>
        <v/>
      </c>
      <c r="BH102" s="7" t="str">
        <f ca="1">IF(OR(AX102="",'Soil results'!$D$7="",'Soil results'!$D$8=""),"",
IF('Soil results'!$D$7="LOI",
  IF('Soil results'!$D$8="mg/kg",'Soil results'!D107/10000,'Soil results'!D107),
IF('Soil results'!$D$7="Dumas",
  IF('Soil results'!$D$8="mg/kg",'Soil results'!D107*1.72/10000,'Soil results'!D107*1.72))))</f>
        <v/>
      </c>
      <c r="BI102" t="str">
        <f ca="1">IF($AX102="","",
VLOOKUP(LEFT($AX102,LEN($AX102)-2),'Field information 2'!$B$12:$I$111,8,FALSE))</f>
        <v/>
      </c>
      <c r="BJ102" t="str">
        <f ca="1">IF(BI102="","",
VLOOKUP(BI102,'Fertiliser recommendations'!$A$5:$B$62,2,FALSE))</f>
        <v/>
      </c>
      <c r="BK102" s="38" t="str">
        <f ca="1">IF($AX102="","",
IF(AND(BJ102="g",VLOOKUP(LEFT($AX102,LEN($AX102)-2),'Field information 2'!$B$12:$P$111,9,FALSE)&lt;&gt;"yes"),
IF(BG102="10-25% OM",6,IF(BG102="&gt;25% OM",12,IF(BG102="SCL; CL; ZCL; SC; ZC; C",6,IF(BG102="SL; SZL; ZL",5,IF(BG102="S; LS",4,"?"))))),
IF(OR(BJ102="a",AND(BJ102="g",VLOOKUP(LEFT($AX102,LEN($AX102)-2),'Field information 2'!$B$12:$P$111,9,FALSE)="yes")),
IF(BG102="10-25% OM",8,IF(BG102="&gt;25% OM",16,IF(BG102="SCL; CL; ZCL; SC; ZC; C",8,IF(BG102="SL; SZL; ZL",7,IF(BG102="S; LS",6,"?"))))),"")))</f>
        <v/>
      </c>
      <c r="BL102" t="str">
        <f ca="1">IF(AX102&lt;&gt;"",COUNTBLANK('Soil results'!D107:D107)+COUNTBLANK('Soil results'!F107:I107)+COUNTBLANK('Soil results'!K107:Q107),"")</f>
        <v/>
      </c>
      <c r="BM102" t="str">
        <f ca="1">IF(AX102&lt;&gt;"",
IF(OR(ISNUMBER(SEARCH("10*01*01",'Field information 2'!$M$5)),ISNUMBER(SEARCH("10*01*03",'Field information 2'!$M$5))),0.25,1),"")</f>
        <v/>
      </c>
      <c r="BN102" s="275" t="str">
        <f ca="1">IF(AX102&lt;&gt;"",
IF(COUNTIF('Soil results'!G108:G$159,"="&amp;'Soil results'!G107)+COUNTIF('Soil results'!H108:H$159,"="&amp;'Soil results'!H107)+COUNTIF('Soil results'!I108:I$159,"="&amp;'Soil results'!I107)=0,"no",
IF(MOD(COUNTIF('Soil results'!G108:G$159,"="&amp;'Soil results'!G107)+COUNTIF('Soil results'!H108:H$159,"="&amp;'Soil results'!H107)+COUNTIF('Soil results'!I108:I$159,"="&amp;'Soil results'!I107),3)=0,"yes","no")),"")</f>
        <v/>
      </c>
      <c r="BO102" s="276" t="str">
        <f t="shared" ca="1" si="136"/>
        <v/>
      </c>
      <c r="BP102" s="33"/>
      <c r="BQ102" s="276"/>
      <c r="BR102" s="276"/>
      <c r="BS102" s="276" t="str">
        <f t="shared" ca="1" si="137"/>
        <v/>
      </c>
      <c r="BT102" s="153" t="str">
        <f ca="1">IF(AX102="","",
IF(OR(Assessment!F104="limited benefit",Assessment!F104="benefit", Assessment!M104="limited benefit",Assessment!M104="benefit", Assessment!R104="limited benefit",Assessment!R104="benefit", Assessment!W104="limited benefit",Assessment!W104="benefit", Assessment!AB104="limited benefit",Assessment!AB104="benefit", AND(ISNUMBER(Assessment!AF104),Assessment!AG104="ok"), Assessment!AJ104="benefit"),"yes","no"))</f>
        <v/>
      </c>
      <c r="BW102" t="s">
        <v>405</v>
      </c>
    </row>
    <row r="103" spans="1:75" ht="15" x14ac:dyDescent="0.25">
      <c r="A103" s="272">
        <f>IF(AND('Field information 2'!L110&gt;0, 'Field information 2'!M110=0),"data missing", 'Field information 2'!M110-'Field information 2'!L110)</f>
        <v>0</v>
      </c>
      <c r="B103" s="272">
        <f>IF(AND('Field information 2'!N110&gt;0,'Field information 2'!O110=0),"data missing",'Field information 2'!O110-'Field information 2'!N110)</f>
        <v>0</v>
      </c>
      <c r="C103" s="272">
        <f>IF(AND('Field information 2'!P110&gt;0, 'Field information 2'!Q110=0),"data missing",'Field information 2'!Q110-'Field information 2'!P110)</f>
        <v>0</v>
      </c>
      <c r="D103">
        <f>'Field information 2'!L110</f>
        <v>0</v>
      </c>
      <c r="E103" s="249" t="str">
        <f>IF(OR('Field information 2'!L110&gt;0,'Field information 2'!N110&gt;0,'Field information 2'!P110&gt;0),"Y","N")</f>
        <v>N</v>
      </c>
      <c r="F103" s="277" t="str">
        <f t="shared" si="130"/>
        <v/>
      </c>
      <c r="G103" t="str">
        <f>IF(OR(ISBLANK('Field information 1'!B104),AND(OR(ISBLANK('Field information 2'!L110), 'Field information 2'!L110=0),OR(ISBLANK('Field information 2'!N110), 'Field information 2'!N110=0), OR(ISBLANK('Field information 2'!P110), 'Field information 2'!P110=0))),"",
IF(ISTEXT('Field information 1'!B104), 'Field information 1'!B104, TEXT('Field information 1'!B104,"0")))</f>
        <v/>
      </c>
      <c r="H103" t="str">
        <f>IF(OR(ISBLANK('Field information 1'!B104),ISBLANK('Field information 2'!L110),ISBLANK('Field information 2'!F110)),"",'Field information 2'!F110)</f>
        <v/>
      </c>
      <c r="I103" s="91" t="str">
        <f>IF(OR(ISBLANK('Field information 1'!E104),G103=""),"",CEILING('Field information 1'!E104/10,1))</f>
        <v/>
      </c>
      <c r="J103" s="91" t="str">
        <f t="shared" si="131"/>
        <v>no</v>
      </c>
      <c r="K103" s="135" t="str">
        <f t="shared" ca="1" si="139"/>
        <v/>
      </c>
      <c r="L103" s="135" t="str">
        <f t="shared" ca="1" si="140"/>
        <v/>
      </c>
      <c r="M103" s="135" t="str">
        <f t="shared" ca="1" si="141"/>
        <v/>
      </c>
      <c r="N103" s="135" t="str">
        <f t="shared" ca="1" si="142"/>
        <v/>
      </c>
      <c r="O103" s="135" t="str">
        <f t="shared" ca="1" si="143"/>
        <v/>
      </c>
      <c r="P103" s="135" t="str">
        <f t="shared" ca="1" si="144"/>
        <v/>
      </c>
      <c r="Q103" s="135" t="str">
        <f t="shared" ca="1" si="145"/>
        <v/>
      </c>
      <c r="R103" s="135" t="str">
        <f t="shared" ca="1" si="146"/>
        <v/>
      </c>
      <c r="S103" s="135" t="str">
        <f t="shared" ca="1" si="147"/>
        <v/>
      </c>
      <c r="T103" s="135" t="str">
        <f t="shared" ca="1" si="148"/>
        <v/>
      </c>
      <c r="U103" s="49" t="str">
        <f t="shared" ca="1" si="106"/>
        <v/>
      </c>
      <c r="V103" s="7" t="str">
        <f t="shared" ca="1" si="107"/>
        <v/>
      </c>
      <c r="W103" s="7" t="str">
        <f t="shared" ca="1" si="108"/>
        <v/>
      </c>
      <c r="X103" s="7" t="str">
        <f t="shared" ca="1" si="109"/>
        <v/>
      </c>
      <c r="Y103" s="91"/>
      <c r="Z103" s="247" t="str">
        <f t="shared" si="110"/>
        <v/>
      </c>
      <c r="AA103" s="247" t="str">
        <f t="shared" si="111"/>
        <v/>
      </c>
      <c r="AB103" s="247" t="str">
        <f t="shared" si="112"/>
        <v/>
      </c>
      <c r="AC103" s="247" t="str">
        <f t="shared" si="113"/>
        <v/>
      </c>
      <c r="AD103" s="247" t="str">
        <f t="shared" si="114"/>
        <v/>
      </c>
      <c r="AE103" s="247" t="str">
        <f t="shared" si="115"/>
        <v/>
      </c>
      <c r="AF103" s="247" t="str">
        <f t="shared" si="116"/>
        <v/>
      </c>
      <c r="AG103" s="247" t="str">
        <f t="shared" si="117"/>
        <v/>
      </c>
      <c r="AH103" s="247" t="str">
        <f t="shared" si="118"/>
        <v/>
      </c>
      <c r="AI103" s="247" t="str">
        <f t="shared" si="119"/>
        <v/>
      </c>
      <c r="AK103" s="247" t="str">
        <f t="shared" si="120"/>
        <v/>
      </c>
      <c r="AL103" s="247" t="str">
        <f t="shared" si="121"/>
        <v/>
      </c>
      <c r="AM103" s="247" t="str">
        <f t="shared" si="122"/>
        <v/>
      </c>
      <c r="AN103" s="247" t="str">
        <f t="shared" si="123"/>
        <v/>
      </c>
      <c r="AO103" s="247" t="str">
        <f t="shared" si="124"/>
        <v/>
      </c>
      <c r="AP103" s="247" t="str">
        <f t="shared" si="125"/>
        <v/>
      </c>
      <c r="AQ103" s="247" t="str">
        <f t="shared" si="126"/>
        <v/>
      </c>
      <c r="AR103" s="247" t="str">
        <f t="shared" si="127"/>
        <v/>
      </c>
      <c r="AS103" s="247" t="str">
        <f t="shared" si="128"/>
        <v/>
      </c>
      <c r="AT103" s="247" t="str">
        <f t="shared" si="129"/>
        <v/>
      </c>
      <c r="AU103" s="189"/>
      <c r="AV103" t="str">
        <f>IF(ISBLANK('Field information 1'!F104),"",'Field information 1'!F104)</f>
        <v/>
      </c>
      <c r="AW103" s="334"/>
      <c r="AX103" s="247" t="str" cm="1">
        <f t="array" aca="1" ref="AX103" ca="1">INDIRECT(TEXT(MIN(IF((Calc!$Z$5:$AI$104&lt;&gt;"")*(COUNTIF($AX$4:AX102,Calc!$Z$5:$AI$104)=0),ROW(Calc!$Z$5:$AI$104)*100+COLUMN(Calc!$Z$5:$AI$104),7^8)),"Calc!R0C00"),)&amp;""</f>
        <v/>
      </c>
      <c r="AY103" t="str" cm="1">
        <f t="array" aca="1" ref="AY103" ca="1">INDIRECT(TEXT(MIN(IF((Calc!$AK$5:$AT$104&lt;&gt;"")*(COUNTIF(AY$4:$AY102,Calc!$AK$5:$AT$104)=0),ROW(Calc!$AK$5:$AT$104)*100+COLUMN(Calc!$AK$5:$AT$104),7^8)),"Calc!R0C00"),)&amp;""</f>
        <v/>
      </c>
      <c r="AZ103" s="247" t="str">
        <f t="shared" ca="1" si="132"/>
        <v/>
      </c>
      <c r="BA103" s="324">
        <f t="shared" si="138"/>
        <v>99</v>
      </c>
      <c r="BB103">
        <f t="shared" ca="1" si="133"/>
        <v>0</v>
      </c>
      <c r="BC103" t="str">
        <f ca="1">IF($AX103="","",
VLOOKUP(LEFT($AX103,LEN($AX103)-2),'Field information 2'!$B$12:$P$111,11,FALSE))</f>
        <v/>
      </c>
      <c r="BD103" t="str">
        <f ca="1">IF($AX103="","",
VLOOKUP(LEFT($AX103,LEN($AX103)-2),'Field information 2'!$B$12:$P$111,13,FALSE))</f>
        <v/>
      </c>
      <c r="BE103" t="str">
        <f ca="1">IF($AX103="","",
VLOOKUP(LEFT($AX103,LEN($AX103)-2),'Field information 2'!$B$12:$P$111,15,FALSE))</f>
        <v/>
      </c>
      <c r="BF103">
        <f t="shared" ca="1" si="134"/>
        <v>0</v>
      </c>
      <c r="BG103" t="str">
        <f t="shared" ca="1" si="135"/>
        <v/>
      </c>
      <c r="BH103" s="7" t="str">
        <f ca="1">IF(OR(AX103="",'Soil results'!$D$7="",'Soil results'!$D$8=""),"",
IF('Soil results'!$D$7="LOI",
  IF('Soil results'!$D$8="mg/kg",'Soil results'!D108/10000,'Soil results'!D108),
IF('Soil results'!$D$7="Dumas",
  IF('Soil results'!$D$8="mg/kg",'Soil results'!D108*1.72/10000,'Soil results'!D108*1.72))))</f>
        <v/>
      </c>
      <c r="BI103" t="str">
        <f ca="1">IF($AX103="","",
VLOOKUP(LEFT($AX103,LEN($AX103)-2),'Field information 2'!$B$12:$I$111,8,FALSE))</f>
        <v/>
      </c>
      <c r="BJ103" t="str">
        <f ca="1">IF(BI103="","",
VLOOKUP(BI103,'Fertiliser recommendations'!$A$5:$B$62,2,FALSE))</f>
        <v/>
      </c>
      <c r="BK103" s="38" t="str">
        <f ca="1">IF($AX103="","",
IF(AND(BJ103="g",VLOOKUP(LEFT($AX103,LEN($AX103)-2),'Field information 2'!$B$12:$P$111,9,FALSE)&lt;&gt;"yes"),
IF(BG103="10-25% OM",6,IF(BG103="&gt;25% OM",12,IF(BG103="SCL; CL; ZCL; SC; ZC; C",6,IF(BG103="SL; SZL; ZL",5,IF(BG103="S; LS",4,"?"))))),
IF(OR(BJ103="a",AND(BJ103="g",VLOOKUP(LEFT($AX103,LEN($AX103)-2),'Field information 2'!$B$12:$P$111,9,FALSE)="yes")),
IF(BG103="10-25% OM",8,IF(BG103="&gt;25% OM",16,IF(BG103="SCL; CL; ZCL; SC; ZC; C",8,IF(BG103="SL; SZL; ZL",7,IF(BG103="S; LS",6,"?"))))),"")))</f>
        <v/>
      </c>
      <c r="BL103" t="str">
        <f ca="1">IF(AX103&lt;&gt;"",COUNTBLANK('Soil results'!D108:D108)+COUNTBLANK('Soil results'!F108:I108)+COUNTBLANK('Soil results'!K108:Q108),"")</f>
        <v/>
      </c>
      <c r="BM103" t="str">
        <f ca="1">IF(AX103&lt;&gt;"",
IF(OR(ISNUMBER(SEARCH("10*01*01",'Field information 2'!$M$5)),ISNUMBER(SEARCH("10*01*03",'Field information 2'!$M$5))),0.25,1),"")</f>
        <v/>
      </c>
      <c r="BN103" s="275" t="str">
        <f ca="1">IF(AX103&lt;&gt;"",
IF(COUNTIF('Soil results'!G109:G$159,"="&amp;'Soil results'!G108)+COUNTIF('Soil results'!H109:H$159,"="&amp;'Soil results'!H108)+COUNTIF('Soil results'!I109:I$159,"="&amp;'Soil results'!I108)=0,"no",
IF(MOD(COUNTIF('Soil results'!G109:G$159,"="&amp;'Soil results'!G108)+COUNTIF('Soil results'!H109:H$159,"="&amp;'Soil results'!H108)+COUNTIF('Soil results'!I109:I$159,"="&amp;'Soil results'!I108),3)=0,"yes","no")),"")</f>
        <v/>
      </c>
      <c r="BO103" s="276" t="str">
        <f t="shared" ca="1" si="136"/>
        <v/>
      </c>
      <c r="BP103" s="33"/>
      <c r="BQ103" s="276"/>
      <c r="BR103" s="276"/>
      <c r="BS103" s="276" t="str">
        <f t="shared" ca="1" si="137"/>
        <v/>
      </c>
      <c r="BT103" s="153" t="str">
        <f ca="1">IF(AX103="","",
IF(OR(Assessment!F105="limited benefit",Assessment!F105="benefit", Assessment!M105="limited benefit",Assessment!M105="benefit", Assessment!R105="limited benefit",Assessment!R105="benefit", Assessment!W105="limited benefit",Assessment!W105="benefit", Assessment!AB105="limited benefit",Assessment!AB105="benefit", AND(ISNUMBER(Assessment!AF105),Assessment!AG105="ok"), Assessment!AJ105="benefit"),"yes","no"))</f>
        <v/>
      </c>
      <c r="BW103" t="s">
        <v>406</v>
      </c>
    </row>
    <row r="104" spans="1:75" ht="15" x14ac:dyDescent="0.25">
      <c r="A104" s="272">
        <f>IF(AND('Field information 2'!L111&gt;0, 'Field information 2'!M111=0),"data missing", 'Field information 2'!M111-'Field information 2'!L111)</f>
        <v>0</v>
      </c>
      <c r="B104" s="272">
        <f>IF(AND('Field information 2'!N111&gt;0,'Field information 2'!O111=0),"data missing",'Field information 2'!O111-'Field information 2'!N111)</f>
        <v>0</v>
      </c>
      <c r="C104" s="272">
        <f>IF(AND('Field information 2'!P111&gt;0, 'Field information 2'!Q111=0),"data missing",'Field information 2'!Q111-'Field information 2'!P111)</f>
        <v>0</v>
      </c>
      <c r="D104">
        <f>'Field information 2'!L111</f>
        <v>0</v>
      </c>
      <c r="E104" s="249" t="str">
        <f>IF(OR('Field information 2'!L111&gt;0,'Field information 2'!N111&gt;0,'Field information 2'!P111&gt;0),"Y","N")</f>
        <v>N</v>
      </c>
      <c r="F104" s="277" t="str">
        <f t="shared" si="130"/>
        <v/>
      </c>
      <c r="G104" t="str">
        <f>IF(OR(ISBLANK('Field information 1'!B105),AND(OR(ISBLANK('Field information 2'!L111), 'Field information 2'!L111=0),OR(ISBLANK('Field information 2'!N111), 'Field information 2'!N111=0), OR(ISBLANK('Field information 2'!P111), 'Field information 2'!P111=0))),"",
IF(ISTEXT('Field information 1'!B105), 'Field information 1'!B105, TEXT('Field information 1'!B105,"0")))</f>
        <v/>
      </c>
      <c r="H104" t="str">
        <f>IF(OR(ISBLANK('Field information 1'!B105),ISBLANK('Field information 2'!L111),ISBLANK('Field information 2'!F111)),"",'Field information 2'!F111)</f>
        <v/>
      </c>
      <c r="I104" s="91" t="str">
        <f>IF(OR(ISBLANK('Field information 1'!E105),G104=""),"",CEILING('Field information 1'!E105/10,1))</f>
        <v/>
      </c>
      <c r="J104" s="91" t="str">
        <f t="shared" si="131"/>
        <v>no</v>
      </c>
      <c r="K104" s="135" t="str">
        <f t="shared" ca="1" si="139"/>
        <v/>
      </c>
      <c r="L104" s="135" t="str">
        <f t="shared" ca="1" si="140"/>
        <v/>
      </c>
      <c r="M104" s="135" t="str">
        <f t="shared" ca="1" si="141"/>
        <v/>
      </c>
      <c r="N104" s="135" t="str">
        <f t="shared" ca="1" si="142"/>
        <v/>
      </c>
      <c r="O104" s="135" t="str">
        <f t="shared" ca="1" si="143"/>
        <v/>
      </c>
      <c r="P104" s="135" t="str">
        <f t="shared" ca="1" si="144"/>
        <v/>
      </c>
      <c r="Q104" s="135" t="str">
        <f t="shared" ca="1" si="145"/>
        <v/>
      </c>
      <c r="R104" s="135" t="str">
        <f t="shared" ca="1" si="146"/>
        <v/>
      </c>
      <c r="S104" s="135" t="str">
        <f t="shared" ca="1" si="147"/>
        <v/>
      </c>
      <c r="T104" s="135" t="str">
        <f t="shared" ca="1" si="148"/>
        <v/>
      </c>
      <c r="U104" s="49" t="str">
        <f t="shared" ca="1" si="106"/>
        <v/>
      </c>
      <c r="V104" s="7" t="str">
        <f t="shared" ca="1" si="107"/>
        <v/>
      </c>
      <c r="W104" s="7" t="str">
        <f t="shared" ca="1" si="108"/>
        <v/>
      </c>
      <c r="X104" s="7" t="str">
        <f t="shared" ca="1" si="109"/>
        <v/>
      </c>
      <c r="Y104" s="91"/>
      <c r="Z104" s="247" t="str">
        <f t="shared" si="110"/>
        <v/>
      </c>
      <c r="AA104" s="247" t="str">
        <f t="shared" si="111"/>
        <v/>
      </c>
      <c r="AB104" s="247" t="str">
        <f t="shared" si="112"/>
        <v/>
      </c>
      <c r="AC104" s="247" t="str">
        <f t="shared" si="113"/>
        <v/>
      </c>
      <c r="AD104" s="247" t="str">
        <f t="shared" si="114"/>
        <v/>
      </c>
      <c r="AE104" s="247" t="str">
        <f t="shared" si="115"/>
        <v/>
      </c>
      <c r="AF104" s="247" t="str">
        <f t="shared" si="116"/>
        <v/>
      </c>
      <c r="AG104" s="247" t="str">
        <f t="shared" si="117"/>
        <v/>
      </c>
      <c r="AH104" s="247" t="str">
        <f t="shared" si="118"/>
        <v/>
      </c>
      <c r="AI104" s="247" t="str">
        <f t="shared" si="119"/>
        <v/>
      </c>
      <c r="AK104" s="247" t="str">
        <f t="shared" si="120"/>
        <v/>
      </c>
      <c r="AL104" s="247" t="str">
        <f t="shared" si="121"/>
        <v/>
      </c>
      <c r="AM104" s="247" t="str">
        <f t="shared" si="122"/>
        <v/>
      </c>
      <c r="AN104" s="247" t="str">
        <f t="shared" si="123"/>
        <v/>
      </c>
      <c r="AO104" s="247" t="str">
        <f t="shared" si="124"/>
        <v/>
      </c>
      <c r="AP104" s="247" t="str">
        <f t="shared" si="125"/>
        <v/>
      </c>
      <c r="AQ104" s="247" t="str">
        <f t="shared" si="126"/>
        <v/>
      </c>
      <c r="AR104" s="247" t="str">
        <f t="shared" si="127"/>
        <v/>
      </c>
      <c r="AS104" s="247" t="str">
        <f t="shared" si="128"/>
        <v/>
      </c>
      <c r="AT104" s="247" t="str">
        <f t="shared" si="129"/>
        <v/>
      </c>
      <c r="AU104" s="189"/>
      <c r="AV104" t="str">
        <f>IF(ISBLANK('Field information 1'!F105),"",'Field information 1'!F105)</f>
        <v/>
      </c>
      <c r="AW104" s="334"/>
      <c r="AX104" s="247" t="str" cm="1">
        <f t="array" aca="1" ref="AX104" ca="1">INDIRECT(TEXT(MIN(IF((Calc!$Z$5:$AI$104&lt;&gt;"")*(COUNTIF($AX$4:AX103,Calc!$Z$5:$AI$104)=0),ROW(Calc!$Z$5:$AI$104)*100+COLUMN(Calc!$Z$5:$AI$104),7^8)),"Calc!R0C00"),)&amp;""</f>
        <v/>
      </c>
      <c r="AY104" t="str" cm="1">
        <f t="array" aca="1" ref="AY104" ca="1">INDIRECT(TEXT(MIN(IF((Calc!$AK$5:$AT$104&lt;&gt;"")*(COUNTIF(AY$4:$AY103,Calc!$AK$5:$AT$104)=0),ROW(Calc!$AK$5:$AT$104)*100+COLUMN(Calc!$AK$5:$AT$104),7^8)),"Calc!R0C00"),)&amp;""</f>
        <v/>
      </c>
      <c r="AZ104" s="247" t="str">
        <f t="shared" ca="1" si="132"/>
        <v/>
      </c>
      <c r="BA104" s="324">
        <f t="shared" si="138"/>
        <v>100</v>
      </c>
      <c r="BB104">
        <f t="shared" ca="1" si="133"/>
        <v>0</v>
      </c>
      <c r="BC104" t="str">
        <f ca="1">IF($AX104="","",
VLOOKUP(LEFT($AX104,LEN($AX104)-2),'Field information 2'!$B$12:$P$111,11,FALSE))</f>
        <v/>
      </c>
      <c r="BD104" t="str">
        <f ca="1">IF($AX104="","",
VLOOKUP(LEFT($AX104,LEN($AX104)-2),'Field information 2'!$B$12:$P$111,13,FALSE))</f>
        <v/>
      </c>
      <c r="BE104" t="str">
        <f ca="1">IF($AX104="","",
VLOOKUP(LEFT($AX104,LEN($AX104)-2),'Field information 2'!$B$12:$P$111,15,FALSE))</f>
        <v/>
      </c>
      <c r="BF104">
        <f t="shared" ca="1" si="134"/>
        <v>0</v>
      </c>
      <c r="BG104" t="str">
        <f t="shared" ca="1" si="135"/>
        <v/>
      </c>
      <c r="BH104" s="7" t="str">
        <f ca="1">IF(OR(AX104="",'Soil results'!$D$7="",'Soil results'!$D$8=""),"",
IF('Soil results'!$D$7="LOI",
  IF('Soil results'!$D$8="mg/kg",'Soil results'!D109/10000,'Soil results'!D109),
IF('Soil results'!$D$7="Dumas",
  IF('Soil results'!$D$8="mg/kg",'Soil results'!D109*1.72/10000,'Soil results'!D109*1.72))))</f>
        <v/>
      </c>
      <c r="BI104" t="str">
        <f ca="1">IF($AX104="","",
VLOOKUP(LEFT($AX104,LEN($AX104)-2),'Field information 2'!$B$12:$I$111,8,FALSE))</f>
        <v/>
      </c>
      <c r="BJ104" t="str">
        <f ca="1">IF(BI104="","",
VLOOKUP(BI104,'Fertiliser recommendations'!$A$5:$B$62,2,FALSE))</f>
        <v/>
      </c>
      <c r="BK104" s="38" t="str">
        <f ca="1">IF($AX104="","",
IF(AND(BJ104="g",VLOOKUP(LEFT($AX104,LEN($AX104)-2),'Field information 2'!$B$12:$P$111,9,FALSE)&lt;&gt;"yes"),
IF(BG104="10-25% OM",6,IF(BG104="&gt;25% OM",12,IF(BG104="SCL; CL; ZCL; SC; ZC; C",6,IF(BG104="SL; SZL; ZL",5,IF(BG104="S; LS",4,"?"))))),
IF(OR(BJ104="a",AND(BJ104="g",VLOOKUP(LEFT($AX104,LEN($AX104)-2),'Field information 2'!$B$12:$P$111,9,FALSE)="yes")),
IF(BG104="10-25% OM",8,IF(BG104="&gt;25% OM",16,IF(BG104="SCL; CL; ZCL; SC; ZC; C",8,IF(BG104="SL; SZL; ZL",7,IF(BG104="S; LS",6,"?"))))),"")))</f>
        <v/>
      </c>
      <c r="BL104" t="str">
        <f ca="1">IF(AX104&lt;&gt;"",COUNTBLANK('Soil results'!D109:D109)+COUNTBLANK('Soil results'!F109:I109)+COUNTBLANK('Soil results'!K109:Q109),"")</f>
        <v/>
      </c>
      <c r="BM104" t="str">
        <f ca="1">IF(AX104&lt;&gt;"",
IF(OR(ISNUMBER(SEARCH("10*01*01",'Field information 2'!$M$5)),ISNUMBER(SEARCH("10*01*03",'Field information 2'!$M$5))),0.25,1),"")</f>
        <v/>
      </c>
      <c r="BN104" s="275" t="str">
        <f ca="1">IF(AX104&lt;&gt;"",
IF(COUNTIF('Soil results'!G110:G$159,"="&amp;'Soil results'!G109)+COUNTIF('Soil results'!H110:H$159,"="&amp;'Soil results'!H109)+COUNTIF('Soil results'!I110:I$159,"="&amp;'Soil results'!I109)=0,"no",
IF(MOD(COUNTIF('Soil results'!G110:G$159,"="&amp;'Soil results'!G109)+COUNTIF('Soil results'!H110:H$159,"="&amp;'Soil results'!H109)+COUNTIF('Soil results'!I110:I$159,"="&amp;'Soil results'!I109),3)=0,"yes","no")),"")</f>
        <v/>
      </c>
      <c r="BO104" s="276" t="str">
        <f t="shared" ca="1" si="136"/>
        <v/>
      </c>
      <c r="BP104" s="33"/>
      <c r="BQ104" s="276"/>
      <c r="BR104" s="276"/>
      <c r="BS104" s="276" t="str">
        <f t="shared" ca="1" si="137"/>
        <v/>
      </c>
      <c r="BT104" s="153" t="str">
        <f ca="1">IF(AX104="","",
IF(OR(Assessment!F106="limited benefit",Assessment!F106="benefit", Assessment!M106="limited benefit",Assessment!M106="benefit", Assessment!R106="limited benefit",Assessment!R106="benefit", Assessment!W106="limited benefit",Assessment!W106="benefit", Assessment!AB106="limited benefit",Assessment!AB106="benefit", AND(ISNUMBER(Assessment!AF106),Assessment!AG106="ok"), Assessment!AJ106="benefit"),"yes","no"))</f>
        <v/>
      </c>
      <c r="BW104" t="s">
        <v>407</v>
      </c>
    </row>
    <row r="105" spans="1:75" ht="15" x14ac:dyDescent="0.25">
      <c r="Z105" s="189"/>
      <c r="AA105" s="189"/>
      <c r="AB105" s="189"/>
      <c r="AC105" s="189"/>
      <c r="AD105" s="189"/>
      <c r="AE105" s="189"/>
      <c r="AF105" s="189"/>
      <c r="AG105" s="189"/>
      <c r="AH105" s="189"/>
      <c r="AI105" s="189"/>
      <c r="AX105" s="247" t="str" cm="1">
        <f t="array" aca="1" ref="AX105" ca="1">INDIRECT(TEXT(MIN(IF((Calc!$Z$5:$AI$104&lt;&gt;"")*(COUNTIF($AX$4:AX104,Calc!$Z$5:$AI$104)=0),ROW(Calc!$Z$5:$AI$104)*100+COLUMN(Calc!$Z$5:$AI$104),7^8)),"Calc!R0C00"),)&amp;""</f>
        <v/>
      </c>
      <c r="AY105" t="str" cm="1">
        <f t="array" aca="1" ref="AY105" ca="1">INDIRECT(TEXT(MIN(IF((Calc!$AK$5:$AT$104&lt;&gt;"")*(COUNTIF(AY$4:$AY104,Calc!$AK$5:$AT$104)=0),ROW(Calc!$AK$5:$AT$104)*100+COLUMN(Calc!$AK$5:$AT$104),7^8)),"Calc!R0C00"),)&amp;""</f>
        <v/>
      </c>
      <c r="AZ105" s="247" t="str">
        <f t="shared" ref="AZ105:AZ154" ca="1" si="149">IF(AY105=AX105,"",AY105)</f>
        <v/>
      </c>
      <c r="BA105" s="324">
        <f t="shared" si="138"/>
        <v>101</v>
      </c>
      <c r="BB105">
        <f t="shared" ca="1" si="133"/>
        <v>0</v>
      </c>
      <c r="BC105" t="str">
        <f ca="1">IF($AX105="","",
VLOOKUP(LEFT($AX105,LEN($AX105)-2),'Field information 2'!$B$12:$P$111,11,FALSE))</f>
        <v/>
      </c>
      <c r="BD105" t="str">
        <f ca="1">IF($AX105="","",
VLOOKUP(LEFT($AX105,LEN($AX105)-2),'Field information 2'!$B$12:$P$111,13,FALSE))</f>
        <v/>
      </c>
      <c r="BE105" t="str">
        <f ca="1">IF($AX105="","",
VLOOKUP(LEFT($AX105,LEN($AX105)-2),'Field information 2'!$B$12:$P$111,15,FALSE))</f>
        <v/>
      </c>
      <c r="BF105">
        <f t="shared" ca="1" si="134"/>
        <v>0</v>
      </c>
      <c r="BG105" t="str">
        <f t="shared" ca="1" si="135"/>
        <v/>
      </c>
      <c r="BH105" s="7" t="str">
        <f ca="1">IF(OR(AX105="",'Soil results'!$D$7="",'Soil results'!$D$8=""),"",
IF('Soil results'!$D$7="LOI",
  IF('Soil results'!$D$8="mg/kg",'Soil results'!D110/10000,'Soil results'!D110),
IF('Soil results'!$D$7="Dumas",
  IF('Soil results'!$D$8="mg/kg",'Soil results'!D110*1.72/10000,'Soil results'!D110*1.72))))</f>
        <v/>
      </c>
      <c r="BI105" t="str">
        <f ca="1">IF($AX105="","",
VLOOKUP(LEFT($AX105,LEN($AX105)-2),'Field information 2'!$B$12:$I$111,8,FALSE))</f>
        <v/>
      </c>
      <c r="BJ105" t="str">
        <f ca="1">IF(BI105="","",
VLOOKUP(BI105,'Fertiliser recommendations'!$A$5:$B$62,2,FALSE))</f>
        <v/>
      </c>
      <c r="BK105" s="38" t="str">
        <f ca="1">IF($AX105="","",
IF(AND(BJ105="g",VLOOKUP(LEFT($AX105,LEN($AX105)-2),'Field information 2'!$B$12:$P$111,9,FALSE)&lt;&gt;"yes"),
IF(BG105="10-25% OM",6,IF(BG105="&gt;25% OM",12,IF(BG105="SCL; CL; ZCL; SC; ZC; C",6,IF(BG105="SL; SZL; ZL",5,IF(BG105="S; LS",4,"?"))))),
IF(OR(BJ105="a",AND(BJ105="g",VLOOKUP(LEFT($AX105,LEN($AX105)-2),'Field information 2'!$B$12:$P$111,9,FALSE)="yes")),
IF(BG105="10-25% OM",8,IF(BG105="&gt;25% OM",16,IF(BG105="SCL; CL; ZCL; SC; ZC; C",8,IF(BG105="SL; SZL; ZL",7,IF(BG105="S; LS",6,"?"))))),"")))</f>
        <v/>
      </c>
      <c r="BL105" t="str">
        <f ca="1">IF(AX105&lt;&gt;"",COUNTBLANK('Soil results'!D110:D110)+COUNTBLANK('Soil results'!F110:I110)+COUNTBLANK('Soil results'!K110:Q110),"")</f>
        <v/>
      </c>
      <c r="BM105" t="str">
        <f ca="1">IF(AX105&lt;&gt;"",
IF(OR(ISNUMBER(SEARCH("10*01*01",'Field information 2'!$M$5)),ISNUMBER(SEARCH("10*01*03",'Field information 2'!$M$5))),0.25,1),"")</f>
        <v/>
      </c>
      <c r="BN105" s="275" t="str">
        <f ca="1">IF(AX105&lt;&gt;"",
IF(COUNTIF('Soil results'!G111:G$159,"="&amp;'Soil results'!G110)+COUNTIF('Soil results'!H111:H$159,"="&amp;'Soil results'!H110)+COUNTIF('Soil results'!I111:I$159,"="&amp;'Soil results'!I110)=0,"no",
IF(MOD(COUNTIF('Soil results'!G111:G$159,"="&amp;'Soil results'!G110)+COUNTIF('Soil results'!H111:H$159,"="&amp;'Soil results'!H110)+COUNTIF('Soil results'!I111:I$159,"="&amp;'Soil results'!I110),3)=0,"yes","no")),"")</f>
        <v/>
      </c>
      <c r="BO105" s="276" t="str">
        <f t="shared" ca="1" si="136"/>
        <v/>
      </c>
      <c r="BP105" s="33"/>
      <c r="BQ105" s="276"/>
      <c r="BR105" s="276"/>
      <c r="BS105" s="276" t="str">
        <f t="shared" ca="1" si="137"/>
        <v/>
      </c>
      <c r="BT105" s="153" t="str">
        <f ca="1">IF(AX105="","",
IF(OR(Assessment!F107="limited benefit",Assessment!F107="benefit", Assessment!M107="limited benefit",Assessment!M107="benefit", Assessment!R107="limited benefit",Assessment!R107="benefit", Assessment!W107="limited benefit",Assessment!W107="benefit", Assessment!AB107="limited benefit",Assessment!AB107="benefit", AND(ISNUMBER(Assessment!AF107),Assessment!AG107="ok"), Assessment!AJ107="benefit"),"yes","no"))</f>
        <v/>
      </c>
    </row>
    <row r="106" spans="1:75" ht="15" x14ac:dyDescent="0.25">
      <c r="AX106" s="247" t="str" cm="1">
        <f t="array" aca="1" ref="AX106" ca="1">INDIRECT(TEXT(MIN(IF((Calc!$Z$5:$AI$104&lt;&gt;"")*(COUNTIF($AX$4:AX105,Calc!$Z$5:$AI$104)=0),ROW(Calc!$Z$5:$AI$104)*100+COLUMN(Calc!$Z$5:$AI$104),7^8)),"Calc!R0C00"),)&amp;""</f>
        <v/>
      </c>
      <c r="AY106" t="str" cm="1">
        <f t="array" aca="1" ref="AY106" ca="1">INDIRECT(TEXT(MIN(IF((Calc!$AK$5:$AT$104&lt;&gt;"")*(COUNTIF(AY$4:$AY105,Calc!$AK$5:$AT$104)=0),ROW(Calc!$AK$5:$AT$104)*100+COLUMN(Calc!$AK$5:$AT$104),7^8)),"Calc!R0C00"),)&amp;""</f>
        <v/>
      </c>
      <c r="AZ106" s="247" t="str">
        <f t="shared" ca="1" si="149"/>
        <v/>
      </c>
      <c r="BA106" s="324">
        <f t="shared" si="138"/>
        <v>102</v>
      </c>
      <c r="BB106">
        <f t="shared" ca="1" si="133"/>
        <v>0</v>
      </c>
      <c r="BC106" t="str">
        <f ca="1">IF($AX106="","",
VLOOKUP(LEFT($AX106,LEN($AX106)-2),'Field information 2'!$B$12:$P$111,11,FALSE))</f>
        <v/>
      </c>
      <c r="BD106" t="str">
        <f ca="1">IF($AX106="","",
VLOOKUP(LEFT($AX106,LEN($AX106)-2),'Field information 2'!$B$12:$P$111,13,FALSE))</f>
        <v/>
      </c>
      <c r="BE106" t="str">
        <f ca="1">IF($AX106="","",
VLOOKUP(LEFT($AX106,LEN($AX106)-2),'Field information 2'!$B$12:$P$111,15,FALSE))</f>
        <v/>
      </c>
      <c r="BF106">
        <f t="shared" ca="1" si="134"/>
        <v>0</v>
      </c>
      <c r="BG106" t="str">
        <f t="shared" ca="1" si="135"/>
        <v/>
      </c>
      <c r="BH106" s="7" t="str">
        <f ca="1">IF(OR(AX106="",'Soil results'!$D$7="",'Soil results'!$D$8=""),"",
IF('Soil results'!$D$7="LOI",
  IF('Soil results'!$D$8="mg/kg",'Soil results'!D111/10000,'Soil results'!D111),
IF('Soil results'!$D$7="Dumas",
  IF('Soil results'!$D$8="mg/kg",'Soil results'!D111*1.72/10000,'Soil results'!D111*1.72))))</f>
        <v/>
      </c>
      <c r="BI106" t="str">
        <f ca="1">IF($AX106="","",
VLOOKUP(LEFT($AX106,LEN($AX106)-2),'Field information 2'!$B$12:$I$111,8,FALSE))</f>
        <v/>
      </c>
      <c r="BJ106" t="str">
        <f ca="1">IF(BI106="","",
VLOOKUP(BI106,'Fertiliser recommendations'!$A$5:$B$62,2,FALSE))</f>
        <v/>
      </c>
      <c r="BK106" s="38" t="str">
        <f ca="1">IF($AX106="","",
IF(AND(BJ106="g",VLOOKUP(LEFT($AX106,LEN($AX106)-2),'Field information 2'!$B$12:$P$111,9,FALSE)&lt;&gt;"yes"),
IF(BG106="10-25% OM",6,IF(BG106="&gt;25% OM",12,IF(BG106="SCL; CL; ZCL; SC; ZC; C",6,IF(BG106="SL; SZL; ZL",5,IF(BG106="S; LS",4,"?"))))),
IF(OR(BJ106="a",AND(BJ106="g",VLOOKUP(LEFT($AX106,LEN($AX106)-2),'Field information 2'!$B$12:$P$111,9,FALSE)="yes")),
IF(BG106="10-25% OM",8,IF(BG106="&gt;25% OM",16,IF(BG106="SCL; CL; ZCL; SC; ZC; C",8,IF(BG106="SL; SZL; ZL",7,IF(BG106="S; LS",6,"?"))))),"")))</f>
        <v/>
      </c>
      <c r="BL106" t="str">
        <f ca="1">IF(AX106&lt;&gt;"",COUNTBLANK('Soil results'!D111:D111)+COUNTBLANK('Soil results'!F111:I111)+COUNTBLANK('Soil results'!K111:Q111),"")</f>
        <v/>
      </c>
      <c r="BM106" t="str">
        <f ca="1">IF(AX106&lt;&gt;"",
IF(OR(ISNUMBER(SEARCH("10*01*01",'Field information 2'!$M$5)),ISNUMBER(SEARCH("10*01*03",'Field information 2'!$M$5))),0.25,1),"")</f>
        <v/>
      </c>
      <c r="BN106" s="275" t="str">
        <f ca="1">IF(AX106&lt;&gt;"",
IF(COUNTIF('Soil results'!G112:G$159,"="&amp;'Soil results'!G111)+COUNTIF('Soil results'!H112:H$159,"="&amp;'Soil results'!H111)+COUNTIF('Soil results'!I112:I$159,"="&amp;'Soil results'!I111)=0,"no",
IF(MOD(COUNTIF('Soil results'!G112:G$159,"="&amp;'Soil results'!G111)+COUNTIF('Soil results'!H112:H$159,"="&amp;'Soil results'!H111)+COUNTIF('Soil results'!I112:I$159,"="&amp;'Soil results'!I111),3)=0,"yes","no")),"")</f>
        <v/>
      </c>
      <c r="BO106" s="276" t="str">
        <f t="shared" ca="1" si="136"/>
        <v/>
      </c>
      <c r="BP106" s="33"/>
      <c r="BQ106" s="276"/>
      <c r="BR106" s="276"/>
      <c r="BS106" s="276" t="str">
        <f t="shared" ca="1" si="137"/>
        <v/>
      </c>
      <c r="BT106" s="153" t="str">
        <f ca="1">IF(AX106="","",
IF(OR(Assessment!F108="limited benefit",Assessment!F108="benefit", Assessment!M108="limited benefit",Assessment!M108="benefit", Assessment!R108="limited benefit",Assessment!R108="benefit", Assessment!W108="limited benefit",Assessment!W108="benefit", Assessment!AB108="limited benefit",Assessment!AB108="benefit", AND(ISNUMBER(Assessment!AF108),Assessment!AG108="ok"), Assessment!AJ108="benefit"),"yes","no"))</f>
        <v/>
      </c>
      <c r="BW106" s="216" t="s">
        <v>408</v>
      </c>
    </row>
    <row r="107" spans="1:75" ht="15" x14ac:dyDescent="0.25">
      <c r="AX107" s="247" t="str" cm="1">
        <f t="array" aca="1" ref="AX107" ca="1">INDIRECT(TEXT(MIN(IF((Calc!$Z$5:$AI$104&lt;&gt;"")*(COUNTIF($AX$4:AX106,Calc!$Z$5:$AI$104)=0),ROW(Calc!$Z$5:$AI$104)*100+COLUMN(Calc!$Z$5:$AI$104),7^8)),"Calc!R0C00"),)&amp;""</f>
        <v/>
      </c>
      <c r="AY107" t="str" cm="1">
        <f t="array" aca="1" ref="AY107" ca="1">INDIRECT(TEXT(MIN(IF((Calc!$AK$5:$AT$104&lt;&gt;"")*(COUNTIF(AY$4:$AY106,Calc!$AK$5:$AT$104)=0),ROW(Calc!$AK$5:$AT$104)*100+COLUMN(Calc!$AK$5:$AT$104),7^8)),"Calc!R0C00"),)&amp;""</f>
        <v/>
      </c>
      <c r="AZ107" s="247" t="str">
        <f t="shared" ca="1" si="149"/>
        <v/>
      </c>
      <c r="BA107" s="324">
        <f t="shared" si="138"/>
        <v>103</v>
      </c>
      <c r="BB107">
        <f t="shared" ca="1" si="133"/>
        <v>0</v>
      </c>
      <c r="BC107" t="str">
        <f ca="1">IF($AX107="","",
VLOOKUP(LEFT($AX107,LEN($AX107)-2),'Field information 2'!$B$12:$P$111,11,FALSE))</f>
        <v/>
      </c>
      <c r="BD107" t="str">
        <f ca="1">IF($AX107="","",
VLOOKUP(LEFT($AX107,LEN($AX107)-2),'Field information 2'!$B$12:$P$111,13,FALSE))</f>
        <v/>
      </c>
      <c r="BE107" t="str">
        <f ca="1">IF($AX107="","",
VLOOKUP(LEFT($AX107,LEN($AX107)-2),'Field information 2'!$B$12:$P$111,15,FALSE))</f>
        <v/>
      </c>
      <c r="BF107">
        <f t="shared" ca="1" si="134"/>
        <v>0</v>
      </c>
      <c r="BG107" t="str">
        <f t="shared" ca="1" si="135"/>
        <v/>
      </c>
      <c r="BH107" s="7" t="str">
        <f ca="1">IF(OR(AX107="",'Soil results'!$D$7="",'Soil results'!$D$8=""),"",
IF('Soil results'!$D$7="LOI",
  IF('Soil results'!$D$8="mg/kg",'Soil results'!D112/10000,'Soil results'!D112),
IF('Soil results'!$D$7="Dumas",
  IF('Soil results'!$D$8="mg/kg",'Soil results'!D112*1.72/10000,'Soil results'!D112*1.72))))</f>
        <v/>
      </c>
      <c r="BI107" t="str">
        <f ca="1">IF($AX107="","",
VLOOKUP(LEFT($AX107,LEN($AX107)-2),'Field information 2'!$B$12:$I$111,8,FALSE))</f>
        <v/>
      </c>
      <c r="BJ107" t="str">
        <f ca="1">IF(BI107="","",
VLOOKUP(BI107,'Fertiliser recommendations'!$A$5:$B$62,2,FALSE))</f>
        <v/>
      </c>
      <c r="BK107" s="38" t="str">
        <f ca="1">IF($AX107="","",
IF(AND(BJ107="g",VLOOKUP(LEFT($AX107,LEN($AX107)-2),'Field information 2'!$B$12:$P$111,9,FALSE)&lt;&gt;"yes"),
IF(BG107="10-25% OM",6,IF(BG107="&gt;25% OM",12,IF(BG107="SCL; CL; ZCL; SC; ZC; C",6,IF(BG107="SL; SZL; ZL",5,IF(BG107="S; LS",4,"?"))))),
IF(OR(BJ107="a",AND(BJ107="g",VLOOKUP(LEFT($AX107,LEN($AX107)-2),'Field information 2'!$B$12:$P$111,9,FALSE)="yes")),
IF(BG107="10-25% OM",8,IF(BG107="&gt;25% OM",16,IF(BG107="SCL; CL; ZCL; SC; ZC; C",8,IF(BG107="SL; SZL; ZL",7,IF(BG107="S; LS",6,"?"))))),"")))</f>
        <v/>
      </c>
      <c r="BL107" t="str">
        <f ca="1">IF(AX107&lt;&gt;"",COUNTBLANK('Soil results'!D112:D112)+COUNTBLANK('Soil results'!F112:I112)+COUNTBLANK('Soil results'!K112:Q112),"")</f>
        <v/>
      </c>
      <c r="BM107" t="str">
        <f ca="1">IF(AX107&lt;&gt;"",
IF(OR(ISNUMBER(SEARCH("10*01*01",'Field information 2'!$M$5)),ISNUMBER(SEARCH("10*01*03",'Field information 2'!$M$5))),0.25,1),"")</f>
        <v/>
      </c>
      <c r="BN107" s="275" t="str">
        <f ca="1">IF(AX107&lt;&gt;"",
IF(COUNTIF('Soil results'!G113:G$159,"="&amp;'Soil results'!G112)+COUNTIF('Soil results'!H113:H$159,"="&amp;'Soil results'!H112)+COUNTIF('Soil results'!I113:I$159,"="&amp;'Soil results'!I112)=0,"no",
IF(MOD(COUNTIF('Soil results'!G113:G$159,"="&amp;'Soil results'!G112)+COUNTIF('Soil results'!H113:H$159,"="&amp;'Soil results'!H112)+COUNTIF('Soil results'!I113:I$159,"="&amp;'Soil results'!I112),3)=0,"yes","no")),"")</f>
        <v/>
      </c>
      <c r="BO107" s="276" t="str">
        <f t="shared" ca="1" si="136"/>
        <v/>
      </c>
      <c r="BP107" s="33"/>
      <c r="BQ107" s="276"/>
      <c r="BR107" s="276"/>
      <c r="BS107" s="276" t="str">
        <f t="shared" ca="1" si="137"/>
        <v/>
      </c>
      <c r="BT107" s="153" t="str">
        <f ca="1">IF(AX107="","",
IF(OR(Assessment!F109="limited benefit",Assessment!F109="benefit", Assessment!M109="limited benefit",Assessment!M109="benefit", Assessment!R109="limited benefit",Assessment!R109="benefit", Assessment!W109="limited benefit",Assessment!W109="benefit", Assessment!AB109="limited benefit",Assessment!AB109="benefit", AND(ISNUMBER(Assessment!AF109),Assessment!AG109="ok"), Assessment!AJ109="benefit"),"yes","no"))</f>
        <v/>
      </c>
      <c r="BW107" t="s">
        <v>409</v>
      </c>
    </row>
    <row r="108" spans="1:75" ht="15" x14ac:dyDescent="0.25">
      <c r="AX108" s="247" t="str" cm="1">
        <f t="array" aca="1" ref="AX108" ca="1">INDIRECT(TEXT(MIN(IF((Calc!$Z$5:$AI$104&lt;&gt;"")*(COUNTIF($AX$4:AX107,Calc!$Z$5:$AI$104)=0),ROW(Calc!$Z$5:$AI$104)*100+COLUMN(Calc!$Z$5:$AI$104),7^8)),"Calc!R0C00"),)&amp;""</f>
        <v/>
      </c>
      <c r="AY108" t="str" cm="1">
        <f t="array" aca="1" ref="AY108" ca="1">INDIRECT(TEXT(MIN(IF((Calc!$AK$5:$AT$104&lt;&gt;"")*(COUNTIF(AY$4:$AY107,Calc!$AK$5:$AT$104)=0),ROW(Calc!$AK$5:$AT$104)*100+COLUMN(Calc!$AK$5:$AT$104),7^8)),"Calc!R0C00"),)&amp;""</f>
        <v/>
      </c>
      <c r="AZ108" s="247" t="str">
        <f t="shared" ca="1" si="149"/>
        <v/>
      </c>
      <c r="BA108" s="324">
        <f t="shared" si="138"/>
        <v>104</v>
      </c>
      <c r="BB108">
        <f t="shared" ca="1" si="133"/>
        <v>0</v>
      </c>
      <c r="BC108" t="str">
        <f ca="1">IF($AX108="","",
VLOOKUP(LEFT($AX108,LEN($AX108)-2),'Field information 2'!$B$12:$P$111,11,FALSE))</f>
        <v/>
      </c>
      <c r="BD108" t="str">
        <f ca="1">IF($AX108="","",
VLOOKUP(LEFT($AX108,LEN($AX108)-2),'Field information 2'!$B$12:$P$111,13,FALSE))</f>
        <v/>
      </c>
      <c r="BE108" t="str">
        <f ca="1">IF($AX108="","",
VLOOKUP(LEFT($AX108,LEN($AX108)-2),'Field information 2'!$B$12:$P$111,15,FALSE))</f>
        <v/>
      </c>
      <c r="BF108">
        <f t="shared" ca="1" si="134"/>
        <v>0</v>
      </c>
      <c r="BG108" t="str">
        <f t="shared" ca="1" si="135"/>
        <v/>
      </c>
      <c r="BH108" s="7" t="str">
        <f ca="1">IF(OR(AX108="",'Soil results'!$D$7="",'Soil results'!$D$8=""),"",
IF('Soil results'!$D$7="LOI",
  IF('Soil results'!$D$8="mg/kg",'Soil results'!D113/10000,'Soil results'!D113),
IF('Soil results'!$D$7="Dumas",
  IF('Soil results'!$D$8="mg/kg",'Soil results'!D113*1.72/10000,'Soil results'!D113*1.72))))</f>
        <v/>
      </c>
      <c r="BI108" t="str">
        <f ca="1">IF($AX108="","",
VLOOKUP(LEFT($AX108,LEN($AX108)-2),'Field information 2'!$B$12:$I$111,8,FALSE))</f>
        <v/>
      </c>
      <c r="BJ108" t="str">
        <f ca="1">IF(BI108="","",
VLOOKUP(BI108,'Fertiliser recommendations'!$A$5:$B$62,2,FALSE))</f>
        <v/>
      </c>
      <c r="BK108" s="38" t="str">
        <f ca="1">IF($AX108="","",
IF(AND(BJ108="g",VLOOKUP(LEFT($AX108,LEN($AX108)-2),'Field information 2'!$B$12:$P$111,9,FALSE)&lt;&gt;"yes"),
IF(BG108="10-25% OM",6,IF(BG108="&gt;25% OM",12,IF(BG108="SCL; CL; ZCL; SC; ZC; C",6,IF(BG108="SL; SZL; ZL",5,IF(BG108="S; LS",4,"?"))))),
IF(OR(BJ108="a",AND(BJ108="g",VLOOKUP(LEFT($AX108,LEN($AX108)-2),'Field information 2'!$B$12:$P$111,9,FALSE)="yes")),
IF(BG108="10-25% OM",8,IF(BG108="&gt;25% OM",16,IF(BG108="SCL; CL; ZCL; SC; ZC; C",8,IF(BG108="SL; SZL; ZL",7,IF(BG108="S; LS",6,"?"))))),"")))</f>
        <v/>
      </c>
      <c r="BL108" t="str">
        <f ca="1">IF(AX108&lt;&gt;"",COUNTBLANK('Soil results'!D113:D113)+COUNTBLANK('Soil results'!F113:I113)+COUNTBLANK('Soil results'!K113:Q113),"")</f>
        <v/>
      </c>
      <c r="BM108" t="str">
        <f ca="1">IF(AX108&lt;&gt;"",
IF(OR(ISNUMBER(SEARCH("10*01*01",'Field information 2'!$M$5)),ISNUMBER(SEARCH("10*01*03",'Field information 2'!$M$5))),0.25,1),"")</f>
        <v/>
      </c>
      <c r="BN108" s="275" t="str">
        <f ca="1">IF(AX108&lt;&gt;"",
IF(COUNTIF('Soil results'!G114:G$159,"="&amp;'Soil results'!G113)+COUNTIF('Soil results'!H114:H$159,"="&amp;'Soil results'!H113)+COUNTIF('Soil results'!I114:I$159,"="&amp;'Soil results'!I113)=0,"no",
IF(MOD(COUNTIF('Soil results'!G114:G$159,"="&amp;'Soil results'!G113)+COUNTIF('Soil results'!H114:H$159,"="&amp;'Soil results'!H113)+COUNTIF('Soil results'!I114:I$159,"="&amp;'Soil results'!I113),3)=0,"yes","no")),"")</f>
        <v/>
      </c>
      <c r="BO108" s="276" t="str">
        <f t="shared" ca="1" si="136"/>
        <v/>
      </c>
      <c r="BP108" s="33"/>
      <c r="BQ108" s="276"/>
      <c r="BR108" s="276"/>
      <c r="BS108" s="276" t="str">
        <f t="shared" ca="1" si="137"/>
        <v/>
      </c>
      <c r="BT108" s="153" t="str">
        <f ca="1">IF(AX108="","",
IF(OR(Assessment!F110="limited benefit",Assessment!F110="benefit", Assessment!M110="limited benefit",Assessment!M110="benefit", Assessment!R110="limited benefit",Assessment!R110="benefit", Assessment!W110="limited benefit",Assessment!W110="benefit", Assessment!AB110="limited benefit",Assessment!AB110="benefit", AND(ISNUMBER(Assessment!AF110),Assessment!AG110="ok"), Assessment!AJ110="benefit"),"yes","no"))</f>
        <v/>
      </c>
      <c r="BW108" t="s">
        <v>410</v>
      </c>
    </row>
    <row r="109" spans="1:75" ht="15" x14ac:dyDescent="0.25">
      <c r="AX109" s="247" t="str" cm="1">
        <f t="array" aca="1" ref="AX109" ca="1">INDIRECT(TEXT(MIN(IF((Calc!$Z$5:$AI$104&lt;&gt;"")*(COUNTIF($AX$4:AX108,Calc!$Z$5:$AI$104)=0),ROW(Calc!$Z$5:$AI$104)*100+COLUMN(Calc!$Z$5:$AI$104),7^8)),"Calc!R0C00"),)&amp;""</f>
        <v/>
      </c>
      <c r="AY109" t="str" cm="1">
        <f t="array" aca="1" ref="AY109" ca="1">INDIRECT(TEXT(MIN(IF((Calc!$AK$5:$AT$104&lt;&gt;"")*(COUNTIF(AY$4:$AY108,Calc!$AK$5:$AT$104)=0),ROW(Calc!$AK$5:$AT$104)*100+COLUMN(Calc!$AK$5:$AT$104),7^8)),"Calc!R0C00"),)&amp;""</f>
        <v/>
      </c>
      <c r="AZ109" s="247" t="str">
        <f t="shared" ca="1" si="149"/>
        <v/>
      </c>
      <c r="BA109" s="324">
        <f t="shared" si="138"/>
        <v>105</v>
      </c>
      <c r="BB109">
        <f t="shared" ca="1" si="133"/>
        <v>0</v>
      </c>
      <c r="BC109" t="str">
        <f ca="1">IF($AX109="","",
VLOOKUP(LEFT($AX109,LEN($AX109)-2),'Field information 2'!$B$12:$P$111,11,FALSE))</f>
        <v/>
      </c>
      <c r="BD109" t="str">
        <f ca="1">IF($AX109="","",
VLOOKUP(LEFT($AX109,LEN($AX109)-2),'Field information 2'!$B$12:$P$111,13,FALSE))</f>
        <v/>
      </c>
      <c r="BE109" t="str">
        <f ca="1">IF($AX109="","",
VLOOKUP(LEFT($AX109,LEN($AX109)-2),'Field information 2'!$B$12:$P$111,15,FALSE))</f>
        <v/>
      </c>
      <c r="BF109">
        <f t="shared" ca="1" si="134"/>
        <v>0</v>
      </c>
      <c r="BG109" t="str">
        <f t="shared" ca="1" si="135"/>
        <v/>
      </c>
      <c r="BH109" s="7" t="str">
        <f ca="1">IF(OR(AX109="",'Soil results'!$D$7="",'Soil results'!$D$8=""),"",
IF('Soil results'!$D$7="LOI",
  IF('Soil results'!$D$8="mg/kg",'Soil results'!D114/10000,'Soil results'!D114),
IF('Soil results'!$D$7="Dumas",
  IF('Soil results'!$D$8="mg/kg",'Soil results'!D114*1.72/10000,'Soil results'!D114*1.72))))</f>
        <v/>
      </c>
      <c r="BI109" t="str">
        <f ca="1">IF($AX109="","",
VLOOKUP(LEFT($AX109,LEN($AX109)-2),'Field information 2'!$B$12:$I$111,8,FALSE))</f>
        <v/>
      </c>
      <c r="BJ109" t="str">
        <f ca="1">IF(BI109="","",
VLOOKUP(BI109,'Fertiliser recommendations'!$A$5:$B$62,2,FALSE))</f>
        <v/>
      </c>
      <c r="BK109" s="38" t="str">
        <f ca="1">IF($AX109="","",
IF(AND(BJ109="g",VLOOKUP(LEFT($AX109,LEN($AX109)-2),'Field information 2'!$B$12:$P$111,9,FALSE)&lt;&gt;"yes"),
IF(BG109="10-25% OM",6,IF(BG109="&gt;25% OM",12,IF(BG109="SCL; CL; ZCL; SC; ZC; C",6,IF(BG109="SL; SZL; ZL",5,IF(BG109="S; LS",4,"?"))))),
IF(OR(BJ109="a",AND(BJ109="g",VLOOKUP(LEFT($AX109,LEN($AX109)-2),'Field information 2'!$B$12:$P$111,9,FALSE)="yes")),
IF(BG109="10-25% OM",8,IF(BG109="&gt;25% OM",16,IF(BG109="SCL; CL; ZCL; SC; ZC; C",8,IF(BG109="SL; SZL; ZL",7,IF(BG109="S; LS",6,"?"))))),"")))</f>
        <v/>
      </c>
      <c r="BL109" t="str">
        <f ca="1">IF(AX109&lt;&gt;"",COUNTBLANK('Soil results'!D114:D114)+COUNTBLANK('Soil results'!F114:I114)+COUNTBLANK('Soil results'!K114:Q114),"")</f>
        <v/>
      </c>
      <c r="BM109" t="str">
        <f ca="1">IF(AX109&lt;&gt;"",
IF(OR(ISNUMBER(SEARCH("10*01*01",'Field information 2'!$M$5)),ISNUMBER(SEARCH("10*01*03",'Field information 2'!$M$5))),0.25,1),"")</f>
        <v/>
      </c>
      <c r="BN109" s="275" t="str">
        <f ca="1">IF(AX109&lt;&gt;"",
IF(COUNTIF('Soil results'!G115:G$159,"="&amp;'Soil results'!G114)+COUNTIF('Soil results'!H115:H$159,"="&amp;'Soil results'!H114)+COUNTIF('Soil results'!I115:I$159,"="&amp;'Soil results'!I114)=0,"no",
IF(MOD(COUNTIF('Soil results'!G115:G$159,"="&amp;'Soil results'!G114)+COUNTIF('Soil results'!H115:H$159,"="&amp;'Soil results'!H114)+COUNTIF('Soil results'!I115:I$159,"="&amp;'Soil results'!I114),3)=0,"yes","no")),"")</f>
        <v/>
      </c>
      <c r="BO109" s="276" t="str">
        <f t="shared" ca="1" si="136"/>
        <v/>
      </c>
      <c r="BP109" s="33"/>
      <c r="BQ109" s="276"/>
      <c r="BR109" s="276"/>
      <c r="BS109" s="276" t="str">
        <f t="shared" ca="1" si="137"/>
        <v/>
      </c>
      <c r="BT109" s="153" t="str">
        <f ca="1">IF(AX109="","",
IF(OR(Assessment!F111="limited benefit",Assessment!F111="benefit", Assessment!M111="limited benefit",Assessment!M111="benefit", Assessment!R111="limited benefit",Assessment!R111="benefit", Assessment!W111="limited benefit",Assessment!W111="benefit", Assessment!AB111="limited benefit",Assessment!AB111="benefit", AND(ISNUMBER(Assessment!AF111),Assessment!AG111="ok"), Assessment!AJ111="benefit"),"yes","no"))</f>
        <v/>
      </c>
      <c r="BW109" t="s">
        <v>411</v>
      </c>
    </row>
    <row r="110" spans="1:75" ht="15" x14ac:dyDescent="0.25">
      <c r="AX110" s="247" t="str" cm="1">
        <f t="array" aca="1" ref="AX110" ca="1">INDIRECT(TEXT(MIN(IF((Calc!$Z$5:$AI$104&lt;&gt;"")*(COUNTIF($AX$4:AX109,Calc!$Z$5:$AI$104)=0),ROW(Calc!$Z$5:$AI$104)*100+COLUMN(Calc!$Z$5:$AI$104),7^8)),"Calc!R0C00"),)&amp;""</f>
        <v/>
      </c>
      <c r="AY110" t="str" cm="1">
        <f t="array" aca="1" ref="AY110" ca="1">INDIRECT(TEXT(MIN(IF((Calc!$AK$5:$AT$104&lt;&gt;"")*(COUNTIF(AY$4:$AY109,Calc!$AK$5:$AT$104)=0),ROW(Calc!$AK$5:$AT$104)*100+COLUMN(Calc!$AK$5:$AT$104),7^8)),"Calc!R0C00"),)&amp;""</f>
        <v/>
      </c>
      <c r="AZ110" s="247" t="str">
        <f t="shared" ca="1" si="149"/>
        <v/>
      </c>
      <c r="BA110" s="324">
        <f t="shared" si="138"/>
        <v>106</v>
      </c>
      <c r="BB110">
        <f t="shared" ca="1" si="133"/>
        <v>0</v>
      </c>
      <c r="BC110" t="str">
        <f ca="1">IF($AX110="","",
VLOOKUP(LEFT($AX110,LEN($AX110)-2),'Field information 2'!$B$12:$P$111,11,FALSE))</f>
        <v/>
      </c>
      <c r="BD110" t="str">
        <f ca="1">IF($AX110="","",
VLOOKUP(LEFT($AX110,LEN($AX110)-2),'Field information 2'!$B$12:$P$111,13,FALSE))</f>
        <v/>
      </c>
      <c r="BE110" t="str">
        <f ca="1">IF($AX110="","",
VLOOKUP(LEFT($AX110,LEN($AX110)-2),'Field information 2'!$B$12:$P$111,15,FALSE))</f>
        <v/>
      </c>
      <c r="BF110">
        <f t="shared" ca="1" si="134"/>
        <v>0</v>
      </c>
      <c r="BG110" t="str">
        <f t="shared" ca="1" si="135"/>
        <v/>
      </c>
      <c r="BH110" s="7" t="str">
        <f ca="1">IF(OR(AX110="",'Soil results'!$D$7="",'Soil results'!$D$8=""),"",
IF('Soil results'!$D$7="LOI",
  IF('Soil results'!$D$8="mg/kg",'Soil results'!D115/10000,'Soil results'!D115),
IF('Soil results'!$D$7="Dumas",
  IF('Soil results'!$D$8="mg/kg",'Soil results'!D115*1.72/10000,'Soil results'!D115*1.72))))</f>
        <v/>
      </c>
      <c r="BI110" t="str">
        <f ca="1">IF($AX110="","",
VLOOKUP(LEFT($AX110,LEN($AX110)-2),'Field information 2'!$B$12:$I$111,8,FALSE))</f>
        <v/>
      </c>
      <c r="BJ110" t="str">
        <f ca="1">IF(BI110="","",
VLOOKUP(BI110,'Fertiliser recommendations'!$A$5:$B$62,2,FALSE))</f>
        <v/>
      </c>
      <c r="BK110" s="38" t="str">
        <f ca="1">IF($AX110="","",
IF(AND(BJ110="g",VLOOKUP(LEFT($AX110,LEN($AX110)-2),'Field information 2'!$B$12:$P$111,9,FALSE)&lt;&gt;"yes"),
IF(BG110="10-25% OM",6,IF(BG110="&gt;25% OM",12,IF(BG110="SCL; CL; ZCL; SC; ZC; C",6,IF(BG110="SL; SZL; ZL",5,IF(BG110="S; LS",4,"?"))))),
IF(OR(BJ110="a",AND(BJ110="g",VLOOKUP(LEFT($AX110,LEN($AX110)-2),'Field information 2'!$B$12:$P$111,9,FALSE)="yes")),
IF(BG110="10-25% OM",8,IF(BG110="&gt;25% OM",16,IF(BG110="SCL; CL; ZCL; SC; ZC; C",8,IF(BG110="SL; SZL; ZL",7,IF(BG110="S; LS",6,"?"))))),"")))</f>
        <v/>
      </c>
      <c r="BL110" t="str">
        <f ca="1">IF(AX110&lt;&gt;"",COUNTBLANK('Soil results'!D115:D115)+COUNTBLANK('Soil results'!F115:I115)+COUNTBLANK('Soil results'!K115:Q115),"")</f>
        <v/>
      </c>
      <c r="BM110" t="str">
        <f ca="1">IF(AX110&lt;&gt;"",
IF(OR(ISNUMBER(SEARCH("10*01*01",'Field information 2'!$M$5)),ISNUMBER(SEARCH("10*01*03",'Field information 2'!$M$5))),0.25,1),"")</f>
        <v/>
      </c>
      <c r="BN110" s="275" t="str">
        <f ca="1">IF(AX110&lt;&gt;"",
IF(COUNTIF('Soil results'!G116:G$159,"="&amp;'Soil results'!G115)+COUNTIF('Soil results'!H116:H$159,"="&amp;'Soil results'!H115)+COUNTIF('Soil results'!I116:I$159,"="&amp;'Soil results'!I115)=0,"no",
IF(MOD(COUNTIF('Soil results'!G116:G$159,"="&amp;'Soil results'!G115)+COUNTIF('Soil results'!H116:H$159,"="&amp;'Soil results'!H115)+COUNTIF('Soil results'!I116:I$159,"="&amp;'Soil results'!I115),3)=0,"yes","no")),"")</f>
        <v/>
      </c>
      <c r="BO110" s="276" t="str">
        <f t="shared" ca="1" si="136"/>
        <v/>
      </c>
      <c r="BP110" s="33"/>
      <c r="BQ110" s="276"/>
      <c r="BR110" s="276"/>
      <c r="BS110" s="276" t="str">
        <f t="shared" ca="1" si="137"/>
        <v/>
      </c>
      <c r="BT110" s="153" t="str">
        <f ca="1">IF(AX110="","",
IF(OR(Assessment!F112="limited benefit",Assessment!F112="benefit", Assessment!M112="limited benefit",Assessment!M112="benefit", Assessment!R112="limited benefit",Assessment!R112="benefit", Assessment!W112="limited benefit",Assessment!W112="benefit", Assessment!AB112="limited benefit",Assessment!AB112="benefit", AND(ISNUMBER(Assessment!AF112),Assessment!AG112="ok"), Assessment!AJ112="benefit"),"yes","no"))</f>
        <v/>
      </c>
      <c r="BW110" t="s">
        <v>412</v>
      </c>
    </row>
    <row r="111" spans="1:75" ht="15" x14ac:dyDescent="0.25">
      <c r="AX111" s="247" t="str" cm="1">
        <f t="array" aca="1" ref="AX111" ca="1">INDIRECT(TEXT(MIN(IF((Calc!$Z$5:$AI$104&lt;&gt;"")*(COUNTIF($AX$4:AX110,Calc!$Z$5:$AI$104)=0),ROW(Calc!$Z$5:$AI$104)*100+COLUMN(Calc!$Z$5:$AI$104),7^8)),"Calc!R0C00"),)&amp;""</f>
        <v/>
      </c>
      <c r="AY111" t="str" cm="1">
        <f t="array" aca="1" ref="AY111" ca="1">INDIRECT(TEXT(MIN(IF((Calc!$AK$5:$AT$104&lt;&gt;"")*(COUNTIF(AY$4:$AY110,Calc!$AK$5:$AT$104)=0),ROW(Calc!$AK$5:$AT$104)*100+COLUMN(Calc!$AK$5:$AT$104),7^8)),"Calc!R0C00"),)&amp;""</f>
        <v/>
      </c>
      <c r="AZ111" s="247" t="str">
        <f t="shared" ca="1" si="149"/>
        <v/>
      </c>
      <c r="BA111" s="324">
        <f t="shared" si="138"/>
        <v>107</v>
      </c>
      <c r="BB111">
        <f t="shared" ca="1" si="133"/>
        <v>0</v>
      </c>
      <c r="BC111" t="str">
        <f ca="1">IF($AX111="","",
VLOOKUP(LEFT($AX111,LEN($AX111)-2),'Field information 2'!$B$12:$P$111,11,FALSE))</f>
        <v/>
      </c>
      <c r="BD111" t="str">
        <f ca="1">IF($AX111="","",
VLOOKUP(LEFT($AX111,LEN($AX111)-2),'Field information 2'!$B$12:$P$111,13,FALSE))</f>
        <v/>
      </c>
      <c r="BE111" t="str">
        <f ca="1">IF($AX111="","",
VLOOKUP(LEFT($AX111,LEN($AX111)-2),'Field information 2'!$B$12:$P$111,15,FALSE))</f>
        <v/>
      </c>
      <c r="BF111">
        <f t="shared" ca="1" si="134"/>
        <v>0</v>
      </c>
      <c r="BG111" t="str">
        <f t="shared" ca="1" si="135"/>
        <v/>
      </c>
      <c r="BH111" s="7" t="str">
        <f ca="1">IF(OR(AX111="",'Soil results'!$D$7="",'Soil results'!$D$8=""),"",
IF('Soil results'!$D$7="LOI",
  IF('Soil results'!$D$8="mg/kg",'Soil results'!D116/10000,'Soil results'!D116),
IF('Soil results'!$D$7="Dumas",
  IF('Soil results'!$D$8="mg/kg",'Soil results'!D116*1.72/10000,'Soil results'!D116*1.72))))</f>
        <v/>
      </c>
      <c r="BI111" t="str">
        <f ca="1">IF($AX111="","",
VLOOKUP(LEFT($AX111,LEN($AX111)-2),'Field information 2'!$B$12:$I$111,8,FALSE))</f>
        <v/>
      </c>
      <c r="BJ111" t="str">
        <f ca="1">IF(BI111="","",
VLOOKUP(BI111,'Fertiliser recommendations'!$A$5:$B$62,2,FALSE))</f>
        <v/>
      </c>
      <c r="BK111" s="38" t="str">
        <f ca="1">IF($AX111="","",
IF(AND(BJ111="g",VLOOKUP(LEFT($AX111,LEN($AX111)-2),'Field information 2'!$B$12:$P$111,9,FALSE)&lt;&gt;"yes"),
IF(BG111="10-25% OM",6,IF(BG111="&gt;25% OM",12,IF(BG111="SCL; CL; ZCL; SC; ZC; C",6,IF(BG111="SL; SZL; ZL",5,IF(BG111="S; LS",4,"?"))))),
IF(OR(BJ111="a",AND(BJ111="g",VLOOKUP(LEFT($AX111,LEN($AX111)-2),'Field information 2'!$B$12:$P$111,9,FALSE)="yes")),
IF(BG111="10-25% OM",8,IF(BG111="&gt;25% OM",16,IF(BG111="SCL; CL; ZCL; SC; ZC; C",8,IF(BG111="SL; SZL; ZL",7,IF(BG111="S; LS",6,"?"))))),"")))</f>
        <v/>
      </c>
      <c r="BL111" t="str">
        <f ca="1">IF(AX111&lt;&gt;"",COUNTBLANK('Soil results'!D116:D116)+COUNTBLANK('Soil results'!F116:I116)+COUNTBLANK('Soil results'!K116:Q116),"")</f>
        <v/>
      </c>
      <c r="BM111" t="str">
        <f ca="1">IF(AX111&lt;&gt;"",
IF(OR(ISNUMBER(SEARCH("10*01*01",'Field information 2'!$M$5)),ISNUMBER(SEARCH("10*01*03",'Field information 2'!$M$5))),0.25,1),"")</f>
        <v/>
      </c>
      <c r="BN111" s="275" t="str">
        <f ca="1">IF(AX111&lt;&gt;"",
IF(COUNTIF('Soil results'!G117:G$159,"="&amp;'Soil results'!G116)+COUNTIF('Soil results'!H117:H$159,"="&amp;'Soil results'!H116)+COUNTIF('Soil results'!I117:I$159,"="&amp;'Soil results'!I116)=0,"no",
IF(MOD(COUNTIF('Soil results'!G117:G$159,"="&amp;'Soil results'!G116)+COUNTIF('Soil results'!H117:H$159,"="&amp;'Soil results'!H116)+COUNTIF('Soil results'!I117:I$159,"="&amp;'Soil results'!I116),3)=0,"yes","no")),"")</f>
        <v/>
      </c>
      <c r="BO111" s="276" t="str">
        <f t="shared" ca="1" si="136"/>
        <v/>
      </c>
      <c r="BP111" s="33"/>
      <c r="BQ111" s="276"/>
      <c r="BR111" s="276"/>
      <c r="BS111" s="276" t="str">
        <f t="shared" ca="1" si="137"/>
        <v/>
      </c>
      <c r="BT111" s="153" t="str">
        <f ca="1">IF(AX111="","",
IF(OR(Assessment!F113="limited benefit",Assessment!F113="benefit", Assessment!M113="limited benefit",Assessment!M113="benefit", Assessment!R113="limited benefit",Assessment!R113="benefit", Assessment!W113="limited benefit",Assessment!W113="benefit", Assessment!AB113="limited benefit",Assessment!AB113="benefit", AND(ISNUMBER(Assessment!AF113),Assessment!AG113="ok"), Assessment!AJ113="benefit"),"yes","no"))</f>
        <v/>
      </c>
    </row>
    <row r="112" spans="1:75" ht="15" x14ac:dyDescent="0.25">
      <c r="AX112" s="247" t="str" cm="1">
        <f t="array" aca="1" ref="AX112" ca="1">INDIRECT(TEXT(MIN(IF((Calc!$Z$5:$AI$104&lt;&gt;"")*(COUNTIF($AX$4:AX111,Calc!$Z$5:$AI$104)=0),ROW(Calc!$Z$5:$AI$104)*100+COLUMN(Calc!$Z$5:$AI$104),7^8)),"Calc!R0C00"),)&amp;""</f>
        <v/>
      </c>
      <c r="AY112" t="str" cm="1">
        <f t="array" aca="1" ref="AY112" ca="1">INDIRECT(TEXT(MIN(IF((Calc!$AK$5:$AT$104&lt;&gt;"")*(COUNTIF(AY$4:$AY111,Calc!$AK$5:$AT$104)=0),ROW(Calc!$AK$5:$AT$104)*100+COLUMN(Calc!$AK$5:$AT$104),7^8)),"Calc!R0C00"),)&amp;""</f>
        <v/>
      </c>
      <c r="AZ112" s="247" t="str">
        <f t="shared" ca="1" si="149"/>
        <v/>
      </c>
      <c r="BA112" s="324">
        <f t="shared" si="138"/>
        <v>108</v>
      </c>
      <c r="BB112">
        <f t="shared" ca="1" si="133"/>
        <v>0</v>
      </c>
      <c r="BC112" t="str">
        <f ca="1">IF($AX112="","",
VLOOKUP(LEFT($AX112,LEN($AX112)-2),'Field information 2'!$B$12:$P$111,11,FALSE))</f>
        <v/>
      </c>
      <c r="BD112" t="str">
        <f ca="1">IF($AX112="","",
VLOOKUP(LEFT($AX112,LEN($AX112)-2),'Field information 2'!$B$12:$P$111,13,FALSE))</f>
        <v/>
      </c>
      <c r="BE112" t="str">
        <f ca="1">IF($AX112="","",
VLOOKUP(LEFT($AX112,LEN($AX112)-2),'Field information 2'!$B$12:$P$111,15,FALSE))</f>
        <v/>
      </c>
      <c r="BF112">
        <f t="shared" ca="1" si="134"/>
        <v>0</v>
      </c>
      <c r="BG112" t="str">
        <f t="shared" ca="1" si="135"/>
        <v/>
      </c>
      <c r="BH112" s="7" t="str">
        <f ca="1">IF(OR(AX112="",'Soil results'!$D$7="",'Soil results'!$D$8=""),"",
IF('Soil results'!$D$7="LOI",
  IF('Soil results'!$D$8="mg/kg",'Soil results'!D117/10000,'Soil results'!D117),
IF('Soil results'!$D$7="Dumas",
  IF('Soil results'!$D$8="mg/kg",'Soil results'!D117*1.72/10000,'Soil results'!D117*1.72))))</f>
        <v/>
      </c>
      <c r="BI112" t="str">
        <f ca="1">IF($AX112="","",
VLOOKUP(LEFT($AX112,LEN($AX112)-2),'Field information 2'!$B$12:$I$111,8,FALSE))</f>
        <v/>
      </c>
      <c r="BJ112" t="str">
        <f ca="1">IF(BI112="","",
VLOOKUP(BI112,'Fertiliser recommendations'!$A$5:$B$62,2,FALSE))</f>
        <v/>
      </c>
      <c r="BK112" s="38" t="str">
        <f ca="1">IF($AX112="","",
IF(AND(BJ112="g",VLOOKUP(LEFT($AX112,LEN($AX112)-2),'Field information 2'!$B$12:$P$111,9,FALSE)&lt;&gt;"yes"),
IF(BG112="10-25% OM",6,IF(BG112="&gt;25% OM",12,IF(BG112="SCL; CL; ZCL; SC; ZC; C",6,IF(BG112="SL; SZL; ZL",5,IF(BG112="S; LS",4,"?"))))),
IF(OR(BJ112="a",AND(BJ112="g",VLOOKUP(LEFT($AX112,LEN($AX112)-2),'Field information 2'!$B$12:$P$111,9,FALSE)="yes")),
IF(BG112="10-25% OM",8,IF(BG112="&gt;25% OM",16,IF(BG112="SCL; CL; ZCL; SC; ZC; C",8,IF(BG112="SL; SZL; ZL",7,IF(BG112="S; LS",6,"?"))))),"")))</f>
        <v/>
      </c>
      <c r="BL112" t="str">
        <f ca="1">IF(AX112&lt;&gt;"",COUNTBLANK('Soil results'!D117:D117)+COUNTBLANK('Soil results'!F117:I117)+COUNTBLANK('Soil results'!K117:Q117),"")</f>
        <v/>
      </c>
      <c r="BM112" t="str">
        <f ca="1">IF(AX112&lt;&gt;"",
IF(OR(ISNUMBER(SEARCH("10*01*01",'Field information 2'!$M$5)),ISNUMBER(SEARCH("10*01*03",'Field information 2'!$M$5))),0.25,1),"")</f>
        <v/>
      </c>
      <c r="BN112" s="275" t="str">
        <f ca="1">IF(AX112&lt;&gt;"",
IF(COUNTIF('Soil results'!G118:G$159,"="&amp;'Soil results'!G117)+COUNTIF('Soil results'!H118:H$159,"="&amp;'Soil results'!H117)+COUNTIF('Soil results'!I118:I$159,"="&amp;'Soil results'!I117)=0,"no",
IF(MOD(COUNTIF('Soil results'!G118:G$159,"="&amp;'Soil results'!G117)+COUNTIF('Soil results'!H118:H$159,"="&amp;'Soil results'!H117)+COUNTIF('Soil results'!I118:I$159,"="&amp;'Soil results'!I117),3)=0,"yes","no")),"")</f>
        <v/>
      </c>
      <c r="BO112" s="276" t="str">
        <f t="shared" ca="1" si="136"/>
        <v/>
      </c>
      <c r="BP112" s="33"/>
      <c r="BQ112" s="276"/>
      <c r="BR112" s="276"/>
      <c r="BS112" s="276" t="str">
        <f t="shared" ca="1" si="137"/>
        <v/>
      </c>
      <c r="BT112" s="153" t="str">
        <f ca="1">IF(AX112="","",
IF(OR(Assessment!F114="limited benefit",Assessment!F114="benefit", Assessment!M114="limited benefit",Assessment!M114="benefit", Assessment!R114="limited benefit",Assessment!R114="benefit", Assessment!W114="limited benefit",Assessment!W114="benefit", Assessment!AB114="limited benefit",Assessment!AB114="benefit", AND(ISNUMBER(Assessment!AF114),Assessment!AG114="ok"), Assessment!AJ114="benefit"),"yes","no"))</f>
        <v/>
      </c>
      <c r="BW112" t="s">
        <v>413</v>
      </c>
    </row>
    <row r="113" spans="50:75" ht="15" x14ac:dyDescent="0.25">
      <c r="AX113" s="247" t="str" cm="1">
        <f t="array" aca="1" ref="AX113" ca="1">INDIRECT(TEXT(MIN(IF((Calc!$Z$5:$AI$104&lt;&gt;"")*(COUNTIF($AX$4:AX112,Calc!$Z$5:$AI$104)=0),ROW(Calc!$Z$5:$AI$104)*100+COLUMN(Calc!$Z$5:$AI$104),7^8)),"Calc!R0C00"),)&amp;""</f>
        <v/>
      </c>
      <c r="AY113" t="str" cm="1">
        <f t="array" aca="1" ref="AY113" ca="1">INDIRECT(TEXT(MIN(IF((Calc!$AK$5:$AT$104&lt;&gt;"")*(COUNTIF(AY$4:$AY112,Calc!$AK$5:$AT$104)=0),ROW(Calc!$AK$5:$AT$104)*100+COLUMN(Calc!$AK$5:$AT$104),7^8)),"Calc!R0C00"),)&amp;""</f>
        <v/>
      </c>
      <c r="AZ113" s="247" t="str">
        <f t="shared" ca="1" si="149"/>
        <v/>
      </c>
      <c r="BA113" s="324">
        <f t="shared" si="138"/>
        <v>109</v>
      </c>
      <c r="BB113">
        <f t="shared" ca="1" si="133"/>
        <v>0</v>
      </c>
      <c r="BC113" t="str">
        <f ca="1">IF($AX113="","",
VLOOKUP(LEFT($AX113,LEN($AX113)-2),'Field information 2'!$B$12:$P$111,11,FALSE))</f>
        <v/>
      </c>
      <c r="BD113" t="str">
        <f ca="1">IF($AX113="","",
VLOOKUP(LEFT($AX113,LEN($AX113)-2),'Field information 2'!$B$12:$P$111,13,FALSE))</f>
        <v/>
      </c>
      <c r="BE113" t="str">
        <f ca="1">IF($AX113="","",
VLOOKUP(LEFT($AX113,LEN($AX113)-2),'Field information 2'!$B$12:$P$111,15,FALSE))</f>
        <v/>
      </c>
      <c r="BF113">
        <f t="shared" ca="1" si="134"/>
        <v>0</v>
      </c>
      <c r="BG113" t="str">
        <f t="shared" ca="1" si="135"/>
        <v/>
      </c>
      <c r="BH113" s="7" t="str">
        <f ca="1">IF(OR(AX113="",'Soil results'!$D$7="",'Soil results'!$D$8=""),"",
IF('Soil results'!$D$7="LOI",
  IF('Soil results'!$D$8="mg/kg",'Soil results'!D118/10000,'Soil results'!D118),
IF('Soil results'!$D$7="Dumas",
  IF('Soil results'!$D$8="mg/kg",'Soil results'!D118*1.72/10000,'Soil results'!D118*1.72))))</f>
        <v/>
      </c>
      <c r="BI113" t="str">
        <f ca="1">IF($AX113="","",
VLOOKUP(LEFT($AX113,LEN($AX113)-2),'Field information 2'!$B$12:$I$111,8,FALSE))</f>
        <v/>
      </c>
      <c r="BJ113" t="str">
        <f ca="1">IF(BI113="","",
VLOOKUP(BI113,'Fertiliser recommendations'!$A$5:$B$62,2,FALSE))</f>
        <v/>
      </c>
      <c r="BK113" s="38" t="str">
        <f ca="1">IF($AX113="","",
IF(AND(BJ113="g",VLOOKUP(LEFT($AX113,LEN($AX113)-2),'Field information 2'!$B$12:$P$111,9,FALSE)&lt;&gt;"yes"),
IF(BG113="10-25% OM",6,IF(BG113="&gt;25% OM",12,IF(BG113="SCL; CL; ZCL; SC; ZC; C",6,IF(BG113="SL; SZL; ZL",5,IF(BG113="S; LS",4,"?"))))),
IF(OR(BJ113="a",AND(BJ113="g",VLOOKUP(LEFT($AX113,LEN($AX113)-2),'Field information 2'!$B$12:$P$111,9,FALSE)="yes")),
IF(BG113="10-25% OM",8,IF(BG113="&gt;25% OM",16,IF(BG113="SCL; CL; ZCL; SC; ZC; C",8,IF(BG113="SL; SZL; ZL",7,IF(BG113="S; LS",6,"?"))))),"")))</f>
        <v/>
      </c>
      <c r="BL113" t="str">
        <f ca="1">IF(AX113&lt;&gt;"",COUNTBLANK('Soil results'!D118:D118)+COUNTBLANK('Soil results'!F118:I118)+COUNTBLANK('Soil results'!K118:Q118),"")</f>
        <v/>
      </c>
      <c r="BM113" t="str">
        <f ca="1">IF(AX113&lt;&gt;"",
IF(OR(ISNUMBER(SEARCH("10*01*01",'Field information 2'!$M$5)),ISNUMBER(SEARCH("10*01*03",'Field information 2'!$M$5))),0.25,1),"")</f>
        <v/>
      </c>
      <c r="BN113" s="275" t="str">
        <f ca="1">IF(AX113&lt;&gt;"",
IF(COUNTIF('Soil results'!G119:G$159,"="&amp;'Soil results'!G118)+COUNTIF('Soil results'!H119:H$159,"="&amp;'Soil results'!H118)+COUNTIF('Soil results'!I119:I$159,"="&amp;'Soil results'!I118)=0,"no",
IF(MOD(COUNTIF('Soil results'!G119:G$159,"="&amp;'Soil results'!G118)+COUNTIF('Soil results'!H119:H$159,"="&amp;'Soil results'!H118)+COUNTIF('Soil results'!I119:I$159,"="&amp;'Soil results'!I118),3)=0,"yes","no")),"")</f>
        <v/>
      </c>
      <c r="BO113" s="276" t="str">
        <f t="shared" ca="1" si="136"/>
        <v/>
      </c>
      <c r="BP113" s="33"/>
      <c r="BQ113" s="276"/>
      <c r="BR113" s="276"/>
      <c r="BS113" s="276" t="str">
        <f t="shared" ca="1" si="137"/>
        <v/>
      </c>
      <c r="BT113" s="153" t="str">
        <f ca="1">IF(AX113="","",
IF(OR(Assessment!F115="limited benefit",Assessment!F115="benefit", Assessment!M115="limited benefit",Assessment!M115="benefit", Assessment!R115="limited benefit",Assessment!R115="benefit", Assessment!W115="limited benefit",Assessment!W115="benefit", Assessment!AB115="limited benefit",Assessment!AB115="benefit", AND(ISNUMBER(Assessment!AF115),Assessment!AG115="ok"), Assessment!AJ115="benefit"),"yes","no"))</f>
        <v/>
      </c>
      <c r="BW113" t="s">
        <v>414</v>
      </c>
    </row>
    <row r="114" spans="50:75" ht="15" x14ac:dyDescent="0.25">
      <c r="AX114" s="247" t="str" cm="1">
        <f t="array" aca="1" ref="AX114" ca="1">INDIRECT(TEXT(MIN(IF((Calc!$Z$5:$AI$104&lt;&gt;"")*(COUNTIF($AX$4:AX113,Calc!$Z$5:$AI$104)=0),ROW(Calc!$Z$5:$AI$104)*100+COLUMN(Calc!$Z$5:$AI$104),7^8)),"Calc!R0C00"),)&amp;""</f>
        <v/>
      </c>
      <c r="AY114" t="str" cm="1">
        <f t="array" aca="1" ref="AY114" ca="1">INDIRECT(TEXT(MIN(IF((Calc!$AK$5:$AT$104&lt;&gt;"")*(COUNTIF(AY$4:$AY113,Calc!$AK$5:$AT$104)=0),ROW(Calc!$AK$5:$AT$104)*100+COLUMN(Calc!$AK$5:$AT$104),7^8)),"Calc!R0C00"),)&amp;""</f>
        <v/>
      </c>
      <c r="AZ114" s="247" t="str">
        <f t="shared" ca="1" si="149"/>
        <v/>
      </c>
      <c r="BA114" s="324">
        <f t="shared" si="138"/>
        <v>110</v>
      </c>
      <c r="BB114">
        <f t="shared" ca="1" si="133"/>
        <v>0</v>
      </c>
      <c r="BC114" t="str">
        <f ca="1">IF($AX114="","",
VLOOKUP(LEFT($AX114,LEN($AX114)-2),'Field information 2'!$B$12:$P$111,11,FALSE))</f>
        <v/>
      </c>
      <c r="BD114" t="str">
        <f ca="1">IF($AX114="","",
VLOOKUP(LEFT($AX114,LEN($AX114)-2),'Field information 2'!$B$12:$P$111,13,FALSE))</f>
        <v/>
      </c>
      <c r="BE114" t="str">
        <f ca="1">IF($AX114="","",
VLOOKUP(LEFT($AX114,LEN($AX114)-2),'Field information 2'!$B$12:$P$111,15,FALSE))</f>
        <v/>
      </c>
      <c r="BF114">
        <f t="shared" ca="1" si="134"/>
        <v>0</v>
      </c>
      <c r="BG114" t="str">
        <f t="shared" ca="1" si="135"/>
        <v/>
      </c>
      <c r="BH114" s="7" t="str">
        <f ca="1">IF(OR(AX114="",'Soil results'!$D$7="",'Soil results'!$D$8=""),"",
IF('Soil results'!$D$7="LOI",
  IF('Soil results'!$D$8="mg/kg",'Soil results'!D119/10000,'Soil results'!D119),
IF('Soil results'!$D$7="Dumas",
  IF('Soil results'!$D$8="mg/kg",'Soil results'!D119*1.72/10000,'Soil results'!D119*1.72))))</f>
        <v/>
      </c>
      <c r="BI114" t="str">
        <f ca="1">IF($AX114="","",
VLOOKUP(LEFT($AX114,LEN($AX114)-2),'Field information 2'!$B$12:$I$111,8,FALSE))</f>
        <v/>
      </c>
      <c r="BJ114" t="str">
        <f ca="1">IF(BI114="","",
VLOOKUP(BI114,'Fertiliser recommendations'!$A$5:$B$62,2,FALSE))</f>
        <v/>
      </c>
      <c r="BK114" s="38" t="str">
        <f ca="1">IF($AX114="","",
IF(AND(BJ114="g",VLOOKUP(LEFT($AX114,LEN($AX114)-2),'Field information 2'!$B$12:$P$111,9,FALSE)&lt;&gt;"yes"),
IF(BG114="10-25% OM",6,IF(BG114="&gt;25% OM",12,IF(BG114="SCL; CL; ZCL; SC; ZC; C",6,IF(BG114="SL; SZL; ZL",5,IF(BG114="S; LS",4,"?"))))),
IF(OR(BJ114="a",AND(BJ114="g",VLOOKUP(LEFT($AX114,LEN($AX114)-2),'Field information 2'!$B$12:$P$111,9,FALSE)="yes")),
IF(BG114="10-25% OM",8,IF(BG114="&gt;25% OM",16,IF(BG114="SCL; CL; ZCL; SC; ZC; C",8,IF(BG114="SL; SZL; ZL",7,IF(BG114="S; LS",6,"?"))))),"")))</f>
        <v/>
      </c>
      <c r="BL114" t="str">
        <f ca="1">IF(AX114&lt;&gt;"",COUNTBLANK('Soil results'!D119:D119)+COUNTBLANK('Soil results'!F119:I119)+COUNTBLANK('Soil results'!K119:Q119),"")</f>
        <v/>
      </c>
      <c r="BM114" t="str">
        <f ca="1">IF(AX114&lt;&gt;"",
IF(OR(ISNUMBER(SEARCH("10*01*01",'Field information 2'!$M$5)),ISNUMBER(SEARCH("10*01*03",'Field information 2'!$M$5))),0.25,1),"")</f>
        <v/>
      </c>
      <c r="BN114" s="275" t="str">
        <f ca="1">IF(AX114&lt;&gt;"",
IF(COUNTIF('Soil results'!G120:G$159,"="&amp;'Soil results'!G119)+COUNTIF('Soil results'!H120:H$159,"="&amp;'Soil results'!H119)+COUNTIF('Soil results'!I120:I$159,"="&amp;'Soil results'!I119)=0,"no",
IF(MOD(COUNTIF('Soil results'!G120:G$159,"="&amp;'Soil results'!G119)+COUNTIF('Soil results'!H120:H$159,"="&amp;'Soil results'!H119)+COUNTIF('Soil results'!I120:I$159,"="&amp;'Soil results'!I119),3)=0,"yes","no")),"")</f>
        <v/>
      </c>
      <c r="BO114" s="276" t="str">
        <f t="shared" ca="1" si="136"/>
        <v/>
      </c>
      <c r="BP114" s="33"/>
      <c r="BQ114" s="276"/>
      <c r="BR114" s="276"/>
      <c r="BS114" s="276" t="str">
        <f t="shared" ca="1" si="137"/>
        <v/>
      </c>
      <c r="BT114" s="153" t="str">
        <f ca="1">IF(AX114="","",
IF(OR(Assessment!F116="limited benefit",Assessment!F116="benefit", Assessment!M116="limited benefit",Assessment!M116="benefit", Assessment!R116="limited benefit",Assessment!R116="benefit", Assessment!W116="limited benefit",Assessment!W116="benefit", Assessment!AB116="limited benefit",Assessment!AB116="benefit", AND(ISNUMBER(Assessment!AF116),Assessment!AG116="ok"), Assessment!AJ116="benefit"),"yes","no"))</f>
        <v/>
      </c>
      <c r="BW114" t="s">
        <v>415</v>
      </c>
    </row>
    <row r="115" spans="50:75" ht="15" x14ac:dyDescent="0.25">
      <c r="AX115" s="247" t="str" cm="1">
        <f t="array" aca="1" ref="AX115" ca="1">INDIRECT(TEXT(MIN(IF((Calc!$Z$5:$AI$104&lt;&gt;"")*(COUNTIF($AX$4:AX114,Calc!$Z$5:$AI$104)=0),ROW(Calc!$Z$5:$AI$104)*100+COLUMN(Calc!$Z$5:$AI$104),7^8)),"Calc!R0C00"),)&amp;""</f>
        <v/>
      </c>
      <c r="AY115" t="str" cm="1">
        <f t="array" aca="1" ref="AY115" ca="1">INDIRECT(TEXT(MIN(IF((Calc!$AK$5:$AT$104&lt;&gt;"")*(COUNTIF(AY$4:$AY114,Calc!$AK$5:$AT$104)=0),ROW(Calc!$AK$5:$AT$104)*100+COLUMN(Calc!$AK$5:$AT$104),7^8)),"Calc!R0C00"),)&amp;""</f>
        <v/>
      </c>
      <c r="AZ115" s="247" t="str">
        <f t="shared" ca="1" si="149"/>
        <v/>
      </c>
      <c r="BA115" s="324">
        <f t="shared" si="138"/>
        <v>111</v>
      </c>
      <c r="BB115">
        <f t="shared" ca="1" si="133"/>
        <v>0</v>
      </c>
      <c r="BC115" t="str">
        <f ca="1">IF($AX115="","",
VLOOKUP(LEFT($AX115,LEN($AX115)-2),'Field information 2'!$B$12:$P$111,11,FALSE))</f>
        <v/>
      </c>
      <c r="BD115" t="str">
        <f ca="1">IF($AX115="","",
VLOOKUP(LEFT($AX115,LEN($AX115)-2),'Field information 2'!$B$12:$P$111,13,FALSE))</f>
        <v/>
      </c>
      <c r="BE115" t="str">
        <f ca="1">IF($AX115="","",
VLOOKUP(LEFT($AX115,LEN($AX115)-2),'Field information 2'!$B$12:$P$111,15,FALSE))</f>
        <v/>
      </c>
      <c r="BF115">
        <f t="shared" ca="1" si="134"/>
        <v>0</v>
      </c>
      <c r="BG115" t="str">
        <f t="shared" ca="1" si="135"/>
        <v/>
      </c>
      <c r="BH115" s="7" t="str">
        <f ca="1">IF(OR(AX115="",'Soil results'!$D$7="",'Soil results'!$D$8=""),"",
IF('Soil results'!$D$7="LOI",
  IF('Soil results'!$D$8="mg/kg",'Soil results'!D120/10000,'Soil results'!D120),
IF('Soil results'!$D$7="Dumas",
  IF('Soil results'!$D$8="mg/kg",'Soil results'!D120*1.72/10000,'Soil results'!D120*1.72))))</f>
        <v/>
      </c>
      <c r="BI115" t="str">
        <f ca="1">IF($AX115="","",
VLOOKUP(LEFT($AX115,LEN($AX115)-2),'Field information 2'!$B$12:$I$111,8,FALSE))</f>
        <v/>
      </c>
      <c r="BJ115" t="str">
        <f ca="1">IF(BI115="","",
VLOOKUP(BI115,'Fertiliser recommendations'!$A$5:$B$62,2,FALSE))</f>
        <v/>
      </c>
      <c r="BK115" s="38" t="str">
        <f ca="1">IF($AX115="","",
IF(AND(BJ115="g",VLOOKUP(LEFT($AX115,LEN($AX115)-2),'Field information 2'!$B$12:$P$111,9,FALSE)&lt;&gt;"yes"),
IF(BG115="10-25% OM",6,IF(BG115="&gt;25% OM",12,IF(BG115="SCL; CL; ZCL; SC; ZC; C",6,IF(BG115="SL; SZL; ZL",5,IF(BG115="S; LS",4,"?"))))),
IF(OR(BJ115="a",AND(BJ115="g",VLOOKUP(LEFT($AX115,LEN($AX115)-2),'Field information 2'!$B$12:$P$111,9,FALSE)="yes")),
IF(BG115="10-25% OM",8,IF(BG115="&gt;25% OM",16,IF(BG115="SCL; CL; ZCL; SC; ZC; C",8,IF(BG115="SL; SZL; ZL",7,IF(BG115="S; LS",6,"?"))))),"")))</f>
        <v/>
      </c>
      <c r="BL115" t="str">
        <f ca="1">IF(AX115&lt;&gt;"",COUNTBLANK('Soil results'!D120:D120)+COUNTBLANK('Soil results'!F120:I120)+COUNTBLANK('Soil results'!K120:Q120),"")</f>
        <v/>
      </c>
      <c r="BM115" t="str">
        <f ca="1">IF(AX115&lt;&gt;"",
IF(OR(ISNUMBER(SEARCH("10*01*01",'Field information 2'!$M$5)),ISNUMBER(SEARCH("10*01*03",'Field information 2'!$M$5))),0.25,1),"")</f>
        <v/>
      </c>
      <c r="BN115" s="275" t="str">
        <f ca="1">IF(AX115&lt;&gt;"",
IF(COUNTIF('Soil results'!G121:G$159,"="&amp;'Soil results'!G120)+COUNTIF('Soil results'!H121:H$159,"="&amp;'Soil results'!H120)+COUNTIF('Soil results'!I121:I$159,"="&amp;'Soil results'!I120)=0,"no",
IF(MOD(COUNTIF('Soil results'!G121:G$159,"="&amp;'Soil results'!G120)+COUNTIF('Soil results'!H121:H$159,"="&amp;'Soil results'!H120)+COUNTIF('Soil results'!I121:I$159,"="&amp;'Soil results'!I120),3)=0,"yes","no")),"")</f>
        <v/>
      </c>
      <c r="BO115" s="276" t="str">
        <f t="shared" ca="1" si="136"/>
        <v/>
      </c>
      <c r="BP115" s="33"/>
      <c r="BQ115" s="276"/>
      <c r="BR115" s="276"/>
      <c r="BS115" s="276" t="str">
        <f t="shared" ca="1" si="137"/>
        <v/>
      </c>
      <c r="BT115" s="153" t="str">
        <f ca="1">IF(AX115="","",
IF(OR(Assessment!F117="limited benefit",Assessment!F117="benefit", Assessment!M117="limited benefit",Assessment!M117="benefit", Assessment!R117="limited benefit",Assessment!R117="benefit", Assessment!W117="limited benefit",Assessment!W117="benefit", Assessment!AB117="limited benefit",Assessment!AB117="benefit", AND(ISNUMBER(Assessment!AF117),Assessment!AG117="ok"), Assessment!AJ117="benefit"),"yes","no"))</f>
        <v/>
      </c>
      <c r="BW115" t="s">
        <v>416</v>
      </c>
    </row>
    <row r="116" spans="50:75" ht="15" x14ac:dyDescent="0.25">
      <c r="AX116" s="247" t="str" cm="1">
        <f t="array" aca="1" ref="AX116" ca="1">INDIRECT(TEXT(MIN(IF((Calc!$Z$5:$AI$104&lt;&gt;"")*(COUNTIF($AX$4:AX115,Calc!$Z$5:$AI$104)=0),ROW(Calc!$Z$5:$AI$104)*100+COLUMN(Calc!$Z$5:$AI$104),7^8)),"Calc!R0C00"),)&amp;""</f>
        <v/>
      </c>
      <c r="AY116" t="str" cm="1">
        <f t="array" aca="1" ref="AY116" ca="1">INDIRECT(TEXT(MIN(IF((Calc!$AK$5:$AT$104&lt;&gt;"")*(COUNTIF(AY$4:$AY115,Calc!$AK$5:$AT$104)=0),ROW(Calc!$AK$5:$AT$104)*100+COLUMN(Calc!$AK$5:$AT$104),7^8)),"Calc!R0C00"),)&amp;""</f>
        <v/>
      </c>
      <c r="AZ116" s="247" t="str">
        <f t="shared" ca="1" si="149"/>
        <v/>
      </c>
      <c r="BA116" s="324">
        <f t="shared" si="138"/>
        <v>112</v>
      </c>
      <c r="BB116">
        <f t="shared" ca="1" si="133"/>
        <v>0</v>
      </c>
      <c r="BC116" t="str">
        <f ca="1">IF($AX116="","",
VLOOKUP(LEFT($AX116,LEN($AX116)-2),'Field information 2'!$B$12:$P$111,11,FALSE))</f>
        <v/>
      </c>
      <c r="BD116" t="str">
        <f ca="1">IF($AX116="","",
VLOOKUP(LEFT($AX116,LEN($AX116)-2),'Field information 2'!$B$12:$P$111,13,FALSE))</f>
        <v/>
      </c>
      <c r="BE116" t="str">
        <f ca="1">IF($AX116="","",
VLOOKUP(LEFT($AX116,LEN($AX116)-2),'Field information 2'!$B$12:$P$111,15,FALSE))</f>
        <v/>
      </c>
      <c r="BF116">
        <f t="shared" ca="1" si="134"/>
        <v>0</v>
      </c>
      <c r="BG116" t="str">
        <f t="shared" ca="1" si="135"/>
        <v/>
      </c>
      <c r="BH116" s="7" t="str">
        <f ca="1">IF(OR(AX116="",'Soil results'!$D$7="",'Soil results'!$D$8=""),"",
IF('Soil results'!$D$7="LOI",
  IF('Soil results'!$D$8="mg/kg",'Soil results'!D121/10000,'Soil results'!D121),
IF('Soil results'!$D$7="Dumas",
  IF('Soil results'!$D$8="mg/kg",'Soil results'!D121*1.72/10000,'Soil results'!D121*1.72))))</f>
        <v/>
      </c>
      <c r="BI116" t="str">
        <f ca="1">IF($AX116="","",
VLOOKUP(LEFT($AX116,LEN($AX116)-2),'Field information 2'!$B$12:$I$111,8,FALSE))</f>
        <v/>
      </c>
      <c r="BJ116" t="str">
        <f ca="1">IF(BI116="","",
VLOOKUP(BI116,'Fertiliser recommendations'!$A$5:$B$62,2,FALSE))</f>
        <v/>
      </c>
      <c r="BK116" s="38" t="str">
        <f ca="1">IF($AX116="","",
IF(AND(BJ116="g",VLOOKUP(LEFT($AX116,LEN($AX116)-2),'Field information 2'!$B$12:$P$111,9,FALSE)&lt;&gt;"yes"),
IF(BG116="10-25% OM",6,IF(BG116="&gt;25% OM",12,IF(BG116="SCL; CL; ZCL; SC; ZC; C",6,IF(BG116="SL; SZL; ZL",5,IF(BG116="S; LS",4,"?"))))),
IF(OR(BJ116="a",AND(BJ116="g",VLOOKUP(LEFT($AX116,LEN($AX116)-2),'Field information 2'!$B$12:$P$111,9,FALSE)="yes")),
IF(BG116="10-25% OM",8,IF(BG116="&gt;25% OM",16,IF(BG116="SCL; CL; ZCL; SC; ZC; C",8,IF(BG116="SL; SZL; ZL",7,IF(BG116="S; LS",6,"?"))))),"")))</f>
        <v/>
      </c>
      <c r="BL116" t="str">
        <f ca="1">IF(AX116&lt;&gt;"",COUNTBLANK('Soil results'!D121:D121)+COUNTBLANK('Soil results'!F121:I121)+COUNTBLANK('Soil results'!K121:Q121),"")</f>
        <v/>
      </c>
      <c r="BM116" t="str">
        <f ca="1">IF(AX116&lt;&gt;"",
IF(OR(ISNUMBER(SEARCH("10*01*01",'Field information 2'!$M$5)),ISNUMBER(SEARCH("10*01*03",'Field information 2'!$M$5))),0.25,1),"")</f>
        <v/>
      </c>
      <c r="BN116" s="275" t="str">
        <f ca="1">IF(AX116&lt;&gt;"",
IF(COUNTIF('Soil results'!G122:G$159,"="&amp;'Soil results'!G121)+COUNTIF('Soil results'!H122:H$159,"="&amp;'Soil results'!H121)+COUNTIF('Soil results'!I122:I$159,"="&amp;'Soil results'!I121)=0,"no",
IF(MOD(COUNTIF('Soil results'!G122:G$159,"="&amp;'Soil results'!G121)+COUNTIF('Soil results'!H122:H$159,"="&amp;'Soil results'!H121)+COUNTIF('Soil results'!I122:I$159,"="&amp;'Soil results'!I121),3)=0,"yes","no")),"")</f>
        <v/>
      </c>
      <c r="BO116" s="276" t="str">
        <f t="shared" ca="1" si="136"/>
        <v/>
      </c>
      <c r="BP116" s="33"/>
      <c r="BQ116" s="276"/>
      <c r="BR116" s="276"/>
      <c r="BS116" s="276" t="str">
        <f t="shared" ca="1" si="137"/>
        <v/>
      </c>
      <c r="BT116" s="153" t="str">
        <f ca="1">IF(AX116="","",
IF(OR(Assessment!F118="limited benefit",Assessment!F118="benefit", Assessment!M118="limited benefit",Assessment!M118="benefit", Assessment!R118="limited benefit",Assessment!R118="benefit", Assessment!W118="limited benefit",Assessment!W118="benefit", Assessment!AB118="limited benefit",Assessment!AB118="benefit", AND(ISNUMBER(Assessment!AF118),Assessment!AG118="ok"), Assessment!AJ118="benefit"),"yes","no"))</f>
        <v/>
      </c>
      <c r="BW116" t="s">
        <v>417</v>
      </c>
    </row>
    <row r="117" spans="50:75" ht="15" x14ac:dyDescent="0.25">
      <c r="AX117" s="247" t="str" cm="1">
        <f t="array" aca="1" ref="AX117" ca="1">INDIRECT(TEXT(MIN(IF((Calc!$Z$5:$AI$104&lt;&gt;"")*(COUNTIF($AX$4:AX116,Calc!$Z$5:$AI$104)=0),ROW(Calc!$Z$5:$AI$104)*100+COLUMN(Calc!$Z$5:$AI$104),7^8)),"Calc!R0C00"),)&amp;""</f>
        <v/>
      </c>
      <c r="AY117" t="str" cm="1">
        <f t="array" aca="1" ref="AY117" ca="1">INDIRECT(TEXT(MIN(IF((Calc!$AK$5:$AT$104&lt;&gt;"")*(COUNTIF(AY$4:$AY116,Calc!$AK$5:$AT$104)=0),ROW(Calc!$AK$5:$AT$104)*100+COLUMN(Calc!$AK$5:$AT$104),7^8)),"Calc!R0C00"),)&amp;""</f>
        <v/>
      </c>
      <c r="AZ117" s="247" t="str">
        <f t="shared" ca="1" si="149"/>
        <v/>
      </c>
      <c r="BA117" s="324">
        <f t="shared" si="138"/>
        <v>113</v>
      </c>
      <c r="BB117">
        <f t="shared" ca="1" si="133"/>
        <v>0</v>
      </c>
      <c r="BC117" t="str">
        <f ca="1">IF($AX117="","",
VLOOKUP(LEFT($AX117,LEN($AX117)-2),'Field information 2'!$B$12:$P$111,11,FALSE))</f>
        <v/>
      </c>
      <c r="BD117" t="str">
        <f ca="1">IF($AX117="","",
VLOOKUP(LEFT($AX117,LEN($AX117)-2),'Field information 2'!$B$12:$P$111,13,FALSE))</f>
        <v/>
      </c>
      <c r="BE117" t="str">
        <f ca="1">IF($AX117="","",
VLOOKUP(LEFT($AX117,LEN($AX117)-2),'Field information 2'!$B$12:$P$111,15,FALSE))</f>
        <v/>
      </c>
      <c r="BF117">
        <f t="shared" ca="1" si="134"/>
        <v>0</v>
      </c>
      <c r="BG117" t="str">
        <f t="shared" ca="1" si="135"/>
        <v/>
      </c>
      <c r="BH117" s="7" t="str">
        <f ca="1">IF(OR(AX117="",'Soil results'!$D$7="",'Soil results'!$D$8=""),"",
IF('Soil results'!$D$7="LOI",
  IF('Soil results'!$D$8="mg/kg",'Soil results'!D122/10000,'Soil results'!D122),
IF('Soil results'!$D$7="Dumas",
  IF('Soil results'!$D$8="mg/kg",'Soil results'!D122*1.72/10000,'Soil results'!D122*1.72))))</f>
        <v/>
      </c>
      <c r="BI117" t="str">
        <f ca="1">IF($AX117="","",
VLOOKUP(LEFT($AX117,LEN($AX117)-2),'Field information 2'!$B$12:$I$111,8,FALSE))</f>
        <v/>
      </c>
      <c r="BJ117" t="str">
        <f ca="1">IF(BI117="","",
VLOOKUP(BI117,'Fertiliser recommendations'!$A$5:$B$62,2,FALSE))</f>
        <v/>
      </c>
      <c r="BK117" s="38" t="str">
        <f ca="1">IF($AX117="","",
IF(AND(BJ117="g",VLOOKUP(LEFT($AX117,LEN($AX117)-2),'Field information 2'!$B$12:$P$111,9,FALSE)&lt;&gt;"yes"),
IF(BG117="10-25% OM",6,IF(BG117="&gt;25% OM",12,IF(BG117="SCL; CL; ZCL; SC; ZC; C",6,IF(BG117="SL; SZL; ZL",5,IF(BG117="S; LS",4,"?"))))),
IF(OR(BJ117="a",AND(BJ117="g",VLOOKUP(LEFT($AX117,LEN($AX117)-2),'Field information 2'!$B$12:$P$111,9,FALSE)="yes")),
IF(BG117="10-25% OM",8,IF(BG117="&gt;25% OM",16,IF(BG117="SCL; CL; ZCL; SC; ZC; C",8,IF(BG117="SL; SZL; ZL",7,IF(BG117="S; LS",6,"?"))))),"")))</f>
        <v/>
      </c>
      <c r="BL117" t="str">
        <f ca="1">IF(AX117&lt;&gt;"",COUNTBLANK('Soil results'!D122:D122)+COUNTBLANK('Soil results'!F122:I122)+COUNTBLANK('Soil results'!K122:Q122),"")</f>
        <v/>
      </c>
      <c r="BM117" t="str">
        <f ca="1">IF(AX117&lt;&gt;"",
IF(OR(ISNUMBER(SEARCH("10*01*01",'Field information 2'!$M$5)),ISNUMBER(SEARCH("10*01*03",'Field information 2'!$M$5))),0.25,1),"")</f>
        <v/>
      </c>
      <c r="BN117" s="275" t="str">
        <f ca="1">IF(AX117&lt;&gt;"",
IF(COUNTIF('Soil results'!G123:G$159,"="&amp;'Soil results'!G122)+COUNTIF('Soil results'!H123:H$159,"="&amp;'Soil results'!H122)+COUNTIF('Soil results'!I123:I$159,"="&amp;'Soil results'!I122)=0,"no",
IF(MOD(COUNTIF('Soil results'!G123:G$159,"="&amp;'Soil results'!G122)+COUNTIF('Soil results'!H123:H$159,"="&amp;'Soil results'!H122)+COUNTIF('Soil results'!I123:I$159,"="&amp;'Soil results'!I122),3)=0,"yes","no")),"")</f>
        <v/>
      </c>
      <c r="BO117" s="276" t="str">
        <f t="shared" ca="1" si="136"/>
        <v/>
      </c>
      <c r="BP117" s="33"/>
      <c r="BQ117" s="276"/>
      <c r="BR117" s="276"/>
      <c r="BS117" s="276" t="str">
        <f t="shared" ca="1" si="137"/>
        <v/>
      </c>
      <c r="BT117" s="153" t="str">
        <f ca="1">IF(AX117="","",
IF(OR(Assessment!F119="limited benefit",Assessment!F119="benefit", Assessment!M119="limited benefit",Assessment!M119="benefit", Assessment!R119="limited benefit",Assessment!R119="benefit", Assessment!W119="limited benefit",Assessment!W119="benefit", Assessment!AB119="limited benefit",Assessment!AB119="benefit", AND(ISNUMBER(Assessment!AF119),Assessment!AG119="ok"), Assessment!AJ119="benefit"),"yes","no"))</f>
        <v/>
      </c>
      <c r="BW117" t="s">
        <v>418</v>
      </c>
    </row>
    <row r="118" spans="50:75" ht="15" x14ac:dyDescent="0.25">
      <c r="AX118" s="247" t="str" cm="1">
        <f t="array" aca="1" ref="AX118" ca="1">INDIRECT(TEXT(MIN(IF((Calc!$Z$5:$AI$104&lt;&gt;"")*(COUNTIF($AX$4:AX117,Calc!$Z$5:$AI$104)=0),ROW(Calc!$Z$5:$AI$104)*100+COLUMN(Calc!$Z$5:$AI$104),7^8)),"Calc!R0C00"),)&amp;""</f>
        <v/>
      </c>
      <c r="AY118" t="str" cm="1">
        <f t="array" aca="1" ref="AY118" ca="1">INDIRECT(TEXT(MIN(IF((Calc!$AK$5:$AT$104&lt;&gt;"")*(COUNTIF(AY$4:$AY117,Calc!$AK$5:$AT$104)=0),ROW(Calc!$AK$5:$AT$104)*100+COLUMN(Calc!$AK$5:$AT$104),7^8)),"Calc!R0C00"),)&amp;""</f>
        <v/>
      </c>
      <c r="AZ118" s="247" t="str">
        <f t="shared" ca="1" si="149"/>
        <v/>
      </c>
      <c r="BA118" s="324">
        <f t="shared" si="138"/>
        <v>114</v>
      </c>
      <c r="BB118">
        <f t="shared" ca="1" si="133"/>
        <v>0</v>
      </c>
      <c r="BC118" t="str">
        <f ca="1">IF($AX118="","",
VLOOKUP(LEFT($AX118,LEN($AX118)-2),'Field information 2'!$B$12:$P$111,11,FALSE))</f>
        <v/>
      </c>
      <c r="BD118" t="str">
        <f ca="1">IF($AX118="","",
VLOOKUP(LEFT($AX118,LEN($AX118)-2),'Field information 2'!$B$12:$P$111,13,FALSE))</f>
        <v/>
      </c>
      <c r="BE118" t="str">
        <f ca="1">IF($AX118="","",
VLOOKUP(LEFT($AX118,LEN($AX118)-2),'Field information 2'!$B$12:$P$111,15,FALSE))</f>
        <v/>
      </c>
      <c r="BF118">
        <f t="shared" ca="1" si="134"/>
        <v>0</v>
      </c>
      <c r="BG118" t="str">
        <f t="shared" ca="1" si="135"/>
        <v/>
      </c>
      <c r="BH118" s="7" t="str">
        <f ca="1">IF(OR(AX118="",'Soil results'!$D$7="",'Soil results'!$D$8=""),"",
IF('Soil results'!$D$7="LOI",
  IF('Soil results'!$D$8="mg/kg",'Soil results'!D123/10000,'Soil results'!D123),
IF('Soil results'!$D$7="Dumas",
  IF('Soil results'!$D$8="mg/kg",'Soil results'!D123*1.72/10000,'Soil results'!D123*1.72))))</f>
        <v/>
      </c>
      <c r="BI118" t="str">
        <f ca="1">IF($AX118="","",
VLOOKUP(LEFT($AX118,LEN($AX118)-2),'Field information 2'!$B$12:$I$111,8,FALSE))</f>
        <v/>
      </c>
      <c r="BJ118" t="str">
        <f ca="1">IF(BI118="","",
VLOOKUP(BI118,'Fertiliser recommendations'!$A$5:$B$62,2,FALSE))</f>
        <v/>
      </c>
      <c r="BK118" s="38" t="str">
        <f ca="1">IF($AX118="","",
IF(AND(BJ118="g",VLOOKUP(LEFT($AX118,LEN($AX118)-2),'Field information 2'!$B$12:$P$111,9,FALSE)&lt;&gt;"yes"),
IF(BG118="10-25% OM",6,IF(BG118="&gt;25% OM",12,IF(BG118="SCL; CL; ZCL; SC; ZC; C",6,IF(BG118="SL; SZL; ZL",5,IF(BG118="S; LS",4,"?"))))),
IF(OR(BJ118="a",AND(BJ118="g",VLOOKUP(LEFT($AX118,LEN($AX118)-2),'Field information 2'!$B$12:$P$111,9,FALSE)="yes")),
IF(BG118="10-25% OM",8,IF(BG118="&gt;25% OM",16,IF(BG118="SCL; CL; ZCL; SC; ZC; C",8,IF(BG118="SL; SZL; ZL",7,IF(BG118="S; LS",6,"?"))))),"")))</f>
        <v/>
      </c>
      <c r="BL118" t="str">
        <f ca="1">IF(AX118&lt;&gt;"",COUNTBLANK('Soil results'!D123:D123)+COUNTBLANK('Soil results'!F123:I123)+COUNTBLANK('Soil results'!K123:Q123),"")</f>
        <v/>
      </c>
      <c r="BM118" t="str">
        <f ca="1">IF(AX118&lt;&gt;"",
IF(OR(ISNUMBER(SEARCH("10*01*01",'Field information 2'!$M$5)),ISNUMBER(SEARCH("10*01*03",'Field information 2'!$M$5))),0.25,1),"")</f>
        <v/>
      </c>
      <c r="BN118" s="275" t="str">
        <f ca="1">IF(AX118&lt;&gt;"",
IF(COUNTIF('Soil results'!G124:G$159,"="&amp;'Soil results'!G123)+COUNTIF('Soil results'!H124:H$159,"="&amp;'Soil results'!H123)+COUNTIF('Soil results'!I124:I$159,"="&amp;'Soil results'!I123)=0,"no",
IF(MOD(COUNTIF('Soil results'!G124:G$159,"="&amp;'Soil results'!G123)+COUNTIF('Soil results'!H124:H$159,"="&amp;'Soil results'!H123)+COUNTIF('Soil results'!I124:I$159,"="&amp;'Soil results'!I123),3)=0,"yes","no")),"")</f>
        <v/>
      </c>
      <c r="BO118" s="276" t="str">
        <f t="shared" ca="1" si="136"/>
        <v/>
      </c>
      <c r="BP118" s="33"/>
      <c r="BQ118" s="276"/>
      <c r="BR118" s="276"/>
      <c r="BS118" s="276" t="str">
        <f t="shared" ca="1" si="137"/>
        <v/>
      </c>
      <c r="BT118" s="153" t="str">
        <f ca="1">IF(AX118="","",
IF(OR(Assessment!F120="limited benefit",Assessment!F120="benefit", Assessment!M120="limited benefit",Assessment!M120="benefit", Assessment!R120="limited benefit",Assessment!R120="benefit", Assessment!W120="limited benefit",Assessment!W120="benefit", Assessment!AB120="limited benefit",Assessment!AB120="benefit", AND(ISNUMBER(Assessment!AF120),Assessment!AG120="ok"), Assessment!AJ120="benefit"),"yes","no"))</f>
        <v/>
      </c>
    </row>
    <row r="119" spans="50:75" ht="15" x14ac:dyDescent="0.25">
      <c r="AX119" s="247" t="str" cm="1">
        <f t="array" aca="1" ref="AX119" ca="1">INDIRECT(TEXT(MIN(IF((Calc!$Z$5:$AI$104&lt;&gt;"")*(COUNTIF($AX$4:AX118,Calc!$Z$5:$AI$104)=0),ROW(Calc!$Z$5:$AI$104)*100+COLUMN(Calc!$Z$5:$AI$104),7^8)),"Calc!R0C00"),)&amp;""</f>
        <v/>
      </c>
      <c r="AY119" t="str" cm="1">
        <f t="array" aca="1" ref="AY119" ca="1">INDIRECT(TEXT(MIN(IF((Calc!$AK$5:$AT$104&lt;&gt;"")*(COUNTIF(AY$4:$AY118,Calc!$AK$5:$AT$104)=0),ROW(Calc!$AK$5:$AT$104)*100+COLUMN(Calc!$AK$5:$AT$104),7^8)),"Calc!R0C00"),)&amp;""</f>
        <v/>
      </c>
      <c r="AZ119" s="247" t="str">
        <f t="shared" ca="1" si="149"/>
        <v/>
      </c>
      <c r="BA119" s="324">
        <f t="shared" si="138"/>
        <v>115</v>
      </c>
      <c r="BB119">
        <f t="shared" ca="1" si="133"/>
        <v>0</v>
      </c>
      <c r="BC119" t="str">
        <f ca="1">IF($AX119="","",
VLOOKUP(LEFT($AX119,LEN($AX119)-2),'Field information 2'!$B$12:$P$111,11,FALSE))</f>
        <v/>
      </c>
      <c r="BD119" t="str">
        <f ca="1">IF($AX119="","",
VLOOKUP(LEFT($AX119,LEN($AX119)-2),'Field information 2'!$B$12:$P$111,13,FALSE))</f>
        <v/>
      </c>
      <c r="BE119" t="str">
        <f ca="1">IF($AX119="","",
VLOOKUP(LEFT($AX119,LEN($AX119)-2),'Field information 2'!$B$12:$P$111,15,FALSE))</f>
        <v/>
      </c>
      <c r="BF119">
        <f t="shared" ca="1" si="134"/>
        <v>0</v>
      </c>
      <c r="BG119" t="str">
        <f t="shared" ca="1" si="135"/>
        <v/>
      </c>
      <c r="BH119" s="7" t="str">
        <f ca="1">IF(OR(AX119="",'Soil results'!$D$7="",'Soil results'!$D$8=""),"",
IF('Soil results'!$D$7="LOI",
  IF('Soil results'!$D$8="mg/kg",'Soil results'!D124/10000,'Soil results'!D124),
IF('Soil results'!$D$7="Dumas",
  IF('Soil results'!$D$8="mg/kg",'Soil results'!D124*1.72/10000,'Soil results'!D124*1.72))))</f>
        <v/>
      </c>
      <c r="BI119" t="str">
        <f ca="1">IF($AX119="","",
VLOOKUP(LEFT($AX119,LEN($AX119)-2),'Field information 2'!$B$12:$I$111,8,FALSE))</f>
        <v/>
      </c>
      <c r="BJ119" t="str">
        <f ca="1">IF(BI119="","",
VLOOKUP(BI119,'Fertiliser recommendations'!$A$5:$B$62,2,FALSE))</f>
        <v/>
      </c>
      <c r="BK119" s="38" t="str">
        <f ca="1">IF($AX119="","",
IF(AND(BJ119="g",VLOOKUP(LEFT($AX119,LEN($AX119)-2),'Field information 2'!$B$12:$P$111,9,FALSE)&lt;&gt;"yes"),
IF(BG119="10-25% OM",6,IF(BG119="&gt;25% OM",12,IF(BG119="SCL; CL; ZCL; SC; ZC; C",6,IF(BG119="SL; SZL; ZL",5,IF(BG119="S; LS",4,"?"))))),
IF(OR(BJ119="a",AND(BJ119="g",VLOOKUP(LEFT($AX119,LEN($AX119)-2),'Field information 2'!$B$12:$P$111,9,FALSE)="yes")),
IF(BG119="10-25% OM",8,IF(BG119="&gt;25% OM",16,IF(BG119="SCL; CL; ZCL; SC; ZC; C",8,IF(BG119="SL; SZL; ZL",7,IF(BG119="S; LS",6,"?"))))),"")))</f>
        <v/>
      </c>
      <c r="BL119" t="str">
        <f ca="1">IF(AX119&lt;&gt;"",COUNTBLANK('Soil results'!D124:D124)+COUNTBLANK('Soil results'!F124:I124)+COUNTBLANK('Soil results'!K124:Q124),"")</f>
        <v/>
      </c>
      <c r="BM119" t="str">
        <f ca="1">IF(AX119&lt;&gt;"",
IF(OR(ISNUMBER(SEARCH("10*01*01",'Field information 2'!$M$5)),ISNUMBER(SEARCH("10*01*03",'Field information 2'!$M$5))),0.25,1),"")</f>
        <v/>
      </c>
      <c r="BN119" s="275" t="str">
        <f ca="1">IF(AX119&lt;&gt;"",
IF(COUNTIF('Soil results'!G125:G$159,"="&amp;'Soil results'!G124)+COUNTIF('Soil results'!H125:H$159,"="&amp;'Soil results'!H124)+COUNTIF('Soil results'!I125:I$159,"="&amp;'Soil results'!I124)=0,"no",
IF(MOD(COUNTIF('Soil results'!G125:G$159,"="&amp;'Soil results'!G124)+COUNTIF('Soil results'!H125:H$159,"="&amp;'Soil results'!H124)+COUNTIF('Soil results'!I125:I$159,"="&amp;'Soil results'!I124),3)=0,"yes","no")),"")</f>
        <v/>
      </c>
      <c r="BO119" s="276" t="str">
        <f t="shared" ca="1" si="136"/>
        <v/>
      </c>
      <c r="BP119" s="33"/>
      <c r="BQ119" s="276"/>
      <c r="BR119" s="276"/>
      <c r="BS119" s="276" t="str">
        <f t="shared" ca="1" si="137"/>
        <v/>
      </c>
      <c r="BT119" s="153" t="str">
        <f ca="1">IF(AX119="","",
IF(OR(Assessment!F121="limited benefit",Assessment!F121="benefit", Assessment!M121="limited benefit",Assessment!M121="benefit", Assessment!R121="limited benefit",Assessment!R121="benefit", Assessment!W121="limited benefit",Assessment!W121="benefit", Assessment!AB121="limited benefit",Assessment!AB121="benefit", AND(ISNUMBER(Assessment!AF121),Assessment!AG121="ok"), Assessment!AJ121="benefit"),"yes","no"))</f>
        <v/>
      </c>
      <c r="BW119" t="s">
        <v>419</v>
      </c>
    </row>
    <row r="120" spans="50:75" ht="15" x14ac:dyDescent="0.25">
      <c r="AX120" s="247" t="str" cm="1">
        <f t="array" aca="1" ref="AX120" ca="1">INDIRECT(TEXT(MIN(IF((Calc!$Z$5:$AI$104&lt;&gt;"")*(COUNTIF($AX$4:AX119,Calc!$Z$5:$AI$104)=0),ROW(Calc!$Z$5:$AI$104)*100+COLUMN(Calc!$Z$5:$AI$104),7^8)),"Calc!R0C00"),)&amp;""</f>
        <v/>
      </c>
      <c r="AY120" t="str" cm="1">
        <f t="array" aca="1" ref="AY120" ca="1">INDIRECT(TEXT(MIN(IF((Calc!$AK$5:$AT$104&lt;&gt;"")*(COUNTIF(AY$4:$AY119,Calc!$AK$5:$AT$104)=0),ROW(Calc!$AK$5:$AT$104)*100+COLUMN(Calc!$AK$5:$AT$104),7^8)),"Calc!R0C00"),)&amp;""</f>
        <v/>
      </c>
      <c r="AZ120" s="247" t="str">
        <f t="shared" ca="1" si="149"/>
        <v/>
      </c>
      <c r="BA120" s="324">
        <f t="shared" si="138"/>
        <v>116</v>
      </c>
      <c r="BB120">
        <f t="shared" ca="1" si="133"/>
        <v>0</v>
      </c>
      <c r="BC120" t="str">
        <f ca="1">IF($AX120="","",
VLOOKUP(LEFT($AX120,LEN($AX120)-2),'Field information 2'!$B$12:$P$111,11,FALSE))</f>
        <v/>
      </c>
      <c r="BD120" t="str">
        <f ca="1">IF($AX120="","",
VLOOKUP(LEFT($AX120,LEN($AX120)-2),'Field information 2'!$B$12:$P$111,13,FALSE))</f>
        <v/>
      </c>
      <c r="BE120" t="str">
        <f ca="1">IF($AX120="","",
VLOOKUP(LEFT($AX120,LEN($AX120)-2),'Field information 2'!$B$12:$P$111,15,FALSE))</f>
        <v/>
      </c>
      <c r="BF120">
        <f t="shared" ca="1" si="134"/>
        <v>0</v>
      </c>
      <c r="BG120" t="str">
        <f t="shared" ca="1" si="135"/>
        <v/>
      </c>
      <c r="BH120" s="7" t="str">
        <f ca="1">IF(OR(AX120="",'Soil results'!$D$7="",'Soil results'!$D$8=""),"",
IF('Soil results'!$D$7="LOI",
  IF('Soil results'!$D$8="mg/kg",'Soil results'!D125/10000,'Soil results'!D125),
IF('Soil results'!$D$7="Dumas",
  IF('Soil results'!$D$8="mg/kg",'Soil results'!D125*1.72/10000,'Soil results'!D125*1.72))))</f>
        <v/>
      </c>
      <c r="BI120" t="str">
        <f ca="1">IF($AX120="","",
VLOOKUP(LEFT($AX120,LEN($AX120)-2),'Field information 2'!$B$12:$I$111,8,FALSE))</f>
        <v/>
      </c>
      <c r="BJ120" t="str">
        <f ca="1">IF(BI120="","",
VLOOKUP(BI120,'Fertiliser recommendations'!$A$5:$B$62,2,FALSE))</f>
        <v/>
      </c>
      <c r="BK120" s="38" t="str">
        <f ca="1">IF($AX120="","",
IF(AND(BJ120="g",VLOOKUP(LEFT($AX120,LEN($AX120)-2),'Field information 2'!$B$12:$P$111,9,FALSE)&lt;&gt;"yes"),
IF(BG120="10-25% OM",6,IF(BG120="&gt;25% OM",12,IF(BG120="SCL; CL; ZCL; SC; ZC; C",6,IF(BG120="SL; SZL; ZL",5,IF(BG120="S; LS",4,"?"))))),
IF(OR(BJ120="a",AND(BJ120="g",VLOOKUP(LEFT($AX120,LEN($AX120)-2),'Field information 2'!$B$12:$P$111,9,FALSE)="yes")),
IF(BG120="10-25% OM",8,IF(BG120="&gt;25% OM",16,IF(BG120="SCL; CL; ZCL; SC; ZC; C",8,IF(BG120="SL; SZL; ZL",7,IF(BG120="S; LS",6,"?"))))),"")))</f>
        <v/>
      </c>
      <c r="BL120" t="str">
        <f ca="1">IF(AX120&lt;&gt;"",COUNTBLANK('Soil results'!D125:D125)+COUNTBLANK('Soil results'!F125:I125)+COUNTBLANK('Soil results'!K125:Q125),"")</f>
        <v/>
      </c>
      <c r="BM120" t="str">
        <f ca="1">IF(AX120&lt;&gt;"",
IF(OR(ISNUMBER(SEARCH("10*01*01",'Field information 2'!$M$5)),ISNUMBER(SEARCH("10*01*03",'Field information 2'!$M$5))),0.25,1),"")</f>
        <v/>
      </c>
      <c r="BN120" s="275" t="str">
        <f ca="1">IF(AX120&lt;&gt;"",
IF(COUNTIF('Soil results'!G126:G$159,"="&amp;'Soil results'!G125)+COUNTIF('Soil results'!H126:H$159,"="&amp;'Soil results'!H125)+COUNTIF('Soil results'!I126:I$159,"="&amp;'Soil results'!I125)=0,"no",
IF(MOD(COUNTIF('Soil results'!G126:G$159,"="&amp;'Soil results'!G125)+COUNTIF('Soil results'!H126:H$159,"="&amp;'Soil results'!H125)+COUNTIF('Soil results'!I126:I$159,"="&amp;'Soil results'!I125),3)=0,"yes","no")),"")</f>
        <v/>
      </c>
      <c r="BO120" s="276" t="str">
        <f t="shared" ca="1" si="136"/>
        <v/>
      </c>
      <c r="BP120" s="33"/>
      <c r="BQ120" s="276"/>
      <c r="BR120" s="276"/>
      <c r="BS120" s="276" t="str">
        <f t="shared" ca="1" si="137"/>
        <v/>
      </c>
      <c r="BT120" s="153" t="str">
        <f ca="1">IF(AX120="","",
IF(OR(Assessment!F122="limited benefit",Assessment!F122="benefit", Assessment!M122="limited benefit",Assessment!M122="benefit", Assessment!R122="limited benefit",Assessment!R122="benefit", Assessment!W122="limited benefit",Assessment!W122="benefit", Assessment!AB122="limited benefit",Assessment!AB122="benefit", AND(ISNUMBER(Assessment!AF122),Assessment!AG122="ok"), Assessment!AJ122="benefit"),"yes","no"))</f>
        <v/>
      </c>
      <c r="BW120" t="s">
        <v>420</v>
      </c>
    </row>
    <row r="121" spans="50:75" ht="15" x14ac:dyDescent="0.25">
      <c r="AX121" s="247" t="str" cm="1">
        <f t="array" aca="1" ref="AX121" ca="1">INDIRECT(TEXT(MIN(IF((Calc!$Z$5:$AI$104&lt;&gt;"")*(COUNTIF($AX$4:AX120,Calc!$Z$5:$AI$104)=0),ROW(Calc!$Z$5:$AI$104)*100+COLUMN(Calc!$Z$5:$AI$104),7^8)),"Calc!R0C00"),)&amp;""</f>
        <v/>
      </c>
      <c r="AY121" t="str" cm="1">
        <f t="array" aca="1" ref="AY121" ca="1">INDIRECT(TEXT(MIN(IF((Calc!$AK$5:$AT$104&lt;&gt;"")*(COUNTIF(AY$4:$AY120,Calc!$AK$5:$AT$104)=0),ROW(Calc!$AK$5:$AT$104)*100+COLUMN(Calc!$AK$5:$AT$104),7^8)),"Calc!R0C00"),)&amp;""</f>
        <v/>
      </c>
      <c r="AZ121" s="247" t="str">
        <f t="shared" ca="1" si="149"/>
        <v/>
      </c>
      <c r="BA121" s="324">
        <f t="shared" si="138"/>
        <v>117</v>
      </c>
      <c r="BB121">
        <f t="shared" ca="1" si="133"/>
        <v>0</v>
      </c>
      <c r="BC121" t="str">
        <f ca="1">IF($AX121="","",
VLOOKUP(LEFT($AX121,LEN($AX121)-2),'Field information 2'!$B$12:$P$111,11,FALSE))</f>
        <v/>
      </c>
      <c r="BD121" t="str">
        <f ca="1">IF($AX121="","",
VLOOKUP(LEFT($AX121,LEN($AX121)-2),'Field information 2'!$B$12:$P$111,13,FALSE))</f>
        <v/>
      </c>
      <c r="BE121" t="str">
        <f ca="1">IF($AX121="","",
VLOOKUP(LEFT($AX121,LEN($AX121)-2),'Field information 2'!$B$12:$P$111,15,FALSE))</f>
        <v/>
      </c>
      <c r="BF121">
        <f t="shared" ca="1" si="134"/>
        <v>0</v>
      </c>
      <c r="BG121" t="str">
        <f t="shared" ca="1" si="135"/>
        <v/>
      </c>
      <c r="BH121" s="7" t="str">
        <f ca="1">IF(OR(AX121="",'Soil results'!$D$7="",'Soil results'!$D$8=""),"",
IF('Soil results'!$D$7="LOI",
  IF('Soil results'!$D$8="mg/kg",'Soil results'!D126/10000,'Soil results'!D126),
IF('Soil results'!$D$7="Dumas",
  IF('Soil results'!$D$8="mg/kg",'Soil results'!D126*1.72/10000,'Soil results'!D126*1.72))))</f>
        <v/>
      </c>
      <c r="BI121" t="str">
        <f ca="1">IF($AX121="","",
VLOOKUP(LEFT($AX121,LEN($AX121)-2),'Field information 2'!$B$12:$I$111,8,FALSE))</f>
        <v/>
      </c>
      <c r="BJ121" t="str">
        <f ca="1">IF(BI121="","",
VLOOKUP(BI121,'Fertiliser recommendations'!$A$5:$B$62,2,FALSE))</f>
        <v/>
      </c>
      <c r="BK121" s="38" t="str">
        <f ca="1">IF($AX121="","",
IF(AND(BJ121="g",VLOOKUP(LEFT($AX121,LEN($AX121)-2),'Field information 2'!$B$12:$P$111,9,FALSE)&lt;&gt;"yes"),
IF(BG121="10-25% OM",6,IF(BG121="&gt;25% OM",12,IF(BG121="SCL; CL; ZCL; SC; ZC; C",6,IF(BG121="SL; SZL; ZL",5,IF(BG121="S; LS",4,"?"))))),
IF(OR(BJ121="a",AND(BJ121="g",VLOOKUP(LEFT($AX121,LEN($AX121)-2),'Field information 2'!$B$12:$P$111,9,FALSE)="yes")),
IF(BG121="10-25% OM",8,IF(BG121="&gt;25% OM",16,IF(BG121="SCL; CL; ZCL; SC; ZC; C",8,IF(BG121="SL; SZL; ZL",7,IF(BG121="S; LS",6,"?"))))),"")))</f>
        <v/>
      </c>
      <c r="BL121" t="str">
        <f ca="1">IF(AX121&lt;&gt;"",COUNTBLANK('Soil results'!D126:D126)+COUNTBLANK('Soil results'!F126:I126)+COUNTBLANK('Soil results'!K126:Q126),"")</f>
        <v/>
      </c>
      <c r="BM121" t="str">
        <f ca="1">IF(AX121&lt;&gt;"",
IF(OR(ISNUMBER(SEARCH("10*01*01",'Field information 2'!$M$5)),ISNUMBER(SEARCH("10*01*03",'Field information 2'!$M$5))),0.25,1),"")</f>
        <v/>
      </c>
      <c r="BN121" s="275" t="str">
        <f ca="1">IF(AX121&lt;&gt;"",
IF(COUNTIF('Soil results'!G127:G$159,"="&amp;'Soil results'!G126)+COUNTIF('Soil results'!H127:H$159,"="&amp;'Soil results'!H126)+COUNTIF('Soil results'!I127:I$159,"="&amp;'Soil results'!I126)=0,"no",
IF(MOD(COUNTIF('Soil results'!G127:G$159,"="&amp;'Soil results'!G126)+COUNTIF('Soil results'!H127:H$159,"="&amp;'Soil results'!H126)+COUNTIF('Soil results'!I127:I$159,"="&amp;'Soil results'!I126),3)=0,"yes","no")),"")</f>
        <v/>
      </c>
      <c r="BO121" s="276" t="str">
        <f t="shared" ca="1" si="136"/>
        <v/>
      </c>
      <c r="BP121" s="33"/>
      <c r="BQ121" s="276"/>
      <c r="BR121" s="276"/>
      <c r="BS121" s="276" t="str">
        <f t="shared" ca="1" si="137"/>
        <v/>
      </c>
      <c r="BT121" s="153" t="str">
        <f ca="1">IF(AX121="","",
IF(OR(Assessment!F123="limited benefit",Assessment!F123="benefit", Assessment!M123="limited benefit",Assessment!M123="benefit", Assessment!R123="limited benefit",Assessment!R123="benefit", Assessment!W123="limited benefit",Assessment!W123="benefit", Assessment!AB123="limited benefit",Assessment!AB123="benefit", AND(ISNUMBER(Assessment!AF123),Assessment!AG123="ok"), Assessment!AJ123="benefit"),"yes","no"))</f>
        <v/>
      </c>
      <c r="BW121" t="s">
        <v>421</v>
      </c>
    </row>
    <row r="122" spans="50:75" ht="15" x14ac:dyDescent="0.25">
      <c r="AX122" s="247" t="str" cm="1">
        <f t="array" aca="1" ref="AX122" ca="1">INDIRECT(TEXT(MIN(IF((Calc!$Z$5:$AI$104&lt;&gt;"")*(COUNTIF($AX$4:AX121,Calc!$Z$5:$AI$104)=0),ROW(Calc!$Z$5:$AI$104)*100+COLUMN(Calc!$Z$5:$AI$104),7^8)),"Calc!R0C00"),)&amp;""</f>
        <v/>
      </c>
      <c r="AY122" t="str" cm="1">
        <f t="array" aca="1" ref="AY122" ca="1">INDIRECT(TEXT(MIN(IF((Calc!$AK$5:$AT$104&lt;&gt;"")*(COUNTIF(AY$4:$AY121,Calc!$AK$5:$AT$104)=0),ROW(Calc!$AK$5:$AT$104)*100+COLUMN(Calc!$AK$5:$AT$104),7^8)),"Calc!R0C00"),)&amp;""</f>
        <v/>
      </c>
      <c r="AZ122" s="247" t="str">
        <f t="shared" ca="1" si="149"/>
        <v/>
      </c>
      <c r="BA122" s="324">
        <f t="shared" si="138"/>
        <v>118</v>
      </c>
      <c r="BB122">
        <f t="shared" ca="1" si="133"/>
        <v>0</v>
      </c>
      <c r="BC122" t="str">
        <f ca="1">IF($AX122="","",
VLOOKUP(LEFT($AX122,LEN($AX122)-2),'Field information 2'!$B$12:$P$111,11,FALSE))</f>
        <v/>
      </c>
      <c r="BD122" t="str">
        <f ca="1">IF($AX122="","",
VLOOKUP(LEFT($AX122,LEN($AX122)-2),'Field information 2'!$B$12:$P$111,13,FALSE))</f>
        <v/>
      </c>
      <c r="BE122" t="str">
        <f ca="1">IF($AX122="","",
VLOOKUP(LEFT($AX122,LEN($AX122)-2),'Field information 2'!$B$12:$P$111,15,FALSE))</f>
        <v/>
      </c>
      <c r="BF122">
        <f t="shared" ca="1" si="134"/>
        <v>0</v>
      </c>
      <c r="BG122" t="str">
        <f t="shared" ca="1" si="135"/>
        <v/>
      </c>
      <c r="BH122" s="7" t="str">
        <f ca="1">IF(OR(AX122="",'Soil results'!$D$7="",'Soil results'!$D$8=""),"",
IF('Soil results'!$D$7="LOI",
  IF('Soil results'!$D$8="mg/kg",'Soil results'!D127/10000,'Soil results'!D127),
IF('Soil results'!$D$7="Dumas",
  IF('Soil results'!$D$8="mg/kg",'Soil results'!D127*1.72/10000,'Soil results'!D127*1.72))))</f>
        <v/>
      </c>
      <c r="BI122" t="str">
        <f ca="1">IF($AX122="","",
VLOOKUP(LEFT($AX122,LEN($AX122)-2),'Field information 2'!$B$12:$I$111,8,FALSE))</f>
        <v/>
      </c>
      <c r="BJ122" t="str">
        <f ca="1">IF(BI122="","",
VLOOKUP(BI122,'Fertiliser recommendations'!$A$5:$B$62,2,FALSE))</f>
        <v/>
      </c>
      <c r="BK122" s="38" t="str">
        <f ca="1">IF($AX122="","",
IF(AND(BJ122="g",VLOOKUP(LEFT($AX122,LEN($AX122)-2),'Field information 2'!$B$12:$P$111,9,FALSE)&lt;&gt;"yes"),
IF(BG122="10-25% OM",6,IF(BG122="&gt;25% OM",12,IF(BG122="SCL; CL; ZCL; SC; ZC; C",6,IF(BG122="SL; SZL; ZL",5,IF(BG122="S; LS",4,"?"))))),
IF(OR(BJ122="a",AND(BJ122="g",VLOOKUP(LEFT($AX122,LEN($AX122)-2),'Field information 2'!$B$12:$P$111,9,FALSE)="yes")),
IF(BG122="10-25% OM",8,IF(BG122="&gt;25% OM",16,IF(BG122="SCL; CL; ZCL; SC; ZC; C",8,IF(BG122="SL; SZL; ZL",7,IF(BG122="S; LS",6,"?"))))),"")))</f>
        <v/>
      </c>
      <c r="BL122" t="str">
        <f ca="1">IF(AX122&lt;&gt;"",COUNTBLANK('Soil results'!D127:D127)+COUNTBLANK('Soil results'!F127:I127)+COUNTBLANK('Soil results'!K127:Q127),"")</f>
        <v/>
      </c>
      <c r="BM122" t="str">
        <f ca="1">IF(AX122&lt;&gt;"",
IF(OR(ISNUMBER(SEARCH("10*01*01",'Field information 2'!$M$5)),ISNUMBER(SEARCH("10*01*03",'Field information 2'!$M$5))),0.25,1),"")</f>
        <v/>
      </c>
      <c r="BN122" s="275" t="str">
        <f ca="1">IF(AX122&lt;&gt;"",
IF(COUNTIF('Soil results'!G128:G$159,"="&amp;'Soil results'!G127)+COUNTIF('Soil results'!H128:H$159,"="&amp;'Soil results'!H127)+COUNTIF('Soil results'!I128:I$159,"="&amp;'Soil results'!I127)=0,"no",
IF(MOD(COUNTIF('Soil results'!G128:G$159,"="&amp;'Soil results'!G127)+COUNTIF('Soil results'!H128:H$159,"="&amp;'Soil results'!H127)+COUNTIF('Soil results'!I128:I$159,"="&amp;'Soil results'!I127),3)=0,"yes","no")),"")</f>
        <v/>
      </c>
      <c r="BO122" s="276" t="str">
        <f t="shared" ca="1" si="136"/>
        <v/>
      </c>
      <c r="BP122" s="33"/>
      <c r="BQ122" s="276"/>
      <c r="BR122" s="276"/>
      <c r="BS122" s="276" t="str">
        <f t="shared" ca="1" si="137"/>
        <v/>
      </c>
      <c r="BT122" s="153" t="str">
        <f ca="1">IF(AX122="","",
IF(OR(Assessment!F124="limited benefit",Assessment!F124="benefit", Assessment!M124="limited benefit",Assessment!M124="benefit", Assessment!R124="limited benefit",Assessment!R124="benefit", Assessment!W124="limited benefit",Assessment!W124="benefit", Assessment!AB124="limited benefit",Assessment!AB124="benefit", AND(ISNUMBER(Assessment!AF124),Assessment!AG124="ok"), Assessment!AJ124="benefit"),"yes","no"))</f>
        <v/>
      </c>
      <c r="BW122" t="s">
        <v>422</v>
      </c>
    </row>
    <row r="123" spans="50:75" ht="15" x14ac:dyDescent="0.25">
      <c r="AX123" s="247" t="str" cm="1">
        <f t="array" aca="1" ref="AX123" ca="1">INDIRECT(TEXT(MIN(IF((Calc!$Z$5:$AI$104&lt;&gt;"")*(COUNTIF($AX$4:AX122,Calc!$Z$5:$AI$104)=0),ROW(Calc!$Z$5:$AI$104)*100+COLUMN(Calc!$Z$5:$AI$104),7^8)),"Calc!R0C00"),)&amp;""</f>
        <v/>
      </c>
      <c r="AY123" t="str" cm="1">
        <f t="array" aca="1" ref="AY123" ca="1">INDIRECT(TEXT(MIN(IF((Calc!$AK$5:$AT$104&lt;&gt;"")*(COUNTIF(AY$4:$AY122,Calc!$AK$5:$AT$104)=0),ROW(Calc!$AK$5:$AT$104)*100+COLUMN(Calc!$AK$5:$AT$104),7^8)),"Calc!R0C00"),)&amp;""</f>
        <v/>
      </c>
      <c r="AZ123" s="247" t="str">
        <f t="shared" ca="1" si="149"/>
        <v/>
      </c>
      <c r="BA123" s="324">
        <f t="shared" si="138"/>
        <v>119</v>
      </c>
      <c r="BB123">
        <f t="shared" ca="1" si="133"/>
        <v>0</v>
      </c>
      <c r="BC123" t="str">
        <f ca="1">IF($AX123="","",
VLOOKUP(LEFT($AX123,LEN($AX123)-2),'Field information 2'!$B$12:$P$111,11,FALSE))</f>
        <v/>
      </c>
      <c r="BD123" t="str">
        <f ca="1">IF($AX123="","",
VLOOKUP(LEFT($AX123,LEN($AX123)-2),'Field information 2'!$B$12:$P$111,13,FALSE))</f>
        <v/>
      </c>
      <c r="BE123" t="str">
        <f ca="1">IF($AX123="","",
VLOOKUP(LEFT($AX123,LEN($AX123)-2),'Field information 2'!$B$12:$P$111,15,FALSE))</f>
        <v/>
      </c>
      <c r="BF123">
        <f t="shared" ca="1" si="134"/>
        <v>0</v>
      </c>
      <c r="BG123" t="str">
        <f t="shared" ca="1" si="135"/>
        <v/>
      </c>
      <c r="BH123" s="7" t="str">
        <f ca="1">IF(OR(AX123="",'Soil results'!$D$7="",'Soil results'!$D$8=""),"",
IF('Soil results'!$D$7="LOI",
  IF('Soil results'!$D$8="mg/kg",'Soil results'!D128/10000,'Soil results'!D128),
IF('Soil results'!$D$7="Dumas",
  IF('Soil results'!$D$8="mg/kg",'Soil results'!D128*1.72/10000,'Soil results'!D128*1.72))))</f>
        <v/>
      </c>
      <c r="BI123" t="str">
        <f ca="1">IF($AX123="","",
VLOOKUP(LEFT($AX123,LEN($AX123)-2),'Field information 2'!$B$12:$I$111,8,FALSE))</f>
        <v/>
      </c>
      <c r="BJ123" t="str">
        <f ca="1">IF(BI123="","",
VLOOKUP(BI123,'Fertiliser recommendations'!$A$5:$B$62,2,FALSE))</f>
        <v/>
      </c>
      <c r="BK123" s="38" t="str">
        <f ca="1">IF($AX123="","",
IF(AND(BJ123="g",VLOOKUP(LEFT($AX123,LEN($AX123)-2),'Field information 2'!$B$12:$P$111,9,FALSE)&lt;&gt;"yes"),
IF(BG123="10-25% OM",6,IF(BG123="&gt;25% OM",12,IF(BG123="SCL; CL; ZCL; SC; ZC; C",6,IF(BG123="SL; SZL; ZL",5,IF(BG123="S; LS",4,"?"))))),
IF(OR(BJ123="a",AND(BJ123="g",VLOOKUP(LEFT($AX123,LEN($AX123)-2),'Field information 2'!$B$12:$P$111,9,FALSE)="yes")),
IF(BG123="10-25% OM",8,IF(BG123="&gt;25% OM",16,IF(BG123="SCL; CL; ZCL; SC; ZC; C",8,IF(BG123="SL; SZL; ZL",7,IF(BG123="S; LS",6,"?"))))),"")))</f>
        <v/>
      </c>
      <c r="BL123" t="str">
        <f ca="1">IF(AX123&lt;&gt;"",COUNTBLANK('Soil results'!D128:D128)+COUNTBLANK('Soil results'!F128:I128)+COUNTBLANK('Soil results'!K128:Q128),"")</f>
        <v/>
      </c>
      <c r="BM123" t="str">
        <f ca="1">IF(AX123&lt;&gt;"",
IF(OR(ISNUMBER(SEARCH("10*01*01",'Field information 2'!$M$5)),ISNUMBER(SEARCH("10*01*03",'Field information 2'!$M$5))),0.25,1),"")</f>
        <v/>
      </c>
      <c r="BN123" s="275" t="str">
        <f ca="1">IF(AX123&lt;&gt;"",
IF(COUNTIF('Soil results'!G129:G$159,"="&amp;'Soil results'!G128)+COUNTIF('Soil results'!H129:H$159,"="&amp;'Soil results'!H128)+COUNTIF('Soil results'!I129:I$159,"="&amp;'Soil results'!I128)=0,"no",
IF(MOD(COUNTIF('Soil results'!G129:G$159,"="&amp;'Soil results'!G128)+COUNTIF('Soil results'!H129:H$159,"="&amp;'Soil results'!H128)+COUNTIF('Soil results'!I129:I$159,"="&amp;'Soil results'!I128),3)=0,"yes","no")),"")</f>
        <v/>
      </c>
      <c r="BO123" s="276" t="str">
        <f t="shared" ca="1" si="136"/>
        <v/>
      </c>
      <c r="BP123" s="33"/>
      <c r="BQ123" s="276"/>
      <c r="BR123" s="276"/>
      <c r="BS123" s="276" t="str">
        <f t="shared" ca="1" si="137"/>
        <v/>
      </c>
      <c r="BT123" s="153" t="str">
        <f ca="1">IF(AX123="","",
IF(OR(Assessment!F125="limited benefit",Assessment!F125="benefit", Assessment!M125="limited benefit",Assessment!M125="benefit", Assessment!R125="limited benefit",Assessment!R125="benefit", Assessment!W125="limited benefit",Assessment!W125="benefit", Assessment!AB125="limited benefit",Assessment!AB125="benefit", AND(ISNUMBER(Assessment!AF125),Assessment!AG125="ok"), Assessment!AJ125="benefit"),"yes","no"))</f>
        <v/>
      </c>
    </row>
    <row r="124" spans="50:75" ht="15" x14ac:dyDescent="0.25">
      <c r="AX124" s="247" t="str" cm="1">
        <f t="array" aca="1" ref="AX124" ca="1">INDIRECT(TEXT(MIN(IF((Calc!$Z$5:$AI$104&lt;&gt;"")*(COUNTIF($AX$4:AX123,Calc!$Z$5:$AI$104)=0),ROW(Calc!$Z$5:$AI$104)*100+COLUMN(Calc!$Z$5:$AI$104),7^8)),"Calc!R0C00"),)&amp;""</f>
        <v/>
      </c>
      <c r="AY124" t="str" cm="1">
        <f t="array" aca="1" ref="AY124" ca="1">INDIRECT(TEXT(MIN(IF((Calc!$AK$5:$AT$104&lt;&gt;"")*(COUNTIF(AY$4:$AY123,Calc!$AK$5:$AT$104)=0),ROW(Calc!$AK$5:$AT$104)*100+COLUMN(Calc!$AK$5:$AT$104),7^8)),"Calc!R0C00"),)&amp;""</f>
        <v/>
      </c>
      <c r="AZ124" s="247" t="str">
        <f t="shared" ca="1" si="149"/>
        <v/>
      </c>
      <c r="BA124" s="324">
        <f t="shared" si="138"/>
        <v>120</v>
      </c>
      <c r="BB124">
        <f t="shared" ca="1" si="133"/>
        <v>0</v>
      </c>
      <c r="BC124" t="str">
        <f ca="1">IF($AX124="","",
VLOOKUP(LEFT($AX124,LEN($AX124)-2),'Field information 2'!$B$12:$P$111,11,FALSE))</f>
        <v/>
      </c>
      <c r="BD124" t="str">
        <f ca="1">IF($AX124="","",
VLOOKUP(LEFT($AX124,LEN($AX124)-2),'Field information 2'!$B$12:$P$111,13,FALSE))</f>
        <v/>
      </c>
      <c r="BE124" t="str">
        <f ca="1">IF($AX124="","",
VLOOKUP(LEFT($AX124,LEN($AX124)-2),'Field information 2'!$B$12:$P$111,15,FALSE))</f>
        <v/>
      </c>
      <c r="BF124">
        <f t="shared" ca="1" si="134"/>
        <v>0</v>
      </c>
      <c r="BG124" t="str">
        <f t="shared" ca="1" si="135"/>
        <v/>
      </c>
      <c r="BH124" s="7" t="str">
        <f ca="1">IF(OR(AX124="",'Soil results'!$D$7="",'Soil results'!$D$8=""),"",
IF('Soil results'!$D$7="LOI",
  IF('Soil results'!$D$8="mg/kg",'Soil results'!D129/10000,'Soil results'!D129),
IF('Soil results'!$D$7="Dumas",
  IF('Soil results'!$D$8="mg/kg",'Soil results'!D129*1.72/10000,'Soil results'!D129*1.72))))</f>
        <v/>
      </c>
      <c r="BI124" t="str">
        <f ca="1">IF($AX124="","",
VLOOKUP(LEFT($AX124,LEN($AX124)-2),'Field information 2'!$B$12:$I$111,8,FALSE))</f>
        <v/>
      </c>
      <c r="BJ124" t="str">
        <f ca="1">IF(BI124="","",
VLOOKUP(BI124,'Fertiliser recommendations'!$A$5:$B$62,2,FALSE))</f>
        <v/>
      </c>
      <c r="BK124" s="38" t="str">
        <f ca="1">IF($AX124="","",
IF(AND(BJ124="g",VLOOKUP(LEFT($AX124,LEN($AX124)-2),'Field information 2'!$B$12:$P$111,9,FALSE)&lt;&gt;"yes"),
IF(BG124="10-25% OM",6,IF(BG124="&gt;25% OM",12,IF(BG124="SCL; CL; ZCL; SC; ZC; C",6,IF(BG124="SL; SZL; ZL",5,IF(BG124="S; LS",4,"?"))))),
IF(OR(BJ124="a",AND(BJ124="g",VLOOKUP(LEFT($AX124,LEN($AX124)-2),'Field information 2'!$B$12:$P$111,9,FALSE)="yes")),
IF(BG124="10-25% OM",8,IF(BG124="&gt;25% OM",16,IF(BG124="SCL; CL; ZCL; SC; ZC; C",8,IF(BG124="SL; SZL; ZL",7,IF(BG124="S; LS",6,"?"))))),"")))</f>
        <v/>
      </c>
      <c r="BL124" t="str">
        <f ca="1">IF(AX124&lt;&gt;"",COUNTBLANK('Soil results'!D129:D129)+COUNTBLANK('Soil results'!F129:I129)+COUNTBLANK('Soil results'!K129:Q129),"")</f>
        <v/>
      </c>
      <c r="BM124" t="str">
        <f ca="1">IF(AX124&lt;&gt;"",
IF(OR(ISNUMBER(SEARCH("10*01*01",'Field information 2'!$M$5)),ISNUMBER(SEARCH("10*01*03",'Field information 2'!$M$5))),0.25,1),"")</f>
        <v/>
      </c>
      <c r="BN124" s="275" t="str">
        <f ca="1">IF(AX124&lt;&gt;"",
IF(COUNTIF('Soil results'!G130:G$159,"="&amp;'Soil results'!G129)+COUNTIF('Soil results'!H130:H$159,"="&amp;'Soil results'!H129)+COUNTIF('Soil results'!I130:I$159,"="&amp;'Soil results'!I129)=0,"no",
IF(MOD(COUNTIF('Soil results'!G130:G$159,"="&amp;'Soil results'!G129)+COUNTIF('Soil results'!H130:H$159,"="&amp;'Soil results'!H129)+COUNTIF('Soil results'!I130:I$159,"="&amp;'Soil results'!I129),3)=0,"yes","no")),"")</f>
        <v/>
      </c>
      <c r="BO124" s="276" t="str">
        <f t="shared" ca="1" si="136"/>
        <v/>
      </c>
      <c r="BP124" s="33"/>
      <c r="BQ124" s="276"/>
      <c r="BR124" s="276"/>
      <c r="BS124" s="276" t="str">
        <f t="shared" ca="1" si="137"/>
        <v/>
      </c>
      <c r="BT124" s="153" t="str">
        <f ca="1">IF(AX124="","",
IF(OR(Assessment!F126="limited benefit",Assessment!F126="benefit", Assessment!M126="limited benefit",Assessment!M126="benefit", Assessment!R126="limited benefit",Assessment!R126="benefit", Assessment!W126="limited benefit",Assessment!W126="benefit", Assessment!AB126="limited benefit",Assessment!AB126="benefit", AND(ISNUMBER(Assessment!AF126),Assessment!AG126="ok"), Assessment!AJ126="benefit"),"yes","no"))</f>
        <v/>
      </c>
      <c r="BW124" s="216" t="s">
        <v>423</v>
      </c>
    </row>
    <row r="125" spans="50:75" ht="15" x14ac:dyDescent="0.25">
      <c r="AX125" s="247" t="str" cm="1">
        <f t="array" aca="1" ref="AX125" ca="1">INDIRECT(TEXT(MIN(IF((Calc!$Z$5:$AI$104&lt;&gt;"")*(COUNTIF($AX$4:AX124,Calc!$Z$5:$AI$104)=0),ROW(Calc!$Z$5:$AI$104)*100+COLUMN(Calc!$Z$5:$AI$104),7^8)),"Calc!R0C00"),)&amp;""</f>
        <v/>
      </c>
      <c r="AY125" t="str" cm="1">
        <f t="array" aca="1" ref="AY125" ca="1">INDIRECT(TEXT(MIN(IF((Calc!$AK$5:$AT$104&lt;&gt;"")*(COUNTIF(AY$4:$AY124,Calc!$AK$5:$AT$104)=0),ROW(Calc!$AK$5:$AT$104)*100+COLUMN(Calc!$AK$5:$AT$104),7^8)),"Calc!R0C00"),)&amp;""</f>
        <v/>
      </c>
      <c r="AZ125" s="247" t="str">
        <f t="shared" ca="1" si="149"/>
        <v/>
      </c>
      <c r="BA125" s="324">
        <f t="shared" si="138"/>
        <v>121</v>
      </c>
      <c r="BB125">
        <f t="shared" ca="1" si="133"/>
        <v>0</v>
      </c>
      <c r="BC125" t="str">
        <f ca="1">IF($AX125="","",
VLOOKUP(LEFT($AX125,LEN($AX125)-2),'Field information 2'!$B$12:$P$111,11,FALSE))</f>
        <v/>
      </c>
      <c r="BD125" t="str">
        <f ca="1">IF($AX125="","",
VLOOKUP(LEFT($AX125,LEN($AX125)-2),'Field information 2'!$B$12:$P$111,13,FALSE))</f>
        <v/>
      </c>
      <c r="BE125" t="str">
        <f ca="1">IF($AX125="","",
VLOOKUP(LEFT($AX125,LEN($AX125)-2),'Field information 2'!$B$12:$P$111,15,FALSE))</f>
        <v/>
      </c>
      <c r="BF125">
        <f t="shared" ca="1" si="134"/>
        <v>0</v>
      </c>
      <c r="BG125" t="str">
        <f t="shared" ca="1" si="135"/>
        <v/>
      </c>
      <c r="BH125" s="7" t="str">
        <f ca="1">IF(OR(AX125="",'Soil results'!$D$7="",'Soil results'!$D$8=""),"",
IF('Soil results'!$D$7="LOI",
  IF('Soil results'!$D$8="mg/kg",'Soil results'!D130/10000,'Soil results'!D130),
IF('Soil results'!$D$7="Dumas",
  IF('Soil results'!$D$8="mg/kg",'Soil results'!D130*1.72/10000,'Soil results'!D130*1.72))))</f>
        <v/>
      </c>
      <c r="BI125" t="str">
        <f ca="1">IF($AX125="","",
VLOOKUP(LEFT($AX125,LEN($AX125)-2),'Field information 2'!$B$12:$I$111,8,FALSE))</f>
        <v/>
      </c>
      <c r="BJ125" t="str">
        <f ca="1">IF(BI125="","",
VLOOKUP(BI125,'Fertiliser recommendations'!$A$5:$B$62,2,FALSE))</f>
        <v/>
      </c>
      <c r="BK125" s="38" t="str">
        <f ca="1">IF($AX125="","",
IF(AND(BJ125="g",VLOOKUP(LEFT($AX125,LEN($AX125)-2),'Field information 2'!$B$12:$P$111,9,FALSE)&lt;&gt;"yes"),
IF(BG125="10-25% OM",6,IF(BG125="&gt;25% OM",12,IF(BG125="SCL; CL; ZCL; SC; ZC; C",6,IF(BG125="SL; SZL; ZL",5,IF(BG125="S; LS",4,"?"))))),
IF(OR(BJ125="a",AND(BJ125="g",VLOOKUP(LEFT($AX125,LEN($AX125)-2),'Field information 2'!$B$12:$P$111,9,FALSE)="yes")),
IF(BG125="10-25% OM",8,IF(BG125="&gt;25% OM",16,IF(BG125="SCL; CL; ZCL; SC; ZC; C",8,IF(BG125="SL; SZL; ZL",7,IF(BG125="S; LS",6,"?"))))),"")))</f>
        <v/>
      </c>
      <c r="BL125" t="str">
        <f ca="1">IF(AX125&lt;&gt;"",COUNTBLANK('Soil results'!D130:D130)+COUNTBLANK('Soil results'!F130:I130)+COUNTBLANK('Soil results'!K130:Q130),"")</f>
        <v/>
      </c>
      <c r="BM125" t="str">
        <f ca="1">IF(AX125&lt;&gt;"",
IF(OR(ISNUMBER(SEARCH("10*01*01",'Field information 2'!$M$5)),ISNUMBER(SEARCH("10*01*03",'Field information 2'!$M$5))),0.25,1),"")</f>
        <v/>
      </c>
      <c r="BN125" s="275" t="str">
        <f ca="1">IF(AX125&lt;&gt;"",
IF(COUNTIF('Soil results'!G131:G$159,"="&amp;'Soil results'!G130)+COUNTIF('Soil results'!H131:H$159,"="&amp;'Soil results'!H130)+COUNTIF('Soil results'!I131:I$159,"="&amp;'Soil results'!I130)=0,"no",
IF(MOD(COUNTIF('Soil results'!G131:G$159,"="&amp;'Soil results'!G130)+COUNTIF('Soil results'!H131:H$159,"="&amp;'Soil results'!H130)+COUNTIF('Soil results'!I131:I$159,"="&amp;'Soil results'!I130),3)=0,"yes","no")),"")</f>
        <v/>
      </c>
      <c r="BO125" s="276" t="str">
        <f t="shared" ca="1" si="136"/>
        <v/>
      </c>
      <c r="BP125" s="33"/>
      <c r="BQ125" s="276"/>
      <c r="BR125" s="276"/>
      <c r="BS125" s="276" t="str">
        <f t="shared" ca="1" si="137"/>
        <v/>
      </c>
      <c r="BT125" s="153" t="str">
        <f ca="1">IF(AX125="","",
IF(OR(Assessment!F127="limited benefit",Assessment!F127="benefit", Assessment!M127="limited benefit",Assessment!M127="benefit", Assessment!R127="limited benefit",Assessment!R127="benefit", Assessment!W127="limited benefit",Assessment!W127="benefit", Assessment!AB127="limited benefit",Assessment!AB127="benefit", AND(ISNUMBER(Assessment!AF127),Assessment!AG127="ok"), Assessment!AJ127="benefit"),"yes","no"))</f>
        <v/>
      </c>
      <c r="BW125" t="s">
        <v>424</v>
      </c>
    </row>
    <row r="126" spans="50:75" ht="15" x14ac:dyDescent="0.25">
      <c r="AX126" s="247" t="str" cm="1">
        <f t="array" aca="1" ref="AX126" ca="1">INDIRECT(TEXT(MIN(IF((Calc!$Z$5:$AI$104&lt;&gt;"")*(COUNTIF($AX$4:AX125,Calc!$Z$5:$AI$104)=0),ROW(Calc!$Z$5:$AI$104)*100+COLUMN(Calc!$Z$5:$AI$104),7^8)),"Calc!R0C00"),)&amp;""</f>
        <v/>
      </c>
      <c r="AY126" t="str" cm="1">
        <f t="array" aca="1" ref="AY126" ca="1">INDIRECT(TEXT(MIN(IF((Calc!$AK$5:$AT$104&lt;&gt;"")*(COUNTIF(AY$4:$AY125,Calc!$AK$5:$AT$104)=0),ROW(Calc!$AK$5:$AT$104)*100+COLUMN(Calc!$AK$5:$AT$104),7^8)),"Calc!R0C00"),)&amp;""</f>
        <v/>
      </c>
      <c r="AZ126" s="247" t="str">
        <f t="shared" ca="1" si="149"/>
        <v/>
      </c>
      <c r="BA126" s="324">
        <f t="shared" si="138"/>
        <v>122</v>
      </c>
      <c r="BB126">
        <f t="shared" ca="1" si="133"/>
        <v>0</v>
      </c>
      <c r="BC126" t="str">
        <f ca="1">IF($AX126="","",
VLOOKUP(LEFT($AX126,LEN($AX126)-2),'Field information 2'!$B$12:$P$111,11,FALSE))</f>
        <v/>
      </c>
      <c r="BD126" t="str">
        <f ca="1">IF($AX126="","",
VLOOKUP(LEFT($AX126,LEN($AX126)-2),'Field information 2'!$B$12:$P$111,13,FALSE))</f>
        <v/>
      </c>
      <c r="BE126" t="str">
        <f ca="1">IF($AX126="","",
VLOOKUP(LEFT($AX126,LEN($AX126)-2),'Field information 2'!$B$12:$P$111,15,FALSE))</f>
        <v/>
      </c>
      <c r="BF126">
        <f t="shared" ca="1" si="134"/>
        <v>0</v>
      </c>
      <c r="BG126" t="str">
        <f t="shared" ca="1" si="135"/>
        <v/>
      </c>
      <c r="BH126" s="7" t="str">
        <f ca="1">IF(OR(AX126="",'Soil results'!$D$7="",'Soil results'!$D$8=""),"",
IF('Soil results'!$D$7="LOI",
  IF('Soil results'!$D$8="mg/kg",'Soil results'!D131/10000,'Soil results'!D131),
IF('Soil results'!$D$7="Dumas",
  IF('Soil results'!$D$8="mg/kg",'Soil results'!D131*1.72/10000,'Soil results'!D131*1.72))))</f>
        <v/>
      </c>
      <c r="BI126" t="str">
        <f ca="1">IF($AX126="","",
VLOOKUP(LEFT($AX126,LEN($AX126)-2),'Field information 2'!$B$12:$I$111,8,FALSE))</f>
        <v/>
      </c>
      <c r="BJ126" t="str">
        <f ca="1">IF(BI126="","",
VLOOKUP(BI126,'Fertiliser recommendations'!$A$5:$B$62,2,FALSE))</f>
        <v/>
      </c>
      <c r="BK126" s="38" t="str">
        <f ca="1">IF($AX126="","",
IF(AND(BJ126="g",VLOOKUP(LEFT($AX126,LEN($AX126)-2),'Field information 2'!$B$12:$P$111,9,FALSE)&lt;&gt;"yes"),
IF(BG126="10-25% OM",6,IF(BG126="&gt;25% OM",12,IF(BG126="SCL; CL; ZCL; SC; ZC; C",6,IF(BG126="SL; SZL; ZL",5,IF(BG126="S; LS",4,"?"))))),
IF(OR(BJ126="a",AND(BJ126="g",VLOOKUP(LEFT($AX126,LEN($AX126)-2),'Field information 2'!$B$12:$P$111,9,FALSE)="yes")),
IF(BG126="10-25% OM",8,IF(BG126="&gt;25% OM",16,IF(BG126="SCL; CL; ZCL; SC; ZC; C",8,IF(BG126="SL; SZL; ZL",7,IF(BG126="S; LS",6,"?"))))),"")))</f>
        <v/>
      </c>
      <c r="BL126" t="str">
        <f ca="1">IF(AX126&lt;&gt;"",COUNTBLANK('Soil results'!D131:D131)+COUNTBLANK('Soil results'!F131:I131)+COUNTBLANK('Soil results'!K131:Q131),"")</f>
        <v/>
      </c>
      <c r="BM126" t="str">
        <f ca="1">IF(AX126&lt;&gt;"",
IF(OR(ISNUMBER(SEARCH("10*01*01",'Field information 2'!$M$5)),ISNUMBER(SEARCH("10*01*03",'Field information 2'!$M$5))),0.25,1),"")</f>
        <v/>
      </c>
      <c r="BN126" s="275" t="str">
        <f ca="1">IF(AX126&lt;&gt;"",
IF(COUNTIF('Soil results'!G132:G$159,"="&amp;'Soil results'!G131)+COUNTIF('Soil results'!H132:H$159,"="&amp;'Soil results'!H131)+COUNTIF('Soil results'!I132:I$159,"="&amp;'Soil results'!I131)=0,"no",
IF(MOD(COUNTIF('Soil results'!G132:G$159,"="&amp;'Soil results'!G131)+COUNTIF('Soil results'!H132:H$159,"="&amp;'Soil results'!H131)+COUNTIF('Soil results'!I132:I$159,"="&amp;'Soil results'!I131),3)=0,"yes","no")),"")</f>
        <v/>
      </c>
      <c r="BO126" s="276" t="str">
        <f t="shared" ca="1" si="136"/>
        <v/>
      </c>
      <c r="BP126" s="33"/>
      <c r="BQ126" s="276"/>
      <c r="BR126" s="276"/>
      <c r="BS126" s="276" t="str">
        <f t="shared" ca="1" si="137"/>
        <v/>
      </c>
      <c r="BT126" s="153" t="str">
        <f ca="1">IF(AX126="","",
IF(OR(Assessment!F128="limited benefit",Assessment!F128="benefit", Assessment!M128="limited benefit",Assessment!M128="benefit", Assessment!R128="limited benefit",Assessment!R128="benefit", Assessment!W128="limited benefit",Assessment!W128="benefit", Assessment!AB128="limited benefit",Assessment!AB128="benefit", AND(ISNUMBER(Assessment!AF128),Assessment!AG128="ok"), Assessment!AJ128="benefit"),"yes","no"))</f>
        <v/>
      </c>
      <c r="BW126" t="s">
        <v>425</v>
      </c>
    </row>
    <row r="127" spans="50:75" ht="15" x14ac:dyDescent="0.25">
      <c r="AX127" s="247" t="str" cm="1">
        <f t="array" aca="1" ref="AX127" ca="1">INDIRECT(TEXT(MIN(IF((Calc!$Z$5:$AI$104&lt;&gt;"")*(COUNTIF($AX$4:AX126,Calc!$Z$5:$AI$104)=0),ROW(Calc!$Z$5:$AI$104)*100+COLUMN(Calc!$Z$5:$AI$104),7^8)),"Calc!R0C00"),)&amp;""</f>
        <v/>
      </c>
      <c r="AY127" t="str" cm="1">
        <f t="array" aca="1" ref="AY127" ca="1">INDIRECT(TEXT(MIN(IF((Calc!$AK$5:$AT$104&lt;&gt;"")*(COUNTIF(AY$4:$AY126,Calc!$AK$5:$AT$104)=0),ROW(Calc!$AK$5:$AT$104)*100+COLUMN(Calc!$AK$5:$AT$104),7^8)),"Calc!R0C00"),)&amp;""</f>
        <v/>
      </c>
      <c r="AZ127" s="247" t="str">
        <f t="shared" ca="1" si="149"/>
        <v/>
      </c>
      <c r="BA127" s="324">
        <f t="shared" si="138"/>
        <v>123</v>
      </c>
      <c r="BB127">
        <f t="shared" ca="1" si="133"/>
        <v>0</v>
      </c>
      <c r="BC127" t="str">
        <f ca="1">IF($AX127="","",
VLOOKUP(LEFT($AX127,LEN($AX127)-2),'Field information 2'!$B$12:$P$111,11,FALSE))</f>
        <v/>
      </c>
      <c r="BD127" t="str">
        <f ca="1">IF($AX127="","",
VLOOKUP(LEFT($AX127,LEN($AX127)-2),'Field information 2'!$B$12:$P$111,13,FALSE))</f>
        <v/>
      </c>
      <c r="BE127" t="str">
        <f ca="1">IF($AX127="","",
VLOOKUP(LEFT($AX127,LEN($AX127)-2),'Field information 2'!$B$12:$P$111,15,FALSE))</f>
        <v/>
      </c>
      <c r="BF127">
        <f t="shared" ca="1" si="134"/>
        <v>0</v>
      </c>
      <c r="BG127" t="str">
        <f t="shared" ca="1" si="135"/>
        <v/>
      </c>
      <c r="BH127" s="7" t="str">
        <f ca="1">IF(OR(AX127="",'Soil results'!$D$7="",'Soil results'!$D$8=""),"",
IF('Soil results'!$D$7="LOI",
  IF('Soil results'!$D$8="mg/kg",'Soil results'!D132/10000,'Soil results'!D132),
IF('Soil results'!$D$7="Dumas",
  IF('Soil results'!$D$8="mg/kg",'Soil results'!D132*1.72/10000,'Soil results'!D132*1.72))))</f>
        <v/>
      </c>
      <c r="BI127" t="str">
        <f ca="1">IF($AX127="","",
VLOOKUP(LEFT($AX127,LEN($AX127)-2),'Field information 2'!$B$12:$I$111,8,FALSE))</f>
        <v/>
      </c>
      <c r="BJ127" t="str">
        <f ca="1">IF(BI127="","",
VLOOKUP(BI127,'Fertiliser recommendations'!$A$5:$B$62,2,FALSE))</f>
        <v/>
      </c>
      <c r="BK127" s="38" t="str">
        <f ca="1">IF($AX127="","",
IF(AND(BJ127="g",VLOOKUP(LEFT($AX127,LEN($AX127)-2),'Field information 2'!$B$12:$P$111,9,FALSE)&lt;&gt;"yes"),
IF(BG127="10-25% OM",6,IF(BG127="&gt;25% OM",12,IF(BG127="SCL; CL; ZCL; SC; ZC; C",6,IF(BG127="SL; SZL; ZL",5,IF(BG127="S; LS",4,"?"))))),
IF(OR(BJ127="a",AND(BJ127="g",VLOOKUP(LEFT($AX127,LEN($AX127)-2),'Field information 2'!$B$12:$P$111,9,FALSE)="yes")),
IF(BG127="10-25% OM",8,IF(BG127="&gt;25% OM",16,IF(BG127="SCL; CL; ZCL; SC; ZC; C",8,IF(BG127="SL; SZL; ZL",7,IF(BG127="S; LS",6,"?"))))),"")))</f>
        <v/>
      </c>
      <c r="BL127" t="str">
        <f ca="1">IF(AX127&lt;&gt;"",COUNTBLANK('Soil results'!D132:D132)+COUNTBLANK('Soil results'!F132:I132)+COUNTBLANK('Soil results'!K132:Q132),"")</f>
        <v/>
      </c>
      <c r="BM127" t="str">
        <f ca="1">IF(AX127&lt;&gt;"",
IF(OR(ISNUMBER(SEARCH("10*01*01",'Field information 2'!$M$5)),ISNUMBER(SEARCH("10*01*03",'Field information 2'!$M$5))),0.25,1),"")</f>
        <v/>
      </c>
      <c r="BN127" s="275" t="str">
        <f ca="1">IF(AX127&lt;&gt;"",
IF(COUNTIF('Soil results'!G133:G$159,"="&amp;'Soil results'!G132)+COUNTIF('Soil results'!H133:H$159,"="&amp;'Soil results'!H132)+COUNTIF('Soil results'!I133:I$159,"="&amp;'Soil results'!I132)=0,"no",
IF(MOD(COUNTIF('Soil results'!G133:G$159,"="&amp;'Soil results'!G132)+COUNTIF('Soil results'!H133:H$159,"="&amp;'Soil results'!H132)+COUNTIF('Soil results'!I133:I$159,"="&amp;'Soil results'!I132),3)=0,"yes","no")),"")</f>
        <v/>
      </c>
      <c r="BO127" s="276" t="str">
        <f t="shared" ca="1" si="136"/>
        <v/>
      </c>
      <c r="BP127" s="33"/>
      <c r="BQ127" s="276"/>
      <c r="BR127" s="276"/>
      <c r="BS127" s="276" t="str">
        <f t="shared" ca="1" si="137"/>
        <v/>
      </c>
      <c r="BT127" s="153" t="str">
        <f ca="1">IF(AX127="","",
IF(OR(Assessment!F129="limited benefit",Assessment!F129="benefit", Assessment!M129="limited benefit",Assessment!M129="benefit", Assessment!R129="limited benefit",Assessment!R129="benefit", Assessment!W129="limited benefit",Assessment!W129="benefit", Assessment!AB129="limited benefit",Assessment!AB129="benefit", AND(ISNUMBER(Assessment!AF129),Assessment!AG129="ok"), Assessment!AJ129="benefit"),"yes","no"))</f>
        <v/>
      </c>
      <c r="BW127" t="s">
        <v>426</v>
      </c>
    </row>
    <row r="128" spans="50:75" ht="15" x14ac:dyDescent="0.25">
      <c r="AX128" s="247" t="str" cm="1">
        <f t="array" aca="1" ref="AX128" ca="1">INDIRECT(TEXT(MIN(IF((Calc!$Z$5:$AI$104&lt;&gt;"")*(COUNTIF($AX$4:AX127,Calc!$Z$5:$AI$104)=0),ROW(Calc!$Z$5:$AI$104)*100+COLUMN(Calc!$Z$5:$AI$104),7^8)),"Calc!R0C00"),)&amp;""</f>
        <v/>
      </c>
      <c r="AY128" t="str" cm="1">
        <f t="array" aca="1" ref="AY128" ca="1">INDIRECT(TEXT(MIN(IF((Calc!$AK$5:$AT$104&lt;&gt;"")*(COUNTIF(AY$4:$AY127,Calc!$AK$5:$AT$104)=0),ROW(Calc!$AK$5:$AT$104)*100+COLUMN(Calc!$AK$5:$AT$104),7^8)),"Calc!R0C00"),)&amp;""</f>
        <v/>
      </c>
      <c r="AZ128" s="247" t="str">
        <f t="shared" ca="1" si="149"/>
        <v/>
      </c>
      <c r="BA128" s="324">
        <f t="shared" si="138"/>
        <v>124</v>
      </c>
      <c r="BB128">
        <f t="shared" ca="1" si="133"/>
        <v>0</v>
      </c>
      <c r="BC128" t="str">
        <f ca="1">IF($AX128="","",
VLOOKUP(LEFT($AX128,LEN($AX128)-2),'Field information 2'!$B$12:$P$111,11,FALSE))</f>
        <v/>
      </c>
      <c r="BD128" t="str">
        <f ca="1">IF($AX128="","",
VLOOKUP(LEFT($AX128,LEN($AX128)-2),'Field information 2'!$B$12:$P$111,13,FALSE))</f>
        <v/>
      </c>
      <c r="BE128" t="str">
        <f ca="1">IF($AX128="","",
VLOOKUP(LEFT($AX128,LEN($AX128)-2),'Field information 2'!$B$12:$P$111,15,FALSE))</f>
        <v/>
      </c>
      <c r="BF128">
        <f t="shared" ca="1" si="134"/>
        <v>0</v>
      </c>
      <c r="BG128" t="str">
        <f t="shared" ca="1" si="135"/>
        <v/>
      </c>
      <c r="BH128" s="7" t="str">
        <f ca="1">IF(OR(AX128="",'Soil results'!$D$7="",'Soil results'!$D$8=""),"",
IF('Soil results'!$D$7="LOI",
  IF('Soil results'!$D$8="mg/kg",'Soil results'!D133/10000,'Soil results'!D133),
IF('Soil results'!$D$7="Dumas",
  IF('Soil results'!$D$8="mg/kg",'Soil results'!D133*1.72/10000,'Soil results'!D133*1.72))))</f>
        <v/>
      </c>
      <c r="BI128" t="str">
        <f ca="1">IF($AX128="","",
VLOOKUP(LEFT($AX128,LEN($AX128)-2),'Field information 2'!$B$12:$I$111,8,FALSE))</f>
        <v/>
      </c>
      <c r="BJ128" t="str">
        <f ca="1">IF(BI128="","",
VLOOKUP(BI128,'Fertiliser recommendations'!$A$5:$B$62,2,FALSE))</f>
        <v/>
      </c>
      <c r="BK128" s="38" t="str">
        <f ca="1">IF($AX128="","",
IF(AND(BJ128="g",VLOOKUP(LEFT($AX128,LEN($AX128)-2),'Field information 2'!$B$12:$P$111,9,FALSE)&lt;&gt;"yes"),
IF(BG128="10-25% OM",6,IF(BG128="&gt;25% OM",12,IF(BG128="SCL; CL; ZCL; SC; ZC; C",6,IF(BG128="SL; SZL; ZL",5,IF(BG128="S; LS",4,"?"))))),
IF(OR(BJ128="a",AND(BJ128="g",VLOOKUP(LEFT($AX128,LEN($AX128)-2),'Field information 2'!$B$12:$P$111,9,FALSE)="yes")),
IF(BG128="10-25% OM",8,IF(BG128="&gt;25% OM",16,IF(BG128="SCL; CL; ZCL; SC; ZC; C",8,IF(BG128="SL; SZL; ZL",7,IF(BG128="S; LS",6,"?"))))),"")))</f>
        <v/>
      </c>
      <c r="BL128" t="str">
        <f ca="1">IF(AX128&lt;&gt;"",COUNTBLANK('Soil results'!D133:D133)+COUNTBLANK('Soil results'!F133:I133)+COUNTBLANK('Soil results'!K133:Q133),"")</f>
        <v/>
      </c>
      <c r="BM128" t="str">
        <f ca="1">IF(AX128&lt;&gt;"",
IF(OR(ISNUMBER(SEARCH("10*01*01",'Field information 2'!$M$5)),ISNUMBER(SEARCH("10*01*03",'Field information 2'!$M$5))),0.25,1),"")</f>
        <v/>
      </c>
      <c r="BN128" s="275" t="str">
        <f ca="1">IF(AX128&lt;&gt;"",
IF(COUNTIF('Soil results'!G134:G$159,"="&amp;'Soil results'!G133)+COUNTIF('Soil results'!H134:H$159,"="&amp;'Soil results'!H133)+COUNTIF('Soil results'!I134:I$159,"="&amp;'Soil results'!I133)=0,"no",
IF(MOD(COUNTIF('Soil results'!G134:G$159,"="&amp;'Soil results'!G133)+COUNTIF('Soil results'!H134:H$159,"="&amp;'Soil results'!H133)+COUNTIF('Soil results'!I134:I$159,"="&amp;'Soil results'!I133),3)=0,"yes","no")),"")</f>
        <v/>
      </c>
      <c r="BO128" s="276" t="str">
        <f t="shared" ca="1" si="136"/>
        <v/>
      </c>
      <c r="BP128" s="33"/>
      <c r="BQ128" s="276"/>
      <c r="BR128" s="276"/>
      <c r="BS128" s="276" t="str">
        <f t="shared" ca="1" si="137"/>
        <v/>
      </c>
      <c r="BT128" s="153" t="str">
        <f ca="1">IF(AX128="","",
IF(OR(Assessment!F130="limited benefit",Assessment!F130="benefit", Assessment!M130="limited benefit",Assessment!M130="benefit", Assessment!R130="limited benefit",Assessment!R130="benefit", Assessment!W130="limited benefit",Assessment!W130="benefit", Assessment!AB130="limited benefit",Assessment!AB130="benefit", AND(ISNUMBER(Assessment!AF130),Assessment!AG130="ok"), Assessment!AJ130="benefit"),"yes","no"))</f>
        <v/>
      </c>
      <c r="BW128" t="s">
        <v>427</v>
      </c>
    </row>
    <row r="129" spans="50:75" ht="15" x14ac:dyDescent="0.25">
      <c r="AX129" s="247" t="str" cm="1">
        <f t="array" aca="1" ref="AX129" ca="1">INDIRECT(TEXT(MIN(IF((Calc!$Z$5:$AI$104&lt;&gt;"")*(COUNTIF($AX$4:AX128,Calc!$Z$5:$AI$104)=0),ROW(Calc!$Z$5:$AI$104)*100+COLUMN(Calc!$Z$5:$AI$104),7^8)),"Calc!R0C00"),)&amp;""</f>
        <v/>
      </c>
      <c r="AY129" t="str" cm="1">
        <f t="array" aca="1" ref="AY129" ca="1">INDIRECT(TEXT(MIN(IF((Calc!$AK$5:$AT$104&lt;&gt;"")*(COUNTIF(AY$4:$AY128,Calc!$AK$5:$AT$104)=0),ROW(Calc!$AK$5:$AT$104)*100+COLUMN(Calc!$AK$5:$AT$104),7^8)),"Calc!R0C00"),)&amp;""</f>
        <v/>
      </c>
      <c r="AZ129" s="247" t="str">
        <f t="shared" ca="1" si="149"/>
        <v/>
      </c>
      <c r="BA129" s="324">
        <f t="shared" si="138"/>
        <v>125</v>
      </c>
      <c r="BB129">
        <f t="shared" ca="1" si="133"/>
        <v>0</v>
      </c>
      <c r="BC129" t="str">
        <f ca="1">IF($AX129="","",
VLOOKUP(LEFT($AX129,LEN($AX129)-2),'Field information 2'!$B$12:$P$111,11,FALSE))</f>
        <v/>
      </c>
      <c r="BD129" t="str">
        <f ca="1">IF($AX129="","",
VLOOKUP(LEFT($AX129,LEN($AX129)-2),'Field information 2'!$B$12:$P$111,13,FALSE))</f>
        <v/>
      </c>
      <c r="BE129" t="str">
        <f ca="1">IF($AX129="","",
VLOOKUP(LEFT($AX129,LEN($AX129)-2),'Field information 2'!$B$12:$P$111,15,FALSE))</f>
        <v/>
      </c>
      <c r="BF129">
        <f t="shared" ca="1" si="134"/>
        <v>0</v>
      </c>
      <c r="BG129" t="str">
        <f t="shared" ca="1" si="135"/>
        <v/>
      </c>
      <c r="BH129" s="7" t="str">
        <f ca="1">IF(OR(AX129="",'Soil results'!$D$7="",'Soil results'!$D$8=""),"",
IF('Soil results'!$D$7="LOI",
  IF('Soil results'!$D$8="mg/kg",'Soil results'!D134/10000,'Soil results'!D134),
IF('Soil results'!$D$7="Dumas",
  IF('Soil results'!$D$8="mg/kg",'Soil results'!D134*1.72/10000,'Soil results'!D134*1.72))))</f>
        <v/>
      </c>
      <c r="BI129" t="str">
        <f ca="1">IF($AX129="","",
VLOOKUP(LEFT($AX129,LEN($AX129)-2),'Field information 2'!$B$12:$I$111,8,FALSE))</f>
        <v/>
      </c>
      <c r="BJ129" t="str">
        <f ca="1">IF(BI129="","",
VLOOKUP(BI129,'Fertiliser recommendations'!$A$5:$B$62,2,FALSE))</f>
        <v/>
      </c>
      <c r="BK129" s="38" t="str">
        <f ca="1">IF($AX129="","",
IF(AND(BJ129="g",VLOOKUP(LEFT($AX129,LEN($AX129)-2),'Field information 2'!$B$12:$P$111,9,FALSE)&lt;&gt;"yes"),
IF(BG129="10-25% OM",6,IF(BG129="&gt;25% OM",12,IF(BG129="SCL; CL; ZCL; SC; ZC; C",6,IF(BG129="SL; SZL; ZL",5,IF(BG129="S; LS",4,"?"))))),
IF(OR(BJ129="a",AND(BJ129="g",VLOOKUP(LEFT($AX129,LEN($AX129)-2),'Field information 2'!$B$12:$P$111,9,FALSE)="yes")),
IF(BG129="10-25% OM",8,IF(BG129="&gt;25% OM",16,IF(BG129="SCL; CL; ZCL; SC; ZC; C",8,IF(BG129="SL; SZL; ZL",7,IF(BG129="S; LS",6,"?"))))),"")))</f>
        <v/>
      </c>
      <c r="BL129" t="str">
        <f ca="1">IF(AX129&lt;&gt;"",COUNTBLANK('Soil results'!D134:D134)+COUNTBLANK('Soil results'!F134:I134)+COUNTBLANK('Soil results'!K134:Q134),"")</f>
        <v/>
      </c>
      <c r="BM129" t="str">
        <f ca="1">IF(AX129&lt;&gt;"",
IF(OR(ISNUMBER(SEARCH("10*01*01",'Field information 2'!$M$5)),ISNUMBER(SEARCH("10*01*03",'Field information 2'!$M$5))),0.25,1),"")</f>
        <v/>
      </c>
      <c r="BN129" s="275" t="str">
        <f ca="1">IF(AX129&lt;&gt;"",
IF(COUNTIF('Soil results'!G135:G$159,"="&amp;'Soil results'!G134)+COUNTIF('Soil results'!H135:H$159,"="&amp;'Soil results'!H134)+COUNTIF('Soil results'!I135:I$159,"="&amp;'Soil results'!I134)=0,"no",
IF(MOD(COUNTIF('Soil results'!G135:G$159,"="&amp;'Soil results'!G134)+COUNTIF('Soil results'!H135:H$159,"="&amp;'Soil results'!H134)+COUNTIF('Soil results'!I135:I$159,"="&amp;'Soil results'!I134),3)=0,"yes","no")),"")</f>
        <v/>
      </c>
      <c r="BO129" s="276" t="str">
        <f t="shared" ca="1" si="136"/>
        <v/>
      </c>
      <c r="BP129" s="33"/>
      <c r="BQ129" s="276"/>
      <c r="BR129" s="276"/>
      <c r="BS129" s="276" t="str">
        <f t="shared" ca="1" si="137"/>
        <v/>
      </c>
      <c r="BT129" s="153" t="str">
        <f ca="1">IF(AX129="","",
IF(OR(Assessment!F131="limited benefit",Assessment!F131="benefit", Assessment!M131="limited benefit",Assessment!M131="benefit", Assessment!R131="limited benefit",Assessment!R131="benefit", Assessment!W131="limited benefit",Assessment!W131="benefit", Assessment!AB131="limited benefit",Assessment!AB131="benefit", AND(ISNUMBER(Assessment!AF131),Assessment!AG131="ok"), Assessment!AJ131="benefit"),"yes","no"))</f>
        <v/>
      </c>
    </row>
    <row r="130" spans="50:75" ht="15" x14ac:dyDescent="0.25">
      <c r="AX130" s="247" t="str" cm="1">
        <f t="array" aca="1" ref="AX130" ca="1">INDIRECT(TEXT(MIN(IF((Calc!$Z$5:$AI$104&lt;&gt;"")*(COUNTIF($AX$4:AX129,Calc!$Z$5:$AI$104)=0),ROW(Calc!$Z$5:$AI$104)*100+COLUMN(Calc!$Z$5:$AI$104),7^8)),"Calc!R0C00"),)&amp;""</f>
        <v/>
      </c>
      <c r="AY130" t="str" cm="1">
        <f t="array" aca="1" ref="AY130" ca="1">INDIRECT(TEXT(MIN(IF((Calc!$AK$5:$AT$104&lt;&gt;"")*(COUNTIF(AY$4:$AY129,Calc!$AK$5:$AT$104)=0),ROW(Calc!$AK$5:$AT$104)*100+COLUMN(Calc!$AK$5:$AT$104),7^8)),"Calc!R0C00"),)&amp;""</f>
        <v/>
      </c>
      <c r="AZ130" s="247" t="str">
        <f t="shared" ca="1" si="149"/>
        <v/>
      </c>
      <c r="BA130" s="324">
        <f t="shared" si="138"/>
        <v>126</v>
      </c>
      <c r="BB130">
        <f t="shared" ca="1" si="133"/>
        <v>0</v>
      </c>
      <c r="BC130" t="str">
        <f ca="1">IF($AX130="","",
VLOOKUP(LEFT($AX130,LEN($AX130)-2),'Field information 2'!$B$12:$P$111,11,FALSE))</f>
        <v/>
      </c>
      <c r="BD130" t="str">
        <f ca="1">IF($AX130="","",
VLOOKUP(LEFT($AX130,LEN($AX130)-2),'Field information 2'!$B$12:$P$111,13,FALSE))</f>
        <v/>
      </c>
      <c r="BE130" t="str">
        <f ca="1">IF($AX130="","",
VLOOKUP(LEFT($AX130,LEN($AX130)-2),'Field information 2'!$B$12:$P$111,15,FALSE))</f>
        <v/>
      </c>
      <c r="BF130">
        <f t="shared" ca="1" si="134"/>
        <v>0</v>
      </c>
      <c r="BG130" t="str">
        <f t="shared" ca="1" si="135"/>
        <v/>
      </c>
      <c r="BH130" s="7" t="str">
        <f ca="1">IF(OR(AX130="",'Soil results'!$D$7="",'Soil results'!$D$8=""),"",
IF('Soil results'!$D$7="LOI",
  IF('Soil results'!$D$8="mg/kg",'Soil results'!D135/10000,'Soil results'!D135),
IF('Soil results'!$D$7="Dumas",
  IF('Soil results'!$D$8="mg/kg",'Soil results'!D135*1.72/10000,'Soil results'!D135*1.72))))</f>
        <v/>
      </c>
      <c r="BI130" t="str">
        <f ca="1">IF($AX130="","",
VLOOKUP(LEFT($AX130,LEN($AX130)-2),'Field information 2'!$B$12:$I$111,8,FALSE))</f>
        <v/>
      </c>
      <c r="BJ130" t="str">
        <f ca="1">IF(BI130="","",
VLOOKUP(BI130,'Fertiliser recommendations'!$A$5:$B$62,2,FALSE))</f>
        <v/>
      </c>
      <c r="BK130" s="38" t="str">
        <f ca="1">IF($AX130="","",
IF(AND(BJ130="g",VLOOKUP(LEFT($AX130,LEN($AX130)-2),'Field information 2'!$B$12:$P$111,9,FALSE)&lt;&gt;"yes"),
IF(BG130="10-25% OM",6,IF(BG130="&gt;25% OM",12,IF(BG130="SCL; CL; ZCL; SC; ZC; C",6,IF(BG130="SL; SZL; ZL",5,IF(BG130="S; LS",4,"?"))))),
IF(OR(BJ130="a",AND(BJ130="g",VLOOKUP(LEFT($AX130,LEN($AX130)-2),'Field information 2'!$B$12:$P$111,9,FALSE)="yes")),
IF(BG130="10-25% OM",8,IF(BG130="&gt;25% OM",16,IF(BG130="SCL; CL; ZCL; SC; ZC; C",8,IF(BG130="SL; SZL; ZL",7,IF(BG130="S; LS",6,"?"))))),"")))</f>
        <v/>
      </c>
      <c r="BL130" t="str">
        <f ca="1">IF(AX130&lt;&gt;"",COUNTBLANK('Soil results'!D135:D135)+COUNTBLANK('Soil results'!F135:I135)+COUNTBLANK('Soil results'!K135:Q135),"")</f>
        <v/>
      </c>
      <c r="BM130" t="str">
        <f ca="1">IF(AX130&lt;&gt;"",
IF(OR(ISNUMBER(SEARCH("10*01*01",'Field information 2'!$M$5)),ISNUMBER(SEARCH("10*01*03",'Field information 2'!$M$5))),0.25,1),"")</f>
        <v/>
      </c>
      <c r="BN130" s="275" t="str">
        <f ca="1">IF(AX130&lt;&gt;"",
IF(COUNTIF('Soil results'!G136:G$159,"="&amp;'Soil results'!G135)+COUNTIF('Soil results'!H136:H$159,"="&amp;'Soil results'!H135)+COUNTIF('Soil results'!I136:I$159,"="&amp;'Soil results'!I135)=0,"no",
IF(MOD(COUNTIF('Soil results'!G136:G$159,"="&amp;'Soil results'!G135)+COUNTIF('Soil results'!H136:H$159,"="&amp;'Soil results'!H135)+COUNTIF('Soil results'!I136:I$159,"="&amp;'Soil results'!I135),3)=0,"yes","no")),"")</f>
        <v/>
      </c>
      <c r="BO130" s="276" t="str">
        <f t="shared" ca="1" si="136"/>
        <v/>
      </c>
      <c r="BP130" s="33"/>
      <c r="BQ130" s="276"/>
      <c r="BR130" s="276"/>
      <c r="BS130" s="276" t="str">
        <f t="shared" ca="1" si="137"/>
        <v/>
      </c>
      <c r="BT130" s="153" t="str">
        <f ca="1">IF(AX130="","",
IF(OR(Assessment!F132="limited benefit",Assessment!F132="benefit", Assessment!M132="limited benefit",Assessment!M132="benefit", Assessment!R132="limited benefit",Assessment!R132="benefit", Assessment!W132="limited benefit",Assessment!W132="benefit", Assessment!AB132="limited benefit",Assessment!AB132="benefit", AND(ISNUMBER(Assessment!AF132),Assessment!AG132="ok"), Assessment!AJ132="benefit"),"yes","no"))</f>
        <v/>
      </c>
      <c r="BW130" t="s">
        <v>428</v>
      </c>
    </row>
    <row r="131" spans="50:75" ht="15" x14ac:dyDescent="0.25">
      <c r="AX131" s="247" t="str" cm="1">
        <f t="array" aca="1" ref="AX131" ca="1">INDIRECT(TEXT(MIN(IF((Calc!$Z$5:$AI$104&lt;&gt;"")*(COUNTIF($AX$4:AX130,Calc!$Z$5:$AI$104)=0),ROW(Calc!$Z$5:$AI$104)*100+COLUMN(Calc!$Z$5:$AI$104),7^8)),"Calc!R0C00"),)&amp;""</f>
        <v/>
      </c>
      <c r="AY131" t="str" cm="1">
        <f t="array" aca="1" ref="AY131" ca="1">INDIRECT(TEXT(MIN(IF((Calc!$AK$5:$AT$104&lt;&gt;"")*(COUNTIF(AY$4:$AY130,Calc!$AK$5:$AT$104)=0),ROW(Calc!$AK$5:$AT$104)*100+COLUMN(Calc!$AK$5:$AT$104),7^8)),"Calc!R0C00"),)&amp;""</f>
        <v/>
      </c>
      <c r="AZ131" s="247" t="str">
        <f t="shared" ca="1" si="149"/>
        <v/>
      </c>
      <c r="BA131" s="324">
        <f t="shared" si="138"/>
        <v>127</v>
      </c>
      <c r="BB131">
        <f t="shared" ca="1" si="133"/>
        <v>0</v>
      </c>
      <c r="BC131" t="str">
        <f ca="1">IF($AX131="","",
VLOOKUP(LEFT($AX131,LEN($AX131)-2),'Field information 2'!$B$12:$P$111,11,FALSE))</f>
        <v/>
      </c>
      <c r="BD131" t="str">
        <f ca="1">IF($AX131="","",
VLOOKUP(LEFT($AX131,LEN($AX131)-2),'Field information 2'!$B$12:$P$111,13,FALSE))</f>
        <v/>
      </c>
      <c r="BE131" t="str">
        <f ca="1">IF($AX131="","",
VLOOKUP(LEFT($AX131,LEN($AX131)-2),'Field information 2'!$B$12:$P$111,15,FALSE))</f>
        <v/>
      </c>
      <c r="BF131">
        <f t="shared" ca="1" si="134"/>
        <v>0</v>
      </c>
      <c r="BG131" t="str">
        <f t="shared" ca="1" si="135"/>
        <v/>
      </c>
      <c r="BH131" s="7" t="str">
        <f ca="1">IF(OR(AX131="",'Soil results'!$D$7="",'Soil results'!$D$8=""),"",
IF('Soil results'!$D$7="LOI",
  IF('Soil results'!$D$8="mg/kg",'Soil results'!D136/10000,'Soil results'!D136),
IF('Soil results'!$D$7="Dumas",
  IF('Soil results'!$D$8="mg/kg",'Soil results'!D136*1.72/10000,'Soil results'!D136*1.72))))</f>
        <v/>
      </c>
      <c r="BI131" t="str">
        <f ca="1">IF($AX131="","",
VLOOKUP(LEFT($AX131,LEN($AX131)-2),'Field information 2'!$B$12:$I$111,8,FALSE))</f>
        <v/>
      </c>
      <c r="BJ131" t="str">
        <f ca="1">IF(BI131="","",
VLOOKUP(BI131,'Fertiliser recommendations'!$A$5:$B$62,2,FALSE))</f>
        <v/>
      </c>
      <c r="BK131" s="38" t="str">
        <f ca="1">IF($AX131="","",
IF(AND(BJ131="g",VLOOKUP(LEFT($AX131,LEN($AX131)-2),'Field information 2'!$B$12:$P$111,9,FALSE)&lt;&gt;"yes"),
IF(BG131="10-25% OM",6,IF(BG131="&gt;25% OM",12,IF(BG131="SCL; CL; ZCL; SC; ZC; C",6,IF(BG131="SL; SZL; ZL",5,IF(BG131="S; LS",4,"?"))))),
IF(OR(BJ131="a",AND(BJ131="g",VLOOKUP(LEFT($AX131,LEN($AX131)-2),'Field information 2'!$B$12:$P$111,9,FALSE)="yes")),
IF(BG131="10-25% OM",8,IF(BG131="&gt;25% OM",16,IF(BG131="SCL; CL; ZCL; SC; ZC; C",8,IF(BG131="SL; SZL; ZL",7,IF(BG131="S; LS",6,"?"))))),"")))</f>
        <v/>
      </c>
      <c r="BL131" t="str">
        <f ca="1">IF(AX131&lt;&gt;"",COUNTBLANK('Soil results'!D136:D136)+COUNTBLANK('Soil results'!F136:I136)+COUNTBLANK('Soil results'!K136:Q136),"")</f>
        <v/>
      </c>
      <c r="BM131" t="str">
        <f ca="1">IF(AX131&lt;&gt;"",
IF(OR(ISNUMBER(SEARCH("10*01*01",'Field information 2'!$M$5)),ISNUMBER(SEARCH("10*01*03",'Field information 2'!$M$5))),0.25,1),"")</f>
        <v/>
      </c>
      <c r="BN131" s="275" t="str">
        <f ca="1">IF(AX131&lt;&gt;"",
IF(COUNTIF('Soil results'!G137:G$159,"="&amp;'Soil results'!G136)+COUNTIF('Soil results'!H137:H$159,"="&amp;'Soil results'!H136)+COUNTIF('Soil results'!I137:I$159,"="&amp;'Soil results'!I136)=0,"no",
IF(MOD(COUNTIF('Soil results'!G137:G$159,"="&amp;'Soil results'!G136)+COUNTIF('Soil results'!H137:H$159,"="&amp;'Soil results'!H136)+COUNTIF('Soil results'!I137:I$159,"="&amp;'Soil results'!I136),3)=0,"yes","no")),"")</f>
        <v/>
      </c>
      <c r="BO131" s="276" t="str">
        <f t="shared" ca="1" si="136"/>
        <v/>
      </c>
      <c r="BP131" s="33"/>
      <c r="BQ131" s="276"/>
      <c r="BR131" s="276"/>
      <c r="BS131" s="276" t="str">
        <f t="shared" ca="1" si="137"/>
        <v/>
      </c>
      <c r="BT131" s="153" t="str">
        <f ca="1">IF(AX131="","",
IF(OR(Assessment!F133="limited benefit",Assessment!F133="benefit", Assessment!M133="limited benefit",Assessment!M133="benefit", Assessment!R133="limited benefit",Assessment!R133="benefit", Assessment!W133="limited benefit",Assessment!W133="benefit", Assessment!AB133="limited benefit",Assessment!AB133="benefit", AND(ISNUMBER(Assessment!AF133),Assessment!AG133="ok"), Assessment!AJ133="benefit"),"yes","no"))</f>
        <v/>
      </c>
      <c r="BW131" t="s">
        <v>429</v>
      </c>
    </row>
    <row r="132" spans="50:75" ht="15" x14ac:dyDescent="0.25">
      <c r="AX132" s="247" t="str" cm="1">
        <f t="array" aca="1" ref="AX132" ca="1">INDIRECT(TEXT(MIN(IF((Calc!$Z$5:$AI$104&lt;&gt;"")*(COUNTIF($AX$4:AX131,Calc!$Z$5:$AI$104)=0),ROW(Calc!$Z$5:$AI$104)*100+COLUMN(Calc!$Z$5:$AI$104),7^8)),"Calc!R0C00"),)&amp;""</f>
        <v/>
      </c>
      <c r="AY132" t="str" cm="1">
        <f t="array" aca="1" ref="AY132" ca="1">INDIRECT(TEXT(MIN(IF((Calc!$AK$5:$AT$104&lt;&gt;"")*(COUNTIF(AY$4:$AY131,Calc!$AK$5:$AT$104)=0),ROW(Calc!$AK$5:$AT$104)*100+COLUMN(Calc!$AK$5:$AT$104),7^8)),"Calc!R0C00"),)&amp;""</f>
        <v/>
      </c>
      <c r="AZ132" s="247" t="str">
        <f t="shared" ca="1" si="149"/>
        <v/>
      </c>
      <c r="BA132" s="324">
        <f t="shared" si="138"/>
        <v>128</v>
      </c>
      <c r="BB132">
        <f t="shared" ca="1" si="133"/>
        <v>0</v>
      </c>
      <c r="BC132" t="str">
        <f ca="1">IF($AX132="","",
VLOOKUP(LEFT($AX132,LEN($AX132)-2),'Field information 2'!$B$12:$P$111,11,FALSE))</f>
        <v/>
      </c>
      <c r="BD132" t="str">
        <f ca="1">IF($AX132="","",
VLOOKUP(LEFT($AX132,LEN($AX132)-2),'Field information 2'!$B$12:$P$111,13,FALSE))</f>
        <v/>
      </c>
      <c r="BE132" t="str">
        <f ca="1">IF($AX132="","",
VLOOKUP(LEFT($AX132,LEN($AX132)-2),'Field information 2'!$B$12:$P$111,15,FALSE))</f>
        <v/>
      </c>
      <c r="BF132">
        <f t="shared" ca="1" si="134"/>
        <v>0</v>
      </c>
      <c r="BG132" t="str">
        <f t="shared" ca="1" si="135"/>
        <v/>
      </c>
      <c r="BH132" s="7" t="str">
        <f ca="1">IF(OR(AX132="",'Soil results'!$D$7="",'Soil results'!$D$8=""),"",
IF('Soil results'!$D$7="LOI",
  IF('Soil results'!$D$8="mg/kg",'Soil results'!D137/10000,'Soil results'!D137),
IF('Soil results'!$D$7="Dumas",
  IF('Soil results'!$D$8="mg/kg",'Soil results'!D137*1.72/10000,'Soil results'!D137*1.72))))</f>
        <v/>
      </c>
      <c r="BI132" t="str">
        <f ca="1">IF($AX132="","",
VLOOKUP(LEFT($AX132,LEN($AX132)-2),'Field information 2'!$B$12:$I$111,8,FALSE))</f>
        <v/>
      </c>
      <c r="BJ132" t="str">
        <f ca="1">IF(BI132="","",
VLOOKUP(BI132,'Fertiliser recommendations'!$A$5:$B$62,2,FALSE))</f>
        <v/>
      </c>
      <c r="BK132" s="38" t="str">
        <f ca="1">IF($AX132="","",
IF(AND(BJ132="g",VLOOKUP(LEFT($AX132,LEN($AX132)-2),'Field information 2'!$B$12:$P$111,9,FALSE)&lt;&gt;"yes"),
IF(BG132="10-25% OM",6,IF(BG132="&gt;25% OM",12,IF(BG132="SCL; CL; ZCL; SC; ZC; C",6,IF(BG132="SL; SZL; ZL",5,IF(BG132="S; LS",4,"?"))))),
IF(OR(BJ132="a",AND(BJ132="g",VLOOKUP(LEFT($AX132,LEN($AX132)-2),'Field information 2'!$B$12:$P$111,9,FALSE)="yes")),
IF(BG132="10-25% OM",8,IF(BG132="&gt;25% OM",16,IF(BG132="SCL; CL; ZCL; SC; ZC; C",8,IF(BG132="SL; SZL; ZL",7,IF(BG132="S; LS",6,"?"))))),"")))</f>
        <v/>
      </c>
      <c r="BL132" t="str">
        <f ca="1">IF(AX132&lt;&gt;"",COUNTBLANK('Soil results'!D137:D137)+COUNTBLANK('Soil results'!F137:I137)+COUNTBLANK('Soil results'!K137:Q137),"")</f>
        <v/>
      </c>
      <c r="BM132" t="str">
        <f ca="1">IF(AX132&lt;&gt;"",
IF(OR(ISNUMBER(SEARCH("10*01*01",'Field information 2'!$M$5)),ISNUMBER(SEARCH("10*01*03",'Field information 2'!$M$5))),0.25,1),"")</f>
        <v/>
      </c>
      <c r="BN132" s="275" t="str">
        <f ca="1">IF(AX132&lt;&gt;"",
IF(COUNTIF('Soil results'!G138:G$159,"="&amp;'Soil results'!G137)+COUNTIF('Soil results'!H138:H$159,"="&amp;'Soil results'!H137)+COUNTIF('Soil results'!I138:I$159,"="&amp;'Soil results'!I137)=0,"no",
IF(MOD(COUNTIF('Soil results'!G138:G$159,"="&amp;'Soil results'!G137)+COUNTIF('Soil results'!H138:H$159,"="&amp;'Soil results'!H137)+COUNTIF('Soil results'!I138:I$159,"="&amp;'Soil results'!I137),3)=0,"yes","no")),"")</f>
        <v/>
      </c>
      <c r="BO132" s="276" t="str">
        <f t="shared" ca="1" si="136"/>
        <v/>
      </c>
      <c r="BP132" s="33"/>
      <c r="BQ132" s="276"/>
      <c r="BR132" s="276"/>
      <c r="BS132" s="276" t="str">
        <f t="shared" ca="1" si="137"/>
        <v/>
      </c>
      <c r="BT132" s="153" t="str">
        <f ca="1">IF(AX132="","",
IF(OR(Assessment!F134="limited benefit",Assessment!F134="benefit", Assessment!M134="limited benefit",Assessment!M134="benefit", Assessment!R134="limited benefit",Assessment!R134="benefit", Assessment!W134="limited benefit",Assessment!W134="benefit", Assessment!AB134="limited benefit",Assessment!AB134="benefit", AND(ISNUMBER(Assessment!AF134),Assessment!AG134="ok"), Assessment!AJ134="benefit"),"yes","no"))</f>
        <v/>
      </c>
      <c r="BW132" t="s">
        <v>430</v>
      </c>
    </row>
    <row r="133" spans="50:75" ht="15" x14ac:dyDescent="0.25">
      <c r="AX133" s="247" t="str" cm="1">
        <f t="array" aca="1" ref="AX133" ca="1">INDIRECT(TEXT(MIN(IF((Calc!$Z$5:$AI$104&lt;&gt;"")*(COUNTIF($AX$4:AX132,Calc!$Z$5:$AI$104)=0),ROW(Calc!$Z$5:$AI$104)*100+COLUMN(Calc!$Z$5:$AI$104),7^8)),"Calc!R0C00"),)&amp;""</f>
        <v/>
      </c>
      <c r="AY133" t="str" cm="1">
        <f t="array" aca="1" ref="AY133" ca="1">INDIRECT(TEXT(MIN(IF((Calc!$AK$5:$AT$104&lt;&gt;"")*(COUNTIF(AY$4:$AY132,Calc!$AK$5:$AT$104)=0),ROW(Calc!$AK$5:$AT$104)*100+COLUMN(Calc!$AK$5:$AT$104),7^8)),"Calc!R0C00"),)&amp;""</f>
        <v/>
      </c>
      <c r="AZ133" s="247" t="str">
        <f t="shared" ca="1" si="149"/>
        <v/>
      </c>
      <c r="BA133" s="324">
        <f t="shared" si="138"/>
        <v>129</v>
      </c>
      <c r="BB133">
        <f t="shared" ca="1" si="133"/>
        <v>0</v>
      </c>
      <c r="BC133" t="str">
        <f ca="1">IF($AX133="","",
VLOOKUP(LEFT($AX133,LEN($AX133)-2),'Field information 2'!$B$12:$P$111,11,FALSE))</f>
        <v/>
      </c>
      <c r="BD133" t="str">
        <f ca="1">IF($AX133="","",
VLOOKUP(LEFT($AX133,LEN($AX133)-2),'Field information 2'!$B$12:$P$111,13,FALSE))</f>
        <v/>
      </c>
      <c r="BE133" t="str">
        <f ca="1">IF($AX133="","",
VLOOKUP(LEFT($AX133,LEN($AX133)-2),'Field information 2'!$B$12:$P$111,15,FALSE))</f>
        <v/>
      </c>
      <c r="BF133">
        <f t="shared" ca="1" si="134"/>
        <v>0</v>
      </c>
      <c r="BG133" t="str">
        <f t="shared" ca="1" si="135"/>
        <v/>
      </c>
      <c r="BH133" s="7" t="str">
        <f ca="1">IF(OR(AX133="",'Soil results'!$D$7="",'Soil results'!$D$8=""),"",
IF('Soil results'!$D$7="LOI",
  IF('Soil results'!$D$8="mg/kg",'Soil results'!D138/10000,'Soil results'!D138),
IF('Soil results'!$D$7="Dumas",
  IF('Soil results'!$D$8="mg/kg",'Soil results'!D138*1.72/10000,'Soil results'!D138*1.72))))</f>
        <v/>
      </c>
      <c r="BI133" t="str">
        <f ca="1">IF($AX133="","",
VLOOKUP(LEFT($AX133,LEN($AX133)-2),'Field information 2'!$B$12:$I$111,8,FALSE))</f>
        <v/>
      </c>
      <c r="BJ133" t="str">
        <f ca="1">IF(BI133="","",
VLOOKUP(BI133,'Fertiliser recommendations'!$A$5:$B$62,2,FALSE))</f>
        <v/>
      </c>
      <c r="BK133" s="38" t="str">
        <f ca="1">IF($AX133="","",
IF(AND(BJ133="g",VLOOKUP(LEFT($AX133,LEN($AX133)-2),'Field information 2'!$B$12:$P$111,9,FALSE)&lt;&gt;"yes"),
IF(BG133="10-25% OM",6,IF(BG133="&gt;25% OM",12,IF(BG133="SCL; CL; ZCL; SC; ZC; C",6,IF(BG133="SL; SZL; ZL",5,IF(BG133="S; LS",4,"?"))))),
IF(OR(BJ133="a",AND(BJ133="g",VLOOKUP(LEFT($AX133,LEN($AX133)-2),'Field information 2'!$B$12:$P$111,9,FALSE)="yes")),
IF(BG133="10-25% OM",8,IF(BG133="&gt;25% OM",16,IF(BG133="SCL; CL; ZCL; SC; ZC; C",8,IF(BG133="SL; SZL; ZL",7,IF(BG133="S; LS",6,"?"))))),"")))</f>
        <v/>
      </c>
      <c r="BL133" t="str">
        <f ca="1">IF(AX133&lt;&gt;"",COUNTBLANK('Soil results'!D138:D138)+COUNTBLANK('Soil results'!F138:I138)+COUNTBLANK('Soil results'!K138:Q138),"")</f>
        <v/>
      </c>
      <c r="BM133" t="str">
        <f ca="1">IF(AX133&lt;&gt;"",
IF(OR(ISNUMBER(SEARCH("10*01*01",'Field information 2'!$M$5)),ISNUMBER(SEARCH("10*01*03",'Field information 2'!$M$5))),0.25,1),"")</f>
        <v/>
      </c>
      <c r="BN133" s="275" t="str">
        <f ca="1">IF(AX133&lt;&gt;"",
IF(COUNTIF('Soil results'!G139:G$159,"="&amp;'Soil results'!G138)+COUNTIF('Soil results'!H139:H$159,"="&amp;'Soil results'!H138)+COUNTIF('Soil results'!I139:I$159,"="&amp;'Soil results'!I138)=0,"no",
IF(MOD(COUNTIF('Soil results'!G139:G$159,"="&amp;'Soil results'!G138)+COUNTIF('Soil results'!H139:H$159,"="&amp;'Soil results'!H138)+COUNTIF('Soil results'!I139:I$159,"="&amp;'Soil results'!I138),3)=0,"yes","no")),"")</f>
        <v/>
      </c>
      <c r="BO133" s="276" t="str">
        <f t="shared" ca="1" si="136"/>
        <v/>
      </c>
      <c r="BP133" s="33"/>
      <c r="BQ133" s="276"/>
      <c r="BR133" s="276"/>
      <c r="BS133" s="276" t="str">
        <f t="shared" ca="1" si="137"/>
        <v/>
      </c>
      <c r="BT133" s="153" t="str">
        <f ca="1">IF(AX133="","",
IF(OR(Assessment!F135="limited benefit",Assessment!F135="benefit", Assessment!M135="limited benefit",Assessment!M135="benefit", Assessment!R135="limited benefit",Assessment!R135="benefit", Assessment!W135="limited benefit",Assessment!W135="benefit", Assessment!AB135="limited benefit",Assessment!AB135="benefit", AND(ISNUMBER(Assessment!AF135),Assessment!AG135="ok"), Assessment!AJ135="benefit"),"yes","no"))</f>
        <v/>
      </c>
      <c r="BW133" t="s">
        <v>431</v>
      </c>
    </row>
    <row r="134" spans="50:75" ht="15" x14ac:dyDescent="0.25">
      <c r="AX134" s="247" t="str" cm="1">
        <f t="array" aca="1" ref="AX134" ca="1">INDIRECT(TEXT(MIN(IF((Calc!$Z$5:$AI$104&lt;&gt;"")*(COUNTIF($AX$4:AX133,Calc!$Z$5:$AI$104)=0),ROW(Calc!$Z$5:$AI$104)*100+COLUMN(Calc!$Z$5:$AI$104),7^8)),"Calc!R0C00"),)&amp;""</f>
        <v/>
      </c>
      <c r="AY134" t="str" cm="1">
        <f t="array" aca="1" ref="AY134" ca="1">INDIRECT(TEXT(MIN(IF((Calc!$AK$5:$AT$104&lt;&gt;"")*(COUNTIF(AY$4:$AY133,Calc!$AK$5:$AT$104)=0),ROW(Calc!$AK$5:$AT$104)*100+COLUMN(Calc!$AK$5:$AT$104),7^8)),"Calc!R0C00"),)&amp;""</f>
        <v/>
      </c>
      <c r="AZ134" s="247" t="str">
        <f t="shared" ca="1" si="149"/>
        <v/>
      </c>
      <c r="BA134" s="324">
        <f t="shared" si="138"/>
        <v>130</v>
      </c>
      <c r="BB134">
        <f t="shared" ref="BB134:BB154" ca="1" si="150">IF(BF134=0, 0, BC134*BP$5+BD134*BQ$5+BE134*BR$5)</f>
        <v>0</v>
      </c>
      <c r="BC134" t="str">
        <f ca="1">IF($AX134="","",
VLOOKUP(LEFT($AX134,LEN($AX134)-2),'Field information 2'!$B$12:$P$111,11,FALSE))</f>
        <v/>
      </c>
      <c r="BD134" t="str">
        <f ca="1">IF($AX134="","",
VLOOKUP(LEFT($AX134,LEN($AX134)-2),'Field information 2'!$B$12:$P$111,13,FALSE))</f>
        <v/>
      </c>
      <c r="BE134" t="str">
        <f ca="1">IF($AX134="","",
VLOOKUP(LEFT($AX134,LEN($AX134)-2),'Field information 2'!$B$12:$P$111,15,FALSE))</f>
        <v/>
      </c>
      <c r="BF134">
        <f t="shared" ref="BF134:BF154" ca="1" si="151">SUM(BC134:BE134)</f>
        <v>0</v>
      </c>
      <c r="BG134" t="str">
        <f t="shared" ref="BG134:BG154" ca="1" si="152">IF($AX134="","",
VLOOKUP(LEFT($AX134,LEN($AX134)-2),$G$5:$AV$104,42,FALSE))</f>
        <v/>
      </c>
      <c r="BH134" s="7" t="str">
        <f ca="1">IF(OR(AX134="",'Soil results'!$D$7="",'Soil results'!$D$8=""),"",
IF('Soil results'!$D$7="LOI",
  IF('Soil results'!$D$8="mg/kg",'Soil results'!D139/10000,'Soil results'!D139),
IF('Soil results'!$D$7="Dumas",
  IF('Soil results'!$D$8="mg/kg",'Soil results'!D139*1.72/10000,'Soil results'!D139*1.72))))</f>
        <v/>
      </c>
      <c r="BI134" t="str">
        <f ca="1">IF($AX134="","",
VLOOKUP(LEFT($AX134,LEN($AX134)-2),'Field information 2'!$B$12:$I$111,8,FALSE))</f>
        <v/>
      </c>
      <c r="BJ134" t="str">
        <f ca="1">IF(BI134="","",
VLOOKUP(BI134,'Fertiliser recommendations'!$A$5:$B$62,2,FALSE))</f>
        <v/>
      </c>
      <c r="BK134" s="38" t="str">
        <f ca="1">IF($AX134="","",
IF(AND(BJ134="g",VLOOKUP(LEFT($AX134,LEN($AX134)-2),'Field information 2'!$B$12:$P$111,9,FALSE)&lt;&gt;"yes"),
IF(BG134="10-25% OM",6,IF(BG134="&gt;25% OM",12,IF(BG134="SCL; CL; ZCL; SC; ZC; C",6,IF(BG134="SL; SZL; ZL",5,IF(BG134="S; LS",4,"?"))))),
IF(OR(BJ134="a",AND(BJ134="g",VLOOKUP(LEFT($AX134,LEN($AX134)-2),'Field information 2'!$B$12:$P$111,9,FALSE)="yes")),
IF(BG134="10-25% OM",8,IF(BG134="&gt;25% OM",16,IF(BG134="SCL; CL; ZCL; SC; ZC; C",8,IF(BG134="SL; SZL; ZL",7,IF(BG134="S; LS",6,"?"))))),"")))</f>
        <v/>
      </c>
      <c r="BL134" t="str">
        <f ca="1">IF(AX134&lt;&gt;"",COUNTBLANK('Soil results'!D139:D139)+COUNTBLANK('Soil results'!F139:I139)+COUNTBLANK('Soil results'!K139:Q139),"")</f>
        <v/>
      </c>
      <c r="BM134" t="str">
        <f ca="1">IF(AX134&lt;&gt;"",
IF(OR(ISNUMBER(SEARCH("10*01*01",'Field information 2'!$M$5)),ISNUMBER(SEARCH("10*01*03",'Field information 2'!$M$5))),0.25,1),"")</f>
        <v/>
      </c>
      <c r="BN134" s="275" t="str">
        <f ca="1">IF(AX134&lt;&gt;"",
IF(COUNTIF('Soil results'!G140:G$159,"="&amp;'Soil results'!G139)+COUNTIF('Soil results'!H140:H$159,"="&amp;'Soil results'!H139)+COUNTIF('Soil results'!I140:I$159,"="&amp;'Soil results'!I139)=0,"no",
IF(MOD(COUNTIF('Soil results'!G140:G$159,"="&amp;'Soil results'!G139)+COUNTIF('Soil results'!H140:H$159,"="&amp;'Soil results'!H139)+COUNTIF('Soil results'!I140:I$159,"="&amp;'Soil results'!I139),3)=0,"yes","no")),"")</f>
        <v/>
      </c>
      <c r="BO134" s="276" t="str">
        <f t="shared" ref="BO134:BO154" ca="1" si="153">IF(AX134&lt;&gt;"",
IF(BH134&gt;25, IF(BG134="&gt;25% OM","yes","no"),
IF(BH134&gt;=10, IF(BG134="10-25% OM","yes","no"),"yes")),"")</f>
        <v/>
      </c>
      <c r="BP134" s="33"/>
      <c r="BQ134" s="276"/>
      <c r="BR134" s="276"/>
      <c r="BS134" s="276" t="str">
        <f t="shared" ref="BS134:BS154" ca="1" si="154">IF(AND(BM134=0.25,BP$5&gt;0,BP$5&lt;1),BC134*BP$5,"")</f>
        <v/>
      </c>
      <c r="BT134" s="153" t="str">
        <f ca="1">IF(AX134="","",
IF(OR(Assessment!F136="limited benefit",Assessment!F136="benefit", Assessment!M136="limited benefit",Assessment!M136="benefit", Assessment!R136="limited benefit",Assessment!R136="benefit", Assessment!W136="limited benefit",Assessment!W136="benefit", Assessment!AB136="limited benefit",Assessment!AB136="benefit", AND(ISNUMBER(Assessment!AF136),Assessment!AG136="ok"), Assessment!AJ136="benefit"),"yes","no"))</f>
        <v/>
      </c>
      <c r="BW134" t="s">
        <v>432</v>
      </c>
    </row>
    <row r="135" spans="50:75" ht="15" x14ac:dyDescent="0.25">
      <c r="AX135" s="247" t="str" cm="1">
        <f t="array" aca="1" ref="AX135" ca="1">INDIRECT(TEXT(MIN(IF((Calc!$Z$5:$AI$104&lt;&gt;"")*(COUNTIF($AX$4:AX134,Calc!$Z$5:$AI$104)=0),ROW(Calc!$Z$5:$AI$104)*100+COLUMN(Calc!$Z$5:$AI$104),7^8)),"Calc!R0C00"),)&amp;""</f>
        <v/>
      </c>
      <c r="AY135" t="str" cm="1">
        <f t="array" aca="1" ref="AY135" ca="1">INDIRECT(TEXT(MIN(IF((Calc!$AK$5:$AT$104&lt;&gt;"")*(COUNTIF(AY$4:$AY134,Calc!$AK$5:$AT$104)=0),ROW(Calc!$AK$5:$AT$104)*100+COLUMN(Calc!$AK$5:$AT$104),7^8)),"Calc!R0C00"),)&amp;""</f>
        <v/>
      </c>
      <c r="AZ135" s="247" t="str">
        <f t="shared" ca="1" si="149"/>
        <v/>
      </c>
      <c r="BA135" s="324">
        <f t="shared" ref="BA135:BA154" si="155">BA134+1</f>
        <v>131</v>
      </c>
      <c r="BB135">
        <f t="shared" ca="1" si="150"/>
        <v>0</v>
      </c>
      <c r="BC135" t="str">
        <f ca="1">IF($AX135="","",
VLOOKUP(LEFT($AX135,LEN($AX135)-2),'Field information 2'!$B$12:$P$111,11,FALSE))</f>
        <v/>
      </c>
      <c r="BD135" t="str">
        <f ca="1">IF($AX135="","",
VLOOKUP(LEFT($AX135,LEN($AX135)-2),'Field information 2'!$B$12:$P$111,13,FALSE))</f>
        <v/>
      </c>
      <c r="BE135" t="str">
        <f ca="1">IF($AX135="","",
VLOOKUP(LEFT($AX135,LEN($AX135)-2),'Field information 2'!$B$12:$P$111,15,FALSE))</f>
        <v/>
      </c>
      <c r="BF135">
        <f t="shared" ca="1" si="151"/>
        <v>0</v>
      </c>
      <c r="BG135" t="str">
        <f t="shared" ca="1" si="152"/>
        <v/>
      </c>
      <c r="BH135" s="7" t="str">
        <f ca="1">IF(OR(AX135="",'Soil results'!$D$7="",'Soil results'!$D$8=""),"",
IF('Soil results'!$D$7="LOI",
  IF('Soil results'!$D$8="mg/kg",'Soil results'!D140/10000,'Soil results'!D140),
IF('Soil results'!$D$7="Dumas",
  IF('Soil results'!$D$8="mg/kg",'Soil results'!D140*1.72/10000,'Soil results'!D140*1.72))))</f>
        <v/>
      </c>
      <c r="BI135" t="str">
        <f ca="1">IF($AX135="","",
VLOOKUP(LEFT($AX135,LEN($AX135)-2),'Field information 2'!$B$12:$I$111,8,FALSE))</f>
        <v/>
      </c>
      <c r="BJ135" t="str">
        <f ca="1">IF(BI135="","",
VLOOKUP(BI135,'Fertiliser recommendations'!$A$5:$B$62,2,FALSE))</f>
        <v/>
      </c>
      <c r="BK135" s="38" t="str">
        <f ca="1">IF($AX135="","",
IF(AND(BJ135="g",VLOOKUP(LEFT($AX135,LEN($AX135)-2),'Field information 2'!$B$12:$P$111,9,FALSE)&lt;&gt;"yes"),
IF(BG135="10-25% OM",6,IF(BG135="&gt;25% OM",12,IF(BG135="SCL; CL; ZCL; SC; ZC; C",6,IF(BG135="SL; SZL; ZL",5,IF(BG135="S; LS",4,"?"))))),
IF(OR(BJ135="a",AND(BJ135="g",VLOOKUP(LEFT($AX135,LEN($AX135)-2),'Field information 2'!$B$12:$P$111,9,FALSE)="yes")),
IF(BG135="10-25% OM",8,IF(BG135="&gt;25% OM",16,IF(BG135="SCL; CL; ZCL; SC; ZC; C",8,IF(BG135="SL; SZL; ZL",7,IF(BG135="S; LS",6,"?"))))),"")))</f>
        <v/>
      </c>
      <c r="BL135" t="str">
        <f ca="1">IF(AX135&lt;&gt;"",COUNTBLANK('Soil results'!D140:D140)+COUNTBLANK('Soil results'!F140:I140)+COUNTBLANK('Soil results'!K140:Q140),"")</f>
        <v/>
      </c>
      <c r="BM135" t="str">
        <f ca="1">IF(AX135&lt;&gt;"",
IF(OR(ISNUMBER(SEARCH("10*01*01",'Field information 2'!$M$5)),ISNUMBER(SEARCH("10*01*03",'Field information 2'!$M$5))),0.25,1),"")</f>
        <v/>
      </c>
      <c r="BN135" s="275" t="str">
        <f ca="1">IF(AX135&lt;&gt;"",
IF(COUNTIF('Soil results'!G141:G$159,"="&amp;'Soil results'!G140)+COUNTIF('Soil results'!H141:H$159,"="&amp;'Soil results'!H140)+COUNTIF('Soil results'!I141:I$159,"="&amp;'Soil results'!I140)=0,"no",
IF(MOD(COUNTIF('Soil results'!G141:G$159,"="&amp;'Soil results'!G140)+COUNTIF('Soil results'!H141:H$159,"="&amp;'Soil results'!H140)+COUNTIF('Soil results'!I141:I$159,"="&amp;'Soil results'!I140),3)=0,"yes","no")),"")</f>
        <v/>
      </c>
      <c r="BO135" s="276" t="str">
        <f t="shared" ca="1" si="153"/>
        <v/>
      </c>
      <c r="BP135" s="33"/>
      <c r="BQ135" s="276"/>
      <c r="BR135" s="276"/>
      <c r="BS135" s="276" t="str">
        <f t="shared" ca="1" si="154"/>
        <v/>
      </c>
      <c r="BT135" s="153" t="str">
        <f ca="1">IF(AX135="","",
IF(OR(Assessment!F137="limited benefit",Assessment!F137="benefit", Assessment!M137="limited benefit",Assessment!M137="benefit", Assessment!R137="limited benefit",Assessment!R137="benefit", Assessment!W137="limited benefit",Assessment!W137="benefit", Assessment!AB137="limited benefit",Assessment!AB137="benefit", AND(ISNUMBER(Assessment!AF137),Assessment!AG137="ok"), Assessment!AJ137="benefit"),"yes","no"))</f>
        <v/>
      </c>
      <c r="BW135" t="s">
        <v>433</v>
      </c>
    </row>
    <row r="136" spans="50:75" ht="15" x14ac:dyDescent="0.25">
      <c r="AX136" s="247" t="str" cm="1">
        <f t="array" aca="1" ref="AX136" ca="1">INDIRECT(TEXT(MIN(IF((Calc!$Z$5:$AI$104&lt;&gt;"")*(COUNTIF($AX$4:AX135,Calc!$Z$5:$AI$104)=0),ROW(Calc!$Z$5:$AI$104)*100+COLUMN(Calc!$Z$5:$AI$104),7^8)),"Calc!R0C00"),)&amp;""</f>
        <v/>
      </c>
      <c r="AY136" t="str" cm="1">
        <f t="array" aca="1" ref="AY136" ca="1">INDIRECT(TEXT(MIN(IF((Calc!$AK$5:$AT$104&lt;&gt;"")*(COUNTIF(AY$4:$AY135,Calc!$AK$5:$AT$104)=0),ROW(Calc!$AK$5:$AT$104)*100+COLUMN(Calc!$AK$5:$AT$104),7^8)),"Calc!R0C00"),)&amp;""</f>
        <v/>
      </c>
      <c r="AZ136" s="247" t="str">
        <f t="shared" ca="1" si="149"/>
        <v/>
      </c>
      <c r="BA136" s="324">
        <f t="shared" si="155"/>
        <v>132</v>
      </c>
      <c r="BB136">
        <f t="shared" ca="1" si="150"/>
        <v>0</v>
      </c>
      <c r="BC136" t="str">
        <f ca="1">IF($AX136="","",
VLOOKUP(LEFT($AX136,LEN($AX136)-2),'Field information 2'!$B$12:$P$111,11,FALSE))</f>
        <v/>
      </c>
      <c r="BD136" t="str">
        <f ca="1">IF($AX136="","",
VLOOKUP(LEFT($AX136,LEN($AX136)-2),'Field information 2'!$B$12:$P$111,13,FALSE))</f>
        <v/>
      </c>
      <c r="BE136" t="str">
        <f ca="1">IF($AX136="","",
VLOOKUP(LEFT($AX136,LEN($AX136)-2),'Field information 2'!$B$12:$P$111,15,FALSE))</f>
        <v/>
      </c>
      <c r="BF136">
        <f t="shared" ca="1" si="151"/>
        <v>0</v>
      </c>
      <c r="BG136" t="str">
        <f t="shared" ca="1" si="152"/>
        <v/>
      </c>
      <c r="BH136" s="7" t="str">
        <f ca="1">IF(OR(AX136="",'Soil results'!$D$7="",'Soil results'!$D$8=""),"",
IF('Soil results'!$D$7="LOI",
  IF('Soil results'!$D$8="mg/kg",'Soil results'!D141/10000,'Soil results'!D141),
IF('Soil results'!$D$7="Dumas",
  IF('Soil results'!$D$8="mg/kg",'Soil results'!D141*1.72/10000,'Soil results'!D141*1.72))))</f>
        <v/>
      </c>
      <c r="BI136" t="str">
        <f ca="1">IF($AX136="","",
VLOOKUP(LEFT($AX136,LEN($AX136)-2),'Field information 2'!$B$12:$I$111,8,FALSE))</f>
        <v/>
      </c>
      <c r="BJ136" t="str">
        <f ca="1">IF(BI136="","",
VLOOKUP(BI136,'Fertiliser recommendations'!$A$5:$B$62,2,FALSE))</f>
        <v/>
      </c>
      <c r="BK136" s="38" t="str">
        <f ca="1">IF($AX136="","",
IF(AND(BJ136="g",VLOOKUP(LEFT($AX136,LEN($AX136)-2),'Field information 2'!$B$12:$P$111,9,FALSE)&lt;&gt;"yes"),
IF(BG136="10-25% OM",6,IF(BG136="&gt;25% OM",12,IF(BG136="SCL; CL; ZCL; SC; ZC; C",6,IF(BG136="SL; SZL; ZL",5,IF(BG136="S; LS",4,"?"))))),
IF(OR(BJ136="a",AND(BJ136="g",VLOOKUP(LEFT($AX136,LEN($AX136)-2),'Field information 2'!$B$12:$P$111,9,FALSE)="yes")),
IF(BG136="10-25% OM",8,IF(BG136="&gt;25% OM",16,IF(BG136="SCL; CL; ZCL; SC; ZC; C",8,IF(BG136="SL; SZL; ZL",7,IF(BG136="S; LS",6,"?"))))),"")))</f>
        <v/>
      </c>
      <c r="BL136" t="str">
        <f ca="1">IF(AX136&lt;&gt;"",COUNTBLANK('Soil results'!D141:D141)+COUNTBLANK('Soil results'!F141:I141)+COUNTBLANK('Soil results'!K141:Q141),"")</f>
        <v/>
      </c>
      <c r="BM136" t="str">
        <f ca="1">IF(AX136&lt;&gt;"",
IF(OR(ISNUMBER(SEARCH("10*01*01",'Field information 2'!$M$5)),ISNUMBER(SEARCH("10*01*03",'Field information 2'!$M$5))),0.25,1),"")</f>
        <v/>
      </c>
      <c r="BN136" s="275" t="str">
        <f ca="1">IF(AX136&lt;&gt;"",
IF(COUNTIF('Soil results'!G142:G$159,"="&amp;'Soil results'!G141)+COUNTIF('Soil results'!H142:H$159,"="&amp;'Soil results'!H141)+COUNTIF('Soil results'!I142:I$159,"="&amp;'Soil results'!I141)=0,"no",
IF(MOD(COUNTIF('Soil results'!G142:G$159,"="&amp;'Soil results'!G141)+COUNTIF('Soil results'!H142:H$159,"="&amp;'Soil results'!H141)+COUNTIF('Soil results'!I142:I$159,"="&amp;'Soil results'!I141),3)=0,"yes","no")),"")</f>
        <v/>
      </c>
      <c r="BO136" s="276" t="str">
        <f t="shared" ca="1" si="153"/>
        <v/>
      </c>
      <c r="BP136" s="33"/>
      <c r="BQ136" s="276"/>
      <c r="BR136" s="276"/>
      <c r="BS136" s="276" t="str">
        <f t="shared" ca="1" si="154"/>
        <v/>
      </c>
      <c r="BT136" s="153" t="str">
        <f ca="1">IF(AX136="","",
IF(OR(Assessment!F138="limited benefit",Assessment!F138="benefit", Assessment!M138="limited benefit",Assessment!M138="benefit", Assessment!R138="limited benefit",Assessment!R138="benefit", Assessment!W138="limited benefit",Assessment!W138="benefit", Assessment!AB138="limited benefit",Assessment!AB138="benefit", AND(ISNUMBER(Assessment!AF138),Assessment!AG138="ok"), Assessment!AJ138="benefit"),"yes","no"))</f>
        <v/>
      </c>
    </row>
    <row r="137" spans="50:75" ht="15" x14ac:dyDescent="0.25">
      <c r="AX137" s="247" t="str" cm="1">
        <f t="array" aca="1" ref="AX137" ca="1">INDIRECT(TEXT(MIN(IF((Calc!$Z$5:$AI$104&lt;&gt;"")*(COUNTIF($AX$4:AX136,Calc!$Z$5:$AI$104)=0),ROW(Calc!$Z$5:$AI$104)*100+COLUMN(Calc!$Z$5:$AI$104),7^8)),"Calc!R0C00"),)&amp;""</f>
        <v/>
      </c>
      <c r="AY137" t="str" cm="1">
        <f t="array" aca="1" ref="AY137" ca="1">INDIRECT(TEXT(MIN(IF((Calc!$AK$5:$AT$104&lt;&gt;"")*(COUNTIF(AY$4:$AY136,Calc!$AK$5:$AT$104)=0),ROW(Calc!$AK$5:$AT$104)*100+COLUMN(Calc!$AK$5:$AT$104),7^8)),"Calc!R0C00"),)&amp;""</f>
        <v/>
      </c>
      <c r="AZ137" s="247" t="str">
        <f t="shared" ca="1" si="149"/>
        <v/>
      </c>
      <c r="BA137" s="324">
        <f t="shared" si="155"/>
        <v>133</v>
      </c>
      <c r="BB137">
        <f t="shared" ca="1" si="150"/>
        <v>0</v>
      </c>
      <c r="BC137" t="str">
        <f ca="1">IF($AX137="","",
VLOOKUP(LEFT($AX137,LEN($AX137)-2),'Field information 2'!$B$12:$P$111,11,FALSE))</f>
        <v/>
      </c>
      <c r="BD137" t="str">
        <f ca="1">IF($AX137="","",
VLOOKUP(LEFT($AX137,LEN($AX137)-2),'Field information 2'!$B$12:$P$111,13,FALSE))</f>
        <v/>
      </c>
      <c r="BE137" t="str">
        <f ca="1">IF($AX137="","",
VLOOKUP(LEFT($AX137,LEN($AX137)-2),'Field information 2'!$B$12:$P$111,15,FALSE))</f>
        <v/>
      </c>
      <c r="BF137">
        <f t="shared" ca="1" si="151"/>
        <v>0</v>
      </c>
      <c r="BG137" t="str">
        <f t="shared" ca="1" si="152"/>
        <v/>
      </c>
      <c r="BH137" s="7" t="str">
        <f ca="1">IF(OR(AX137="",'Soil results'!$D$7="",'Soil results'!$D$8=""),"",
IF('Soil results'!$D$7="LOI",
  IF('Soil results'!$D$8="mg/kg",'Soil results'!D142/10000,'Soil results'!D142),
IF('Soil results'!$D$7="Dumas",
  IF('Soil results'!$D$8="mg/kg",'Soil results'!D142*1.72/10000,'Soil results'!D142*1.72))))</f>
        <v/>
      </c>
      <c r="BI137" t="str">
        <f ca="1">IF($AX137="","",
VLOOKUP(LEFT($AX137,LEN($AX137)-2),'Field information 2'!$B$12:$I$111,8,FALSE))</f>
        <v/>
      </c>
      <c r="BJ137" t="str">
        <f ca="1">IF(BI137="","",
VLOOKUP(BI137,'Fertiliser recommendations'!$A$5:$B$62,2,FALSE))</f>
        <v/>
      </c>
      <c r="BK137" s="38" t="str">
        <f ca="1">IF($AX137="","",
IF(AND(BJ137="g",VLOOKUP(LEFT($AX137,LEN($AX137)-2),'Field information 2'!$B$12:$P$111,9,FALSE)&lt;&gt;"yes"),
IF(BG137="10-25% OM",6,IF(BG137="&gt;25% OM",12,IF(BG137="SCL; CL; ZCL; SC; ZC; C",6,IF(BG137="SL; SZL; ZL",5,IF(BG137="S; LS",4,"?"))))),
IF(OR(BJ137="a",AND(BJ137="g",VLOOKUP(LEFT($AX137,LEN($AX137)-2),'Field information 2'!$B$12:$P$111,9,FALSE)="yes")),
IF(BG137="10-25% OM",8,IF(BG137="&gt;25% OM",16,IF(BG137="SCL; CL; ZCL; SC; ZC; C",8,IF(BG137="SL; SZL; ZL",7,IF(BG137="S; LS",6,"?"))))),"")))</f>
        <v/>
      </c>
      <c r="BL137" t="str">
        <f ca="1">IF(AX137&lt;&gt;"",COUNTBLANK('Soil results'!D142:D142)+COUNTBLANK('Soil results'!F142:I142)+COUNTBLANK('Soil results'!K142:Q142),"")</f>
        <v/>
      </c>
      <c r="BM137" t="str">
        <f ca="1">IF(AX137&lt;&gt;"",
IF(OR(ISNUMBER(SEARCH("10*01*01",'Field information 2'!$M$5)),ISNUMBER(SEARCH("10*01*03",'Field information 2'!$M$5))),0.25,1),"")</f>
        <v/>
      </c>
      <c r="BN137" s="275" t="str">
        <f ca="1">IF(AX137&lt;&gt;"",
IF(COUNTIF('Soil results'!G143:G$159,"="&amp;'Soil results'!G142)+COUNTIF('Soil results'!H143:H$159,"="&amp;'Soil results'!H142)+COUNTIF('Soil results'!I143:I$159,"="&amp;'Soil results'!I142)=0,"no",
IF(MOD(COUNTIF('Soil results'!G143:G$159,"="&amp;'Soil results'!G142)+COUNTIF('Soil results'!H143:H$159,"="&amp;'Soil results'!H142)+COUNTIF('Soil results'!I143:I$159,"="&amp;'Soil results'!I142),3)=0,"yes","no")),"")</f>
        <v/>
      </c>
      <c r="BO137" s="276" t="str">
        <f t="shared" ca="1" si="153"/>
        <v/>
      </c>
      <c r="BP137" s="33"/>
      <c r="BQ137" s="276"/>
      <c r="BR137" s="276"/>
      <c r="BS137" s="276" t="str">
        <f t="shared" ca="1" si="154"/>
        <v/>
      </c>
      <c r="BT137" s="153" t="str">
        <f ca="1">IF(AX137="","",
IF(OR(Assessment!F139="limited benefit",Assessment!F139="benefit", Assessment!M139="limited benefit",Assessment!M139="benefit", Assessment!R139="limited benefit",Assessment!R139="benefit", Assessment!W139="limited benefit",Assessment!W139="benefit", Assessment!AB139="limited benefit",Assessment!AB139="benefit", AND(ISNUMBER(Assessment!AF139),Assessment!AG139="ok"), Assessment!AJ139="benefit"),"yes","no"))</f>
        <v/>
      </c>
      <c r="BW137" t="s">
        <v>434</v>
      </c>
    </row>
    <row r="138" spans="50:75" ht="15" x14ac:dyDescent="0.25">
      <c r="AX138" s="247" t="str" cm="1">
        <f t="array" aca="1" ref="AX138" ca="1">INDIRECT(TEXT(MIN(IF((Calc!$Z$5:$AI$104&lt;&gt;"")*(COUNTIF($AX$4:AX137,Calc!$Z$5:$AI$104)=0),ROW(Calc!$Z$5:$AI$104)*100+COLUMN(Calc!$Z$5:$AI$104),7^8)),"Calc!R0C00"),)&amp;""</f>
        <v/>
      </c>
      <c r="AY138" t="str" cm="1">
        <f t="array" aca="1" ref="AY138" ca="1">INDIRECT(TEXT(MIN(IF((Calc!$AK$5:$AT$104&lt;&gt;"")*(COUNTIF(AY$4:$AY137,Calc!$AK$5:$AT$104)=0),ROW(Calc!$AK$5:$AT$104)*100+COLUMN(Calc!$AK$5:$AT$104),7^8)),"Calc!R0C00"),)&amp;""</f>
        <v/>
      </c>
      <c r="AZ138" s="247" t="str">
        <f t="shared" ca="1" si="149"/>
        <v/>
      </c>
      <c r="BA138" s="324">
        <f t="shared" si="155"/>
        <v>134</v>
      </c>
      <c r="BB138">
        <f t="shared" ca="1" si="150"/>
        <v>0</v>
      </c>
      <c r="BC138" t="str">
        <f ca="1">IF($AX138="","",
VLOOKUP(LEFT($AX138,LEN($AX138)-2),'Field information 2'!$B$12:$P$111,11,FALSE))</f>
        <v/>
      </c>
      <c r="BD138" t="str">
        <f ca="1">IF($AX138="","",
VLOOKUP(LEFT($AX138,LEN($AX138)-2),'Field information 2'!$B$12:$P$111,13,FALSE))</f>
        <v/>
      </c>
      <c r="BE138" t="str">
        <f ca="1">IF($AX138="","",
VLOOKUP(LEFT($AX138,LEN($AX138)-2),'Field information 2'!$B$12:$P$111,15,FALSE))</f>
        <v/>
      </c>
      <c r="BF138">
        <f t="shared" ca="1" si="151"/>
        <v>0</v>
      </c>
      <c r="BG138" t="str">
        <f t="shared" ca="1" si="152"/>
        <v/>
      </c>
      <c r="BH138" s="7" t="str">
        <f ca="1">IF(OR(AX138="",'Soil results'!$D$7="",'Soil results'!$D$8=""),"",
IF('Soil results'!$D$7="LOI",
  IF('Soil results'!$D$8="mg/kg",'Soil results'!D143/10000,'Soil results'!D143),
IF('Soil results'!$D$7="Dumas",
  IF('Soil results'!$D$8="mg/kg",'Soil results'!D143*1.72/10000,'Soil results'!D143*1.72))))</f>
        <v/>
      </c>
      <c r="BI138" t="str">
        <f ca="1">IF($AX138="","",
VLOOKUP(LEFT($AX138,LEN($AX138)-2),'Field information 2'!$B$12:$I$111,8,FALSE))</f>
        <v/>
      </c>
      <c r="BJ138" t="str">
        <f ca="1">IF(BI138="","",
VLOOKUP(BI138,'Fertiliser recommendations'!$A$5:$B$62,2,FALSE))</f>
        <v/>
      </c>
      <c r="BK138" s="38" t="str">
        <f ca="1">IF($AX138="","",
IF(AND(BJ138="g",VLOOKUP(LEFT($AX138,LEN($AX138)-2),'Field information 2'!$B$12:$P$111,9,FALSE)&lt;&gt;"yes"),
IF(BG138="10-25% OM",6,IF(BG138="&gt;25% OM",12,IF(BG138="SCL; CL; ZCL; SC; ZC; C",6,IF(BG138="SL; SZL; ZL",5,IF(BG138="S; LS",4,"?"))))),
IF(OR(BJ138="a",AND(BJ138="g",VLOOKUP(LEFT($AX138,LEN($AX138)-2),'Field information 2'!$B$12:$P$111,9,FALSE)="yes")),
IF(BG138="10-25% OM",8,IF(BG138="&gt;25% OM",16,IF(BG138="SCL; CL; ZCL; SC; ZC; C",8,IF(BG138="SL; SZL; ZL",7,IF(BG138="S; LS",6,"?"))))),"")))</f>
        <v/>
      </c>
      <c r="BL138" t="str">
        <f ca="1">IF(AX138&lt;&gt;"",COUNTBLANK('Soil results'!D143:D143)+COUNTBLANK('Soil results'!F143:I143)+COUNTBLANK('Soil results'!K143:Q143),"")</f>
        <v/>
      </c>
      <c r="BM138" t="str">
        <f ca="1">IF(AX138&lt;&gt;"",
IF(OR(ISNUMBER(SEARCH("10*01*01",'Field information 2'!$M$5)),ISNUMBER(SEARCH("10*01*03",'Field information 2'!$M$5))),0.25,1),"")</f>
        <v/>
      </c>
      <c r="BN138" s="275" t="str">
        <f ca="1">IF(AX138&lt;&gt;"",
IF(COUNTIF('Soil results'!G144:G$159,"="&amp;'Soil results'!G143)+COUNTIF('Soil results'!H144:H$159,"="&amp;'Soil results'!H143)+COUNTIF('Soil results'!I144:I$159,"="&amp;'Soil results'!I143)=0,"no",
IF(MOD(COUNTIF('Soil results'!G144:G$159,"="&amp;'Soil results'!G143)+COUNTIF('Soil results'!H144:H$159,"="&amp;'Soil results'!H143)+COUNTIF('Soil results'!I144:I$159,"="&amp;'Soil results'!I143),3)=0,"yes","no")),"")</f>
        <v/>
      </c>
      <c r="BO138" s="276" t="str">
        <f t="shared" ca="1" si="153"/>
        <v/>
      </c>
      <c r="BP138" s="33"/>
      <c r="BQ138" s="276"/>
      <c r="BR138" s="276"/>
      <c r="BS138" s="276" t="str">
        <f t="shared" ca="1" si="154"/>
        <v/>
      </c>
      <c r="BT138" s="153" t="str">
        <f ca="1">IF(AX138="","",
IF(OR(Assessment!F140="limited benefit",Assessment!F140="benefit", Assessment!M140="limited benefit",Assessment!M140="benefit", Assessment!R140="limited benefit",Assessment!R140="benefit", Assessment!W140="limited benefit",Assessment!W140="benefit", Assessment!AB140="limited benefit",Assessment!AB140="benefit", AND(ISNUMBER(Assessment!AF140),Assessment!AG140="ok"), Assessment!AJ140="benefit"),"yes","no"))</f>
        <v/>
      </c>
      <c r="BW138" t="s">
        <v>435</v>
      </c>
    </row>
    <row r="139" spans="50:75" ht="15" x14ac:dyDescent="0.25">
      <c r="AX139" s="247" t="str" cm="1">
        <f t="array" aca="1" ref="AX139" ca="1">INDIRECT(TEXT(MIN(IF((Calc!$Z$5:$AI$104&lt;&gt;"")*(COUNTIF($AX$4:AX138,Calc!$Z$5:$AI$104)=0),ROW(Calc!$Z$5:$AI$104)*100+COLUMN(Calc!$Z$5:$AI$104),7^8)),"Calc!R0C00"),)&amp;""</f>
        <v/>
      </c>
      <c r="AY139" t="str" cm="1">
        <f t="array" aca="1" ref="AY139" ca="1">INDIRECT(TEXT(MIN(IF((Calc!$AK$5:$AT$104&lt;&gt;"")*(COUNTIF(AY$4:$AY138,Calc!$AK$5:$AT$104)=0),ROW(Calc!$AK$5:$AT$104)*100+COLUMN(Calc!$AK$5:$AT$104),7^8)),"Calc!R0C00"),)&amp;""</f>
        <v/>
      </c>
      <c r="AZ139" s="247" t="str">
        <f t="shared" ca="1" si="149"/>
        <v/>
      </c>
      <c r="BA139" s="324">
        <f t="shared" si="155"/>
        <v>135</v>
      </c>
      <c r="BB139">
        <f t="shared" ca="1" si="150"/>
        <v>0</v>
      </c>
      <c r="BC139" t="str">
        <f ca="1">IF($AX139="","",
VLOOKUP(LEFT($AX139,LEN($AX139)-2),'Field information 2'!$B$12:$P$111,11,FALSE))</f>
        <v/>
      </c>
      <c r="BD139" t="str">
        <f ca="1">IF($AX139="","",
VLOOKUP(LEFT($AX139,LEN($AX139)-2),'Field information 2'!$B$12:$P$111,13,FALSE))</f>
        <v/>
      </c>
      <c r="BE139" t="str">
        <f ca="1">IF($AX139="","",
VLOOKUP(LEFT($AX139,LEN($AX139)-2),'Field information 2'!$B$12:$P$111,15,FALSE))</f>
        <v/>
      </c>
      <c r="BF139">
        <f t="shared" ca="1" si="151"/>
        <v>0</v>
      </c>
      <c r="BG139" t="str">
        <f t="shared" ca="1" si="152"/>
        <v/>
      </c>
      <c r="BH139" s="7" t="str">
        <f ca="1">IF(OR(AX139="",'Soil results'!$D$7="",'Soil results'!$D$8=""),"",
IF('Soil results'!$D$7="LOI",
  IF('Soil results'!$D$8="mg/kg",'Soil results'!D144/10000,'Soil results'!D144),
IF('Soil results'!$D$7="Dumas",
  IF('Soil results'!$D$8="mg/kg",'Soil results'!D144*1.72/10000,'Soil results'!D144*1.72))))</f>
        <v/>
      </c>
      <c r="BI139" t="str">
        <f ca="1">IF($AX139="","",
VLOOKUP(LEFT($AX139,LEN($AX139)-2),'Field information 2'!$B$12:$I$111,8,FALSE))</f>
        <v/>
      </c>
      <c r="BJ139" t="str">
        <f ca="1">IF(BI139="","",
VLOOKUP(BI139,'Fertiliser recommendations'!$A$5:$B$62,2,FALSE))</f>
        <v/>
      </c>
      <c r="BK139" s="38" t="str">
        <f ca="1">IF($AX139="","",
IF(AND(BJ139="g",VLOOKUP(LEFT($AX139,LEN($AX139)-2),'Field information 2'!$B$12:$P$111,9,FALSE)&lt;&gt;"yes"),
IF(BG139="10-25% OM",6,IF(BG139="&gt;25% OM",12,IF(BG139="SCL; CL; ZCL; SC; ZC; C",6,IF(BG139="SL; SZL; ZL",5,IF(BG139="S; LS",4,"?"))))),
IF(OR(BJ139="a",AND(BJ139="g",VLOOKUP(LEFT($AX139,LEN($AX139)-2),'Field information 2'!$B$12:$P$111,9,FALSE)="yes")),
IF(BG139="10-25% OM",8,IF(BG139="&gt;25% OM",16,IF(BG139="SCL; CL; ZCL; SC; ZC; C",8,IF(BG139="SL; SZL; ZL",7,IF(BG139="S; LS",6,"?"))))),"")))</f>
        <v/>
      </c>
      <c r="BL139" t="str">
        <f ca="1">IF(AX139&lt;&gt;"",COUNTBLANK('Soil results'!D144:D144)+COUNTBLANK('Soil results'!F144:I144)+COUNTBLANK('Soil results'!K144:Q144),"")</f>
        <v/>
      </c>
      <c r="BM139" t="str">
        <f ca="1">IF(AX139&lt;&gt;"",
IF(OR(ISNUMBER(SEARCH("10*01*01",'Field information 2'!$M$5)),ISNUMBER(SEARCH("10*01*03",'Field information 2'!$M$5))),0.25,1),"")</f>
        <v/>
      </c>
      <c r="BN139" s="275" t="str">
        <f ca="1">IF(AX139&lt;&gt;"",
IF(COUNTIF('Soil results'!G145:G$159,"="&amp;'Soil results'!G144)+COUNTIF('Soil results'!H145:H$159,"="&amp;'Soil results'!H144)+COUNTIF('Soil results'!I145:I$159,"="&amp;'Soil results'!I144)=0,"no",
IF(MOD(COUNTIF('Soil results'!G145:G$159,"="&amp;'Soil results'!G144)+COUNTIF('Soil results'!H145:H$159,"="&amp;'Soil results'!H144)+COUNTIF('Soil results'!I145:I$159,"="&amp;'Soil results'!I144),3)=0,"yes","no")),"")</f>
        <v/>
      </c>
      <c r="BO139" s="276" t="str">
        <f t="shared" ca="1" si="153"/>
        <v/>
      </c>
      <c r="BP139" s="33"/>
      <c r="BQ139" s="276"/>
      <c r="BR139" s="276"/>
      <c r="BS139" s="276" t="str">
        <f t="shared" ca="1" si="154"/>
        <v/>
      </c>
      <c r="BT139" s="153" t="str">
        <f ca="1">IF(AX139="","",
IF(OR(Assessment!F141="limited benefit",Assessment!F141="benefit", Assessment!M141="limited benefit",Assessment!M141="benefit", Assessment!R141="limited benefit",Assessment!R141="benefit", Assessment!W141="limited benefit",Assessment!W141="benefit", Assessment!AB141="limited benefit",Assessment!AB141="benefit", AND(ISNUMBER(Assessment!AF141),Assessment!AG141="ok"), Assessment!AJ141="benefit"),"yes","no"))</f>
        <v/>
      </c>
      <c r="BW139" t="s">
        <v>436</v>
      </c>
    </row>
    <row r="140" spans="50:75" ht="15" x14ac:dyDescent="0.25">
      <c r="AX140" s="247" t="str" cm="1">
        <f t="array" aca="1" ref="AX140" ca="1">INDIRECT(TEXT(MIN(IF((Calc!$Z$5:$AI$104&lt;&gt;"")*(COUNTIF($AX$4:AX139,Calc!$Z$5:$AI$104)=0),ROW(Calc!$Z$5:$AI$104)*100+COLUMN(Calc!$Z$5:$AI$104),7^8)),"Calc!R0C00"),)&amp;""</f>
        <v/>
      </c>
      <c r="AY140" t="str" cm="1">
        <f t="array" aca="1" ref="AY140" ca="1">INDIRECT(TEXT(MIN(IF((Calc!$AK$5:$AT$104&lt;&gt;"")*(COUNTIF(AY$4:$AY139,Calc!$AK$5:$AT$104)=0),ROW(Calc!$AK$5:$AT$104)*100+COLUMN(Calc!$AK$5:$AT$104),7^8)),"Calc!R0C00"),)&amp;""</f>
        <v/>
      </c>
      <c r="AZ140" s="247" t="str">
        <f t="shared" ca="1" si="149"/>
        <v/>
      </c>
      <c r="BA140" s="324">
        <f t="shared" si="155"/>
        <v>136</v>
      </c>
      <c r="BB140">
        <f t="shared" ca="1" si="150"/>
        <v>0</v>
      </c>
      <c r="BC140" t="str">
        <f ca="1">IF($AX140="","",
VLOOKUP(LEFT($AX140,LEN($AX140)-2),'Field information 2'!$B$12:$P$111,11,FALSE))</f>
        <v/>
      </c>
      <c r="BD140" t="str">
        <f ca="1">IF($AX140="","",
VLOOKUP(LEFT($AX140,LEN($AX140)-2),'Field information 2'!$B$12:$P$111,13,FALSE))</f>
        <v/>
      </c>
      <c r="BE140" t="str">
        <f ca="1">IF($AX140="","",
VLOOKUP(LEFT($AX140,LEN($AX140)-2),'Field information 2'!$B$12:$P$111,15,FALSE))</f>
        <v/>
      </c>
      <c r="BF140">
        <f t="shared" ca="1" si="151"/>
        <v>0</v>
      </c>
      <c r="BG140" t="str">
        <f t="shared" ca="1" si="152"/>
        <v/>
      </c>
      <c r="BH140" s="7" t="str">
        <f ca="1">IF(OR(AX140="",'Soil results'!$D$7="",'Soil results'!$D$8=""),"",
IF('Soil results'!$D$7="LOI",
  IF('Soil results'!$D$8="mg/kg",'Soil results'!D145/10000,'Soil results'!D145),
IF('Soil results'!$D$7="Dumas",
  IF('Soil results'!$D$8="mg/kg",'Soil results'!D145*1.72/10000,'Soil results'!D145*1.72))))</f>
        <v/>
      </c>
      <c r="BI140" t="str">
        <f ca="1">IF($AX140="","",
VLOOKUP(LEFT($AX140,LEN($AX140)-2),'Field information 2'!$B$12:$I$111,8,FALSE))</f>
        <v/>
      </c>
      <c r="BJ140" t="str">
        <f ca="1">IF(BI140="","",
VLOOKUP(BI140,'Fertiliser recommendations'!$A$5:$B$62,2,FALSE))</f>
        <v/>
      </c>
      <c r="BK140" s="38" t="str">
        <f ca="1">IF($AX140="","",
IF(AND(BJ140="g",VLOOKUP(LEFT($AX140,LEN($AX140)-2),'Field information 2'!$B$12:$P$111,9,FALSE)&lt;&gt;"yes"),
IF(BG140="10-25% OM",6,IF(BG140="&gt;25% OM",12,IF(BG140="SCL; CL; ZCL; SC; ZC; C",6,IF(BG140="SL; SZL; ZL",5,IF(BG140="S; LS",4,"?"))))),
IF(OR(BJ140="a",AND(BJ140="g",VLOOKUP(LEFT($AX140,LEN($AX140)-2),'Field information 2'!$B$12:$P$111,9,FALSE)="yes")),
IF(BG140="10-25% OM",8,IF(BG140="&gt;25% OM",16,IF(BG140="SCL; CL; ZCL; SC; ZC; C",8,IF(BG140="SL; SZL; ZL",7,IF(BG140="S; LS",6,"?"))))),"")))</f>
        <v/>
      </c>
      <c r="BL140" t="str">
        <f ca="1">IF(AX140&lt;&gt;"",COUNTBLANK('Soil results'!D145:D145)+COUNTBLANK('Soil results'!F145:I145)+COUNTBLANK('Soil results'!K145:Q145),"")</f>
        <v/>
      </c>
      <c r="BM140" t="str">
        <f ca="1">IF(AX140&lt;&gt;"",
IF(OR(ISNUMBER(SEARCH("10*01*01",'Field information 2'!$M$5)),ISNUMBER(SEARCH("10*01*03",'Field information 2'!$M$5))),0.25,1),"")</f>
        <v/>
      </c>
      <c r="BN140" s="275" t="str">
        <f ca="1">IF(AX140&lt;&gt;"",
IF(COUNTIF('Soil results'!G146:G$159,"="&amp;'Soil results'!G145)+COUNTIF('Soil results'!H146:H$159,"="&amp;'Soil results'!H145)+COUNTIF('Soil results'!I146:I$159,"="&amp;'Soil results'!I145)=0,"no",
IF(MOD(COUNTIF('Soil results'!G146:G$159,"="&amp;'Soil results'!G145)+COUNTIF('Soil results'!H146:H$159,"="&amp;'Soil results'!H145)+COUNTIF('Soil results'!I146:I$159,"="&amp;'Soil results'!I145),3)=0,"yes","no")),"")</f>
        <v/>
      </c>
      <c r="BO140" s="276" t="str">
        <f t="shared" ca="1" si="153"/>
        <v/>
      </c>
      <c r="BP140" s="33"/>
      <c r="BQ140" s="276"/>
      <c r="BR140" s="276"/>
      <c r="BS140" s="276" t="str">
        <f t="shared" ca="1" si="154"/>
        <v/>
      </c>
      <c r="BT140" s="153" t="str">
        <f ca="1">IF(AX140="","",
IF(OR(Assessment!F142="limited benefit",Assessment!F142="benefit", Assessment!M142="limited benefit",Assessment!M142="benefit", Assessment!R142="limited benefit",Assessment!R142="benefit", Assessment!W142="limited benefit",Assessment!W142="benefit", Assessment!AB142="limited benefit",Assessment!AB142="benefit", AND(ISNUMBER(Assessment!AF142),Assessment!AG142="ok"), Assessment!AJ142="benefit"),"yes","no"))</f>
        <v/>
      </c>
      <c r="BW140" t="s">
        <v>437</v>
      </c>
    </row>
    <row r="141" spans="50:75" ht="15" x14ac:dyDescent="0.25">
      <c r="AX141" s="247" t="str" cm="1">
        <f t="array" aca="1" ref="AX141" ca="1">INDIRECT(TEXT(MIN(IF((Calc!$Z$5:$AI$104&lt;&gt;"")*(COUNTIF($AX$4:AX140,Calc!$Z$5:$AI$104)=0),ROW(Calc!$Z$5:$AI$104)*100+COLUMN(Calc!$Z$5:$AI$104),7^8)),"Calc!R0C00"),)&amp;""</f>
        <v/>
      </c>
      <c r="AY141" t="str" cm="1">
        <f t="array" aca="1" ref="AY141" ca="1">INDIRECT(TEXT(MIN(IF((Calc!$AK$5:$AT$104&lt;&gt;"")*(COUNTIF(AY$4:$AY140,Calc!$AK$5:$AT$104)=0),ROW(Calc!$AK$5:$AT$104)*100+COLUMN(Calc!$AK$5:$AT$104),7^8)),"Calc!R0C00"),)&amp;""</f>
        <v/>
      </c>
      <c r="AZ141" s="247" t="str">
        <f t="shared" ca="1" si="149"/>
        <v/>
      </c>
      <c r="BA141" s="324">
        <f t="shared" si="155"/>
        <v>137</v>
      </c>
      <c r="BB141">
        <f t="shared" ca="1" si="150"/>
        <v>0</v>
      </c>
      <c r="BC141" t="str">
        <f ca="1">IF($AX141="","",
VLOOKUP(LEFT($AX141,LEN($AX141)-2),'Field information 2'!$B$12:$P$111,11,FALSE))</f>
        <v/>
      </c>
      <c r="BD141" t="str">
        <f ca="1">IF($AX141="","",
VLOOKUP(LEFT($AX141,LEN($AX141)-2),'Field information 2'!$B$12:$P$111,13,FALSE))</f>
        <v/>
      </c>
      <c r="BE141" t="str">
        <f ca="1">IF($AX141="","",
VLOOKUP(LEFT($AX141,LEN($AX141)-2),'Field information 2'!$B$12:$P$111,15,FALSE))</f>
        <v/>
      </c>
      <c r="BF141">
        <f t="shared" ca="1" si="151"/>
        <v>0</v>
      </c>
      <c r="BG141" t="str">
        <f t="shared" ca="1" si="152"/>
        <v/>
      </c>
      <c r="BH141" s="7" t="str">
        <f ca="1">IF(OR(AX141="",'Soil results'!$D$7="",'Soil results'!$D$8=""),"",
IF('Soil results'!$D$7="LOI",
  IF('Soil results'!$D$8="mg/kg",'Soil results'!D146/10000,'Soil results'!D146),
IF('Soil results'!$D$7="Dumas",
  IF('Soil results'!$D$8="mg/kg",'Soil results'!D146*1.72/10000,'Soil results'!D146*1.72))))</f>
        <v/>
      </c>
      <c r="BI141" t="str">
        <f ca="1">IF($AX141="","",
VLOOKUP(LEFT($AX141,LEN($AX141)-2),'Field information 2'!$B$12:$I$111,8,FALSE))</f>
        <v/>
      </c>
      <c r="BJ141" t="str">
        <f ca="1">IF(BI141="","",
VLOOKUP(BI141,'Fertiliser recommendations'!$A$5:$B$62,2,FALSE))</f>
        <v/>
      </c>
      <c r="BK141" s="38" t="str">
        <f ca="1">IF($AX141="","",
IF(AND(BJ141="g",VLOOKUP(LEFT($AX141,LEN($AX141)-2),'Field information 2'!$B$12:$P$111,9,FALSE)&lt;&gt;"yes"),
IF(BG141="10-25% OM",6,IF(BG141="&gt;25% OM",12,IF(BG141="SCL; CL; ZCL; SC; ZC; C",6,IF(BG141="SL; SZL; ZL",5,IF(BG141="S; LS",4,"?"))))),
IF(OR(BJ141="a",AND(BJ141="g",VLOOKUP(LEFT($AX141,LEN($AX141)-2),'Field information 2'!$B$12:$P$111,9,FALSE)="yes")),
IF(BG141="10-25% OM",8,IF(BG141="&gt;25% OM",16,IF(BG141="SCL; CL; ZCL; SC; ZC; C",8,IF(BG141="SL; SZL; ZL",7,IF(BG141="S; LS",6,"?"))))),"")))</f>
        <v/>
      </c>
      <c r="BL141" t="str">
        <f ca="1">IF(AX141&lt;&gt;"",COUNTBLANK('Soil results'!D146:D146)+COUNTBLANK('Soil results'!F146:I146)+COUNTBLANK('Soil results'!K146:Q146),"")</f>
        <v/>
      </c>
      <c r="BM141" t="str">
        <f ca="1">IF(AX141&lt;&gt;"",
IF(OR(ISNUMBER(SEARCH("10*01*01",'Field information 2'!$M$5)),ISNUMBER(SEARCH("10*01*03",'Field information 2'!$M$5))),0.25,1),"")</f>
        <v/>
      </c>
      <c r="BN141" s="275" t="str">
        <f ca="1">IF(AX141&lt;&gt;"",
IF(COUNTIF('Soil results'!G147:G$159,"="&amp;'Soil results'!G146)+COUNTIF('Soil results'!H147:H$159,"="&amp;'Soil results'!H146)+COUNTIF('Soil results'!I147:I$159,"="&amp;'Soil results'!I146)=0,"no",
IF(MOD(COUNTIF('Soil results'!G147:G$159,"="&amp;'Soil results'!G146)+COUNTIF('Soil results'!H147:H$159,"="&amp;'Soil results'!H146)+COUNTIF('Soil results'!I147:I$159,"="&amp;'Soil results'!I146),3)=0,"yes","no")),"")</f>
        <v/>
      </c>
      <c r="BO141" s="276" t="str">
        <f t="shared" ca="1" si="153"/>
        <v/>
      </c>
      <c r="BP141" s="33"/>
      <c r="BQ141" s="276"/>
      <c r="BR141" s="276"/>
      <c r="BS141" s="276" t="str">
        <f t="shared" ca="1" si="154"/>
        <v/>
      </c>
      <c r="BT141" s="153" t="str">
        <f ca="1">IF(AX141="","",
IF(OR(Assessment!F143="limited benefit",Assessment!F143="benefit", Assessment!M143="limited benefit",Assessment!M143="benefit", Assessment!R143="limited benefit",Assessment!R143="benefit", Assessment!W143="limited benefit",Assessment!W143="benefit", Assessment!AB143="limited benefit",Assessment!AB143="benefit", AND(ISNUMBER(Assessment!AF143),Assessment!AG143="ok"), Assessment!AJ143="benefit"),"yes","no"))</f>
        <v/>
      </c>
    </row>
    <row r="142" spans="50:75" ht="15" x14ac:dyDescent="0.25">
      <c r="AX142" s="247" t="str" cm="1">
        <f t="array" aca="1" ref="AX142" ca="1">INDIRECT(TEXT(MIN(IF((Calc!$Z$5:$AI$104&lt;&gt;"")*(COUNTIF($AX$4:AX141,Calc!$Z$5:$AI$104)=0),ROW(Calc!$Z$5:$AI$104)*100+COLUMN(Calc!$Z$5:$AI$104),7^8)),"Calc!R0C00"),)&amp;""</f>
        <v/>
      </c>
      <c r="AY142" t="str" cm="1">
        <f t="array" aca="1" ref="AY142" ca="1">INDIRECT(TEXT(MIN(IF((Calc!$AK$5:$AT$104&lt;&gt;"")*(COUNTIF(AY$4:$AY141,Calc!$AK$5:$AT$104)=0),ROW(Calc!$AK$5:$AT$104)*100+COLUMN(Calc!$AK$5:$AT$104),7^8)),"Calc!R0C00"),)&amp;""</f>
        <v/>
      </c>
      <c r="AZ142" s="247" t="str">
        <f t="shared" ca="1" si="149"/>
        <v/>
      </c>
      <c r="BA142" s="324">
        <f t="shared" si="155"/>
        <v>138</v>
      </c>
      <c r="BB142">
        <f t="shared" ca="1" si="150"/>
        <v>0</v>
      </c>
      <c r="BC142" t="str">
        <f ca="1">IF($AX142="","",
VLOOKUP(LEFT($AX142,LEN($AX142)-2),'Field information 2'!$B$12:$P$111,11,FALSE))</f>
        <v/>
      </c>
      <c r="BD142" t="str">
        <f ca="1">IF($AX142="","",
VLOOKUP(LEFT($AX142,LEN($AX142)-2),'Field information 2'!$B$12:$P$111,13,FALSE))</f>
        <v/>
      </c>
      <c r="BE142" t="str">
        <f ca="1">IF($AX142="","",
VLOOKUP(LEFT($AX142,LEN($AX142)-2),'Field information 2'!$B$12:$P$111,15,FALSE))</f>
        <v/>
      </c>
      <c r="BF142">
        <f t="shared" ca="1" si="151"/>
        <v>0</v>
      </c>
      <c r="BG142" t="str">
        <f t="shared" ca="1" si="152"/>
        <v/>
      </c>
      <c r="BH142" s="7" t="str">
        <f ca="1">IF(OR(AX142="",'Soil results'!$D$7="",'Soil results'!$D$8=""),"",
IF('Soil results'!$D$7="LOI",
  IF('Soil results'!$D$8="mg/kg",'Soil results'!D147/10000,'Soil results'!D147),
IF('Soil results'!$D$7="Dumas",
  IF('Soil results'!$D$8="mg/kg",'Soil results'!D147*1.72/10000,'Soil results'!D147*1.72))))</f>
        <v/>
      </c>
      <c r="BI142" t="str">
        <f ca="1">IF($AX142="","",
VLOOKUP(LEFT($AX142,LEN($AX142)-2),'Field information 2'!$B$12:$I$111,8,FALSE))</f>
        <v/>
      </c>
      <c r="BJ142" t="str">
        <f ca="1">IF(BI142="","",
VLOOKUP(BI142,'Fertiliser recommendations'!$A$5:$B$62,2,FALSE))</f>
        <v/>
      </c>
      <c r="BK142" s="38" t="str">
        <f ca="1">IF($AX142="","",
IF(AND(BJ142="g",VLOOKUP(LEFT($AX142,LEN($AX142)-2),'Field information 2'!$B$12:$P$111,9,FALSE)&lt;&gt;"yes"),
IF(BG142="10-25% OM",6,IF(BG142="&gt;25% OM",12,IF(BG142="SCL; CL; ZCL; SC; ZC; C",6,IF(BG142="SL; SZL; ZL",5,IF(BG142="S; LS",4,"?"))))),
IF(OR(BJ142="a",AND(BJ142="g",VLOOKUP(LEFT($AX142,LEN($AX142)-2),'Field information 2'!$B$12:$P$111,9,FALSE)="yes")),
IF(BG142="10-25% OM",8,IF(BG142="&gt;25% OM",16,IF(BG142="SCL; CL; ZCL; SC; ZC; C",8,IF(BG142="SL; SZL; ZL",7,IF(BG142="S; LS",6,"?"))))),"")))</f>
        <v/>
      </c>
      <c r="BL142" t="str">
        <f ca="1">IF(AX142&lt;&gt;"",COUNTBLANK('Soil results'!D147:D147)+COUNTBLANK('Soil results'!F147:I147)+COUNTBLANK('Soil results'!K147:Q147),"")</f>
        <v/>
      </c>
      <c r="BM142" t="str">
        <f ca="1">IF(AX142&lt;&gt;"",
IF(OR(ISNUMBER(SEARCH("10*01*01",'Field information 2'!$M$5)),ISNUMBER(SEARCH("10*01*03",'Field information 2'!$M$5))),0.25,1),"")</f>
        <v/>
      </c>
      <c r="BN142" s="275" t="str">
        <f ca="1">IF(AX142&lt;&gt;"",
IF(COUNTIF('Soil results'!G148:G$159,"="&amp;'Soil results'!G147)+COUNTIF('Soil results'!H148:H$159,"="&amp;'Soil results'!H147)+COUNTIF('Soil results'!I148:I$159,"="&amp;'Soil results'!I147)=0,"no",
IF(MOD(COUNTIF('Soil results'!G148:G$159,"="&amp;'Soil results'!G147)+COUNTIF('Soil results'!H148:H$159,"="&amp;'Soil results'!H147)+COUNTIF('Soil results'!I148:I$159,"="&amp;'Soil results'!I147),3)=0,"yes","no")),"")</f>
        <v/>
      </c>
      <c r="BO142" s="276" t="str">
        <f t="shared" ca="1" si="153"/>
        <v/>
      </c>
      <c r="BP142" s="33"/>
      <c r="BQ142" s="276"/>
      <c r="BR142" s="276"/>
      <c r="BS142" s="276" t="str">
        <f t="shared" ca="1" si="154"/>
        <v/>
      </c>
      <c r="BT142" s="153" t="str">
        <f ca="1">IF(AX142="","",
IF(OR(Assessment!F144="limited benefit",Assessment!F144="benefit", Assessment!M144="limited benefit",Assessment!M144="benefit", Assessment!R144="limited benefit",Assessment!R144="benefit", Assessment!W144="limited benefit",Assessment!W144="benefit", Assessment!AB144="limited benefit",Assessment!AB144="benefit", AND(ISNUMBER(Assessment!AF144),Assessment!AG144="ok"), Assessment!AJ144="benefit"),"yes","no"))</f>
        <v/>
      </c>
    </row>
    <row r="143" spans="50:75" ht="15" x14ac:dyDescent="0.25">
      <c r="AX143" s="247" t="str" cm="1">
        <f t="array" aca="1" ref="AX143" ca="1">INDIRECT(TEXT(MIN(IF((Calc!$Z$5:$AI$104&lt;&gt;"")*(COUNTIF($AX$4:AX142,Calc!$Z$5:$AI$104)=0),ROW(Calc!$Z$5:$AI$104)*100+COLUMN(Calc!$Z$5:$AI$104),7^8)),"Calc!R0C00"),)&amp;""</f>
        <v/>
      </c>
      <c r="AY143" t="str" cm="1">
        <f t="array" aca="1" ref="AY143" ca="1">INDIRECT(TEXT(MIN(IF((Calc!$AK$5:$AT$104&lt;&gt;"")*(COUNTIF(AY$4:$AY142,Calc!$AK$5:$AT$104)=0),ROW(Calc!$AK$5:$AT$104)*100+COLUMN(Calc!$AK$5:$AT$104),7^8)),"Calc!R0C00"),)&amp;""</f>
        <v/>
      </c>
      <c r="AZ143" s="247" t="str">
        <f t="shared" ca="1" si="149"/>
        <v/>
      </c>
      <c r="BA143" s="324">
        <f t="shared" si="155"/>
        <v>139</v>
      </c>
      <c r="BB143">
        <f t="shared" ca="1" si="150"/>
        <v>0</v>
      </c>
      <c r="BC143" t="str">
        <f ca="1">IF($AX143="","",
VLOOKUP(LEFT($AX143,LEN($AX143)-2),'Field information 2'!$B$12:$P$111,11,FALSE))</f>
        <v/>
      </c>
      <c r="BD143" t="str">
        <f ca="1">IF($AX143="","",
VLOOKUP(LEFT($AX143,LEN($AX143)-2),'Field information 2'!$B$12:$P$111,13,FALSE))</f>
        <v/>
      </c>
      <c r="BE143" t="str">
        <f ca="1">IF($AX143="","",
VLOOKUP(LEFT($AX143,LEN($AX143)-2),'Field information 2'!$B$12:$P$111,15,FALSE))</f>
        <v/>
      </c>
      <c r="BF143">
        <f t="shared" ca="1" si="151"/>
        <v>0</v>
      </c>
      <c r="BG143" t="str">
        <f t="shared" ca="1" si="152"/>
        <v/>
      </c>
      <c r="BH143" s="7" t="str">
        <f ca="1">IF(OR(AX143="",'Soil results'!$D$7="",'Soil results'!$D$8=""),"",
IF('Soil results'!$D$7="LOI",
  IF('Soil results'!$D$8="mg/kg",'Soil results'!D148/10000,'Soil results'!D148),
IF('Soil results'!$D$7="Dumas",
  IF('Soil results'!$D$8="mg/kg",'Soil results'!D148*1.72/10000,'Soil results'!D148*1.72))))</f>
        <v/>
      </c>
      <c r="BI143" t="str">
        <f ca="1">IF($AX143="","",
VLOOKUP(LEFT($AX143,LEN($AX143)-2),'Field information 2'!$B$12:$I$111,8,FALSE))</f>
        <v/>
      </c>
      <c r="BJ143" t="str">
        <f ca="1">IF(BI143="","",
VLOOKUP(BI143,'Fertiliser recommendations'!$A$5:$B$62,2,FALSE))</f>
        <v/>
      </c>
      <c r="BK143" s="38" t="str">
        <f ca="1">IF($AX143="","",
IF(AND(BJ143="g",VLOOKUP(LEFT($AX143,LEN($AX143)-2),'Field information 2'!$B$12:$P$111,9,FALSE)&lt;&gt;"yes"),
IF(BG143="10-25% OM",6,IF(BG143="&gt;25% OM",12,IF(BG143="SCL; CL; ZCL; SC; ZC; C",6,IF(BG143="SL; SZL; ZL",5,IF(BG143="S; LS",4,"?"))))),
IF(OR(BJ143="a",AND(BJ143="g",VLOOKUP(LEFT($AX143,LEN($AX143)-2),'Field information 2'!$B$12:$P$111,9,FALSE)="yes")),
IF(BG143="10-25% OM",8,IF(BG143="&gt;25% OM",16,IF(BG143="SCL; CL; ZCL; SC; ZC; C",8,IF(BG143="SL; SZL; ZL",7,IF(BG143="S; LS",6,"?"))))),"")))</f>
        <v/>
      </c>
      <c r="BL143" t="str">
        <f ca="1">IF(AX143&lt;&gt;"",COUNTBLANK('Soil results'!D148:D148)+COUNTBLANK('Soil results'!F148:I148)+COUNTBLANK('Soil results'!K148:Q148),"")</f>
        <v/>
      </c>
      <c r="BM143" t="str">
        <f ca="1">IF(AX143&lt;&gt;"",
IF(OR(ISNUMBER(SEARCH("10*01*01",'Field information 2'!$M$5)),ISNUMBER(SEARCH("10*01*03",'Field information 2'!$M$5))),0.25,1),"")</f>
        <v/>
      </c>
      <c r="BN143" s="275" t="str">
        <f ca="1">IF(AX143&lt;&gt;"",
IF(COUNTIF('Soil results'!G149:G$159,"="&amp;'Soil results'!G148)+COUNTIF('Soil results'!H149:H$159,"="&amp;'Soil results'!H148)+COUNTIF('Soil results'!I149:I$159,"="&amp;'Soil results'!I148)=0,"no",
IF(MOD(COUNTIF('Soil results'!G149:G$159,"="&amp;'Soil results'!G148)+COUNTIF('Soil results'!H149:H$159,"="&amp;'Soil results'!H148)+COUNTIF('Soil results'!I149:I$159,"="&amp;'Soil results'!I148),3)=0,"yes","no")),"")</f>
        <v/>
      </c>
      <c r="BO143" s="276" t="str">
        <f t="shared" ca="1" si="153"/>
        <v/>
      </c>
      <c r="BP143" s="33"/>
      <c r="BQ143" s="276"/>
      <c r="BR143" s="276"/>
      <c r="BS143" s="276" t="str">
        <f t="shared" ca="1" si="154"/>
        <v/>
      </c>
      <c r="BT143" s="153" t="str">
        <f ca="1">IF(AX143="","",
IF(OR(Assessment!F145="limited benefit",Assessment!F145="benefit", Assessment!M145="limited benefit",Assessment!M145="benefit", Assessment!R145="limited benefit",Assessment!R145="benefit", Assessment!W145="limited benefit",Assessment!W145="benefit", Assessment!AB145="limited benefit",Assessment!AB145="benefit", AND(ISNUMBER(Assessment!AF145),Assessment!AG145="ok"), Assessment!AJ145="benefit"),"yes","no"))</f>
        <v/>
      </c>
    </row>
    <row r="144" spans="50:75" ht="15" x14ac:dyDescent="0.25">
      <c r="AX144" s="247" t="str" cm="1">
        <f t="array" aca="1" ref="AX144" ca="1">INDIRECT(TEXT(MIN(IF((Calc!$Z$5:$AI$104&lt;&gt;"")*(COUNTIF($AX$4:AX143,Calc!$Z$5:$AI$104)=0),ROW(Calc!$Z$5:$AI$104)*100+COLUMN(Calc!$Z$5:$AI$104),7^8)),"Calc!R0C00"),)&amp;""</f>
        <v/>
      </c>
      <c r="AY144" t="str" cm="1">
        <f t="array" aca="1" ref="AY144" ca="1">INDIRECT(TEXT(MIN(IF((Calc!$AK$5:$AT$104&lt;&gt;"")*(COUNTIF(AY$4:$AY143,Calc!$AK$5:$AT$104)=0),ROW(Calc!$AK$5:$AT$104)*100+COLUMN(Calc!$AK$5:$AT$104),7^8)),"Calc!R0C00"),)&amp;""</f>
        <v/>
      </c>
      <c r="AZ144" s="247" t="str">
        <f t="shared" ca="1" si="149"/>
        <v/>
      </c>
      <c r="BA144" s="324">
        <f t="shared" si="155"/>
        <v>140</v>
      </c>
      <c r="BB144">
        <f t="shared" ca="1" si="150"/>
        <v>0</v>
      </c>
      <c r="BC144" t="str">
        <f ca="1">IF($AX144="","",
VLOOKUP(LEFT($AX144,LEN($AX144)-2),'Field information 2'!$B$12:$P$111,11,FALSE))</f>
        <v/>
      </c>
      <c r="BD144" t="str">
        <f ca="1">IF($AX144="","",
VLOOKUP(LEFT($AX144,LEN($AX144)-2),'Field information 2'!$B$12:$P$111,13,FALSE))</f>
        <v/>
      </c>
      <c r="BE144" t="str">
        <f ca="1">IF($AX144="","",
VLOOKUP(LEFT($AX144,LEN($AX144)-2),'Field information 2'!$B$12:$P$111,15,FALSE))</f>
        <v/>
      </c>
      <c r="BF144">
        <f t="shared" ca="1" si="151"/>
        <v>0</v>
      </c>
      <c r="BG144" t="str">
        <f t="shared" ca="1" si="152"/>
        <v/>
      </c>
      <c r="BH144" s="7" t="str">
        <f ca="1">IF(OR(AX144="",'Soil results'!$D$7="",'Soil results'!$D$8=""),"",
IF('Soil results'!$D$7="LOI",
  IF('Soil results'!$D$8="mg/kg",'Soil results'!D149/10000,'Soil results'!D149),
IF('Soil results'!$D$7="Dumas",
  IF('Soil results'!$D$8="mg/kg",'Soil results'!D149*1.72/10000,'Soil results'!D149*1.72))))</f>
        <v/>
      </c>
      <c r="BI144" t="str">
        <f ca="1">IF($AX144="","",
VLOOKUP(LEFT($AX144,LEN($AX144)-2),'Field information 2'!$B$12:$I$111,8,FALSE))</f>
        <v/>
      </c>
      <c r="BJ144" t="str">
        <f ca="1">IF(BI144="","",
VLOOKUP(BI144,'Fertiliser recommendations'!$A$5:$B$62,2,FALSE))</f>
        <v/>
      </c>
      <c r="BK144" s="38" t="str">
        <f ca="1">IF($AX144="","",
IF(AND(BJ144="g",VLOOKUP(LEFT($AX144,LEN($AX144)-2),'Field information 2'!$B$12:$P$111,9,FALSE)&lt;&gt;"yes"),
IF(BG144="10-25% OM",6,IF(BG144="&gt;25% OM",12,IF(BG144="SCL; CL; ZCL; SC; ZC; C",6,IF(BG144="SL; SZL; ZL",5,IF(BG144="S; LS",4,"?"))))),
IF(OR(BJ144="a",AND(BJ144="g",VLOOKUP(LEFT($AX144,LEN($AX144)-2),'Field information 2'!$B$12:$P$111,9,FALSE)="yes")),
IF(BG144="10-25% OM",8,IF(BG144="&gt;25% OM",16,IF(BG144="SCL; CL; ZCL; SC; ZC; C",8,IF(BG144="SL; SZL; ZL",7,IF(BG144="S; LS",6,"?"))))),"")))</f>
        <v/>
      </c>
      <c r="BL144" t="str">
        <f ca="1">IF(AX144&lt;&gt;"",COUNTBLANK('Soil results'!D149:D149)+COUNTBLANK('Soil results'!F149:I149)+COUNTBLANK('Soil results'!K149:Q149),"")</f>
        <v/>
      </c>
      <c r="BM144" t="str">
        <f ca="1">IF(AX144&lt;&gt;"",
IF(OR(ISNUMBER(SEARCH("10*01*01",'Field information 2'!$M$5)),ISNUMBER(SEARCH("10*01*03",'Field information 2'!$M$5))),0.25,1),"")</f>
        <v/>
      </c>
      <c r="BN144" s="275" t="str">
        <f ca="1">IF(AX144&lt;&gt;"",
IF(COUNTIF('Soil results'!G150:G$159,"="&amp;'Soil results'!G149)+COUNTIF('Soil results'!H150:H$159,"="&amp;'Soil results'!H149)+COUNTIF('Soil results'!I150:I$159,"="&amp;'Soil results'!I149)=0,"no",
IF(MOD(COUNTIF('Soil results'!G150:G$159,"="&amp;'Soil results'!G149)+COUNTIF('Soil results'!H150:H$159,"="&amp;'Soil results'!H149)+COUNTIF('Soil results'!I150:I$159,"="&amp;'Soil results'!I149),3)=0,"yes","no")),"")</f>
        <v/>
      </c>
      <c r="BO144" s="276" t="str">
        <f t="shared" ca="1" si="153"/>
        <v/>
      </c>
      <c r="BP144" s="33"/>
      <c r="BQ144" s="276"/>
      <c r="BR144" s="276"/>
      <c r="BS144" s="276" t="str">
        <f t="shared" ca="1" si="154"/>
        <v/>
      </c>
      <c r="BT144" s="153" t="str">
        <f ca="1">IF(AX144="","",
IF(OR(Assessment!F146="limited benefit",Assessment!F146="benefit", Assessment!M146="limited benefit",Assessment!M146="benefit", Assessment!R146="limited benefit",Assessment!R146="benefit", Assessment!W146="limited benefit",Assessment!W146="benefit", Assessment!AB146="limited benefit",Assessment!AB146="benefit", AND(ISNUMBER(Assessment!AF146),Assessment!AG146="ok"), Assessment!AJ146="benefit"),"yes","no"))</f>
        <v/>
      </c>
    </row>
    <row r="145" spans="49:72" ht="15" x14ac:dyDescent="0.25">
      <c r="AX145" s="247" t="str" cm="1">
        <f t="array" aca="1" ref="AX145" ca="1">INDIRECT(TEXT(MIN(IF((Calc!$Z$5:$AI$104&lt;&gt;"")*(COUNTIF($AX$4:AX144,Calc!$Z$5:$AI$104)=0),ROW(Calc!$Z$5:$AI$104)*100+COLUMN(Calc!$Z$5:$AI$104),7^8)),"Calc!R0C00"),)&amp;""</f>
        <v/>
      </c>
      <c r="AY145" t="str" cm="1">
        <f t="array" aca="1" ref="AY145" ca="1">INDIRECT(TEXT(MIN(IF((Calc!$AK$5:$AT$104&lt;&gt;"")*(COUNTIF(AY$4:$AY144,Calc!$AK$5:$AT$104)=0),ROW(Calc!$AK$5:$AT$104)*100+COLUMN(Calc!$AK$5:$AT$104),7^8)),"Calc!R0C00"),)&amp;""</f>
        <v/>
      </c>
      <c r="AZ145" s="247" t="str">
        <f t="shared" ca="1" si="149"/>
        <v/>
      </c>
      <c r="BA145" s="324">
        <f t="shared" si="155"/>
        <v>141</v>
      </c>
      <c r="BB145">
        <f t="shared" ca="1" si="150"/>
        <v>0</v>
      </c>
      <c r="BC145" t="str">
        <f ca="1">IF($AX145="","",
VLOOKUP(LEFT($AX145,LEN($AX145)-2),'Field information 2'!$B$12:$P$111,11,FALSE))</f>
        <v/>
      </c>
      <c r="BD145" t="str">
        <f ca="1">IF($AX145="","",
VLOOKUP(LEFT($AX145,LEN($AX145)-2),'Field information 2'!$B$12:$P$111,13,FALSE))</f>
        <v/>
      </c>
      <c r="BE145" t="str">
        <f ca="1">IF($AX145="","",
VLOOKUP(LEFT($AX145,LEN($AX145)-2),'Field information 2'!$B$12:$P$111,15,FALSE))</f>
        <v/>
      </c>
      <c r="BF145">
        <f t="shared" ca="1" si="151"/>
        <v>0</v>
      </c>
      <c r="BG145" t="str">
        <f t="shared" ca="1" si="152"/>
        <v/>
      </c>
      <c r="BH145" s="7" t="str">
        <f ca="1">IF(OR(AX145="",'Soil results'!$D$7="",'Soil results'!$D$8=""),"",
IF('Soil results'!$D$7="LOI",
  IF('Soil results'!$D$8="mg/kg",'Soil results'!D150/10000,'Soil results'!D150),
IF('Soil results'!$D$7="Dumas",
  IF('Soil results'!$D$8="mg/kg",'Soil results'!D150*1.72/10000,'Soil results'!D150*1.72))))</f>
        <v/>
      </c>
      <c r="BI145" t="str">
        <f ca="1">IF($AX145="","",
VLOOKUP(LEFT($AX145,LEN($AX145)-2),'Field information 2'!$B$12:$I$111,8,FALSE))</f>
        <v/>
      </c>
      <c r="BJ145" t="str">
        <f ca="1">IF(BI145="","",
VLOOKUP(BI145,'Fertiliser recommendations'!$A$5:$B$62,2,FALSE))</f>
        <v/>
      </c>
      <c r="BK145" s="38" t="str">
        <f ca="1">IF($AX145="","",
IF(AND(BJ145="g",VLOOKUP(LEFT($AX145,LEN($AX145)-2),'Field information 2'!$B$12:$P$111,9,FALSE)&lt;&gt;"yes"),
IF(BG145="10-25% OM",6,IF(BG145="&gt;25% OM",12,IF(BG145="SCL; CL; ZCL; SC; ZC; C",6,IF(BG145="SL; SZL; ZL",5,IF(BG145="S; LS",4,"?"))))),
IF(OR(BJ145="a",AND(BJ145="g",VLOOKUP(LEFT($AX145,LEN($AX145)-2),'Field information 2'!$B$12:$P$111,9,FALSE)="yes")),
IF(BG145="10-25% OM",8,IF(BG145="&gt;25% OM",16,IF(BG145="SCL; CL; ZCL; SC; ZC; C",8,IF(BG145="SL; SZL; ZL",7,IF(BG145="S; LS",6,"?"))))),"")))</f>
        <v/>
      </c>
      <c r="BL145" t="str">
        <f ca="1">IF(AX145&lt;&gt;"",COUNTBLANK('Soil results'!D150:D150)+COUNTBLANK('Soil results'!F150:I150)+COUNTBLANK('Soil results'!K150:Q150),"")</f>
        <v/>
      </c>
      <c r="BM145" t="str">
        <f ca="1">IF(AX145&lt;&gt;"",
IF(OR(ISNUMBER(SEARCH("10*01*01",'Field information 2'!$M$5)),ISNUMBER(SEARCH("10*01*03",'Field information 2'!$M$5))),0.25,1),"")</f>
        <v/>
      </c>
      <c r="BN145" s="275" t="str">
        <f ca="1">IF(AX145&lt;&gt;"",
IF(COUNTIF('Soil results'!G151:G$159,"="&amp;'Soil results'!G150)+COUNTIF('Soil results'!H151:H$159,"="&amp;'Soil results'!H150)+COUNTIF('Soil results'!I151:I$159,"="&amp;'Soil results'!I150)=0,"no",
IF(MOD(COUNTIF('Soil results'!G151:G$159,"="&amp;'Soil results'!G150)+COUNTIF('Soil results'!H151:H$159,"="&amp;'Soil results'!H150)+COUNTIF('Soil results'!I151:I$159,"="&amp;'Soil results'!I150),3)=0,"yes","no")),"")</f>
        <v/>
      </c>
      <c r="BO145" s="276" t="str">
        <f t="shared" ca="1" si="153"/>
        <v/>
      </c>
      <c r="BP145" s="33"/>
      <c r="BQ145" s="276"/>
      <c r="BR145" s="276"/>
      <c r="BS145" s="276" t="str">
        <f t="shared" ca="1" si="154"/>
        <v/>
      </c>
      <c r="BT145" s="153" t="str">
        <f ca="1">IF(AX145="","",
IF(OR(Assessment!F147="limited benefit",Assessment!F147="benefit", Assessment!M147="limited benefit",Assessment!M147="benefit", Assessment!R147="limited benefit",Assessment!R147="benefit", Assessment!W147="limited benefit",Assessment!W147="benefit", Assessment!AB147="limited benefit",Assessment!AB147="benefit", AND(ISNUMBER(Assessment!AF147),Assessment!AG147="ok"), Assessment!AJ147="benefit"),"yes","no"))</f>
        <v/>
      </c>
    </row>
    <row r="146" spans="49:72" ht="15" x14ac:dyDescent="0.25">
      <c r="AX146" s="247" t="str" cm="1">
        <f t="array" aca="1" ref="AX146" ca="1">INDIRECT(TEXT(MIN(IF((Calc!$Z$5:$AI$104&lt;&gt;"")*(COUNTIF($AX$4:AX145,Calc!$Z$5:$AI$104)=0),ROW(Calc!$Z$5:$AI$104)*100+COLUMN(Calc!$Z$5:$AI$104),7^8)),"Calc!R0C00"),)&amp;""</f>
        <v/>
      </c>
      <c r="AY146" t="str" cm="1">
        <f t="array" aca="1" ref="AY146" ca="1">INDIRECT(TEXT(MIN(IF((Calc!$AK$5:$AT$104&lt;&gt;"")*(COUNTIF(AY$4:$AY145,Calc!$AK$5:$AT$104)=0),ROW(Calc!$AK$5:$AT$104)*100+COLUMN(Calc!$AK$5:$AT$104),7^8)),"Calc!R0C00"),)&amp;""</f>
        <v/>
      </c>
      <c r="AZ146" s="247" t="str">
        <f t="shared" ca="1" si="149"/>
        <v/>
      </c>
      <c r="BA146" s="324">
        <f t="shared" si="155"/>
        <v>142</v>
      </c>
      <c r="BB146">
        <f t="shared" ca="1" si="150"/>
        <v>0</v>
      </c>
      <c r="BC146" t="str">
        <f ca="1">IF($AX146="","",
VLOOKUP(LEFT($AX146,LEN($AX146)-2),'Field information 2'!$B$12:$P$111,11,FALSE))</f>
        <v/>
      </c>
      <c r="BD146" t="str">
        <f ca="1">IF($AX146="","",
VLOOKUP(LEFT($AX146,LEN($AX146)-2),'Field information 2'!$B$12:$P$111,13,FALSE))</f>
        <v/>
      </c>
      <c r="BE146" t="str">
        <f ca="1">IF($AX146="","",
VLOOKUP(LEFT($AX146,LEN($AX146)-2),'Field information 2'!$B$12:$P$111,15,FALSE))</f>
        <v/>
      </c>
      <c r="BF146">
        <f t="shared" ca="1" si="151"/>
        <v>0</v>
      </c>
      <c r="BG146" t="str">
        <f t="shared" ca="1" si="152"/>
        <v/>
      </c>
      <c r="BH146" s="7" t="str">
        <f ca="1">IF(OR(AX146="",'Soil results'!$D$7="",'Soil results'!$D$8=""),"",
IF('Soil results'!$D$7="LOI",
  IF('Soil results'!$D$8="mg/kg",'Soil results'!D151/10000,'Soil results'!D151),
IF('Soil results'!$D$7="Dumas",
  IF('Soil results'!$D$8="mg/kg",'Soil results'!D151*1.72/10000,'Soil results'!D151*1.72))))</f>
        <v/>
      </c>
      <c r="BI146" t="str">
        <f ca="1">IF($AX146="","",
VLOOKUP(LEFT($AX146,LEN($AX146)-2),'Field information 2'!$B$12:$I$111,8,FALSE))</f>
        <v/>
      </c>
      <c r="BJ146" t="str">
        <f ca="1">IF(BI146="","",
VLOOKUP(BI146,'Fertiliser recommendations'!$A$5:$B$62,2,FALSE))</f>
        <v/>
      </c>
      <c r="BK146" s="38" t="str">
        <f ca="1">IF($AX146="","",
IF(AND(BJ146="g",VLOOKUP(LEFT($AX146,LEN($AX146)-2),'Field information 2'!$B$12:$P$111,9,FALSE)&lt;&gt;"yes"),
IF(BG146="10-25% OM",6,IF(BG146="&gt;25% OM",12,IF(BG146="SCL; CL; ZCL; SC; ZC; C",6,IF(BG146="SL; SZL; ZL",5,IF(BG146="S; LS",4,"?"))))),
IF(OR(BJ146="a",AND(BJ146="g",VLOOKUP(LEFT($AX146,LEN($AX146)-2),'Field information 2'!$B$12:$P$111,9,FALSE)="yes")),
IF(BG146="10-25% OM",8,IF(BG146="&gt;25% OM",16,IF(BG146="SCL; CL; ZCL; SC; ZC; C",8,IF(BG146="SL; SZL; ZL",7,IF(BG146="S; LS",6,"?"))))),"")))</f>
        <v/>
      </c>
      <c r="BL146" t="str">
        <f ca="1">IF(AX146&lt;&gt;"",COUNTBLANK('Soil results'!D151:D151)+COUNTBLANK('Soil results'!F151:I151)+COUNTBLANK('Soil results'!K151:Q151),"")</f>
        <v/>
      </c>
      <c r="BM146" t="str">
        <f ca="1">IF(AX146&lt;&gt;"",
IF(OR(ISNUMBER(SEARCH("10*01*01",'Field information 2'!$M$5)),ISNUMBER(SEARCH("10*01*03",'Field information 2'!$M$5))),0.25,1),"")</f>
        <v/>
      </c>
      <c r="BN146" s="275" t="str">
        <f ca="1">IF(AX146&lt;&gt;"",
IF(COUNTIF('Soil results'!G152:G$159,"="&amp;'Soil results'!G151)+COUNTIF('Soil results'!H152:H$159,"="&amp;'Soil results'!H151)+COUNTIF('Soil results'!I152:I$159,"="&amp;'Soil results'!I151)=0,"no",
IF(MOD(COUNTIF('Soil results'!G152:G$159,"="&amp;'Soil results'!G151)+COUNTIF('Soil results'!H152:H$159,"="&amp;'Soil results'!H151)+COUNTIF('Soil results'!I152:I$159,"="&amp;'Soil results'!I151),3)=0,"yes","no")),"")</f>
        <v/>
      </c>
      <c r="BO146" s="276" t="str">
        <f t="shared" ca="1" si="153"/>
        <v/>
      </c>
      <c r="BP146" s="33"/>
      <c r="BQ146" s="276"/>
      <c r="BR146" s="276"/>
      <c r="BS146" s="276" t="str">
        <f t="shared" ca="1" si="154"/>
        <v/>
      </c>
      <c r="BT146" s="153" t="str">
        <f ca="1">IF(AX146="","",
IF(OR(Assessment!F148="limited benefit",Assessment!F148="benefit", Assessment!M148="limited benefit",Assessment!M148="benefit", Assessment!R148="limited benefit",Assessment!R148="benefit", Assessment!W148="limited benefit",Assessment!W148="benefit", Assessment!AB148="limited benefit",Assessment!AB148="benefit", AND(ISNUMBER(Assessment!AF148),Assessment!AG148="ok"), Assessment!AJ148="benefit"),"yes","no"))</f>
        <v/>
      </c>
    </row>
    <row r="147" spans="49:72" ht="15" x14ac:dyDescent="0.25">
      <c r="AX147" s="247" t="str" cm="1">
        <f t="array" aca="1" ref="AX147" ca="1">INDIRECT(TEXT(MIN(IF((Calc!$Z$5:$AI$104&lt;&gt;"")*(COUNTIF($AX$4:AX146,Calc!$Z$5:$AI$104)=0),ROW(Calc!$Z$5:$AI$104)*100+COLUMN(Calc!$Z$5:$AI$104),7^8)),"Calc!R0C00"),)&amp;""</f>
        <v/>
      </c>
      <c r="AY147" t="str" cm="1">
        <f t="array" aca="1" ref="AY147" ca="1">INDIRECT(TEXT(MIN(IF((Calc!$AK$5:$AT$104&lt;&gt;"")*(COUNTIF(AY$4:$AY146,Calc!$AK$5:$AT$104)=0),ROW(Calc!$AK$5:$AT$104)*100+COLUMN(Calc!$AK$5:$AT$104),7^8)),"Calc!R0C00"),)&amp;""</f>
        <v/>
      </c>
      <c r="AZ147" s="247" t="str">
        <f t="shared" ca="1" si="149"/>
        <v/>
      </c>
      <c r="BA147" s="324">
        <f t="shared" si="155"/>
        <v>143</v>
      </c>
      <c r="BB147">
        <f t="shared" ca="1" si="150"/>
        <v>0</v>
      </c>
      <c r="BC147" t="str">
        <f ca="1">IF($AX147="","",
VLOOKUP(LEFT($AX147,LEN($AX147)-2),'Field information 2'!$B$12:$P$111,11,FALSE))</f>
        <v/>
      </c>
      <c r="BD147" t="str">
        <f ca="1">IF($AX147="","",
VLOOKUP(LEFT($AX147,LEN($AX147)-2),'Field information 2'!$B$12:$P$111,13,FALSE))</f>
        <v/>
      </c>
      <c r="BE147" t="str">
        <f ca="1">IF($AX147="","",
VLOOKUP(LEFT($AX147,LEN($AX147)-2),'Field information 2'!$B$12:$P$111,15,FALSE))</f>
        <v/>
      </c>
      <c r="BF147">
        <f t="shared" ca="1" si="151"/>
        <v>0</v>
      </c>
      <c r="BG147" t="str">
        <f t="shared" ca="1" si="152"/>
        <v/>
      </c>
      <c r="BH147" s="7" t="str">
        <f ca="1">IF(OR(AX147="",'Soil results'!$D$7="",'Soil results'!$D$8=""),"",
IF('Soil results'!$D$7="LOI",
  IF('Soil results'!$D$8="mg/kg",'Soil results'!D152/10000,'Soil results'!D152),
IF('Soil results'!$D$7="Dumas",
  IF('Soil results'!$D$8="mg/kg",'Soil results'!D152*1.72/10000,'Soil results'!D152*1.72))))</f>
        <v/>
      </c>
      <c r="BI147" t="str">
        <f ca="1">IF($AX147="","",
VLOOKUP(LEFT($AX147,LEN($AX147)-2),'Field information 2'!$B$12:$I$111,8,FALSE))</f>
        <v/>
      </c>
      <c r="BJ147" t="str">
        <f ca="1">IF(BI147="","",
VLOOKUP(BI147,'Fertiliser recommendations'!$A$5:$B$62,2,FALSE))</f>
        <v/>
      </c>
      <c r="BK147" s="38" t="str">
        <f ca="1">IF($AX147="","",
IF(AND(BJ147="g",VLOOKUP(LEFT($AX147,LEN($AX147)-2),'Field information 2'!$B$12:$P$111,9,FALSE)&lt;&gt;"yes"),
IF(BG147="10-25% OM",6,IF(BG147="&gt;25% OM",12,IF(BG147="SCL; CL; ZCL; SC; ZC; C",6,IF(BG147="SL; SZL; ZL",5,IF(BG147="S; LS",4,"?"))))),
IF(OR(BJ147="a",AND(BJ147="g",VLOOKUP(LEFT($AX147,LEN($AX147)-2),'Field information 2'!$B$12:$P$111,9,FALSE)="yes")),
IF(BG147="10-25% OM",8,IF(BG147="&gt;25% OM",16,IF(BG147="SCL; CL; ZCL; SC; ZC; C",8,IF(BG147="SL; SZL; ZL",7,IF(BG147="S; LS",6,"?"))))),"")))</f>
        <v/>
      </c>
      <c r="BL147" t="str">
        <f ca="1">IF(AX147&lt;&gt;"",COUNTBLANK('Soil results'!D152:D152)+COUNTBLANK('Soil results'!F152:I152)+COUNTBLANK('Soil results'!K152:Q152),"")</f>
        <v/>
      </c>
      <c r="BM147" t="str">
        <f ca="1">IF(AX147&lt;&gt;"",
IF(OR(ISNUMBER(SEARCH("10*01*01",'Field information 2'!$M$5)),ISNUMBER(SEARCH("10*01*03",'Field information 2'!$M$5))),0.25,1),"")</f>
        <v/>
      </c>
      <c r="BN147" s="275" t="str">
        <f ca="1">IF(AX147&lt;&gt;"",
IF(COUNTIF('Soil results'!G153:G$159,"="&amp;'Soil results'!G152)+COUNTIF('Soil results'!H153:H$159,"="&amp;'Soil results'!H152)+COUNTIF('Soil results'!I153:I$159,"="&amp;'Soil results'!I152)=0,"no",
IF(MOD(COUNTIF('Soil results'!G153:G$159,"="&amp;'Soil results'!G152)+COUNTIF('Soil results'!H153:H$159,"="&amp;'Soil results'!H152)+COUNTIF('Soil results'!I153:I$159,"="&amp;'Soil results'!I152),3)=0,"yes","no")),"")</f>
        <v/>
      </c>
      <c r="BO147" s="276" t="str">
        <f t="shared" ca="1" si="153"/>
        <v/>
      </c>
      <c r="BP147" s="33"/>
      <c r="BQ147" s="276"/>
      <c r="BR147" s="276"/>
      <c r="BS147" s="276" t="str">
        <f t="shared" ca="1" si="154"/>
        <v/>
      </c>
      <c r="BT147" s="153" t="str">
        <f ca="1">IF(AX147="","",
IF(OR(Assessment!F149="limited benefit",Assessment!F149="benefit", Assessment!M149="limited benefit",Assessment!M149="benefit", Assessment!R149="limited benefit",Assessment!R149="benefit", Assessment!W149="limited benefit",Assessment!W149="benefit", Assessment!AB149="limited benefit",Assessment!AB149="benefit", AND(ISNUMBER(Assessment!AF149),Assessment!AG149="ok"), Assessment!AJ149="benefit"),"yes","no"))</f>
        <v/>
      </c>
    </row>
    <row r="148" spans="49:72" ht="15" x14ac:dyDescent="0.25">
      <c r="AX148" s="247" t="str" cm="1">
        <f t="array" aca="1" ref="AX148" ca="1">INDIRECT(TEXT(MIN(IF((Calc!$Z$5:$AI$104&lt;&gt;"")*(COUNTIF($AX$4:AX147,Calc!$Z$5:$AI$104)=0),ROW(Calc!$Z$5:$AI$104)*100+COLUMN(Calc!$Z$5:$AI$104),7^8)),"Calc!R0C00"),)&amp;""</f>
        <v/>
      </c>
      <c r="AY148" t="str" cm="1">
        <f t="array" aca="1" ref="AY148" ca="1">INDIRECT(TEXT(MIN(IF((Calc!$AK$5:$AT$104&lt;&gt;"")*(COUNTIF(AY$4:$AY147,Calc!$AK$5:$AT$104)=0),ROW(Calc!$AK$5:$AT$104)*100+COLUMN(Calc!$AK$5:$AT$104),7^8)),"Calc!R0C00"),)&amp;""</f>
        <v/>
      </c>
      <c r="AZ148" s="247" t="str">
        <f t="shared" ca="1" si="149"/>
        <v/>
      </c>
      <c r="BA148" s="324">
        <f t="shared" si="155"/>
        <v>144</v>
      </c>
      <c r="BB148">
        <f t="shared" ca="1" si="150"/>
        <v>0</v>
      </c>
      <c r="BC148" t="str">
        <f ca="1">IF($AX148="","",
VLOOKUP(LEFT($AX148,LEN($AX148)-2),'Field information 2'!$B$12:$P$111,11,FALSE))</f>
        <v/>
      </c>
      <c r="BD148" t="str">
        <f ca="1">IF($AX148="","",
VLOOKUP(LEFT($AX148,LEN($AX148)-2),'Field information 2'!$B$12:$P$111,13,FALSE))</f>
        <v/>
      </c>
      <c r="BE148" t="str">
        <f ca="1">IF($AX148="","",
VLOOKUP(LEFT($AX148,LEN($AX148)-2),'Field information 2'!$B$12:$P$111,15,FALSE))</f>
        <v/>
      </c>
      <c r="BF148">
        <f t="shared" ca="1" si="151"/>
        <v>0</v>
      </c>
      <c r="BG148" t="str">
        <f t="shared" ca="1" si="152"/>
        <v/>
      </c>
      <c r="BH148" s="7" t="str">
        <f ca="1">IF(OR(AX148="",'Soil results'!$D$7="",'Soil results'!$D$8=""),"",
IF('Soil results'!$D$7="LOI",
  IF('Soil results'!$D$8="mg/kg",'Soil results'!D153/10000,'Soil results'!D153),
IF('Soil results'!$D$7="Dumas",
  IF('Soil results'!$D$8="mg/kg",'Soil results'!D153*1.72/10000,'Soil results'!D153*1.72))))</f>
        <v/>
      </c>
      <c r="BI148" t="str">
        <f ca="1">IF($AX148="","",
VLOOKUP(LEFT($AX148,LEN($AX148)-2),'Field information 2'!$B$12:$I$111,8,FALSE))</f>
        <v/>
      </c>
      <c r="BJ148" t="str">
        <f ca="1">IF(BI148="","",
VLOOKUP(BI148,'Fertiliser recommendations'!$A$5:$B$62,2,FALSE))</f>
        <v/>
      </c>
      <c r="BK148" s="38" t="str">
        <f ca="1">IF($AX148="","",
IF(AND(BJ148="g",VLOOKUP(LEFT($AX148,LEN($AX148)-2),'Field information 2'!$B$12:$P$111,9,FALSE)&lt;&gt;"yes"),
IF(BG148="10-25% OM",6,IF(BG148="&gt;25% OM",12,IF(BG148="SCL; CL; ZCL; SC; ZC; C",6,IF(BG148="SL; SZL; ZL",5,IF(BG148="S; LS",4,"?"))))),
IF(OR(BJ148="a",AND(BJ148="g",VLOOKUP(LEFT($AX148,LEN($AX148)-2),'Field information 2'!$B$12:$P$111,9,FALSE)="yes")),
IF(BG148="10-25% OM",8,IF(BG148="&gt;25% OM",16,IF(BG148="SCL; CL; ZCL; SC; ZC; C",8,IF(BG148="SL; SZL; ZL",7,IF(BG148="S; LS",6,"?"))))),"")))</f>
        <v/>
      </c>
      <c r="BL148" t="str">
        <f ca="1">IF(AX148&lt;&gt;"",COUNTBLANK('Soil results'!D153:D153)+COUNTBLANK('Soil results'!F153:I153)+COUNTBLANK('Soil results'!K153:Q153),"")</f>
        <v/>
      </c>
      <c r="BM148" t="str">
        <f ca="1">IF(AX148&lt;&gt;"",
IF(OR(ISNUMBER(SEARCH("10*01*01",'Field information 2'!$M$5)),ISNUMBER(SEARCH("10*01*03",'Field information 2'!$M$5))),0.25,1),"")</f>
        <v/>
      </c>
      <c r="BN148" s="275" t="str">
        <f ca="1">IF(AX148&lt;&gt;"",
IF(COUNTIF('Soil results'!G154:G$159,"="&amp;'Soil results'!G153)+COUNTIF('Soil results'!H154:H$159,"="&amp;'Soil results'!H153)+COUNTIF('Soil results'!I154:I$159,"="&amp;'Soil results'!I153)=0,"no",
IF(MOD(COUNTIF('Soil results'!G154:G$159,"="&amp;'Soil results'!G153)+COUNTIF('Soil results'!H154:H$159,"="&amp;'Soil results'!H153)+COUNTIF('Soil results'!I154:I$159,"="&amp;'Soil results'!I153),3)=0,"yes","no")),"")</f>
        <v/>
      </c>
      <c r="BO148" s="276" t="str">
        <f t="shared" ca="1" si="153"/>
        <v/>
      </c>
      <c r="BP148" s="33"/>
      <c r="BQ148" s="276"/>
      <c r="BR148" s="276"/>
      <c r="BS148" s="276" t="str">
        <f t="shared" ca="1" si="154"/>
        <v/>
      </c>
      <c r="BT148" s="153" t="str">
        <f ca="1">IF(AX148="","",
IF(OR(Assessment!F150="limited benefit",Assessment!F150="benefit", Assessment!M150="limited benefit",Assessment!M150="benefit", Assessment!R150="limited benefit",Assessment!R150="benefit", Assessment!W150="limited benefit",Assessment!W150="benefit", Assessment!AB150="limited benefit",Assessment!AB150="benefit", AND(ISNUMBER(Assessment!AF150),Assessment!AG150="ok"), Assessment!AJ150="benefit"),"yes","no"))</f>
        <v/>
      </c>
    </row>
    <row r="149" spans="49:72" ht="15" x14ac:dyDescent="0.25">
      <c r="AX149" s="247" t="str" cm="1">
        <f t="array" aca="1" ref="AX149" ca="1">INDIRECT(TEXT(MIN(IF((Calc!$Z$5:$AI$104&lt;&gt;"")*(COUNTIF($AX$4:AX148,Calc!$Z$5:$AI$104)=0),ROW(Calc!$Z$5:$AI$104)*100+COLUMN(Calc!$Z$5:$AI$104),7^8)),"Calc!R0C00"),)&amp;""</f>
        <v/>
      </c>
      <c r="AY149" t="str" cm="1">
        <f t="array" aca="1" ref="AY149" ca="1">INDIRECT(TEXT(MIN(IF((Calc!$AK$5:$AT$104&lt;&gt;"")*(COUNTIF(AY$4:$AY148,Calc!$AK$5:$AT$104)=0),ROW(Calc!$AK$5:$AT$104)*100+COLUMN(Calc!$AK$5:$AT$104),7^8)),"Calc!R0C00"),)&amp;""</f>
        <v/>
      </c>
      <c r="AZ149" s="247" t="str">
        <f t="shared" ca="1" si="149"/>
        <v/>
      </c>
      <c r="BA149" s="324">
        <f t="shared" si="155"/>
        <v>145</v>
      </c>
      <c r="BB149">
        <f t="shared" ca="1" si="150"/>
        <v>0</v>
      </c>
      <c r="BC149" t="str">
        <f ca="1">IF($AX149="","",
VLOOKUP(LEFT($AX149,LEN($AX149)-2),'Field information 2'!$B$12:$P$111,11,FALSE))</f>
        <v/>
      </c>
      <c r="BD149" t="str">
        <f ca="1">IF($AX149="","",
VLOOKUP(LEFT($AX149,LEN($AX149)-2),'Field information 2'!$B$12:$P$111,13,FALSE))</f>
        <v/>
      </c>
      <c r="BE149" t="str">
        <f ca="1">IF($AX149="","",
VLOOKUP(LEFT($AX149,LEN($AX149)-2),'Field information 2'!$B$12:$P$111,15,FALSE))</f>
        <v/>
      </c>
      <c r="BF149">
        <f t="shared" ca="1" si="151"/>
        <v>0</v>
      </c>
      <c r="BG149" t="str">
        <f t="shared" ca="1" si="152"/>
        <v/>
      </c>
      <c r="BH149" s="7" t="str">
        <f ca="1">IF(OR(AX149="",'Soil results'!$D$7="",'Soil results'!$D$8=""),"",
IF('Soil results'!$D$7="LOI",
  IF('Soil results'!$D$8="mg/kg",'Soil results'!D154/10000,'Soil results'!D154),
IF('Soil results'!$D$7="Dumas",
  IF('Soil results'!$D$8="mg/kg",'Soil results'!D154*1.72/10000,'Soil results'!D154*1.72))))</f>
        <v/>
      </c>
      <c r="BI149" t="str">
        <f ca="1">IF($AX149="","",
VLOOKUP(LEFT($AX149,LEN($AX149)-2),'Field information 2'!$B$12:$I$111,8,FALSE))</f>
        <v/>
      </c>
      <c r="BJ149" t="str">
        <f ca="1">IF(BI149="","",
VLOOKUP(BI149,'Fertiliser recommendations'!$A$5:$B$62,2,FALSE))</f>
        <v/>
      </c>
      <c r="BK149" s="38" t="str">
        <f ca="1">IF($AX149="","",
IF(AND(BJ149="g",VLOOKUP(LEFT($AX149,LEN($AX149)-2),'Field information 2'!$B$12:$P$111,9,FALSE)&lt;&gt;"yes"),
IF(BG149="10-25% OM",6,IF(BG149="&gt;25% OM",12,IF(BG149="SCL; CL; ZCL; SC; ZC; C",6,IF(BG149="SL; SZL; ZL",5,IF(BG149="S; LS",4,"?"))))),
IF(OR(BJ149="a",AND(BJ149="g",VLOOKUP(LEFT($AX149,LEN($AX149)-2),'Field information 2'!$B$12:$P$111,9,FALSE)="yes")),
IF(BG149="10-25% OM",8,IF(BG149="&gt;25% OM",16,IF(BG149="SCL; CL; ZCL; SC; ZC; C",8,IF(BG149="SL; SZL; ZL",7,IF(BG149="S; LS",6,"?"))))),"")))</f>
        <v/>
      </c>
      <c r="BL149" t="str">
        <f ca="1">IF(AX149&lt;&gt;"",COUNTBLANK('Soil results'!D154:D154)+COUNTBLANK('Soil results'!F154:I154)+COUNTBLANK('Soil results'!K154:Q154),"")</f>
        <v/>
      </c>
      <c r="BM149" t="str">
        <f ca="1">IF(AX149&lt;&gt;"",
IF(OR(ISNUMBER(SEARCH("10*01*01",'Field information 2'!$M$5)),ISNUMBER(SEARCH("10*01*03",'Field information 2'!$M$5))),0.25,1),"")</f>
        <v/>
      </c>
      <c r="BN149" s="275" t="str">
        <f ca="1">IF(AX149&lt;&gt;"",
IF(COUNTIF('Soil results'!G155:G$159,"="&amp;'Soil results'!G154)+COUNTIF('Soil results'!H155:H$159,"="&amp;'Soil results'!H154)+COUNTIF('Soil results'!I155:I$159,"="&amp;'Soil results'!I154)=0,"no",
IF(MOD(COUNTIF('Soil results'!G155:G$159,"="&amp;'Soil results'!G154)+COUNTIF('Soil results'!H155:H$159,"="&amp;'Soil results'!H154)+COUNTIF('Soil results'!I155:I$159,"="&amp;'Soil results'!I154),3)=0,"yes","no")),"")</f>
        <v/>
      </c>
      <c r="BO149" s="276" t="str">
        <f t="shared" ca="1" si="153"/>
        <v/>
      </c>
      <c r="BP149" s="33"/>
      <c r="BQ149" s="276"/>
      <c r="BR149" s="276"/>
      <c r="BS149" s="276" t="str">
        <f t="shared" ca="1" si="154"/>
        <v/>
      </c>
      <c r="BT149" s="153" t="str">
        <f ca="1">IF(AX149="","",
IF(OR(Assessment!F151="limited benefit",Assessment!F151="benefit", Assessment!M151="limited benefit",Assessment!M151="benefit", Assessment!R151="limited benefit",Assessment!R151="benefit", Assessment!W151="limited benefit",Assessment!W151="benefit", Assessment!AB151="limited benefit",Assessment!AB151="benefit", AND(ISNUMBER(Assessment!AF151),Assessment!AG151="ok"), Assessment!AJ151="benefit"),"yes","no"))</f>
        <v/>
      </c>
    </row>
    <row r="150" spans="49:72" ht="15" x14ac:dyDescent="0.25">
      <c r="AX150" s="247" t="str" cm="1">
        <f t="array" aca="1" ref="AX150" ca="1">INDIRECT(TEXT(MIN(IF((Calc!$Z$5:$AI$104&lt;&gt;"")*(COUNTIF($AX$4:AX149,Calc!$Z$5:$AI$104)=0),ROW(Calc!$Z$5:$AI$104)*100+COLUMN(Calc!$Z$5:$AI$104),7^8)),"Calc!R0C00"),)&amp;""</f>
        <v/>
      </c>
      <c r="AY150" t="str" cm="1">
        <f t="array" aca="1" ref="AY150" ca="1">INDIRECT(TEXT(MIN(IF((Calc!$AK$5:$AT$104&lt;&gt;"")*(COUNTIF(AY$4:$AY149,Calc!$AK$5:$AT$104)=0),ROW(Calc!$AK$5:$AT$104)*100+COLUMN(Calc!$AK$5:$AT$104),7^8)),"Calc!R0C00"),)&amp;""</f>
        <v/>
      </c>
      <c r="AZ150" s="247" t="str">
        <f t="shared" ca="1" si="149"/>
        <v/>
      </c>
      <c r="BA150" s="324">
        <f t="shared" si="155"/>
        <v>146</v>
      </c>
      <c r="BB150">
        <f t="shared" ca="1" si="150"/>
        <v>0</v>
      </c>
      <c r="BC150" t="str">
        <f ca="1">IF($AX150="","",
VLOOKUP(LEFT($AX150,LEN($AX150)-2),'Field information 2'!$B$12:$P$111,11,FALSE))</f>
        <v/>
      </c>
      <c r="BD150" t="str">
        <f ca="1">IF($AX150="","",
VLOOKUP(LEFT($AX150,LEN($AX150)-2),'Field information 2'!$B$12:$P$111,13,FALSE))</f>
        <v/>
      </c>
      <c r="BE150" t="str">
        <f ca="1">IF($AX150="","",
VLOOKUP(LEFT($AX150,LEN($AX150)-2),'Field information 2'!$B$12:$P$111,15,FALSE))</f>
        <v/>
      </c>
      <c r="BF150">
        <f t="shared" ca="1" si="151"/>
        <v>0</v>
      </c>
      <c r="BG150" t="str">
        <f t="shared" ca="1" si="152"/>
        <v/>
      </c>
      <c r="BH150" s="7" t="str">
        <f ca="1">IF(OR(AX150="",'Soil results'!$D$7="",'Soil results'!$D$8=""),"",
IF('Soil results'!$D$7="LOI",
  IF('Soil results'!$D$8="mg/kg",'Soil results'!D155/10000,'Soil results'!D155),
IF('Soil results'!$D$7="Dumas",
  IF('Soil results'!$D$8="mg/kg",'Soil results'!D155*1.72/10000,'Soil results'!D155*1.72))))</f>
        <v/>
      </c>
      <c r="BI150" t="str">
        <f ca="1">IF($AX150="","",
VLOOKUP(LEFT($AX150,LEN($AX150)-2),'Field information 2'!$B$12:$I$111,8,FALSE))</f>
        <v/>
      </c>
      <c r="BJ150" t="str">
        <f ca="1">IF(BI150="","",
VLOOKUP(BI150,'Fertiliser recommendations'!$A$5:$B$62,2,FALSE))</f>
        <v/>
      </c>
      <c r="BK150" s="38" t="str">
        <f ca="1">IF($AX150="","",
IF(AND(BJ150="g",VLOOKUP(LEFT($AX150,LEN($AX150)-2),'Field information 2'!$B$12:$P$111,9,FALSE)&lt;&gt;"yes"),
IF(BG150="10-25% OM",6,IF(BG150="&gt;25% OM",12,IF(BG150="SCL; CL; ZCL; SC; ZC; C",6,IF(BG150="SL; SZL; ZL",5,IF(BG150="S; LS",4,"?"))))),
IF(OR(BJ150="a",AND(BJ150="g",VLOOKUP(LEFT($AX150,LEN($AX150)-2),'Field information 2'!$B$12:$P$111,9,FALSE)="yes")),
IF(BG150="10-25% OM",8,IF(BG150="&gt;25% OM",16,IF(BG150="SCL; CL; ZCL; SC; ZC; C",8,IF(BG150="SL; SZL; ZL",7,IF(BG150="S; LS",6,"?"))))),"")))</f>
        <v/>
      </c>
      <c r="BL150" t="str">
        <f ca="1">IF(AX150&lt;&gt;"",COUNTBLANK('Soil results'!D155:D155)+COUNTBLANK('Soil results'!F155:I155)+COUNTBLANK('Soil results'!K155:Q155),"")</f>
        <v/>
      </c>
      <c r="BM150" t="str">
        <f ca="1">IF(AX150&lt;&gt;"",
IF(OR(ISNUMBER(SEARCH("10*01*01",'Field information 2'!$M$5)),ISNUMBER(SEARCH("10*01*03",'Field information 2'!$M$5))),0.25,1),"")</f>
        <v/>
      </c>
      <c r="BN150" s="275" t="str">
        <f ca="1">IF(AX150&lt;&gt;"",
IF(COUNTIF('Soil results'!G156:G$159,"="&amp;'Soil results'!G155)+COUNTIF('Soil results'!H156:H$159,"="&amp;'Soil results'!H155)+COUNTIF('Soil results'!I156:I$159,"="&amp;'Soil results'!I155)=0,"no",
IF(MOD(COUNTIF('Soil results'!G156:G$159,"="&amp;'Soil results'!G155)+COUNTIF('Soil results'!H156:H$159,"="&amp;'Soil results'!H155)+COUNTIF('Soil results'!I156:I$159,"="&amp;'Soil results'!I155),3)=0,"yes","no")),"")</f>
        <v/>
      </c>
      <c r="BO150" s="276" t="str">
        <f t="shared" ca="1" si="153"/>
        <v/>
      </c>
      <c r="BP150" s="33"/>
      <c r="BQ150" s="276"/>
      <c r="BR150" s="276"/>
      <c r="BS150" s="276" t="str">
        <f t="shared" ca="1" si="154"/>
        <v/>
      </c>
      <c r="BT150" s="153" t="str">
        <f ca="1">IF(AX150="","",
IF(OR(Assessment!F152="limited benefit",Assessment!F152="benefit", Assessment!M152="limited benefit",Assessment!M152="benefit", Assessment!R152="limited benefit",Assessment!R152="benefit", Assessment!W152="limited benefit",Assessment!W152="benefit", Assessment!AB152="limited benefit",Assessment!AB152="benefit", AND(ISNUMBER(Assessment!AF152),Assessment!AG152="ok"), Assessment!AJ152="benefit"),"yes","no"))</f>
        <v/>
      </c>
    </row>
    <row r="151" spans="49:72" ht="15" x14ac:dyDescent="0.25">
      <c r="AX151" s="247" t="str" cm="1">
        <f t="array" aca="1" ref="AX151" ca="1">INDIRECT(TEXT(MIN(IF((Calc!$Z$5:$AI$104&lt;&gt;"")*(COUNTIF($AX$4:AX150,Calc!$Z$5:$AI$104)=0),ROW(Calc!$Z$5:$AI$104)*100+COLUMN(Calc!$Z$5:$AI$104),7^8)),"Calc!R0C00"),)&amp;""</f>
        <v/>
      </c>
      <c r="AY151" t="str" cm="1">
        <f t="array" aca="1" ref="AY151" ca="1">INDIRECT(TEXT(MIN(IF((Calc!$AK$5:$AT$104&lt;&gt;"")*(COUNTIF(AY$4:$AY150,Calc!$AK$5:$AT$104)=0),ROW(Calc!$AK$5:$AT$104)*100+COLUMN(Calc!$AK$5:$AT$104),7^8)),"Calc!R0C00"),)&amp;""</f>
        <v/>
      </c>
      <c r="AZ151" s="247" t="str">
        <f t="shared" ca="1" si="149"/>
        <v/>
      </c>
      <c r="BA151" s="324">
        <f t="shared" si="155"/>
        <v>147</v>
      </c>
      <c r="BB151">
        <f t="shared" ca="1" si="150"/>
        <v>0</v>
      </c>
      <c r="BC151" t="str">
        <f ca="1">IF($AX151="","",
VLOOKUP(LEFT($AX151,LEN($AX151)-2),'Field information 2'!$B$12:$P$111,11,FALSE))</f>
        <v/>
      </c>
      <c r="BD151" t="str">
        <f ca="1">IF($AX151="","",
VLOOKUP(LEFT($AX151,LEN($AX151)-2),'Field information 2'!$B$12:$P$111,13,FALSE))</f>
        <v/>
      </c>
      <c r="BE151" t="str">
        <f ca="1">IF($AX151="","",
VLOOKUP(LEFT($AX151,LEN($AX151)-2),'Field information 2'!$B$12:$P$111,15,FALSE))</f>
        <v/>
      </c>
      <c r="BF151">
        <f t="shared" ca="1" si="151"/>
        <v>0</v>
      </c>
      <c r="BG151" t="str">
        <f t="shared" ca="1" si="152"/>
        <v/>
      </c>
      <c r="BH151" s="7" t="str">
        <f ca="1">IF(OR(AX151="",'Soil results'!$D$7="",'Soil results'!$D$8=""),"",
IF('Soil results'!$D$7="LOI",
  IF('Soil results'!$D$8="mg/kg",'Soil results'!D156/10000,'Soil results'!D156),
IF('Soil results'!$D$7="Dumas",
  IF('Soil results'!$D$8="mg/kg",'Soil results'!D156*1.72/10000,'Soil results'!D156*1.72))))</f>
        <v/>
      </c>
      <c r="BI151" t="str">
        <f ca="1">IF($AX151="","",
VLOOKUP(LEFT($AX151,LEN($AX151)-2),'Field information 2'!$B$12:$I$111,8,FALSE))</f>
        <v/>
      </c>
      <c r="BJ151" t="str">
        <f ca="1">IF(BI151="","",
VLOOKUP(BI151,'Fertiliser recommendations'!$A$5:$B$62,2,FALSE))</f>
        <v/>
      </c>
      <c r="BK151" s="38" t="str">
        <f ca="1">IF($AX151="","",
IF(AND(BJ151="g",VLOOKUP(LEFT($AX151,LEN($AX151)-2),'Field information 2'!$B$12:$P$111,9,FALSE)&lt;&gt;"yes"),
IF(BG151="10-25% OM",6,IF(BG151="&gt;25% OM",12,IF(BG151="SCL; CL; ZCL; SC; ZC; C",6,IF(BG151="SL; SZL; ZL",5,IF(BG151="S; LS",4,"?"))))),
IF(OR(BJ151="a",AND(BJ151="g",VLOOKUP(LEFT($AX151,LEN($AX151)-2),'Field information 2'!$B$12:$P$111,9,FALSE)="yes")),
IF(BG151="10-25% OM",8,IF(BG151="&gt;25% OM",16,IF(BG151="SCL; CL; ZCL; SC; ZC; C",8,IF(BG151="SL; SZL; ZL",7,IF(BG151="S; LS",6,"?"))))),"")))</f>
        <v/>
      </c>
      <c r="BL151" t="str">
        <f ca="1">IF(AX151&lt;&gt;"",COUNTBLANK('Soil results'!D156:D156)+COUNTBLANK('Soil results'!F156:I156)+COUNTBLANK('Soil results'!K156:Q156),"")</f>
        <v/>
      </c>
      <c r="BM151" t="str">
        <f ca="1">IF(AX151&lt;&gt;"",
IF(OR(ISNUMBER(SEARCH("10*01*01",'Field information 2'!$M$5)),ISNUMBER(SEARCH("10*01*03",'Field information 2'!$M$5))),0.25,1),"")</f>
        <v/>
      </c>
      <c r="BN151" s="275" t="str">
        <f ca="1">IF(AX151&lt;&gt;"",
IF(COUNTIF('Soil results'!G157:G$159,"="&amp;'Soil results'!G156)+COUNTIF('Soil results'!H157:H$159,"="&amp;'Soil results'!H156)+COUNTIF('Soil results'!I157:I$159,"="&amp;'Soil results'!I156)=0,"no",
IF(MOD(COUNTIF('Soil results'!G157:G$159,"="&amp;'Soil results'!G156)+COUNTIF('Soil results'!H157:H$159,"="&amp;'Soil results'!H156)+COUNTIF('Soil results'!I157:I$159,"="&amp;'Soil results'!I156),3)=0,"yes","no")),"")</f>
        <v/>
      </c>
      <c r="BO151" s="276" t="str">
        <f t="shared" ca="1" si="153"/>
        <v/>
      </c>
      <c r="BP151" s="33"/>
      <c r="BQ151" s="276"/>
      <c r="BR151" s="276"/>
      <c r="BS151" s="276" t="str">
        <f t="shared" ca="1" si="154"/>
        <v/>
      </c>
      <c r="BT151" s="153" t="str">
        <f ca="1">IF(AX151="","",
IF(OR(Assessment!F153="limited benefit",Assessment!F153="benefit", Assessment!M153="limited benefit",Assessment!M153="benefit", Assessment!R153="limited benefit",Assessment!R153="benefit", Assessment!W153="limited benefit",Assessment!W153="benefit", Assessment!AB153="limited benefit",Assessment!AB153="benefit", AND(ISNUMBER(Assessment!AF153),Assessment!AG153="ok"), Assessment!AJ153="benefit"),"yes","no"))</f>
        <v/>
      </c>
    </row>
    <row r="152" spans="49:72" ht="15" x14ac:dyDescent="0.25">
      <c r="AX152" s="247" t="str" cm="1">
        <f t="array" aca="1" ref="AX152" ca="1">INDIRECT(TEXT(MIN(IF((Calc!$Z$5:$AI$104&lt;&gt;"")*(COUNTIF($AX$4:AX151,Calc!$Z$5:$AI$104)=0),ROW(Calc!$Z$5:$AI$104)*100+COLUMN(Calc!$Z$5:$AI$104),7^8)),"Calc!R0C00"),)&amp;""</f>
        <v/>
      </c>
      <c r="AY152" t="str" cm="1">
        <f t="array" aca="1" ref="AY152" ca="1">INDIRECT(TEXT(MIN(IF((Calc!$AK$5:$AT$104&lt;&gt;"")*(COUNTIF(AY$4:$AY151,Calc!$AK$5:$AT$104)=0),ROW(Calc!$AK$5:$AT$104)*100+COLUMN(Calc!$AK$5:$AT$104),7^8)),"Calc!R0C00"),)&amp;""</f>
        <v/>
      </c>
      <c r="AZ152" s="247" t="str">
        <f t="shared" ca="1" si="149"/>
        <v/>
      </c>
      <c r="BA152" s="324">
        <f t="shared" si="155"/>
        <v>148</v>
      </c>
      <c r="BB152">
        <f t="shared" ca="1" si="150"/>
        <v>0</v>
      </c>
      <c r="BC152" t="str">
        <f ca="1">IF($AX152="","",
VLOOKUP(LEFT($AX152,LEN($AX152)-2),'Field information 2'!$B$12:$P$111,11,FALSE))</f>
        <v/>
      </c>
      <c r="BD152" t="str">
        <f ca="1">IF($AX152="","",
VLOOKUP(LEFT($AX152,LEN($AX152)-2),'Field information 2'!$B$12:$P$111,13,FALSE))</f>
        <v/>
      </c>
      <c r="BE152" t="str">
        <f ca="1">IF($AX152="","",
VLOOKUP(LEFT($AX152,LEN($AX152)-2),'Field information 2'!$B$12:$P$111,15,FALSE))</f>
        <v/>
      </c>
      <c r="BF152">
        <f t="shared" ca="1" si="151"/>
        <v>0</v>
      </c>
      <c r="BG152" t="str">
        <f t="shared" ca="1" si="152"/>
        <v/>
      </c>
      <c r="BH152" s="7" t="str">
        <f ca="1">IF(OR(AX152="",'Soil results'!$D$7="",'Soil results'!$D$8=""),"",
IF('Soil results'!$D$7="LOI",
  IF('Soil results'!$D$8="mg/kg",'Soil results'!D157/10000,'Soil results'!D157),
IF('Soil results'!$D$7="Dumas",
  IF('Soil results'!$D$8="mg/kg",'Soil results'!D157*1.72/10000,'Soil results'!D157*1.72))))</f>
        <v/>
      </c>
      <c r="BI152" t="str">
        <f ca="1">IF($AX152="","",
VLOOKUP(LEFT($AX152,LEN($AX152)-2),'Field information 2'!$B$12:$I$111,8,FALSE))</f>
        <v/>
      </c>
      <c r="BJ152" t="str">
        <f ca="1">IF(BI152="","",
VLOOKUP(BI152,'Fertiliser recommendations'!$A$5:$B$62,2,FALSE))</f>
        <v/>
      </c>
      <c r="BK152" s="38" t="str">
        <f ca="1">IF($AX152="","",
IF(AND(BJ152="g",VLOOKUP(LEFT($AX152,LEN($AX152)-2),'Field information 2'!$B$12:$P$111,9,FALSE)&lt;&gt;"yes"),
IF(BG152="10-25% OM",6,IF(BG152="&gt;25% OM",12,IF(BG152="SCL; CL; ZCL; SC; ZC; C",6,IF(BG152="SL; SZL; ZL",5,IF(BG152="S; LS",4,"?"))))),
IF(OR(BJ152="a",AND(BJ152="g",VLOOKUP(LEFT($AX152,LEN($AX152)-2),'Field information 2'!$B$12:$P$111,9,FALSE)="yes")),
IF(BG152="10-25% OM",8,IF(BG152="&gt;25% OM",16,IF(BG152="SCL; CL; ZCL; SC; ZC; C",8,IF(BG152="SL; SZL; ZL",7,IF(BG152="S; LS",6,"?"))))),"")))</f>
        <v/>
      </c>
      <c r="BL152" t="str">
        <f ca="1">IF(AX152&lt;&gt;"",COUNTBLANK('Soil results'!D157:D157)+COUNTBLANK('Soil results'!F157:I157)+COUNTBLANK('Soil results'!K157:Q157),"")</f>
        <v/>
      </c>
      <c r="BM152" t="str">
        <f ca="1">IF(AX152&lt;&gt;"",
IF(OR(ISNUMBER(SEARCH("10*01*01",'Field information 2'!$M$5)),ISNUMBER(SEARCH("10*01*03",'Field information 2'!$M$5))),0.25,1),"")</f>
        <v/>
      </c>
      <c r="BN152" s="275" t="str">
        <f ca="1">IF(AX152&lt;&gt;"",
IF(COUNTIF('Soil results'!G158:G$159,"="&amp;'Soil results'!G157)+COUNTIF('Soil results'!H158:H$159,"="&amp;'Soil results'!H157)+COUNTIF('Soil results'!I158:I$159,"="&amp;'Soil results'!I157)=0,"no",
IF(MOD(COUNTIF('Soil results'!G158:G$159,"="&amp;'Soil results'!G157)+COUNTIF('Soil results'!H158:H$159,"="&amp;'Soil results'!H157)+COUNTIF('Soil results'!I158:I$159,"="&amp;'Soil results'!I157),3)=0,"yes","no")),"")</f>
        <v/>
      </c>
      <c r="BO152" s="276" t="str">
        <f t="shared" ca="1" si="153"/>
        <v/>
      </c>
      <c r="BP152" s="33"/>
      <c r="BQ152" s="276"/>
      <c r="BR152" s="276"/>
      <c r="BS152" s="276" t="str">
        <f t="shared" ca="1" si="154"/>
        <v/>
      </c>
      <c r="BT152" s="153" t="str">
        <f ca="1">IF(AX152="","",
IF(OR(Assessment!F154="limited benefit",Assessment!F154="benefit", Assessment!M154="limited benefit",Assessment!M154="benefit", Assessment!R154="limited benefit",Assessment!R154="benefit", Assessment!W154="limited benefit",Assessment!W154="benefit", Assessment!AB154="limited benefit",Assessment!AB154="benefit", AND(ISNUMBER(Assessment!AF154),Assessment!AG154="ok"), Assessment!AJ154="benefit"),"yes","no"))</f>
        <v/>
      </c>
    </row>
    <row r="153" spans="49:72" ht="15" x14ac:dyDescent="0.25">
      <c r="AX153" s="247" t="str" cm="1">
        <f t="array" aca="1" ref="AX153" ca="1">INDIRECT(TEXT(MIN(IF((Calc!$Z$5:$AI$104&lt;&gt;"")*(COUNTIF($AX$4:AX152,Calc!$Z$5:$AI$104)=0),ROW(Calc!$Z$5:$AI$104)*100+COLUMN(Calc!$Z$5:$AI$104),7^8)),"Calc!R0C00"),)&amp;""</f>
        <v/>
      </c>
      <c r="AY153" t="str" cm="1">
        <f t="array" aca="1" ref="AY153" ca="1">INDIRECT(TEXT(MIN(IF((Calc!$AK$5:$AT$104&lt;&gt;"")*(COUNTIF(AY$4:$AY152,Calc!$AK$5:$AT$104)=0),ROW(Calc!$AK$5:$AT$104)*100+COLUMN(Calc!$AK$5:$AT$104),7^8)),"Calc!R0C00"),)&amp;""</f>
        <v/>
      </c>
      <c r="AZ153" s="247" t="str">
        <f t="shared" ca="1" si="149"/>
        <v/>
      </c>
      <c r="BA153" s="324">
        <f t="shared" si="155"/>
        <v>149</v>
      </c>
      <c r="BB153">
        <f t="shared" ca="1" si="150"/>
        <v>0</v>
      </c>
      <c r="BC153" t="str">
        <f ca="1">IF($AX153="","",
VLOOKUP(LEFT($AX153,LEN($AX153)-2),'Field information 2'!$B$12:$P$111,11,FALSE))</f>
        <v/>
      </c>
      <c r="BD153" t="str">
        <f ca="1">IF($AX153="","",
VLOOKUP(LEFT($AX153,LEN($AX153)-2),'Field information 2'!$B$12:$P$111,13,FALSE))</f>
        <v/>
      </c>
      <c r="BE153" t="str">
        <f ca="1">IF($AX153="","",
VLOOKUP(LEFT($AX153,LEN($AX153)-2),'Field information 2'!$B$12:$P$111,15,FALSE))</f>
        <v/>
      </c>
      <c r="BF153">
        <f t="shared" ca="1" si="151"/>
        <v>0</v>
      </c>
      <c r="BG153" t="str">
        <f t="shared" ca="1" si="152"/>
        <v/>
      </c>
      <c r="BH153" s="7" t="str">
        <f ca="1">IF(OR(AX153="",'Soil results'!$D$7="",'Soil results'!$D$8=""),"",
IF('Soil results'!$D$7="LOI",
  IF('Soil results'!$D$8="mg/kg",'Soil results'!D158/10000,'Soil results'!D158),
IF('Soil results'!$D$7="Dumas",
  IF('Soil results'!$D$8="mg/kg",'Soil results'!D158*1.72/10000,'Soil results'!D158*1.72))))</f>
        <v/>
      </c>
      <c r="BI153" t="str">
        <f ca="1">IF($AX153="","",
VLOOKUP(LEFT($AX153,LEN($AX153)-2),'Field information 2'!$B$12:$I$111,8,FALSE))</f>
        <v/>
      </c>
      <c r="BJ153" t="str">
        <f ca="1">IF(BI153="","",
VLOOKUP(BI153,'Fertiliser recommendations'!$A$5:$B$62,2,FALSE))</f>
        <v/>
      </c>
      <c r="BK153" s="38" t="str">
        <f ca="1">IF($AX153="","",
IF(AND(BJ153="g",VLOOKUP(LEFT($AX153,LEN($AX153)-2),'Field information 2'!$B$12:$P$111,9,FALSE)&lt;&gt;"yes"),
IF(BG153="10-25% OM",6,IF(BG153="&gt;25% OM",12,IF(BG153="SCL; CL; ZCL; SC; ZC; C",6,IF(BG153="SL; SZL; ZL",5,IF(BG153="S; LS",4,"?"))))),
IF(OR(BJ153="a",AND(BJ153="g",VLOOKUP(LEFT($AX153,LEN($AX153)-2),'Field information 2'!$B$12:$P$111,9,FALSE)="yes")),
IF(BG153="10-25% OM",8,IF(BG153="&gt;25% OM",16,IF(BG153="SCL; CL; ZCL; SC; ZC; C",8,IF(BG153="SL; SZL; ZL",7,IF(BG153="S; LS",6,"?"))))),"")))</f>
        <v/>
      </c>
      <c r="BL153" t="str">
        <f ca="1">IF(AX153&lt;&gt;"",COUNTBLANK('Soil results'!D158:D158)+COUNTBLANK('Soil results'!F158:I158)+COUNTBLANK('Soil results'!K158:Q158),"")</f>
        <v/>
      </c>
      <c r="BM153" t="str">
        <f ca="1">IF(AX153&lt;&gt;"",
IF(OR(ISNUMBER(SEARCH("10*01*01",'Field information 2'!$M$5)),ISNUMBER(SEARCH("10*01*03",'Field information 2'!$M$5))),0.25,1),"")</f>
        <v/>
      </c>
      <c r="BN153" s="275" t="str">
        <f ca="1">IF(AX153&lt;&gt;"",
IF(COUNTIF('Soil results'!G159:G$159,"="&amp;'Soil results'!G158)+COUNTIF('Soil results'!H159:H$159,"="&amp;'Soil results'!H158)+COUNTIF('Soil results'!I159:I$159,"="&amp;'Soil results'!I158)=0,"no",
IF(MOD(COUNTIF('Soil results'!G159:G$159,"="&amp;'Soil results'!G158)+COUNTIF('Soil results'!H159:H$159,"="&amp;'Soil results'!H158)+COUNTIF('Soil results'!I159:I$159,"="&amp;'Soil results'!I158),3)=0,"yes","no")),"")</f>
        <v/>
      </c>
      <c r="BO153" s="276" t="str">
        <f t="shared" ca="1" si="153"/>
        <v/>
      </c>
      <c r="BP153" s="33"/>
      <c r="BQ153" s="276"/>
      <c r="BR153" s="276"/>
      <c r="BS153" s="276" t="str">
        <f t="shared" ca="1" si="154"/>
        <v/>
      </c>
      <c r="BT153" s="153" t="str">
        <f ca="1">IF(AX153="","",
IF(OR(Assessment!F155="limited benefit",Assessment!F155="benefit", Assessment!M155="limited benefit",Assessment!M155="benefit", Assessment!R155="limited benefit",Assessment!R155="benefit", Assessment!W155="limited benefit",Assessment!W155="benefit", Assessment!AB155="limited benefit",Assessment!AB155="benefit", AND(ISNUMBER(Assessment!AF155),Assessment!AG155="ok"), Assessment!AJ155="benefit"),"yes","no"))</f>
        <v/>
      </c>
    </row>
    <row r="154" spans="49:72" ht="15" x14ac:dyDescent="0.25">
      <c r="AX154" s="247" t="str" cm="1">
        <f t="array" aca="1" ref="AX154" ca="1">INDIRECT(TEXT(MIN(IF((Calc!$Z$5:$AI$104&lt;&gt;"")*(COUNTIF($AX$4:AX153,Calc!$Z$5:$AI$104)=0),ROW(Calc!$Z$5:$AI$104)*100+COLUMN(Calc!$Z$5:$AI$104),7^8)),"Calc!R0C00"),)&amp;""</f>
        <v/>
      </c>
      <c r="AY154" t="str" cm="1">
        <f t="array" aca="1" ref="AY154" ca="1">INDIRECT(TEXT(MIN(IF((Calc!$AK$5:$AT$104&lt;&gt;"")*(COUNTIF(AY$4:$AY153,Calc!$AK$5:$AT$104)=0),ROW(Calc!$AK$5:$AT$104)*100+COLUMN(Calc!$AK$5:$AT$104),7^8)),"Calc!R0C00"),)&amp;""</f>
        <v/>
      </c>
      <c r="AZ154" s="247" t="str">
        <f t="shared" ca="1" si="149"/>
        <v/>
      </c>
      <c r="BA154" s="324">
        <f t="shared" si="155"/>
        <v>150</v>
      </c>
      <c r="BB154">
        <f t="shared" ca="1" si="150"/>
        <v>0</v>
      </c>
      <c r="BC154" t="str">
        <f ca="1">IF($AX154="","",
VLOOKUP(LEFT($AX154,LEN($AX154)-2),'Field information 2'!$B$12:$P$111,11,FALSE))</f>
        <v/>
      </c>
      <c r="BD154" t="str">
        <f ca="1">IF($AX154="","",
VLOOKUP(LEFT($AX154,LEN($AX154)-2),'Field information 2'!$B$12:$P$111,13,FALSE))</f>
        <v/>
      </c>
      <c r="BE154" t="str">
        <f ca="1">IF($AX154="","",
VLOOKUP(LEFT($AX154,LEN($AX154)-2),'Field information 2'!$B$12:$P$111,15,FALSE))</f>
        <v/>
      </c>
      <c r="BF154">
        <f t="shared" ca="1" si="151"/>
        <v>0</v>
      </c>
      <c r="BG154" t="str">
        <f t="shared" ca="1" si="152"/>
        <v/>
      </c>
      <c r="BH154" s="7" t="str">
        <f ca="1">IF(OR(AX154="",'Soil results'!$D$7="",'Soil results'!$D$8=""),"",
IF('Soil results'!$D$7="LOI",
  IF('Soil results'!$D$8="mg/kg",'Soil results'!D159/10000,'Soil results'!D159),
IF('Soil results'!$D$7="Dumas",
  IF('Soil results'!$D$8="mg/kg",'Soil results'!D159*1.72/10000,'Soil results'!D159*1.72))))</f>
        <v/>
      </c>
      <c r="BI154" t="str">
        <f ca="1">IF($AX154="","",
VLOOKUP(LEFT($AX154,LEN($AX154)-2),'Field information 2'!$B$12:$I$111,8,FALSE))</f>
        <v/>
      </c>
      <c r="BJ154" t="str">
        <f ca="1">IF(BI154="","",
VLOOKUP(BI154,'Fertiliser recommendations'!$A$5:$B$62,2,FALSE))</f>
        <v/>
      </c>
      <c r="BK154" s="38" t="str">
        <f ca="1">IF($AX154="","",
IF(AND(BJ154="g",VLOOKUP(LEFT($AX154,LEN($AX154)-2),'Field information 2'!$B$12:$P$111,9,FALSE)&lt;&gt;"yes"),
IF(BG154="10-25% OM",6,IF(BG154="&gt;25% OM",12,IF(BG154="SCL; CL; ZCL; SC; ZC; C",6,IF(BG154="SL; SZL; ZL",5,IF(BG154="S; LS",4,"?"))))),
IF(OR(BJ154="a",AND(BJ154="g",VLOOKUP(LEFT($AX154,LEN($AX154)-2),'Field information 2'!$B$12:$P$111,9,FALSE)="yes")),
IF(BG154="10-25% OM",8,IF(BG154="&gt;25% OM",16,IF(BG154="SCL; CL; ZCL; SC; ZC; C",8,IF(BG154="SL; SZL; ZL",7,IF(BG154="S; LS",6,"?"))))),"")))</f>
        <v/>
      </c>
      <c r="BL154" t="str">
        <f ca="1">IF(AX154&lt;&gt;"",COUNTBLANK('Soil results'!D159:D159)+COUNTBLANK('Soil results'!F159:I159)+COUNTBLANK('Soil results'!K159:Q159),"")</f>
        <v/>
      </c>
      <c r="BM154" t="str">
        <f ca="1">IF(AX154&lt;&gt;"",
IF(OR(ISNUMBER(SEARCH("10*01*01",'Field information 2'!$M$5)),ISNUMBER(SEARCH("10*01*03",'Field information 2'!$M$5))),0.25,1),"")</f>
        <v/>
      </c>
      <c r="BN154" s="275" t="str">
        <f ca="1">IF(AX154&lt;&gt;"",
IF(COUNTIF('Soil results'!G$159:G160,"="&amp;'Soil results'!G159)+COUNTIF('Soil results'!H$159:H160,"="&amp;'Soil results'!H159)+COUNTIF('Soil results'!I$159:I160,"="&amp;'Soil results'!I159)=0,"no",
IF(MOD(COUNTIF('Soil results'!G$159:G160,"="&amp;'Soil results'!G159)+COUNTIF('Soil results'!H$159:H160,"="&amp;'Soil results'!H159)+COUNTIF('Soil results'!I$159:I160,"="&amp;'Soil results'!I159),3)=0,"yes","no")),"")</f>
        <v/>
      </c>
      <c r="BO154" s="276" t="str">
        <f t="shared" ca="1" si="153"/>
        <v/>
      </c>
      <c r="BP154" s="33"/>
      <c r="BQ154" s="276"/>
      <c r="BR154" s="276"/>
      <c r="BS154" s="276" t="str">
        <f t="shared" ca="1" si="154"/>
        <v/>
      </c>
      <c r="BT154" s="153" t="str">
        <f ca="1">IF(AX154="","",
IF(OR(Assessment!F156="limited benefit",Assessment!F156="benefit", Assessment!M156="limited benefit",Assessment!M156="benefit", Assessment!R156="limited benefit",Assessment!R156="benefit", Assessment!W156="limited benefit",Assessment!W156="benefit", Assessment!AB156="limited benefit",Assessment!AB156="benefit", AND(ISNUMBER(Assessment!AF156),Assessment!AG156="ok"), Assessment!AJ156="benefit"),"yes","no"))</f>
        <v/>
      </c>
    </row>
    <row r="155" spans="49:72" ht="15" x14ac:dyDescent="0.25">
      <c r="AW155"/>
      <c r="AX155"/>
      <c r="BA155"/>
      <c r="BK155" s="38"/>
      <c r="BN155" s="275"/>
      <c r="BO155" s="276"/>
      <c r="BP155" s="33"/>
      <c r="BQ155" s="276"/>
      <c r="BR155" s="276"/>
      <c r="BS155" s="276"/>
      <c r="BT155" s="153"/>
    </row>
    <row r="156" spans="49:72" ht="15" x14ac:dyDescent="0.25">
      <c r="AW156"/>
      <c r="AX156"/>
      <c r="BA156"/>
      <c r="BK156" s="38"/>
      <c r="BN156" s="275"/>
      <c r="BO156" s="276"/>
      <c r="BP156" s="33"/>
      <c r="BQ156" s="276"/>
      <c r="BR156" s="276"/>
      <c r="BS156" s="276"/>
      <c r="BT156" s="153"/>
    </row>
    <row r="157" spans="49:72" ht="15" x14ac:dyDescent="0.25">
      <c r="AW157"/>
      <c r="AX157"/>
      <c r="BA157"/>
      <c r="BK157" s="38"/>
      <c r="BN157" s="275"/>
      <c r="BO157" s="276"/>
      <c r="BP157" s="33"/>
      <c r="BQ157" s="276"/>
      <c r="BR157" s="276"/>
      <c r="BS157" s="276"/>
      <c r="BT157" s="153"/>
    </row>
    <row r="158" spans="49:72" ht="15" x14ac:dyDescent="0.25">
      <c r="AW158"/>
      <c r="AX158"/>
      <c r="BA158"/>
      <c r="BK158" s="38"/>
      <c r="BN158" s="275"/>
      <c r="BO158" s="276"/>
      <c r="BP158" s="33"/>
      <c r="BQ158" s="276"/>
      <c r="BR158" s="276"/>
      <c r="BS158" s="276"/>
      <c r="BT158" s="153"/>
    </row>
    <row r="159" spans="49:72" ht="15" x14ac:dyDescent="0.25">
      <c r="AW159"/>
      <c r="AX159"/>
      <c r="BA159"/>
      <c r="BK159" s="38"/>
      <c r="BN159" s="275"/>
      <c r="BO159" s="276"/>
      <c r="BP159" s="33"/>
      <c r="BQ159" s="276"/>
      <c r="BR159" s="276"/>
      <c r="BS159" s="276"/>
      <c r="BT159" s="153"/>
    </row>
    <row r="160" spans="49:72" ht="15" x14ac:dyDescent="0.25">
      <c r="AW160"/>
      <c r="AX160"/>
      <c r="BA160"/>
      <c r="BK160" s="38"/>
      <c r="BN160" s="275"/>
      <c r="BO160" s="276"/>
      <c r="BP160" s="33"/>
      <c r="BQ160" s="276"/>
      <c r="BR160" s="276"/>
      <c r="BS160" s="276"/>
      <c r="BT160" s="153"/>
    </row>
    <row r="161" spans="49:72" ht="15" x14ac:dyDescent="0.25">
      <c r="AW161"/>
      <c r="AX161"/>
      <c r="BA161"/>
      <c r="BK161" s="38"/>
      <c r="BN161" s="275"/>
      <c r="BO161" s="276"/>
      <c r="BP161" s="33"/>
      <c r="BQ161" s="276"/>
      <c r="BR161" s="276"/>
      <c r="BS161" s="276"/>
      <c r="BT161" s="153"/>
    </row>
    <row r="162" spans="49:72" ht="15" x14ac:dyDescent="0.25">
      <c r="AW162"/>
      <c r="AX162"/>
      <c r="BA162"/>
      <c r="BK162" s="38"/>
      <c r="BN162" s="275"/>
      <c r="BO162" s="276"/>
      <c r="BP162" s="33"/>
      <c r="BQ162" s="276"/>
      <c r="BR162" s="276"/>
      <c r="BS162" s="276"/>
      <c r="BT162" s="153"/>
    </row>
    <row r="163" spans="49:72" ht="15" x14ac:dyDescent="0.25">
      <c r="AW163"/>
      <c r="AX163"/>
      <c r="BA163"/>
      <c r="BK163" s="38"/>
      <c r="BN163" s="275"/>
      <c r="BO163" s="276"/>
      <c r="BP163" s="33"/>
      <c r="BQ163" s="276"/>
      <c r="BR163" s="276"/>
      <c r="BS163" s="276"/>
      <c r="BT163" s="153"/>
    </row>
    <row r="164" spans="49:72" ht="15" x14ac:dyDescent="0.25">
      <c r="AW164"/>
      <c r="AX164"/>
      <c r="BA164"/>
      <c r="BK164" s="38"/>
      <c r="BN164" s="275"/>
      <c r="BO164" s="276"/>
      <c r="BP164" s="33"/>
      <c r="BQ164" s="276"/>
      <c r="BR164" s="276"/>
      <c r="BS164" s="276"/>
      <c r="BT164" s="153"/>
    </row>
    <row r="165" spans="49:72" ht="15" x14ac:dyDescent="0.25">
      <c r="AW165"/>
      <c r="AX165"/>
      <c r="BA165"/>
      <c r="BK165" s="38"/>
      <c r="BN165" s="275"/>
      <c r="BO165" s="276"/>
      <c r="BP165" s="33"/>
      <c r="BQ165" s="276"/>
      <c r="BR165" s="276"/>
      <c r="BS165" s="276"/>
      <c r="BT165" s="153"/>
    </row>
    <row r="166" spans="49:72" ht="15" x14ac:dyDescent="0.25">
      <c r="AW166"/>
      <c r="AX166"/>
      <c r="BA166"/>
      <c r="BK166" s="38"/>
      <c r="BN166" s="275"/>
      <c r="BO166" s="276"/>
      <c r="BP166" s="33"/>
      <c r="BQ166" s="276"/>
      <c r="BR166" s="276"/>
      <c r="BS166" s="276"/>
      <c r="BT166" s="153"/>
    </row>
    <row r="167" spans="49:72" ht="15" x14ac:dyDescent="0.25">
      <c r="AW167"/>
      <c r="AX167"/>
      <c r="BA167"/>
      <c r="BK167" s="38"/>
      <c r="BN167" s="275"/>
      <c r="BO167" s="276"/>
      <c r="BP167" s="33"/>
      <c r="BQ167" s="276"/>
      <c r="BR167" s="276"/>
      <c r="BS167" s="276"/>
      <c r="BT167" s="153"/>
    </row>
    <row r="168" spans="49:72" ht="15" x14ac:dyDescent="0.25">
      <c r="AW168"/>
      <c r="AX168"/>
      <c r="BA168"/>
      <c r="BK168" s="38"/>
      <c r="BN168" s="275"/>
      <c r="BO168" s="276"/>
      <c r="BP168" s="33"/>
      <c r="BQ168" s="276"/>
      <c r="BR168" s="276"/>
      <c r="BS168" s="276"/>
      <c r="BT168" s="153"/>
    </row>
    <row r="169" spans="49:72" ht="15" x14ac:dyDescent="0.25">
      <c r="AW169"/>
      <c r="AX169"/>
      <c r="BA169"/>
      <c r="BK169" s="38"/>
      <c r="BN169" s="275"/>
      <c r="BO169" s="276"/>
      <c r="BP169" s="33"/>
      <c r="BQ169" s="276"/>
      <c r="BR169" s="276"/>
      <c r="BS169" s="276"/>
      <c r="BT169" s="153"/>
    </row>
    <row r="170" spans="49:72" ht="15" x14ac:dyDescent="0.25">
      <c r="AW170"/>
      <c r="AX170"/>
      <c r="BA170"/>
      <c r="BK170" s="38"/>
      <c r="BN170" s="275"/>
      <c r="BO170" s="276"/>
      <c r="BP170" s="33"/>
      <c r="BQ170" s="276"/>
      <c r="BR170" s="276"/>
      <c r="BS170" s="276"/>
      <c r="BT170" s="153"/>
    </row>
    <row r="171" spans="49:72" ht="15" x14ac:dyDescent="0.25">
      <c r="AW171"/>
      <c r="AX171"/>
      <c r="BA171"/>
      <c r="BK171" s="38"/>
      <c r="BN171" s="275"/>
      <c r="BO171" s="276"/>
      <c r="BP171" s="33"/>
      <c r="BQ171" s="276"/>
      <c r="BR171" s="276"/>
      <c r="BS171" s="276"/>
      <c r="BT171" s="153"/>
    </row>
    <row r="172" spans="49:72" ht="15" x14ac:dyDescent="0.25">
      <c r="AW172"/>
      <c r="AX172"/>
      <c r="BA172"/>
      <c r="BK172" s="38"/>
      <c r="BN172" s="275"/>
      <c r="BO172" s="276"/>
      <c r="BP172" s="33"/>
      <c r="BQ172" s="276"/>
      <c r="BR172" s="276"/>
      <c r="BS172" s="276"/>
      <c r="BT172" s="153"/>
    </row>
    <row r="173" spans="49:72" ht="15" x14ac:dyDescent="0.25">
      <c r="AW173"/>
      <c r="AX173"/>
      <c r="BA173"/>
      <c r="BK173" s="38"/>
      <c r="BN173" s="275"/>
      <c r="BO173" s="276"/>
      <c r="BP173" s="33"/>
      <c r="BQ173" s="276"/>
      <c r="BR173" s="276"/>
      <c r="BS173" s="276"/>
      <c r="BT173" s="153"/>
    </row>
    <row r="174" spans="49:72" ht="15" x14ac:dyDescent="0.25">
      <c r="AW174"/>
      <c r="AX174"/>
      <c r="BA174"/>
      <c r="BK174" s="38"/>
      <c r="BN174" s="275"/>
      <c r="BO174" s="276"/>
      <c r="BP174" s="33"/>
      <c r="BQ174" s="276"/>
      <c r="BR174" s="276"/>
      <c r="BS174" s="276"/>
      <c r="BT174" s="153"/>
    </row>
    <row r="175" spans="49:72" ht="15" x14ac:dyDescent="0.25">
      <c r="AW175"/>
      <c r="AX175"/>
      <c r="BA175"/>
      <c r="BK175" s="38"/>
      <c r="BN175" s="275"/>
      <c r="BO175" s="276"/>
      <c r="BP175" s="33"/>
      <c r="BQ175" s="276"/>
      <c r="BR175" s="276"/>
      <c r="BS175" s="276"/>
      <c r="BT175" s="153"/>
    </row>
    <row r="176" spans="49:72" ht="15" x14ac:dyDescent="0.25">
      <c r="AW176"/>
      <c r="AX176"/>
      <c r="BA176"/>
      <c r="BK176" s="38"/>
      <c r="BN176" s="275"/>
      <c r="BO176" s="276"/>
      <c r="BP176" s="33"/>
      <c r="BQ176" s="276"/>
      <c r="BR176" s="276"/>
      <c r="BS176" s="276"/>
      <c r="BT176" s="153"/>
    </row>
    <row r="177" spans="49:72" ht="15" x14ac:dyDescent="0.25">
      <c r="AW177"/>
      <c r="AX177"/>
      <c r="BA177"/>
      <c r="BK177" s="38"/>
      <c r="BN177" s="275"/>
      <c r="BO177" s="276"/>
      <c r="BP177" s="33"/>
      <c r="BQ177" s="276"/>
      <c r="BR177" s="276"/>
      <c r="BS177" s="276"/>
      <c r="BT177" s="153"/>
    </row>
    <row r="178" spans="49:72" ht="15" x14ac:dyDescent="0.25">
      <c r="AW178"/>
      <c r="AX178"/>
      <c r="BA178"/>
      <c r="BK178" s="38"/>
      <c r="BN178" s="275"/>
      <c r="BO178" s="276"/>
      <c r="BP178" s="33"/>
      <c r="BQ178" s="276"/>
      <c r="BR178" s="276"/>
      <c r="BS178" s="276"/>
      <c r="BT178" s="153"/>
    </row>
    <row r="179" spans="49:72" ht="15" x14ac:dyDescent="0.25">
      <c r="AW179"/>
      <c r="AX179"/>
      <c r="BA179"/>
      <c r="BK179" s="38"/>
      <c r="BN179" s="275"/>
      <c r="BO179" s="276"/>
      <c r="BP179" s="33"/>
      <c r="BQ179" s="276"/>
      <c r="BR179" s="276"/>
      <c r="BS179" s="276"/>
      <c r="BT179" s="153"/>
    </row>
    <row r="180" spans="49:72" ht="15" x14ac:dyDescent="0.25">
      <c r="AW180"/>
      <c r="AX180"/>
      <c r="BA180"/>
      <c r="BK180" s="38"/>
      <c r="BN180" s="275"/>
      <c r="BO180" s="276"/>
      <c r="BP180" s="33"/>
      <c r="BQ180" s="276"/>
      <c r="BR180" s="276"/>
      <c r="BS180" s="276"/>
      <c r="BT180" s="153"/>
    </row>
    <row r="181" spans="49:72" ht="15" x14ac:dyDescent="0.25">
      <c r="AW181"/>
      <c r="AX181"/>
      <c r="BA181"/>
      <c r="BK181" s="38"/>
      <c r="BN181" s="275"/>
      <c r="BO181" s="276"/>
      <c r="BP181" s="33"/>
      <c r="BQ181" s="276"/>
      <c r="BR181" s="276"/>
      <c r="BS181" s="276"/>
      <c r="BT181" s="153"/>
    </row>
    <row r="182" spans="49:72" ht="15" x14ac:dyDescent="0.25">
      <c r="AW182"/>
      <c r="AX182"/>
      <c r="BA182"/>
      <c r="BK182" s="38"/>
      <c r="BN182" s="275"/>
      <c r="BO182" s="276"/>
      <c r="BP182" s="33"/>
      <c r="BQ182" s="276"/>
      <c r="BR182" s="276"/>
      <c r="BS182" s="276"/>
      <c r="BT182" s="153"/>
    </row>
    <row r="183" spans="49:72" ht="15" x14ac:dyDescent="0.25">
      <c r="AW183"/>
      <c r="AX183"/>
      <c r="BA183"/>
      <c r="BK183" s="38"/>
      <c r="BN183" s="275"/>
      <c r="BO183" s="276"/>
      <c r="BP183" s="33"/>
      <c r="BQ183" s="276"/>
      <c r="BR183" s="276"/>
      <c r="BS183" s="276"/>
      <c r="BT183" s="153"/>
    </row>
    <row r="184" spans="49:72" ht="15" x14ac:dyDescent="0.25">
      <c r="AW184"/>
      <c r="AX184"/>
      <c r="BA184"/>
      <c r="BK184" s="38"/>
      <c r="BN184" s="275"/>
      <c r="BO184" s="276"/>
      <c r="BP184" s="33"/>
      <c r="BQ184" s="276"/>
      <c r="BR184" s="276"/>
      <c r="BS184" s="276"/>
      <c r="BT184" s="153"/>
    </row>
    <row r="185" spans="49:72" ht="15" x14ac:dyDescent="0.25">
      <c r="AW185"/>
      <c r="AX185"/>
      <c r="BA185"/>
      <c r="BK185" s="38"/>
      <c r="BN185" s="275"/>
      <c r="BO185" s="276"/>
      <c r="BP185" s="33"/>
      <c r="BQ185" s="276"/>
      <c r="BR185" s="276"/>
      <c r="BS185" s="276"/>
      <c r="BT185" s="153"/>
    </row>
    <row r="186" spans="49:72" ht="15" x14ac:dyDescent="0.25">
      <c r="AW186"/>
      <c r="AX186"/>
      <c r="BA186"/>
      <c r="BK186" s="38"/>
      <c r="BN186" s="275"/>
      <c r="BO186" s="276"/>
      <c r="BP186" s="33"/>
      <c r="BQ186" s="276"/>
      <c r="BR186" s="276"/>
      <c r="BS186" s="276"/>
      <c r="BT186" s="153"/>
    </row>
    <row r="187" spans="49:72" ht="15" x14ac:dyDescent="0.25">
      <c r="AW187"/>
      <c r="AX187"/>
      <c r="BA187"/>
      <c r="BK187" s="38"/>
      <c r="BN187" s="275"/>
      <c r="BO187" s="276"/>
      <c r="BP187" s="33"/>
      <c r="BQ187" s="276"/>
      <c r="BR187" s="276"/>
      <c r="BS187" s="276"/>
      <c r="BT187" s="153"/>
    </row>
    <row r="188" spans="49:72" ht="15" x14ac:dyDescent="0.25">
      <c r="AW188"/>
      <c r="AX188"/>
      <c r="BA188"/>
      <c r="BK188" s="38"/>
      <c r="BN188" s="275"/>
      <c r="BO188" s="276"/>
      <c r="BP188" s="33"/>
      <c r="BQ188" s="276"/>
      <c r="BR188" s="276"/>
      <c r="BS188" s="276"/>
      <c r="BT188" s="153"/>
    </row>
    <row r="189" spans="49:72" ht="15" x14ac:dyDescent="0.25">
      <c r="AW189"/>
      <c r="AX189"/>
      <c r="BA189"/>
      <c r="BK189" s="38"/>
      <c r="BN189" s="275"/>
      <c r="BO189" s="276"/>
      <c r="BP189" s="33"/>
      <c r="BQ189" s="276"/>
      <c r="BR189" s="276"/>
      <c r="BS189" s="276"/>
      <c r="BT189" s="153"/>
    </row>
    <row r="190" spans="49:72" ht="15" x14ac:dyDescent="0.25">
      <c r="AW190"/>
      <c r="AX190"/>
      <c r="BA190"/>
      <c r="BK190" s="38"/>
      <c r="BN190" s="275"/>
      <c r="BO190" s="276"/>
      <c r="BP190" s="33"/>
      <c r="BQ190" s="276"/>
      <c r="BR190" s="276"/>
      <c r="BS190" s="276"/>
      <c r="BT190" s="153"/>
    </row>
    <row r="191" spans="49:72" ht="15" x14ac:dyDescent="0.25">
      <c r="AW191"/>
      <c r="AX191"/>
      <c r="BA191"/>
      <c r="BK191" s="38"/>
      <c r="BN191" s="275"/>
      <c r="BO191" s="276"/>
      <c r="BP191" s="33"/>
      <c r="BQ191" s="276"/>
      <c r="BR191" s="276"/>
      <c r="BS191" s="276"/>
      <c r="BT191" s="153"/>
    </row>
    <row r="192" spans="49:72" ht="15" x14ac:dyDescent="0.25">
      <c r="AW192"/>
      <c r="AX192"/>
      <c r="BA192"/>
      <c r="BK192" s="38"/>
      <c r="BN192" s="275"/>
      <c r="BO192" s="276"/>
      <c r="BP192" s="33"/>
      <c r="BQ192" s="276"/>
      <c r="BR192" s="276"/>
      <c r="BS192" s="276"/>
      <c r="BT192" s="153"/>
    </row>
    <row r="193" spans="49:72" ht="15" x14ac:dyDescent="0.25">
      <c r="AW193"/>
      <c r="AX193"/>
      <c r="BA193"/>
      <c r="BK193" s="38"/>
      <c r="BN193" s="275"/>
      <c r="BO193" s="276"/>
      <c r="BP193" s="33"/>
      <c r="BQ193" s="276"/>
      <c r="BR193" s="276"/>
      <c r="BS193" s="276"/>
      <c r="BT193" s="153"/>
    </row>
    <row r="194" spans="49:72" ht="15" x14ac:dyDescent="0.25">
      <c r="AW194"/>
      <c r="AX194"/>
      <c r="BA194"/>
      <c r="BK194" s="38"/>
      <c r="BN194" s="275"/>
      <c r="BO194" s="276"/>
      <c r="BP194" s="33"/>
      <c r="BQ194" s="276"/>
      <c r="BR194" s="276"/>
      <c r="BS194" s="276"/>
      <c r="BT194" s="153"/>
    </row>
    <row r="195" spans="49:72" ht="15" x14ac:dyDescent="0.25">
      <c r="AW195"/>
      <c r="AX195"/>
      <c r="BA195"/>
      <c r="BK195" s="38"/>
      <c r="BN195" s="275"/>
      <c r="BO195" s="276"/>
      <c r="BP195" s="33"/>
      <c r="BQ195" s="276"/>
      <c r="BR195" s="276"/>
      <c r="BS195" s="276"/>
      <c r="BT195" s="153"/>
    </row>
    <row r="196" spans="49:72" ht="15" x14ac:dyDescent="0.25">
      <c r="AW196"/>
      <c r="AX196"/>
      <c r="BA196"/>
      <c r="BK196" s="38"/>
      <c r="BN196" s="275"/>
      <c r="BO196" s="276"/>
      <c r="BP196" s="33"/>
      <c r="BQ196" s="276"/>
      <c r="BR196" s="276"/>
      <c r="BS196" s="276"/>
      <c r="BT196" s="153"/>
    </row>
    <row r="197" spans="49:72" ht="15" x14ac:dyDescent="0.25">
      <c r="AW197"/>
      <c r="AX197"/>
      <c r="BA197"/>
      <c r="BK197" s="38"/>
      <c r="BN197" s="275"/>
      <c r="BO197" s="276"/>
      <c r="BP197" s="33"/>
      <c r="BQ197" s="276"/>
      <c r="BR197" s="276"/>
      <c r="BS197" s="276"/>
      <c r="BT197" s="153"/>
    </row>
    <row r="198" spans="49:72" ht="15" x14ac:dyDescent="0.25">
      <c r="AW198"/>
      <c r="AX198"/>
      <c r="BA198"/>
      <c r="BK198" s="38"/>
      <c r="BN198" s="275"/>
      <c r="BO198" s="276"/>
      <c r="BP198" s="33"/>
      <c r="BQ198" s="276"/>
      <c r="BR198" s="276"/>
      <c r="BS198" s="276"/>
      <c r="BT198" s="153"/>
    </row>
    <row r="199" spans="49:72" ht="15" x14ac:dyDescent="0.25">
      <c r="AW199"/>
      <c r="AX199"/>
      <c r="BA199"/>
      <c r="BK199" s="38"/>
      <c r="BN199" s="275"/>
      <c r="BO199" s="276"/>
      <c r="BP199" s="33"/>
      <c r="BQ199" s="276"/>
      <c r="BR199" s="276"/>
      <c r="BS199" s="276"/>
      <c r="BT199" s="153"/>
    </row>
    <row r="200" spans="49:72" ht="15" x14ac:dyDescent="0.25">
      <c r="AW200"/>
      <c r="AX200"/>
      <c r="BA200"/>
      <c r="BK200" s="38"/>
      <c r="BN200" s="275"/>
      <c r="BO200" s="276"/>
      <c r="BP200" s="33"/>
      <c r="BQ200" s="276"/>
      <c r="BR200" s="276"/>
      <c r="BS200" s="276"/>
      <c r="BT200" s="153"/>
    </row>
    <row r="201" spans="49:72" ht="15" x14ac:dyDescent="0.25">
      <c r="AW201"/>
      <c r="AX201"/>
      <c r="BA201"/>
      <c r="BK201" s="38"/>
      <c r="BN201" s="275"/>
      <c r="BO201" s="276"/>
      <c r="BP201" s="33"/>
      <c r="BQ201" s="276"/>
      <c r="BR201" s="276"/>
      <c r="BS201" s="276"/>
      <c r="BT201" s="153"/>
    </row>
    <row r="202" spans="49:72" ht="15" x14ac:dyDescent="0.25">
      <c r="AW202"/>
      <c r="AX202"/>
      <c r="BA202"/>
      <c r="BK202" s="38"/>
      <c r="BN202" s="275"/>
      <c r="BO202" s="276"/>
      <c r="BP202" s="33"/>
      <c r="BQ202" s="276"/>
      <c r="BR202" s="276"/>
      <c r="BS202" s="276"/>
      <c r="BT202" s="153"/>
    </row>
    <row r="203" spans="49:72" ht="15" x14ac:dyDescent="0.25">
      <c r="AW203"/>
      <c r="AX203"/>
      <c r="BA203"/>
      <c r="BK203" s="38"/>
      <c r="BN203" s="275"/>
      <c r="BO203" s="276"/>
      <c r="BP203" s="33"/>
      <c r="BQ203" s="276"/>
      <c r="BR203" s="276"/>
      <c r="BS203" s="276"/>
      <c r="BT203" s="153"/>
    </row>
    <row r="204" spans="49:72" ht="15" x14ac:dyDescent="0.25">
      <c r="AW204"/>
      <c r="AX204"/>
      <c r="BA204"/>
      <c r="BK204" s="38"/>
      <c r="BN204" s="275"/>
      <c r="BO204" s="276"/>
      <c r="BP204" s="33"/>
      <c r="BQ204" s="276"/>
      <c r="BR204" s="276"/>
      <c r="BS204" s="276"/>
      <c r="BT204" s="153"/>
    </row>
    <row r="205" spans="49:72" ht="15" x14ac:dyDescent="0.25">
      <c r="AW205"/>
      <c r="AX205"/>
      <c r="BA205"/>
      <c r="BK205" s="38"/>
      <c r="BN205" s="275"/>
      <c r="BO205" s="276"/>
      <c r="BP205" s="33"/>
      <c r="BQ205" s="276"/>
      <c r="BR205" s="276"/>
      <c r="BS205" s="276"/>
      <c r="BT205" s="153"/>
    </row>
    <row r="206" spans="49:72" ht="15" x14ac:dyDescent="0.25">
      <c r="AW206"/>
      <c r="AX206"/>
      <c r="BA206"/>
      <c r="BK206" s="38"/>
      <c r="BN206" s="275"/>
      <c r="BO206" s="276"/>
      <c r="BP206" s="33"/>
      <c r="BQ206" s="276"/>
      <c r="BR206" s="276"/>
      <c r="BS206" s="276"/>
      <c r="BT206" s="153"/>
    </row>
    <row r="207" spans="49:72" ht="15" x14ac:dyDescent="0.25">
      <c r="AW207"/>
      <c r="AX207"/>
      <c r="BA207"/>
      <c r="BK207" s="38"/>
      <c r="BN207" s="275"/>
      <c r="BO207" s="276"/>
      <c r="BP207" s="33"/>
      <c r="BQ207" s="276"/>
      <c r="BR207" s="276"/>
      <c r="BS207" s="276"/>
      <c r="BT207" s="153"/>
    </row>
    <row r="208" spans="49:72" ht="15" x14ac:dyDescent="0.25">
      <c r="AW208"/>
      <c r="AX208"/>
      <c r="BA208"/>
      <c r="BK208" s="38"/>
      <c r="BN208" s="275"/>
      <c r="BO208" s="276"/>
      <c r="BP208" s="33"/>
      <c r="BQ208" s="276"/>
      <c r="BR208" s="276"/>
      <c r="BS208" s="276"/>
      <c r="BT208" s="153"/>
    </row>
    <row r="209" spans="49:72" ht="15" x14ac:dyDescent="0.25">
      <c r="AW209"/>
      <c r="AX209"/>
      <c r="BA209"/>
      <c r="BK209" s="38"/>
      <c r="BN209" s="275"/>
      <c r="BO209" s="276"/>
      <c r="BP209" s="33"/>
      <c r="BQ209" s="276"/>
      <c r="BR209" s="276"/>
      <c r="BS209" s="276"/>
      <c r="BT209" s="153"/>
    </row>
    <row r="210" spans="49:72" ht="15" x14ac:dyDescent="0.25">
      <c r="AW210"/>
      <c r="AX210"/>
      <c r="BA210"/>
      <c r="BK210" s="38"/>
      <c r="BN210" s="275"/>
      <c r="BO210" s="276"/>
      <c r="BP210" s="33"/>
      <c r="BQ210" s="276"/>
      <c r="BR210" s="276"/>
      <c r="BS210" s="276"/>
      <c r="BT210" s="153"/>
    </row>
    <row r="211" spans="49:72" ht="15" x14ac:dyDescent="0.25">
      <c r="AW211"/>
      <c r="AX211"/>
      <c r="BA211"/>
      <c r="BK211" s="38"/>
      <c r="BN211" s="275"/>
      <c r="BO211" s="276"/>
      <c r="BP211" s="33"/>
      <c r="BQ211" s="276"/>
      <c r="BR211" s="276"/>
      <c r="BS211" s="276"/>
      <c r="BT211" s="153"/>
    </row>
    <row r="212" spans="49:72" ht="15" x14ac:dyDescent="0.25">
      <c r="AW212"/>
      <c r="AX212"/>
      <c r="BA212"/>
      <c r="BK212" s="38"/>
      <c r="BN212" s="275"/>
      <c r="BO212" s="276"/>
      <c r="BP212" s="33"/>
      <c r="BQ212" s="276"/>
      <c r="BR212" s="276"/>
      <c r="BS212" s="276"/>
      <c r="BT212" s="153"/>
    </row>
    <row r="213" spans="49:72" ht="15" x14ac:dyDescent="0.25">
      <c r="AW213"/>
      <c r="AX213"/>
      <c r="BA213"/>
      <c r="BK213" s="38"/>
      <c r="BN213" s="275"/>
      <c r="BO213" s="276"/>
      <c r="BP213" s="33"/>
      <c r="BQ213" s="276"/>
      <c r="BR213" s="276"/>
      <c r="BS213" s="276"/>
      <c r="BT213" s="153"/>
    </row>
    <row r="214" spans="49:72" ht="15" x14ac:dyDescent="0.25">
      <c r="AW214"/>
      <c r="AX214"/>
      <c r="BA214"/>
      <c r="BK214" s="38"/>
      <c r="BN214" s="275"/>
      <c r="BO214" s="276"/>
      <c r="BP214" s="33"/>
      <c r="BQ214" s="276"/>
      <c r="BR214" s="276"/>
      <c r="BS214" s="276"/>
      <c r="BT214" s="153"/>
    </row>
    <row r="215" spans="49:72" ht="15" x14ac:dyDescent="0.25">
      <c r="AW215"/>
      <c r="AX215"/>
      <c r="BA215"/>
      <c r="BK215" s="38"/>
      <c r="BN215" s="275"/>
      <c r="BO215" s="276"/>
      <c r="BP215" s="33"/>
      <c r="BQ215" s="276"/>
      <c r="BR215" s="276"/>
      <c r="BS215" s="276"/>
      <c r="BT215" s="153"/>
    </row>
    <row r="216" spans="49:72" ht="15" x14ac:dyDescent="0.25">
      <c r="AW216"/>
      <c r="AX216"/>
      <c r="BA216"/>
      <c r="BK216" s="38"/>
      <c r="BN216" s="275"/>
      <c r="BO216" s="276"/>
      <c r="BP216" s="33"/>
      <c r="BQ216" s="276"/>
      <c r="BR216" s="276"/>
      <c r="BS216" s="276"/>
      <c r="BT216" s="153"/>
    </row>
    <row r="217" spans="49:72" ht="15" x14ac:dyDescent="0.25">
      <c r="AW217"/>
      <c r="AX217"/>
      <c r="BA217"/>
      <c r="BK217" s="38"/>
      <c r="BN217" s="275"/>
      <c r="BO217" s="276"/>
      <c r="BP217" s="33"/>
      <c r="BQ217" s="276"/>
      <c r="BR217" s="276"/>
      <c r="BS217" s="276"/>
      <c r="BT217" s="153"/>
    </row>
    <row r="218" spans="49:72" ht="15" x14ac:dyDescent="0.25">
      <c r="AW218"/>
      <c r="AX218"/>
      <c r="BA218"/>
      <c r="BK218" s="38"/>
      <c r="BN218" s="275"/>
      <c r="BO218" s="276"/>
      <c r="BP218" s="33"/>
      <c r="BQ218" s="276"/>
      <c r="BR218" s="276"/>
      <c r="BS218" s="276"/>
      <c r="BT218" s="153"/>
    </row>
    <row r="219" spans="49:72" ht="15" x14ac:dyDescent="0.25">
      <c r="AW219"/>
      <c r="AX219"/>
      <c r="BA219"/>
      <c r="BK219" s="38"/>
      <c r="BN219" s="275"/>
      <c r="BO219" s="276"/>
      <c r="BP219" s="33"/>
      <c r="BQ219" s="276"/>
      <c r="BR219" s="276"/>
      <c r="BS219" s="276"/>
      <c r="BT219" s="153"/>
    </row>
    <row r="220" spans="49:72" ht="15" x14ac:dyDescent="0.25">
      <c r="AW220"/>
      <c r="AX220"/>
      <c r="BA220"/>
      <c r="BK220" s="38"/>
      <c r="BN220" s="275"/>
      <c r="BO220" s="276"/>
      <c r="BP220" s="33"/>
      <c r="BQ220" s="276"/>
      <c r="BR220" s="276"/>
      <c r="BS220" s="276"/>
      <c r="BT220" s="153"/>
    </row>
    <row r="221" spans="49:72" ht="15" x14ac:dyDescent="0.25">
      <c r="AW221"/>
      <c r="AX221"/>
      <c r="BA221"/>
      <c r="BK221" s="38"/>
      <c r="BN221" s="275"/>
      <c r="BO221" s="276"/>
      <c r="BP221" s="33"/>
      <c r="BQ221" s="276"/>
      <c r="BR221" s="276"/>
      <c r="BS221" s="276"/>
      <c r="BT221" s="153"/>
    </row>
    <row r="222" spans="49:72" ht="15" x14ac:dyDescent="0.25">
      <c r="AW222"/>
      <c r="AX222"/>
      <c r="BA222"/>
      <c r="BK222" s="38"/>
      <c r="BN222" s="275"/>
      <c r="BO222" s="276"/>
      <c r="BP222" s="33"/>
      <c r="BQ222" s="276"/>
      <c r="BR222" s="276"/>
      <c r="BS222" s="276"/>
      <c r="BT222" s="153"/>
    </row>
    <row r="223" spans="49:72" ht="15" x14ac:dyDescent="0.25">
      <c r="AW223"/>
      <c r="AX223"/>
      <c r="BA223"/>
      <c r="BK223" s="38"/>
      <c r="BN223" s="275"/>
      <c r="BO223" s="276"/>
      <c r="BP223" s="33"/>
      <c r="BQ223" s="276"/>
      <c r="BR223" s="276"/>
      <c r="BS223" s="276"/>
      <c r="BT223" s="153"/>
    </row>
    <row r="224" spans="49:72" ht="15" x14ac:dyDescent="0.25">
      <c r="AW224"/>
      <c r="AX224"/>
      <c r="BA224"/>
      <c r="BK224" s="38"/>
      <c r="BN224" s="275"/>
      <c r="BO224" s="276"/>
      <c r="BP224" s="33"/>
      <c r="BQ224" s="276"/>
      <c r="BR224" s="276"/>
      <c r="BS224" s="276"/>
      <c r="BT224" s="153"/>
    </row>
    <row r="225" spans="49:72" ht="15" x14ac:dyDescent="0.25">
      <c r="AW225"/>
      <c r="AX225"/>
      <c r="BA225"/>
      <c r="BK225" s="38"/>
      <c r="BN225" s="275"/>
      <c r="BO225" s="276"/>
      <c r="BP225" s="33"/>
      <c r="BQ225" s="276"/>
      <c r="BR225" s="276"/>
      <c r="BS225" s="276"/>
      <c r="BT225" s="153"/>
    </row>
    <row r="226" spans="49:72" ht="15" x14ac:dyDescent="0.25">
      <c r="AW226"/>
      <c r="AX226"/>
      <c r="BA226"/>
      <c r="BK226" s="38"/>
      <c r="BN226" s="275"/>
      <c r="BO226" s="276"/>
      <c r="BP226" s="33"/>
      <c r="BQ226" s="276"/>
      <c r="BR226" s="276"/>
      <c r="BS226" s="276"/>
      <c r="BT226" s="153"/>
    </row>
    <row r="227" spans="49:72" ht="15" x14ac:dyDescent="0.25">
      <c r="AW227"/>
      <c r="AX227"/>
      <c r="BA227"/>
      <c r="BK227" s="38"/>
      <c r="BN227" s="275"/>
      <c r="BO227" s="276"/>
      <c r="BP227" s="33"/>
      <c r="BQ227" s="276"/>
      <c r="BR227" s="276"/>
      <c r="BS227" s="276"/>
      <c r="BT227" s="153"/>
    </row>
    <row r="228" spans="49:72" ht="15" x14ac:dyDescent="0.25">
      <c r="AW228"/>
      <c r="AX228"/>
      <c r="BA228"/>
      <c r="BK228" s="38"/>
      <c r="BN228" s="275"/>
      <c r="BO228" s="276"/>
      <c r="BP228" s="33"/>
      <c r="BQ228" s="276"/>
      <c r="BR228" s="276"/>
      <c r="BS228" s="276"/>
      <c r="BT228" s="153"/>
    </row>
    <row r="229" spans="49:72" ht="15" x14ac:dyDescent="0.25">
      <c r="AW229"/>
      <c r="AX229"/>
      <c r="BA229"/>
      <c r="BK229" s="38"/>
      <c r="BN229" s="275"/>
      <c r="BO229" s="276"/>
      <c r="BP229" s="33"/>
      <c r="BQ229" s="276"/>
      <c r="BR229" s="276"/>
      <c r="BS229" s="276"/>
      <c r="BT229" s="153"/>
    </row>
    <row r="230" spans="49:72" ht="15" x14ac:dyDescent="0.25">
      <c r="AW230"/>
      <c r="AX230"/>
      <c r="BA230"/>
      <c r="BK230" s="38"/>
      <c r="BN230" s="275"/>
      <c r="BO230" s="276"/>
      <c r="BP230" s="33"/>
      <c r="BQ230" s="276"/>
      <c r="BR230" s="276"/>
      <c r="BS230" s="276"/>
      <c r="BT230" s="153"/>
    </row>
    <row r="231" spans="49:72" ht="15" x14ac:dyDescent="0.25">
      <c r="AW231"/>
      <c r="AX231"/>
      <c r="BA231"/>
      <c r="BK231" s="38"/>
      <c r="BN231" s="275"/>
      <c r="BO231" s="276"/>
      <c r="BP231" s="33"/>
      <c r="BQ231" s="276"/>
      <c r="BR231" s="276"/>
      <c r="BS231" s="276"/>
      <c r="BT231" s="153"/>
    </row>
    <row r="232" spans="49:72" ht="15" x14ac:dyDescent="0.25">
      <c r="AW232"/>
      <c r="AX232"/>
      <c r="BA232"/>
      <c r="BK232" s="38"/>
      <c r="BN232" s="275"/>
      <c r="BO232" s="276"/>
      <c r="BP232" s="33"/>
      <c r="BQ232" s="276"/>
      <c r="BR232" s="276"/>
      <c r="BS232" s="276"/>
      <c r="BT232" s="153"/>
    </row>
    <row r="233" spans="49:72" ht="15" x14ac:dyDescent="0.25">
      <c r="AW233"/>
      <c r="AX233"/>
      <c r="BA233"/>
      <c r="BK233" s="38"/>
      <c r="BN233" s="275"/>
      <c r="BO233" s="276"/>
      <c r="BP233" s="33"/>
      <c r="BQ233" s="276"/>
      <c r="BR233" s="276"/>
      <c r="BS233" s="276"/>
      <c r="BT233" s="153"/>
    </row>
    <row r="234" spans="49:72" ht="15" x14ac:dyDescent="0.25">
      <c r="AW234"/>
      <c r="AX234"/>
      <c r="BA234"/>
      <c r="BK234" s="38"/>
      <c r="BN234" s="275"/>
      <c r="BO234" s="276"/>
      <c r="BP234" s="33"/>
      <c r="BQ234" s="276"/>
      <c r="BR234" s="276"/>
      <c r="BS234" s="276"/>
      <c r="BT234" s="153"/>
    </row>
    <row r="235" spans="49:72" ht="15" x14ac:dyDescent="0.25">
      <c r="AW235"/>
      <c r="AX235"/>
      <c r="BA235"/>
      <c r="BK235" s="38"/>
      <c r="BN235" s="275"/>
      <c r="BO235" s="276"/>
      <c r="BP235" s="33"/>
      <c r="BQ235" s="276"/>
      <c r="BR235" s="276"/>
      <c r="BS235" s="276"/>
      <c r="BT235" s="153"/>
    </row>
    <row r="236" spans="49:72" ht="15" x14ac:dyDescent="0.25">
      <c r="AW236"/>
      <c r="AX236"/>
      <c r="BA236"/>
      <c r="BK236" s="38"/>
      <c r="BN236" s="275"/>
      <c r="BO236" s="276"/>
      <c r="BP236" s="33"/>
      <c r="BQ236" s="276"/>
      <c r="BR236" s="276"/>
      <c r="BS236" s="276"/>
      <c r="BT236" s="153"/>
    </row>
    <row r="237" spans="49:72" ht="15" x14ac:dyDescent="0.25">
      <c r="AW237"/>
      <c r="AX237"/>
      <c r="BA237"/>
      <c r="BK237" s="38"/>
      <c r="BN237" s="275"/>
      <c r="BO237" s="276"/>
      <c r="BP237" s="33"/>
      <c r="BQ237" s="276"/>
      <c r="BR237" s="276"/>
      <c r="BS237" s="276"/>
      <c r="BT237" s="153"/>
    </row>
    <row r="238" spans="49:72" ht="15" x14ac:dyDescent="0.25">
      <c r="AW238"/>
      <c r="AX238"/>
      <c r="BA238"/>
      <c r="BK238" s="38"/>
      <c r="BN238" s="275"/>
      <c r="BO238" s="276"/>
      <c r="BP238" s="33"/>
      <c r="BQ238" s="276"/>
      <c r="BR238" s="276"/>
      <c r="BS238" s="276"/>
      <c r="BT238" s="153"/>
    </row>
    <row r="239" spans="49:72" ht="15" x14ac:dyDescent="0.25">
      <c r="AW239"/>
      <c r="AX239"/>
      <c r="BA239"/>
      <c r="BK239" s="38"/>
      <c r="BN239" s="275"/>
      <c r="BO239" s="276"/>
      <c r="BP239" s="33"/>
      <c r="BQ239" s="276"/>
      <c r="BR239" s="276"/>
      <c r="BS239" s="276"/>
      <c r="BT239" s="153"/>
    </row>
    <row r="240" spans="49:72" ht="15" x14ac:dyDescent="0.25">
      <c r="AW240"/>
      <c r="AX240"/>
      <c r="BA240"/>
      <c r="BK240" s="38"/>
      <c r="BN240" s="275"/>
      <c r="BO240" s="276"/>
      <c r="BP240" s="33"/>
      <c r="BQ240" s="276"/>
      <c r="BR240" s="276"/>
      <c r="BS240" s="276"/>
      <c r="BT240" s="153"/>
    </row>
    <row r="241" spans="49:72" ht="15" x14ac:dyDescent="0.25">
      <c r="AW241"/>
      <c r="AX241"/>
      <c r="BA241"/>
      <c r="BK241" s="38"/>
      <c r="BN241" s="275"/>
      <c r="BO241" s="276"/>
      <c r="BP241" s="33"/>
      <c r="BQ241" s="276"/>
      <c r="BR241" s="276"/>
      <c r="BS241" s="276"/>
      <c r="BT241" s="153"/>
    </row>
    <row r="242" spans="49:72" ht="15" x14ac:dyDescent="0.25">
      <c r="AW242"/>
      <c r="AX242"/>
      <c r="BA242"/>
      <c r="BK242" s="38"/>
      <c r="BN242" s="275"/>
      <c r="BO242" s="276"/>
      <c r="BP242" s="33"/>
      <c r="BQ242" s="276"/>
      <c r="BR242" s="276"/>
      <c r="BS242" s="276"/>
      <c r="BT242" s="153"/>
    </row>
    <row r="243" spans="49:72" ht="15" x14ac:dyDescent="0.25">
      <c r="AW243"/>
      <c r="AX243"/>
      <c r="BA243"/>
      <c r="BK243" s="38"/>
      <c r="BN243" s="275"/>
      <c r="BO243" s="276"/>
      <c r="BP243" s="33"/>
      <c r="BQ243" s="276"/>
      <c r="BR243" s="276"/>
      <c r="BS243" s="276"/>
      <c r="BT243" s="153"/>
    </row>
    <row r="244" spans="49:72" ht="15" x14ac:dyDescent="0.25">
      <c r="AW244"/>
      <c r="AX244"/>
      <c r="BA244"/>
      <c r="BK244" s="38"/>
      <c r="BN244" s="275"/>
      <c r="BO244" s="276"/>
      <c r="BP244" s="33"/>
      <c r="BQ244" s="276"/>
      <c r="BR244" s="276"/>
      <c r="BS244" s="276"/>
      <c r="BT244" s="153"/>
    </row>
    <row r="245" spans="49:72" ht="15" x14ac:dyDescent="0.25">
      <c r="AW245"/>
      <c r="AX245"/>
      <c r="BA245"/>
      <c r="BK245" s="38"/>
      <c r="BN245" s="275"/>
      <c r="BO245" s="276"/>
      <c r="BP245" s="33"/>
      <c r="BQ245" s="276"/>
      <c r="BR245" s="276"/>
      <c r="BS245" s="276"/>
      <c r="BT245" s="153"/>
    </row>
    <row r="246" spans="49:72" ht="15" x14ac:dyDescent="0.25">
      <c r="AW246"/>
      <c r="AX246"/>
      <c r="BA246"/>
      <c r="BK246" s="38"/>
      <c r="BN246" s="275"/>
      <c r="BO246" s="276"/>
      <c r="BP246" s="33"/>
      <c r="BQ246" s="276"/>
      <c r="BR246" s="276"/>
      <c r="BS246" s="276"/>
      <c r="BT246" s="153"/>
    </row>
    <row r="247" spans="49:72" ht="15" x14ac:dyDescent="0.25">
      <c r="AW247"/>
      <c r="AX247"/>
      <c r="BA247"/>
      <c r="BK247" s="38"/>
      <c r="BN247" s="275"/>
      <c r="BO247" s="276"/>
      <c r="BP247" s="33"/>
      <c r="BQ247" s="276"/>
      <c r="BR247" s="276"/>
      <c r="BS247" s="276"/>
      <c r="BT247" s="153"/>
    </row>
    <row r="248" spans="49:72" ht="15" x14ac:dyDescent="0.25">
      <c r="AW248"/>
      <c r="AX248"/>
      <c r="BA248"/>
      <c r="BK248" s="38"/>
      <c r="BN248" s="275"/>
      <c r="BO248" s="276"/>
      <c r="BP248" s="33"/>
      <c r="BQ248" s="276"/>
      <c r="BR248" s="276"/>
      <c r="BS248" s="276"/>
      <c r="BT248" s="153"/>
    </row>
    <row r="249" spans="49:72" ht="15" x14ac:dyDescent="0.25">
      <c r="AW249"/>
      <c r="AX249"/>
      <c r="BA249"/>
      <c r="BK249" s="38"/>
      <c r="BN249" s="275"/>
      <c r="BO249" s="276"/>
      <c r="BP249" s="33"/>
      <c r="BQ249" s="276"/>
      <c r="BR249" s="276"/>
      <c r="BS249" s="276"/>
      <c r="BT249" s="153"/>
    </row>
    <row r="250" spans="49:72" ht="15" x14ac:dyDescent="0.25">
      <c r="AW250"/>
      <c r="AX250"/>
      <c r="BA250"/>
      <c r="BK250" s="38"/>
      <c r="BN250" s="275"/>
      <c r="BO250" s="276"/>
      <c r="BP250" s="33"/>
      <c r="BQ250" s="276"/>
      <c r="BR250" s="276"/>
      <c r="BS250" s="276"/>
      <c r="BT250" s="153"/>
    </row>
    <row r="251" spans="49:72" ht="15" x14ac:dyDescent="0.25">
      <c r="AW251"/>
      <c r="AX251"/>
      <c r="BA251"/>
      <c r="BK251" s="38"/>
      <c r="BN251" s="275"/>
      <c r="BO251" s="276"/>
      <c r="BP251" s="33"/>
      <c r="BQ251" s="276"/>
      <c r="BR251" s="276"/>
      <c r="BS251" s="276"/>
      <c r="BT251" s="153"/>
    </row>
    <row r="252" spans="49:72" ht="15" x14ac:dyDescent="0.25">
      <c r="AW252"/>
      <c r="AX252"/>
      <c r="BA252"/>
      <c r="BK252" s="38"/>
      <c r="BN252" s="275"/>
      <c r="BO252" s="276"/>
      <c r="BP252" s="33"/>
      <c r="BQ252" s="276"/>
      <c r="BR252" s="276"/>
      <c r="BS252" s="276"/>
      <c r="BT252" s="153"/>
    </row>
    <row r="253" spans="49:72" ht="15" x14ac:dyDescent="0.25">
      <c r="AW253"/>
      <c r="AX253"/>
      <c r="BA253"/>
      <c r="BK253" s="38"/>
      <c r="BN253" s="275"/>
      <c r="BO253" s="276"/>
      <c r="BP253" s="33"/>
      <c r="BQ253" s="276"/>
      <c r="BR253" s="276"/>
      <c r="BS253" s="276"/>
      <c r="BT253" s="153"/>
    </row>
    <row r="254" spans="49:72" ht="15" x14ac:dyDescent="0.25">
      <c r="AW254"/>
      <c r="AX254"/>
      <c r="BA254"/>
      <c r="BK254" s="38"/>
      <c r="BN254" s="275"/>
      <c r="BO254" s="276"/>
      <c r="BP254" s="33"/>
      <c r="BQ254" s="276"/>
      <c r="BR254" s="276"/>
      <c r="BS254" s="276"/>
      <c r="BT254" s="153"/>
    </row>
    <row r="255" spans="49:72" ht="15" x14ac:dyDescent="0.25">
      <c r="AW255"/>
      <c r="AX255"/>
      <c r="BA255"/>
      <c r="BK255" s="38"/>
      <c r="BN255" s="275"/>
      <c r="BO255" s="276"/>
      <c r="BP255" s="33"/>
      <c r="BQ255" s="276"/>
      <c r="BR255" s="276"/>
      <c r="BS255" s="276"/>
      <c r="BT255" s="153"/>
    </row>
    <row r="256" spans="49:72" ht="15" x14ac:dyDescent="0.25">
      <c r="AW256"/>
      <c r="AX256"/>
      <c r="BA256"/>
      <c r="BK256" s="38"/>
      <c r="BN256" s="275"/>
      <c r="BO256" s="276"/>
      <c r="BP256" s="33"/>
      <c r="BQ256" s="276"/>
      <c r="BR256" s="276"/>
      <c r="BS256" s="276"/>
      <c r="BT256" s="153"/>
    </row>
    <row r="257" spans="49:72" ht="15" x14ac:dyDescent="0.25">
      <c r="AW257"/>
      <c r="AX257"/>
      <c r="BA257"/>
      <c r="BK257" s="38"/>
      <c r="BN257" s="275"/>
      <c r="BO257" s="276"/>
      <c r="BP257" s="33"/>
      <c r="BQ257" s="276"/>
      <c r="BR257" s="276"/>
      <c r="BS257" s="276"/>
      <c r="BT257" s="153"/>
    </row>
    <row r="258" spans="49:72" ht="15" x14ac:dyDescent="0.25">
      <c r="AW258"/>
      <c r="AX258"/>
      <c r="BA258"/>
      <c r="BK258" s="38"/>
      <c r="BN258" s="275"/>
      <c r="BO258" s="276"/>
      <c r="BP258" s="33"/>
      <c r="BQ258" s="276"/>
      <c r="BR258" s="276"/>
      <c r="BS258" s="276"/>
      <c r="BT258" s="153"/>
    </row>
    <row r="259" spans="49:72" ht="15" x14ac:dyDescent="0.25">
      <c r="AW259"/>
      <c r="AX259"/>
      <c r="BA259"/>
      <c r="BK259" s="38"/>
      <c r="BN259" s="275"/>
      <c r="BO259" s="276"/>
      <c r="BP259" s="33"/>
      <c r="BQ259" s="276"/>
      <c r="BR259" s="276"/>
      <c r="BS259" s="276"/>
      <c r="BT259" s="153"/>
    </row>
    <row r="260" spans="49:72" ht="15" x14ac:dyDescent="0.25">
      <c r="AW260"/>
      <c r="AX260"/>
      <c r="BA260"/>
      <c r="BK260" s="38"/>
      <c r="BN260" s="275"/>
      <c r="BO260" s="276"/>
      <c r="BP260" s="33"/>
      <c r="BQ260" s="276"/>
      <c r="BR260" s="276"/>
      <c r="BS260" s="276"/>
      <c r="BT260" s="153"/>
    </row>
    <row r="261" spans="49:72" ht="15" x14ac:dyDescent="0.25">
      <c r="AW261"/>
      <c r="AX261"/>
      <c r="BA261"/>
      <c r="BK261" s="38"/>
      <c r="BN261" s="275"/>
      <c r="BO261" s="276"/>
      <c r="BP261" s="33"/>
      <c r="BQ261" s="276"/>
      <c r="BR261" s="276"/>
      <c r="BS261" s="276"/>
      <c r="BT261" s="153"/>
    </row>
    <row r="262" spans="49:72" ht="15" x14ac:dyDescent="0.25">
      <c r="AW262"/>
      <c r="AX262"/>
      <c r="BA262"/>
      <c r="BK262" s="38"/>
      <c r="BN262" s="275"/>
      <c r="BO262" s="276"/>
      <c r="BP262" s="33"/>
      <c r="BQ262" s="276"/>
      <c r="BR262" s="276"/>
      <c r="BS262" s="276"/>
      <c r="BT262" s="153"/>
    </row>
    <row r="263" spans="49:72" ht="15" x14ac:dyDescent="0.25">
      <c r="AW263"/>
      <c r="AX263"/>
      <c r="BA263"/>
      <c r="BK263" s="38"/>
      <c r="BN263" s="275"/>
      <c r="BO263" s="276"/>
      <c r="BP263" s="33"/>
      <c r="BQ263" s="276"/>
      <c r="BR263" s="276"/>
      <c r="BS263" s="276"/>
      <c r="BT263" s="153"/>
    </row>
    <row r="264" spans="49:72" ht="15" x14ac:dyDescent="0.25">
      <c r="AW264"/>
      <c r="AX264"/>
      <c r="BA264"/>
      <c r="BK264" s="38"/>
      <c r="BN264" s="275"/>
      <c r="BO264" s="276"/>
      <c r="BP264" s="33"/>
      <c r="BQ264" s="276"/>
      <c r="BR264" s="276"/>
      <c r="BS264" s="276"/>
      <c r="BT264" s="153"/>
    </row>
    <row r="265" spans="49:72" ht="15" x14ac:dyDescent="0.25">
      <c r="AW265"/>
      <c r="AX265"/>
      <c r="BA265"/>
      <c r="BK265" s="38"/>
      <c r="BN265" s="275"/>
      <c r="BO265" s="276"/>
      <c r="BP265" s="33"/>
      <c r="BQ265" s="276"/>
      <c r="BR265" s="276"/>
      <c r="BS265" s="276"/>
      <c r="BT265" s="153"/>
    </row>
    <row r="266" spans="49:72" ht="15" x14ac:dyDescent="0.25">
      <c r="AW266"/>
      <c r="AX266"/>
      <c r="BA266"/>
      <c r="BK266" s="38"/>
      <c r="BN266" s="275"/>
      <c r="BO266" s="276"/>
      <c r="BP266" s="33"/>
      <c r="BQ266" s="276"/>
      <c r="BR266" s="276"/>
      <c r="BS266" s="276"/>
      <c r="BT266" s="153"/>
    </row>
    <row r="267" spans="49:72" ht="15" x14ac:dyDescent="0.25">
      <c r="AW267"/>
      <c r="AX267"/>
      <c r="BA267"/>
      <c r="BK267" s="38"/>
      <c r="BN267" s="275"/>
      <c r="BO267" s="276"/>
      <c r="BP267" s="33"/>
      <c r="BQ267" s="276"/>
      <c r="BR267" s="276"/>
      <c r="BS267" s="276"/>
      <c r="BT267" s="153"/>
    </row>
    <row r="268" spans="49:72" ht="15" x14ac:dyDescent="0.25">
      <c r="AW268"/>
      <c r="AX268"/>
      <c r="BA268"/>
      <c r="BK268" s="38"/>
      <c r="BN268" s="275"/>
      <c r="BO268" s="276"/>
      <c r="BP268" s="33"/>
      <c r="BQ268" s="276"/>
      <c r="BR268" s="276"/>
      <c r="BS268" s="276"/>
      <c r="BT268" s="153"/>
    </row>
    <row r="269" spans="49:72" ht="15" x14ac:dyDescent="0.25">
      <c r="AW269"/>
      <c r="AX269"/>
      <c r="BA269"/>
      <c r="BK269" s="38"/>
      <c r="BN269" s="275"/>
      <c r="BO269" s="276"/>
      <c r="BP269" s="33"/>
      <c r="BQ269" s="276"/>
      <c r="BR269" s="276"/>
      <c r="BS269" s="276"/>
      <c r="BT269" s="153"/>
    </row>
    <row r="270" spans="49:72" ht="15" x14ac:dyDescent="0.25">
      <c r="AW270"/>
      <c r="AX270"/>
      <c r="BA270"/>
      <c r="BK270" s="38"/>
      <c r="BN270" s="275"/>
      <c r="BO270" s="276"/>
      <c r="BP270" s="33"/>
      <c r="BQ270" s="276"/>
      <c r="BR270" s="276"/>
      <c r="BS270" s="276"/>
      <c r="BT270" s="153"/>
    </row>
    <row r="271" spans="49:72" ht="15" x14ac:dyDescent="0.25">
      <c r="AW271"/>
      <c r="AX271"/>
      <c r="BA271"/>
      <c r="BK271" s="38"/>
      <c r="BN271" s="275"/>
      <c r="BO271" s="276"/>
      <c r="BP271" s="33"/>
      <c r="BQ271" s="276"/>
      <c r="BR271" s="276"/>
      <c r="BS271" s="276"/>
      <c r="BT271" s="153"/>
    </row>
    <row r="272" spans="49:72" ht="15" x14ac:dyDescent="0.25">
      <c r="AW272"/>
      <c r="AX272"/>
      <c r="BA272"/>
      <c r="BK272" s="38"/>
      <c r="BN272" s="275"/>
      <c r="BO272" s="276"/>
      <c r="BP272" s="33"/>
      <c r="BQ272" s="276"/>
      <c r="BR272" s="276"/>
      <c r="BS272" s="276"/>
      <c r="BT272" s="153"/>
    </row>
    <row r="273" spans="49:72" ht="15" x14ac:dyDescent="0.25">
      <c r="AW273"/>
      <c r="AX273"/>
      <c r="BA273"/>
      <c r="BK273" s="38"/>
      <c r="BN273" s="275"/>
      <c r="BO273" s="276"/>
      <c r="BP273" s="33"/>
      <c r="BQ273" s="276"/>
      <c r="BR273" s="276"/>
      <c r="BS273" s="276"/>
      <c r="BT273" s="153"/>
    </row>
    <row r="274" spans="49:72" ht="15" x14ac:dyDescent="0.25">
      <c r="AW274"/>
      <c r="AX274"/>
      <c r="BA274"/>
      <c r="BK274" s="38"/>
      <c r="BN274" s="275"/>
      <c r="BO274" s="276"/>
      <c r="BP274" s="33"/>
      <c r="BQ274" s="276"/>
      <c r="BR274" s="276"/>
      <c r="BS274" s="276"/>
      <c r="BT274" s="153"/>
    </row>
    <row r="275" spans="49:72" ht="15" x14ac:dyDescent="0.25">
      <c r="AW275"/>
      <c r="AX275"/>
      <c r="BA275"/>
      <c r="BK275" s="38"/>
      <c r="BN275" s="275"/>
      <c r="BO275" s="276"/>
      <c r="BP275" s="33"/>
      <c r="BQ275" s="276"/>
      <c r="BR275" s="276"/>
      <c r="BS275" s="276"/>
      <c r="BT275" s="153"/>
    </row>
    <row r="276" spans="49:72" ht="15" x14ac:dyDescent="0.25">
      <c r="AW276"/>
      <c r="AX276"/>
      <c r="BA276"/>
      <c r="BK276" s="38"/>
      <c r="BN276" s="275"/>
      <c r="BO276" s="276"/>
      <c r="BP276" s="33"/>
      <c r="BQ276" s="276"/>
      <c r="BR276" s="276"/>
      <c r="BS276" s="276"/>
      <c r="BT276" s="153"/>
    </row>
    <row r="277" spans="49:72" ht="15" x14ac:dyDescent="0.25">
      <c r="AW277"/>
      <c r="AX277"/>
      <c r="BA277"/>
      <c r="BK277" s="38"/>
      <c r="BN277" s="275"/>
      <c r="BO277" s="276"/>
      <c r="BP277" s="33"/>
      <c r="BQ277" s="276"/>
      <c r="BR277" s="276"/>
      <c r="BS277" s="276"/>
      <c r="BT277" s="153"/>
    </row>
    <row r="278" spans="49:72" ht="15" x14ac:dyDescent="0.25">
      <c r="AW278"/>
      <c r="AX278"/>
      <c r="BA278"/>
      <c r="BK278" s="38"/>
      <c r="BN278" s="275"/>
      <c r="BO278" s="276"/>
      <c r="BP278" s="33"/>
      <c r="BQ278" s="276"/>
      <c r="BR278" s="276"/>
      <c r="BS278" s="276"/>
      <c r="BT278" s="153"/>
    </row>
    <row r="279" spans="49:72" ht="15" x14ac:dyDescent="0.25">
      <c r="AW279"/>
      <c r="AX279"/>
      <c r="BA279"/>
      <c r="BK279" s="38"/>
      <c r="BN279" s="275"/>
      <c r="BO279" s="276"/>
      <c r="BP279" s="33"/>
      <c r="BQ279" s="276"/>
      <c r="BR279" s="276"/>
      <c r="BS279" s="276"/>
      <c r="BT279" s="153"/>
    </row>
    <row r="280" spans="49:72" ht="15" x14ac:dyDescent="0.25">
      <c r="AW280"/>
      <c r="AX280"/>
      <c r="BA280"/>
      <c r="BK280" s="38"/>
      <c r="BN280" s="275"/>
      <c r="BO280" s="276"/>
      <c r="BP280" s="33"/>
      <c r="BQ280" s="276"/>
      <c r="BR280" s="276"/>
      <c r="BS280" s="276"/>
      <c r="BT280" s="153"/>
    </row>
    <row r="281" spans="49:72" ht="15" x14ac:dyDescent="0.25">
      <c r="AW281"/>
      <c r="AX281"/>
      <c r="BA281"/>
      <c r="BK281" s="38"/>
      <c r="BN281" s="275"/>
      <c r="BO281" s="276"/>
      <c r="BP281" s="33"/>
      <c r="BQ281" s="276"/>
      <c r="BR281" s="276"/>
      <c r="BS281" s="276"/>
      <c r="BT281" s="153"/>
    </row>
    <row r="282" spans="49:72" ht="15" x14ac:dyDescent="0.25">
      <c r="AW282"/>
      <c r="AX282"/>
      <c r="BA282"/>
      <c r="BK282" s="38"/>
      <c r="BN282" s="275"/>
      <c r="BO282" s="276"/>
      <c r="BP282" s="33"/>
      <c r="BQ282" s="276"/>
      <c r="BR282" s="276"/>
      <c r="BS282" s="276"/>
      <c r="BT282" s="153"/>
    </row>
    <row r="283" spans="49:72" ht="15" x14ac:dyDescent="0.25">
      <c r="AW283"/>
      <c r="AX283"/>
      <c r="BA283"/>
      <c r="BK283" s="38"/>
      <c r="BN283" s="275"/>
      <c r="BO283" s="276"/>
      <c r="BP283" s="33"/>
      <c r="BQ283" s="276"/>
      <c r="BR283" s="276"/>
      <c r="BS283" s="276"/>
      <c r="BT283" s="153"/>
    </row>
    <row r="284" spans="49:72" ht="15" x14ac:dyDescent="0.25">
      <c r="AW284"/>
      <c r="AX284"/>
      <c r="BA284"/>
      <c r="BK284" s="38"/>
      <c r="BN284" s="275"/>
      <c r="BO284" s="276"/>
      <c r="BP284" s="33"/>
      <c r="BQ284" s="276"/>
      <c r="BR284" s="276"/>
      <c r="BS284" s="276"/>
      <c r="BT284" s="153"/>
    </row>
    <row r="285" spans="49:72" ht="15" x14ac:dyDescent="0.25">
      <c r="AW285"/>
      <c r="AX285"/>
      <c r="BA285"/>
      <c r="BK285" s="38"/>
      <c r="BN285" s="275"/>
      <c r="BO285" s="276"/>
      <c r="BP285" s="33"/>
      <c r="BQ285" s="276"/>
      <c r="BR285" s="276"/>
      <c r="BS285" s="276"/>
      <c r="BT285" s="153"/>
    </row>
    <row r="286" spans="49:72" ht="15" x14ac:dyDescent="0.25">
      <c r="AW286"/>
      <c r="AX286"/>
      <c r="BA286"/>
      <c r="BK286" s="38"/>
      <c r="BN286" s="275"/>
      <c r="BO286" s="276"/>
      <c r="BP286" s="33"/>
      <c r="BQ286" s="276"/>
      <c r="BR286" s="276"/>
      <c r="BS286" s="276"/>
      <c r="BT286" s="153"/>
    </row>
    <row r="287" spans="49:72" ht="15" x14ac:dyDescent="0.25">
      <c r="AW287"/>
      <c r="AX287"/>
      <c r="BA287"/>
      <c r="BK287" s="38"/>
      <c r="BN287" s="275"/>
      <c r="BO287" s="276"/>
      <c r="BP287" s="33"/>
      <c r="BQ287" s="276"/>
      <c r="BR287" s="276"/>
      <c r="BS287" s="276"/>
      <c r="BT287" s="153"/>
    </row>
    <row r="288" spans="49:72" ht="15" x14ac:dyDescent="0.25">
      <c r="AW288"/>
      <c r="AX288"/>
      <c r="BA288"/>
      <c r="BK288" s="38"/>
      <c r="BN288" s="275"/>
      <c r="BO288" s="276"/>
      <c r="BP288" s="33"/>
      <c r="BQ288" s="276"/>
      <c r="BR288" s="276"/>
      <c r="BS288" s="276"/>
      <c r="BT288" s="153"/>
    </row>
    <row r="289" spans="49:72" ht="15" x14ac:dyDescent="0.25">
      <c r="AW289"/>
      <c r="AX289"/>
      <c r="BA289"/>
      <c r="BK289" s="38"/>
      <c r="BN289" s="275"/>
      <c r="BO289" s="276"/>
      <c r="BP289" s="33"/>
      <c r="BQ289" s="276"/>
      <c r="BR289" s="276"/>
      <c r="BS289" s="276"/>
      <c r="BT289" s="153"/>
    </row>
    <row r="290" spans="49:72" ht="15" x14ac:dyDescent="0.25">
      <c r="AW290"/>
      <c r="AX290"/>
      <c r="BA290"/>
      <c r="BK290" s="38"/>
      <c r="BN290" s="275"/>
      <c r="BO290" s="276"/>
      <c r="BP290" s="33"/>
      <c r="BQ290" s="276"/>
      <c r="BR290" s="276"/>
      <c r="BS290" s="276"/>
      <c r="BT290" s="153"/>
    </row>
    <row r="291" spans="49:72" ht="15" x14ac:dyDescent="0.25">
      <c r="AW291"/>
      <c r="AX291"/>
      <c r="BA291"/>
      <c r="BK291" s="38"/>
      <c r="BN291" s="275"/>
      <c r="BO291" s="276"/>
      <c r="BP291" s="33"/>
      <c r="BQ291" s="276"/>
      <c r="BR291" s="276"/>
      <c r="BS291" s="276"/>
      <c r="BT291" s="153"/>
    </row>
    <row r="292" spans="49:72" ht="15" x14ac:dyDescent="0.25">
      <c r="AW292"/>
      <c r="AX292"/>
      <c r="BA292"/>
      <c r="BK292" s="38"/>
      <c r="BN292" s="275"/>
      <c r="BO292" s="276"/>
      <c r="BP292" s="33"/>
      <c r="BQ292" s="276"/>
      <c r="BR292" s="276"/>
      <c r="BS292" s="276"/>
      <c r="BT292" s="153"/>
    </row>
    <row r="293" spans="49:72" ht="15" x14ac:dyDescent="0.25">
      <c r="AW293"/>
      <c r="AX293"/>
      <c r="BA293"/>
      <c r="BK293" s="38"/>
      <c r="BN293" s="275"/>
      <c r="BO293" s="276"/>
      <c r="BP293" s="33"/>
      <c r="BQ293" s="276"/>
      <c r="BR293" s="276"/>
      <c r="BS293" s="276"/>
      <c r="BT293" s="153"/>
    </row>
    <row r="294" spans="49:72" ht="15" x14ac:dyDescent="0.25">
      <c r="AW294"/>
      <c r="AX294"/>
      <c r="BA294"/>
      <c r="BK294" s="38"/>
      <c r="BN294" s="275"/>
      <c r="BO294" s="276"/>
      <c r="BP294" s="33"/>
      <c r="BQ294" s="276"/>
      <c r="BR294" s="276"/>
      <c r="BS294" s="276"/>
      <c r="BT294" s="153"/>
    </row>
    <row r="295" spans="49:72" ht="15" x14ac:dyDescent="0.25">
      <c r="AW295"/>
      <c r="AX295"/>
      <c r="BA295"/>
      <c r="BK295" s="38"/>
      <c r="BN295" s="275"/>
      <c r="BO295" s="276"/>
      <c r="BP295" s="33"/>
      <c r="BQ295" s="276"/>
      <c r="BR295" s="276"/>
      <c r="BS295" s="276"/>
      <c r="BT295" s="153"/>
    </row>
    <row r="296" spans="49:72" ht="15" x14ac:dyDescent="0.25">
      <c r="AW296"/>
      <c r="AX296"/>
      <c r="BA296"/>
      <c r="BK296" s="38"/>
      <c r="BN296" s="275"/>
      <c r="BO296" s="276"/>
      <c r="BP296" s="33"/>
      <c r="BQ296" s="276"/>
      <c r="BR296" s="276"/>
      <c r="BS296" s="276"/>
      <c r="BT296" s="153"/>
    </row>
    <row r="297" spans="49:72" ht="15" x14ac:dyDescent="0.25">
      <c r="AW297"/>
      <c r="AX297"/>
      <c r="BA297"/>
      <c r="BK297" s="38"/>
      <c r="BN297" s="275"/>
      <c r="BO297" s="276"/>
      <c r="BP297" s="33"/>
      <c r="BQ297" s="276"/>
      <c r="BR297" s="276"/>
      <c r="BS297" s="276"/>
      <c r="BT297" s="153"/>
    </row>
    <row r="298" spans="49:72" ht="15" x14ac:dyDescent="0.25">
      <c r="AW298"/>
      <c r="AX298"/>
      <c r="BA298"/>
      <c r="BK298" s="38"/>
      <c r="BN298" s="275"/>
      <c r="BO298" s="276"/>
      <c r="BP298" s="33"/>
      <c r="BQ298" s="276"/>
      <c r="BR298" s="276"/>
      <c r="BS298" s="276"/>
      <c r="BT298" s="153"/>
    </row>
    <row r="299" spans="49:72" ht="15" x14ac:dyDescent="0.25">
      <c r="AW299"/>
      <c r="AX299"/>
      <c r="BA299"/>
      <c r="BK299" s="38"/>
      <c r="BN299" s="275"/>
      <c r="BO299" s="276"/>
      <c r="BP299" s="33"/>
      <c r="BQ299" s="276"/>
      <c r="BR299" s="276"/>
      <c r="BS299" s="276"/>
      <c r="BT299" s="153"/>
    </row>
    <row r="300" spans="49:72" ht="15" x14ac:dyDescent="0.25">
      <c r="AW300"/>
      <c r="AX300"/>
      <c r="BA300"/>
      <c r="BK300" s="38"/>
      <c r="BN300" s="275"/>
      <c r="BO300" s="276"/>
      <c r="BP300" s="33"/>
      <c r="BQ300" s="276"/>
      <c r="BR300" s="276"/>
      <c r="BS300" s="276"/>
      <c r="BT300" s="153"/>
    </row>
    <row r="301" spans="49:72" ht="15" x14ac:dyDescent="0.25">
      <c r="AW301"/>
      <c r="AX301"/>
      <c r="BA301"/>
      <c r="BK301" s="38"/>
      <c r="BN301" s="275"/>
      <c r="BO301" s="276"/>
      <c r="BP301" s="33"/>
      <c r="BQ301" s="276"/>
      <c r="BR301" s="276"/>
      <c r="BS301" s="276"/>
      <c r="BT301" s="153"/>
    </row>
    <row r="302" spans="49:72" ht="15" x14ac:dyDescent="0.25">
      <c r="AW302"/>
      <c r="AX302"/>
      <c r="BA302"/>
      <c r="BK302" s="38"/>
      <c r="BN302" s="275"/>
      <c r="BO302" s="276"/>
      <c r="BP302" s="33"/>
      <c r="BQ302" s="276"/>
      <c r="BR302" s="276"/>
      <c r="BS302" s="276"/>
      <c r="BT302" s="153"/>
    </row>
    <row r="303" spans="49:72" ht="15" x14ac:dyDescent="0.25">
      <c r="AW303"/>
      <c r="AX303"/>
      <c r="BA303"/>
      <c r="BK303" s="38"/>
      <c r="BN303" s="275"/>
      <c r="BO303" s="276"/>
      <c r="BP303" s="33"/>
      <c r="BQ303" s="276"/>
      <c r="BR303" s="276"/>
      <c r="BS303" s="276"/>
      <c r="BT303" s="153"/>
    </row>
    <row r="304" spans="49:72" ht="15" x14ac:dyDescent="0.25">
      <c r="AW304"/>
      <c r="AX304"/>
      <c r="BA304"/>
      <c r="BK304" s="38"/>
      <c r="BN304" s="275"/>
      <c r="BO304" s="276"/>
      <c r="BP304" s="33"/>
      <c r="BQ304" s="276"/>
      <c r="BR304" s="276"/>
      <c r="BS304" s="276"/>
      <c r="BT304" s="153"/>
    </row>
    <row r="305" spans="49:72" ht="15" x14ac:dyDescent="0.25">
      <c r="AW305"/>
      <c r="AX305"/>
      <c r="BA305"/>
      <c r="BK305" s="38"/>
      <c r="BN305" s="275"/>
      <c r="BO305" s="276"/>
      <c r="BP305" s="33"/>
      <c r="BQ305" s="276"/>
      <c r="BR305" s="276"/>
      <c r="BS305" s="276"/>
      <c r="BT305" s="153"/>
    </row>
    <row r="306" spans="49:72" ht="15" x14ac:dyDescent="0.25">
      <c r="AW306"/>
      <c r="AX306"/>
      <c r="BA306"/>
      <c r="BK306" s="38"/>
      <c r="BN306" s="275"/>
      <c r="BO306" s="276"/>
      <c r="BP306" s="33"/>
      <c r="BQ306" s="276"/>
      <c r="BR306" s="276"/>
      <c r="BS306" s="276"/>
      <c r="BT306" s="153"/>
    </row>
    <row r="307" spans="49:72" ht="15" x14ac:dyDescent="0.25">
      <c r="AW307"/>
      <c r="AX307"/>
      <c r="BA307"/>
      <c r="BK307" s="38"/>
      <c r="BN307" s="275"/>
      <c r="BO307" s="276"/>
      <c r="BP307" s="33"/>
      <c r="BQ307" s="276"/>
      <c r="BR307" s="276"/>
      <c r="BS307" s="276"/>
      <c r="BT307" s="153"/>
    </row>
    <row r="308" spans="49:72" ht="15" x14ac:dyDescent="0.25">
      <c r="AW308"/>
      <c r="AX308"/>
      <c r="BA308"/>
      <c r="BK308" s="38"/>
      <c r="BN308" s="275"/>
      <c r="BO308" s="276"/>
      <c r="BP308" s="33"/>
      <c r="BQ308" s="276"/>
      <c r="BR308" s="276"/>
      <c r="BS308" s="276"/>
      <c r="BT308" s="153"/>
    </row>
    <row r="309" spans="49:72" ht="15" x14ac:dyDescent="0.25">
      <c r="AW309"/>
      <c r="AX309"/>
      <c r="BA309"/>
      <c r="BK309" s="38"/>
      <c r="BN309" s="275"/>
      <c r="BO309" s="276"/>
      <c r="BP309" s="33"/>
      <c r="BQ309" s="276"/>
      <c r="BR309" s="276"/>
      <c r="BS309" s="276"/>
      <c r="BT309" s="153"/>
    </row>
    <row r="310" spans="49:72" ht="15" x14ac:dyDescent="0.25">
      <c r="AW310"/>
      <c r="AX310"/>
      <c r="BA310"/>
      <c r="BK310" s="38"/>
      <c r="BN310" s="275"/>
      <c r="BO310" s="276"/>
      <c r="BP310" s="33"/>
      <c r="BQ310" s="276"/>
      <c r="BR310" s="276"/>
      <c r="BS310" s="276"/>
      <c r="BT310" s="153"/>
    </row>
    <row r="311" spans="49:72" ht="15" x14ac:dyDescent="0.25">
      <c r="AW311"/>
      <c r="AX311"/>
      <c r="BA311"/>
      <c r="BK311" s="38"/>
      <c r="BN311" s="275"/>
      <c r="BO311" s="276"/>
      <c r="BP311" s="33"/>
      <c r="BQ311" s="276"/>
      <c r="BR311" s="276"/>
      <c r="BS311" s="276"/>
      <c r="BT311" s="153"/>
    </row>
    <row r="312" spans="49:72" ht="15" x14ac:dyDescent="0.25">
      <c r="AW312"/>
      <c r="AX312"/>
      <c r="BA312"/>
      <c r="BK312" s="38"/>
      <c r="BN312" s="275"/>
      <c r="BO312" s="276"/>
      <c r="BP312" s="33"/>
      <c r="BQ312" s="276"/>
      <c r="BR312" s="276"/>
      <c r="BS312" s="276"/>
      <c r="BT312" s="153"/>
    </row>
    <row r="313" spans="49:72" ht="15" x14ac:dyDescent="0.25">
      <c r="AW313"/>
      <c r="AX313"/>
      <c r="BA313"/>
      <c r="BK313" s="38"/>
      <c r="BN313" s="275"/>
      <c r="BO313" s="276"/>
      <c r="BP313" s="33"/>
      <c r="BQ313" s="276"/>
      <c r="BR313" s="276"/>
      <c r="BS313" s="276"/>
      <c r="BT313" s="153"/>
    </row>
    <row r="314" spans="49:72" ht="15" x14ac:dyDescent="0.25">
      <c r="AW314"/>
      <c r="AX314"/>
      <c r="BA314"/>
      <c r="BK314" s="38"/>
      <c r="BN314" s="275"/>
      <c r="BO314" s="276"/>
      <c r="BP314" s="33"/>
      <c r="BQ314" s="276"/>
      <c r="BR314" s="276"/>
      <c r="BS314" s="276"/>
      <c r="BT314" s="153"/>
    </row>
    <row r="315" spans="49:72" ht="15" x14ac:dyDescent="0.25">
      <c r="AW315"/>
      <c r="AX315"/>
      <c r="BA315"/>
      <c r="BK315" s="38"/>
      <c r="BN315" s="275"/>
      <c r="BO315" s="276"/>
      <c r="BP315" s="33"/>
      <c r="BQ315" s="276"/>
      <c r="BR315" s="276"/>
      <c r="BS315" s="276"/>
      <c r="BT315" s="153"/>
    </row>
    <row r="316" spans="49:72" ht="15" x14ac:dyDescent="0.25">
      <c r="AW316"/>
      <c r="AX316"/>
      <c r="BA316"/>
      <c r="BK316" s="38"/>
      <c r="BN316" s="275"/>
      <c r="BO316" s="276"/>
      <c r="BP316" s="33"/>
      <c r="BQ316" s="276"/>
      <c r="BR316" s="276"/>
      <c r="BS316" s="276"/>
      <c r="BT316" s="153"/>
    </row>
    <row r="317" spans="49:72" ht="15" x14ac:dyDescent="0.25">
      <c r="AW317"/>
      <c r="AX317"/>
      <c r="BA317"/>
      <c r="BK317" s="38"/>
      <c r="BN317" s="275"/>
      <c r="BO317" s="276"/>
      <c r="BP317" s="33"/>
      <c r="BQ317" s="276"/>
      <c r="BR317" s="276"/>
      <c r="BS317" s="276"/>
      <c r="BT317" s="153"/>
    </row>
    <row r="318" spans="49:72" ht="15" x14ac:dyDescent="0.25">
      <c r="AW318"/>
      <c r="AX318"/>
      <c r="BA318"/>
      <c r="BK318" s="38"/>
      <c r="BN318" s="275"/>
      <c r="BO318" s="276"/>
      <c r="BP318" s="33"/>
      <c r="BQ318" s="276"/>
      <c r="BR318" s="276"/>
      <c r="BS318" s="276"/>
      <c r="BT318" s="153"/>
    </row>
    <row r="319" spans="49:72" ht="15" x14ac:dyDescent="0.25">
      <c r="AW319"/>
      <c r="AX319"/>
      <c r="BA319"/>
      <c r="BK319" s="38"/>
      <c r="BN319" s="275"/>
      <c r="BO319" s="276"/>
      <c r="BP319" s="33"/>
      <c r="BQ319" s="276"/>
      <c r="BR319" s="276"/>
      <c r="BS319" s="276"/>
      <c r="BT319" s="153"/>
    </row>
    <row r="320" spans="49:72" ht="15" x14ac:dyDescent="0.25">
      <c r="AW320"/>
      <c r="AX320"/>
      <c r="BA320"/>
      <c r="BK320" s="38"/>
      <c r="BN320" s="275"/>
      <c r="BO320" s="276"/>
      <c r="BP320" s="33"/>
      <c r="BQ320" s="276"/>
      <c r="BR320" s="276"/>
      <c r="BS320" s="276"/>
      <c r="BT320" s="153"/>
    </row>
    <row r="321" spans="49:72" ht="15" x14ac:dyDescent="0.25">
      <c r="AW321"/>
      <c r="AX321"/>
      <c r="BA321"/>
      <c r="BK321" s="38"/>
      <c r="BN321" s="275"/>
      <c r="BO321" s="276"/>
      <c r="BP321" s="33"/>
      <c r="BQ321" s="276"/>
      <c r="BR321" s="276"/>
      <c r="BS321" s="276"/>
      <c r="BT321" s="153"/>
    </row>
    <row r="322" spans="49:72" ht="15" x14ac:dyDescent="0.25">
      <c r="AW322"/>
      <c r="AX322"/>
      <c r="BA322"/>
      <c r="BK322" s="38"/>
      <c r="BN322" s="275"/>
      <c r="BO322" s="276"/>
      <c r="BP322" s="33"/>
      <c r="BQ322" s="276"/>
      <c r="BR322" s="276"/>
      <c r="BS322" s="276"/>
      <c r="BT322" s="153"/>
    </row>
    <row r="323" spans="49:72" ht="15" x14ac:dyDescent="0.25">
      <c r="AW323"/>
      <c r="AX323"/>
      <c r="BA323"/>
      <c r="BK323" s="38"/>
      <c r="BN323" s="275"/>
      <c r="BO323" s="276"/>
      <c r="BP323" s="33"/>
      <c r="BQ323" s="276"/>
      <c r="BR323" s="276"/>
      <c r="BS323" s="276"/>
      <c r="BT323" s="153"/>
    </row>
    <row r="324" spans="49:72" ht="15" x14ac:dyDescent="0.25">
      <c r="AW324"/>
      <c r="AX324"/>
      <c r="BA324"/>
      <c r="BK324" s="38"/>
      <c r="BN324" s="275"/>
      <c r="BO324" s="276"/>
      <c r="BP324" s="33"/>
      <c r="BQ324" s="276"/>
      <c r="BR324" s="276"/>
      <c r="BS324" s="276"/>
      <c r="BT324" s="153"/>
    </row>
    <row r="325" spans="49:72" ht="15" x14ac:dyDescent="0.25">
      <c r="AW325"/>
      <c r="AX325"/>
      <c r="BA325"/>
      <c r="BK325" s="38"/>
      <c r="BN325" s="275"/>
      <c r="BO325" s="276"/>
      <c r="BP325" s="33"/>
      <c r="BQ325" s="276"/>
      <c r="BR325" s="276"/>
      <c r="BS325" s="276"/>
      <c r="BT325" s="153"/>
    </row>
    <row r="326" spans="49:72" ht="15" x14ac:dyDescent="0.25">
      <c r="AW326"/>
      <c r="AX326"/>
      <c r="BA326"/>
      <c r="BK326" s="38"/>
      <c r="BN326" s="275"/>
      <c r="BO326" s="276"/>
      <c r="BP326" s="33"/>
      <c r="BQ326" s="276"/>
      <c r="BR326" s="276"/>
      <c r="BS326" s="276"/>
      <c r="BT326" s="153"/>
    </row>
    <row r="327" spans="49:72" ht="15" x14ac:dyDescent="0.25">
      <c r="AW327"/>
      <c r="AX327"/>
      <c r="BA327"/>
      <c r="BK327" s="38"/>
      <c r="BN327" s="275"/>
      <c r="BO327" s="276"/>
      <c r="BP327" s="33"/>
      <c r="BQ327" s="276"/>
      <c r="BR327" s="276"/>
      <c r="BS327" s="276"/>
      <c r="BT327" s="153"/>
    </row>
    <row r="328" spans="49:72" ht="15" x14ac:dyDescent="0.25">
      <c r="AW328"/>
      <c r="AX328"/>
      <c r="BA328"/>
      <c r="BK328" s="38"/>
      <c r="BN328" s="275"/>
      <c r="BO328" s="276"/>
      <c r="BP328" s="33"/>
      <c r="BQ328" s="276"/>
      <c r="BR328" s="276"/>
      <c r="BS328" s="276"/>
      <c r="BT328" s="153"/>
    </row>
    <row r="329" spans="49:72" ht="15" x14ac:dyDescent="0.25">
      <c r="AW329"/>
      <c r="AX329"/>
      <c r="BA329"/>
      <c r="BK329" s="38"/>
      <c r="BN329" s="275"/>
      <c r="BO329" s="276"/>
      <c r="BP329" s="33"/>
      <c r="BQ329" s="276"/>
      <c r="BR329" s="276"/>
      <c r="BS329" s="276"/>
      <c r="BT329" s="153"/>
    </row>
    <row r="330" spans="49:72" ht="15" x14ac:dyDescent="0.25">
      <c r="AW330"/>
      <c r="AX330"/>
      <c r="BA330"/>
      <c r="BK330" s="38"/>
      <c r="BN330" s="275"/>
      <c r="BO330" s="276"/>
      <c r="BP330" s="33"/>
      <c r="BQ330" s="276"/>
      <c r="BR330" s="276"/>
      <c r="BS330" s="276"/>
      <c r="BT330" s="153"/>
    </row>
    <row r="331" spans="49:72" ht="15" x14ac:dyDescent="0.25">
      <c r="AW331"/>
      <c r="AX331"/>
      <c r="BA331"/>
      <c r="BK331" s="38"/>
      <c r="BN331" s="275"/>
      <c r="BO331" s="276"/>
      <c r="BP331" s="33"/>
      <c r="BQ331" s="276"/>
      <c r="BR331" s="276"/>
      <c r="BS331" s="276"/>
      <c r="BT331" s="153"/>
    </row>
    <row r="332" spans="49:72" ht="15" x14ac:dyDescent="0.25">
      <c r="AW332"/>
      <c r="AX332"/>
      <c r="BA332"/>
      <c r="BK332" s="38"/>
      <c r="BN332" s="275"/>
      <c r="BO332" s="276"/>
      <c r="BP332" s="33"/>
      <c r="BQ332" s="276"/>
      <c r="BR332" s="276"/>
      <c r="BS332" s="276"/>
      <c r="BT332" s="153"/>
    </row>
    <row r="333" spans="49:72" ht="15" x14ac:dyDescent="0.25">
      <c r="AW333"/>
      <c r="AX333"/>
      <c r="BA333"/>
      <c r="BK333" s="38"/>
      <c r="BN333" s="275"/>
      <c r="BO333" s="276"/>
      <c r="BP333" s="33"/>
      <c r="BQ333" s="276"/>
      <c r="BR333" s="276"/>
      <c r="BS333" s="276"/>
      <c r="BT333" s="153"/>
    </row>
    <row r="334" spans="49:72" ht="15" x14ac:dyDescent="0.25">
      <c r="AW334"/>
      <c r="AX334"/>
      <c r="BA334"/>
      <c r="BK334" s="38"/>
      <c r="BN334" s="275"/>
      <c r="BO334" s="276"/>
      <c r="BP334" s="33"/>
      <c r="BQ334" s="276"/>
      <c r="BR334" s="276"/>
      <c r="BS334" s="276"/>
      <c r="BT334" s="153"/>
    </row>
    <row r="335" spans="49:72" ht="15" x14ac:dyDescent="0.25">
      <c r="AW335"/>
      <c r="AX335"/>
      <c r="BA335"/>
      <c r="BK335" s="38"/>
      <c r="BN335" s="275"/>
      <c r="BO335" s="276"/>
      <c r="BP335" s="33"/>
      <c r="BQ335" s="276"/>
      <c r="BR335" s="276"/>
      <c r="BS335" s="276"/>
      <c r="BT335" s="153"/>
    </row>
    <row r="336" spans="49:72" ht="15" x14ac:dyDescent="0.25">
      <c r="AW336"/>
      <c r="AX336"/>
      <c r="BA336"/>
      <c r="BK336" s="38"/>
      <c r="BN336" s="275"/>
      <c r="BO336" s="276"/>
      <c r="BP336" s="33"/>
      <c r="BQ336" s="276"/>
      <c r="BR336" s="276"/>
      <c r="BS336" s="276"/>
      <c r="BT336" s="153"/>
    </row>
    <row r="337" spans="49:72" ht="15" x14ac:dyDescent="0.25">
      <c r="AW337"/>
      <c r="AX337"/>
      <c r="BA337"/>
      <c r="BK337" s="38"/>
      <c r="BN337" s="275"/>
      <c r="BO337" s="276"/>
      <c r="BP337" s="33"/>
      <c r="BQ337" s="276"/>
      <c r="BR337" s="276"/>
      <c r="BS337" s="276"/>
      <c r="BT337" s="153"/>
    </row>
    <row r="338" spans="49:72" ht="15" x14ac:dyDescent="0.25">
      <c r="AW338"/>
      <c r="AX338"/>
      <c r="BA338"/>
      <c r="BK338" s="38"/>
      <c r="BN338" s="275"/>
      <c r="BO338" s="276"/>
      <c r="BP338" s="33"/>
      <c r="BQ338" s="276"/>
      <c r="BR338" s="276"/>
      <c r="BS338" s="276"/>
      <c r="BT338" s="153"/>
    </row>
    <row r="339" spans="49:72" ht="15" x14ac:dyDescent="0.25">
      <c r="AW339"/>
      <c r="AX339"/>
      <c r="BA339"/>
      <c r="BK339" s="38"/>
      <c r="BN339" s="275"/>
      <c r="BO339" s="276"/>
      <c r="BP339" s="33"/>
      <c r="BQ339" s="276"/>
      <c r="BR339" s="276"/>
      <c r="BS339" s="276"/>
      <c r="BT339" s="153"/>
    </row>
    <row r="340" spans="49:72" ht="15" x14ac:dyDescent="0.25">
      <c r="AW340"/>
      <c r="AX340"/>
      <c r="BA340"/>
      <c r="BK340" s="38"/>
      <c r="BN340" s="275"/>
      <c r="BO340" s="276"/>
      <c r="BP340" s="33"/>
      <c r="BQ340" s="276"/>
      <c r="BR340" s="276"/>
      <c r="BS340" s="276"/>
      <c r="BT340" s="153"/>
    </row>
    <row r="341" spans="49:72" ht="15" x14ac:dyDescent="0.25">
      <c r="AW341"/>
      <c r="AX341"/>
      <c r="BA341"/>
      <c r="BK341" s="38"/>
      <c r="BN341" s="275"/>
      <c r="BO341" s="276"/>
      <c r="BP341" s="33"/>
      <c r="BQ341" s="276"/>
      <c r="BR341" s="276"/>
      <c r="BS341" s="276"/>
      <c r="BT341" s="153"/>
    </row>
    <row r="342" spans="49:72" ht="15" x14ac:dyDescent="0.25">
      <c r="AW342"/>
      <c r="AX342"/>
      <c r="BA342"/>
      <c r="BK342" s="38"/>
      <c r="BN342" s="275"/>
      <c r="BO342" s="276"/>
      <c r="BP342" s="33"/>
      <c r="BQ342" s="276"/>
      <c r="BR342" s="276"/>
      <c r="BS342" s="276"/>
      <c r="BT342" s="153"/>
    </row>
    <row r="343" spans="49:72" ht="15" x14ac:dyDescent="0.25">
      <c r="AW343"/>
      <c r="AX343"/>
      <c r="BA343"/>
      <c r="BK343" s="38"/>
      <c r="BN343" s="275"/>
      <c r="BO343" s="276"/>
      <c r="BP343" s="33"/>
      <c r="BQ343" s="276"/>
      <c r="BR343" s="276"/>
      <c r="BS343" s="276"/>
      <c r="BT343" s="153"/>
    </row>
    <row r="344" spans="49:72" ht="15" x14ac:dyDescent="0.25">
      <c r="AW344"/>
      <c r="AX344"/>
      <c r="BA344"/>
      <c r="BK344" s="38"/>
      <c r="BN344" s="275"/>
      <c r="BO344" s="276"/>
      <c r="BP344" s="33"/>
      <c r="BQ344" s="276"/>
      <c r="BR344" s="276"/>
      <c r="BS344" s="276"/>
      <c r="BT344" s="153"/>
    </row>
    <row r="345" spans="49:72" ht="15" x14ac:dyDescent="0.25">
      <c r="AW345"/>
      <c r="AX345"/>
      <c r="BA345"/>
      <c r="BK345" s="38"/>
      <c r="BN345" s="275"/>
      <c r="BO345" s="276"/>
      <c r="BP345" s="33"/>
      <c r="BQ345" s="276"/>
      <c r="BR345" s="276"/>
      <c r="BS345" s="276"/>
      <c r="BT345" s="153"/>
    </row>
    <row r="346" spans="49:72" ht="15" x14ac:dyDescent="0.25">
      <c r="AW346"/>
      <c r="AX346"/>
      <c r="BA346"/>
      <c r="BK346" s="38"/>
      <c r="BN346" s="275"/>
      <c r="BO346" s="276"/>
      <c r="BP346" s="33"/>
      <c r="BQ346" s="276"/>
      <c r="BR346" s="276"/>
      <c r="BS346" s="276"/>
      <c r="BT346" s="153"/>
    </row>
    <row r="347" spans="49:72" ht="15" x14ac:dyDescent="0.25">
      <c r="AW347"/>
      <c r="AX347"/>
      <c r="BA347"/>
      <c r="BK347" s="38"/>
      <c r="BN347" s="275"/>
      <c r="BO347" s="276"/>
      <c r="BP347" s="33"/>
      <c r="BQ347" s="276"/>
      <c r="BR347" s="276"/>
      <c r="BS347" s="276"/>
      <c r="BT347" s="153"/>
    </row>
    <row r="348" spans="49:72" ht="15" x14ac:dyDescent="0.25">
      <c r="AW348"/>
      <c r="AX348"/>
      <c r="BA348"/>
      <c r="BK348" s="38"/>
      <c r="BN348" s="275"/>
      <c r="BO348" s="276"/>
      <c r="BP348" s="33"/>
      <c r="BQ348" s="276"/>
      <c r="BR348" s="276"/>
      <c r="BS348" s="276"/>
      <c r="BT348" s="153"/>
    </row>
    <row r="349" spans="49:72" ht="15" x14ac:dyDescent="0.25">
      <c r="AW349"/>
      <c r="AX349"/>
      <c r="BA349"/>
      <c r="BK349" s="38"/>
      <c r="BN349" s="275"/>
      <c r="BO349" s="276"/>
      <c r="BP349" s="33"/>
      <c r="BQ349" s="276"/>
      <c r="BR349" s="276"/>
      <c r="BS349" s="276"/>
      <c r="BT349" s="153"/>
    </row>
    <row r="350" spans="49:72" ht="15" x14ac:dyDescent="0.25">
      <c r="AW350"/>
      <c r="AX350"/>
      <c r="BA350"/>
      <c r="BK350" s="38"/>
      <c r="BN350" s="275"/>
      <c r="BO350" s="276"/>
      <c r="BP350" s="33"/>
      <c r="BQ350" s="276"/>
      <c r="BR350" s="276"/>
      <c r="BS350" s="276"/>
      <c r="BT350" s="153"/>
    </row>
    <row r="351" spans="49:72" ht="15" x14ac:dyDescent="0.25">
      <c r="AW351"/>
      <c r="AX351"/>
      <c r="BA351"/>
      <c r="BK351" s="38"/>
      <c r="BN351" s="275"/>
      <c r="BO351" s="276"/>
      <c r="BP351" s="33"/>
      <c r="BQ351" s="276"/>
      <c r="BR351" s="276"/>
      <c r="BS351" s="276"/>
      <c r="BT351" s="153"/>
    </row>
    <row r="352" spans="49:72" ht="15" x14ac:dyDescent="0.25">
      <c r="AW352"/>
      <c r="AX352"/>
      <c r="BA352"/>
      <c r="BK352" s="38"/>
      <c r="BN352" s="275"/>
      <c r="BO352" s="276"/>
      <c r="BP352" s="33"/>
      <c r="BQ352" s="276"/>
      <c r="BR352" s="276"/>
      <c r="BS352" s="276"/>
      <c r="BT352" s="153"/>
    </row>
    <row r="353" spans="49:72" ht="15" x14ac:dyDescent="0.25">
      <c r="AW353"/>
      <c r="AX353"/>
      <c r="BA353"/>
      <c r="BK353" s="38"/>
      <c r="BN353" s="275"/>
      <c r="BO353" s="276"/>
      <c r="BP353" s="33"/>
      <c r="BQ353" s="276"/>
      <c r="BR353" s="276"/>
      <c r="BS353" s="276"/>
      <c r="BT353" s="153"/>
    </row>
    <row r="354" spans="49:72" ht="15" x14ac:dyDescent="0.25">
      <c r="AW354"/>
      <c r="AX354"/>
      <c r="BA354"/>
      <c r="BK354" s="38"/>
      <c r="BN354" s="275"/>
      <c r="BO354" s="276"/>
      <c r="BP354" s="33"/>
      <c r="BQ354" s="276"/>
      <c r="BR354" s="276"/>
      <c r="BS354" s="276"/>
      <c r="BT354" s="153"/>
    </row>
    <row r="355" spans="49:72" ht="15" x14ac:dyDescent="0.25">
      <c r="AW355"/>
      <c r="AX355"/>
      <c r="BA355"/>
      <c r="BK355" s="38"/>
      <c r="BN355" s="275"/>
      <c r="BO355" s="276"/>
      <c r="BP355" s="33"/>
      <c r="BQ355" s="276"/>
      <c r="BR355" s="276"/>
      <c r="BS355" s="276"/>
      <c r="BT355" s="153"/>
    </row>
    <row r="356" spans="49:72" ht="15" x14ac:dyDescent="0.25">
      <c r="AW356"/>
      <c r="AX356"/>
      <c r="BA356"/>
      <c r="BK356" s="38"/>
      <c r="BN356" s="275"/>
      <c r="BO356" s="276"/>
      <c r="BP356" s="33"/>
      <c r="BQ356" s="276"/>
      <c r="BR356" s="276"/>
      <c r="BS356" s="276"/>
      <c r="BT356" s="153"/>
    </row>
    <row r="357" spans="49:72" ht="15" x14ac:dyDescent="0.25">
      <c r="AW357"/>
      <c r="AX357"/>
      <c r="BA357"/>
      <c r="BK357" s="38"/>
      <c r="BN357" s="275"/>
      <c r="BO357" s="276"/>
      <c r="BP357" s="33"/>
      <c r="BQ357" s="276"/>
      <c r="BR357" s="276"/>
      <c r="BS357" s="276"/>
      <c r="BT357" s="153"/>
    </row>
    <row r="358" spans="49:72" ht="15" x14ac:dyDescent="0.25">
      <c r="AW358"/>
      <c r="AX358"/>
      <c r="BA358"/>
      <c r="BK358" s="38"/>
      <c r="BN358" s="275"/>
      <c r="BO358" s="276"/>
      <c r="BP358" s="33"/>
      <c r="BQ358" s="276"/>
      <c r="BR358" s="276"/>
      <c r="BS358" s="276"/>
      <c r="BT358" s="153"/>
    </row>
    <row r="359" spans="49:72" ht="15" x14ac:dyDescent="0.25">
      <c r="AW359"/>
      <c r="AX359"/>
      <c r="BA359"/>
      <c r="BK359" s="38"/>
      <c r="BN359" s="275"/>
      <c r="BO359" s="276"/>
      <c r="BP359" s="33"/>
      <c r="BQ359" s="276"/>
      <c r="BR359" s="276"/>
      <c r="BS359" s="276"/>
      <c r="BT359" s="153"/>
    </row>
    <row r="360" spans="49:72" ht="15" x14ac:dyDescent="0.25">
      <c r="AW360"/>
      <c r="AX360"/>
      <c r="BA360"/>
      <c r="BK360" s="38"/>
      <c r="BN360" s="275"/>
      <c r="BO360" s="276"/>
      <c r="BP360" s="33"/>
      <c r="BQ360" s="276"/>
      <c r="BR360" s="276"/>
      <c r="BS360" s="276"/>
      <c r="BT360" s="153"/>
    </row>
    <row r="361" spans="49:72" ht="15" x14ac:dyDescent="0.25">
      <c r="AW361"/>
      <c r="AX361"/>
      <c r="BA361"/>
      <c r="BK361" s="38"/>
      <c r="BN361" s="275"/>
      <c r="BO361" s="276"/>
      <c r="BP361" s="33"/>
      <c r="BQ361" s="276"/>
      <c r="BR361" s="276"/>
      <c r="BS361" s="276"/>
      <c r="BT361" s="153"/>
    </row>
    <row r="362" spans="49:72" ht="15" x14ac:dyDescent="0.25">
      <c r="AW362"/>
      <c r="AX362"/>
      <c r="BA362"/>
      <c r="BK362" s="38"/>
      <c r="BN362" s="275"/>
      <c r="BO362" s="276"/>
      <c r="BP362" s="33"/>
      <c r="BQ362" s="276"/>
      <c r="BR362" s="276"/>
      <c r="BS362" s="276"/>
      <c r="BT362" s="153"/>
    </row>
    <row r="363" spans="49:72" ht="15" x14ac:dyDescent="0.25">
      <c r="AW363"/>
      <c r="AX363"/>
      <c r="BA363"/>
      <c r="BK363" s="38"/>
      <c r="BN363" s="275"/>
      <c r="BO363" s="276"/>
      <c r="BP363" s="33"/>
      <c r="BQ363" s="276"/>
      <c r="BR363" s="276"/>
      <c r="BS363" s="276"/>
      <c r="BT363" s="153"/>
    </row>
    <row r="364" spans="49:72" ht="15" x14ac:dyDescent="0.25">
      <c r="AW364"/>
      <c r="AX364"/>
      <c r="BA364"/>
      <c r="BK364" s="38"/>
      <c r="BN364" s="275"/>
      <c r="BO364" s="276"/>
      <c r="BP364" s="33"/>
      <c r="BQ364" s="276"/>
      <c r="BR364" s="276"/>
      <c r="BS364" s="276"/>
      <c r="BT364" s="153"/>
    </row>
    <row r="365" spans="49:72" ht="15" x14ac:dyDescent="0.25">
      <c r="AW365"/>
      <c r="AX365"/>
      <c r="BA365"/>
      <c r="BK365" s="38"/>
      <c r="BN365" s="275"/>
      <c r="BO365" s="276"/>
      <c r="BP365" s="33"/>
      <c r="BQ365" s="276"/>
      <c r="BR365" s="276"/>
      <c r="BS365" s="276"/>
      <c r="BT365" s="153"/>
    </row>
    <row r="366" spans="49:72" ht="15" x14ac:dyDescent="0.25">
      <c r="AW366"/>
      <c r="AX366"/>
      <c r="BA366"/>
      <c r="BK366" s="38"/>
      <c r="BN366" s="275"/>
      <c r="BO366" s="276"/>
      <c r="BP366" s="33"/>
      <c r="BQ366" s="276"/>
      <c r="BR366" s="276"/>
      <c r="BS366" s="276"/>
      <c r="BT366" s="153"/>
    </row>
    <row r="367" spans="49:72" ht="15" x14ac:dyDescent="0.25">
      <c r="AW367"/>
      <c r="AX367"/>
      <c r="BA367"/>
      <c r="BK367" s="38"/>
      <c r="BN367" s="275"/>
      <c r="BO367" s="276"/>
      <c r="BP367" s="33"/>
      <c r="BQ367" s="276"/>
      <c r="BR367" s="276"/>
      <c r="BS367" s="276"/>
      <c r="BT367" s="153"/>
    </row>
    <row r="368" spans="49:72" ht="15" x14ac:dyDescent="0.25">
      <c r="AW368"/>
      <c r="AX368"/>
      <c r="BA368"/>
      <c r="BK368" s="38"/>
      <c r="BN368" s="275"/>
      <c r="BO368" s="276"/>
      <c r="BP368" s="33"/>
      <c r="BQ368" s="276"/>
      <c r="BR368" s="276"/>
      <c r="BS368" s="276"/>
      <c r="BT368" s="153"/>
    </row>
    <row r="369" spans="49:72" ht="15" x14ac:dyDescent="0.25">
      <c r="AW369"/>
      <c r="AX369"/>
      <c r="BA369"/>
      <c r="BK369" s="38"/>
      <c r="BN369" s="275"/>
      <c r="BO369" s="276"/>
      <c r="BP369" s="33"/>
      <c r="BQ369" s="276"/>
      <c r="BR369" s="276"/>
      <c r="BS369" s="276"/>
      <c r="BT369" s="153"/>
    </row>
    <row r="370" spans="49:72" ht="15" x14ac:dyDescent="0.25">
      <c r="AW370"/>
      <c r="AX370"/>
      <c r="BA370"/>
      <c r="BK370" s="38"/>
      <c r="BN370" s="275"/>
      <c r="BO370" s="276"/>
      <c r="BP370" s="33"/>
      <c r="BQ370" s="276"/>
      <c r="BR370" s="276"/>
      <c r="BS370" s="276"/>
      <c r="BT370" s="153"/>
    </row>
    <row r="371" spans="49:72" ht="15" x14ac:dyDescent="0.25">
      <c r="AW371"/>
      <c r="AX371"/>
      <c r="BA371"/>
      <c r="BK371" s="38"/>
      <c r="BN371" s="275"/>
      <c r="BO371" s="276"/>
      <c r="BP371" s="33"/>
      <c r="BQ371" s="276"/>
      <c r="BR371" s="276"/>
      <c r="BS371" s="276"/>
      <c r="BT371" s="153"/>
    </row>
    <row r="372" spans="49:72" ht="15" x14ac:dyDescent="0.25">
      <c r="AW372"/>
      <c r="AX372"/>
      <c r="BA372"/>
      <c r="BK372" s="38"/>
      <c r="BN372" s="275"/>
      <c r="BO372" s="276"/>
      <c r="BP372" s="33"/>
      <c r="BQ372" s="276"/>
      <c r="BR372" s="276"/>
      <c r="BS372" s="276"/>
      <c r="BT372" s="153"/>
    </row>
    <row r="373" spans="49:72" ht="15" x14ac:dyDescent="0.25">
      <c r="AW373"/>
      <c r="AX373"/>
      <c r="BA373"/>
      <c r="BK373" s="38"/>
      <c r="BN373" s="275"/>
      <c r="BO373" s="276"/>
      <c r="BP373" s="33"/>
      <c r="BQ373" s="276"/>
      <c r="BR373" s="276"/>
      <c r="BS373" s="276"/>
      <c r="BT373" s="153"/>
    </row>
    <row r="374" spans="49:72" ht="15" x14ac:dyDescent="0.25">
      <c r="AW374"/>
      <c r="AX374"/>
      <c r="BA374"/>
      <c r="BK374" s="38"/>
      <c r="BN374" s="275"/>
      <c r="BO374" s="276"/>
      <c r="BP374" s="33"/>
      <c r="BQ374" s="276"/>
      <c r="BR374" s="276"/>
      <c r="BS374" s="276"/>
      <c r="BT374" s="153"/>
    </row>
    <row r="375" spans="49:72" ht="15" x14ac:dyDescent="0.25">
      <c r="AW375"/>
      <c r="AX375"/>
      <c r="BA375"/>
      <c r="BK375" s="38"/>
      <c r="BN375" s="275"/>
      <c r="BO375" s="276"/>
      <c r="BP375" s="33"/>
      <c r="BQ375" s="276"/>
      <c r="BR375" s="276"/>
      <c r="BS375" s="276"/>
      <c r="BT375" s="153"/>
    </row>
    <row r="376" spans="49:72" ht="15" x14ac:dyDescent="0.25">
      <c r="AW376"/>
      <c r="AX376"/>
      <c r="BA376"/>
      <c r="BK376" s="38"/>
      <c r="BN376" s="275"/>
      <c r="BO376" s="276"/>
      <c r="BP376" s="33"/>
      <c r="BQ376" s="276"/>
      <c r="BR376" s="276"/>
      <c r="BS376" s="276"/>
      <c r="BT376" s="153"/>
    </row>
    <row r="377" spans="49:72" ht="15" x14ac:dyDescent="0.25">
      <c r="AW377"/>
      <c r="AX377"/>
      <c r="BA377"/>
      <c r="BK377" s="38"/>
      <c r="BN377" s="275"/>
      <c r="BO377" s="276"/>
      <c r="BP377" s="33"/>
      <c r="BQ377" s="276"/>
      <c r="BR377" s="276"/>
      <c r="BS377" s="276"/>
      <c r="BT377" s="153"/>
    </row>
    <row r="378" spans="49:72" ht="15" x14ac:dyDescent="0.25">
      <c r="AW378"/>
      <c r="AX378"/>
      <c r="BA378"/>
      <c r="BK378" s="38"/>
      <c r="BN378" s="275"/>
      <c r="BO378" s="276"/>
      <c r="BP378" s="33"/>
      <c r="BQ378" s="276"/>
      <c r="BR378" s="276"/>
      <c r="BS378" s="276"/>
      <c r="BT378" s="153"/>
    </row>
    <row r="379" spans="49:72" ht="15" x14ac:dyDescent="0.25">
      <c r="AW379"/>
      <c r="AX379"/>
      <c r="BA379"/>
      <c r="BK379" s="38"/>
      <c r="BN379" s="275"/>
      <c r="BO379" s="276"/>
      <c r="BP379" s="33"/>
      <c r="BQ379" s="276"/>
      <c r="BR379" s="276"/>
      <c r="BS379" s="276"/>
      <c r="BT379" s="153"/>
    </row>
    <row r="380" spans="49:72" ht="15" x14ac:dyDescent="0.25">
      <c r="AW380"/>
      <c r="AX380"/>
      <c r="BA380"/>
      <c r="BK380" s="38"/>
      <c r="BN380" s="275"/>
      <c r="BO380" s="276"/>
      <c r="BP380" s="33"/>
      <c r="BQ380" s="276"/>
      <c r="BR380" s="276"/>
      <c r="BS380" s="276"/>
      <c r="BT380" s="153"/>
    </row>
    <row r="381" spans="49:72" ht="15" x14ac:dyDescent="0.25">
      <c r="AW381"/>
      <c r="AX381"/>
      <c r="BA381"/>
      <c r="BK381" s="38"/>
      <c r="BN381" s="275"/>
      <c r="BO381" s="276"/>
      <c r="BP381" s="33"/>
      <c r="BQ381" s="276"/>
      <c r="BR381" s="276"/>
      <c r="BS381" s="276"/>
      <c r="BT381" s="153"/>
    </row>
    <row r="382" spans="49:72" ht="15" x14ac:dyDescent="0.25">
      <c r="AW382"/>
      <c r="AX382"/>
      <c r="BA382"/>
      <c r="BK382" s="38"/>
      <c r="BN382" s="275"/>
      <c r="BO382" s="276"/>
      <c r="BP382" s="33"/>
      <c r="BQ382" s="276"/>
      <c r="BR382" s="276"/>
      <c r="BS382" s="276"/>
      <c r="BT382" s="153"/>
    </row>
    <row r="383" spans="49:72" ht="15" x14ac:dyDescent="0.25">
      <c r="AW383"/>
      <c r="AX383"/>
      <c r="BA383"/>
      <c r="BK383" s="38"/>
      <c r="BN383" s="275"/>
      <c r="BO383" s="276"/>
      <c r="BP383" s="33"/>
      <c r="BQ383" s="276"/>
      <c r="BR383" s="276"/>
      <c r="BS383" s="276"/>
      <c r="BT383" s="153"/>
    </row>
    <row r="384" spans="49:72" ht="15" x14ac:dyDescent="0.25">
      <c r="AW384"/>
      <c r="AX384"/>
      <c r="BA384"/>
      <c r="BK384" s="38"/>
      <c r="BN384" s="275"/>
      <c r="BO384" s="276"/>
      <c r="BP384" s="33"/>
      <c r="BQ384" s="276"/>
      <c r="BR384" s="276"/>
      <c r="BS384" s="276"/>
      <c r="BT384" s="153"/>
    </row>
    <row r="385" spans="49:72" ht="15" x14ac:dyDescent="0.25">
      <c r="AW385"/>
      <c r="AX385"/>
      <c r="BA385"/>
      <c r="BK385" s="38"/>
      <c r="BN385" s="275"/>
      <c r="BO385" s="276"/>
      <c r="BP385" s="33"/>
      <c r="BQ385" s="276"/>
      <c r="BR385" s="276"/>
      <c r="BS385" s="276"/>
      <c r="BT385" s="153"/>
    </row>
    <row r="386" spans="49:72" ht="15" x14ac:dyDescent="0.25">
      <c r="AW386"/>
      <c r="AX386"/>
      <c r="BA386"/>
      <c r="BK386" s="38"/>
      <c r="BN386" s="275"/>
      <c r="BO386" s="276"/>
      <c r="BP386" s="33"/>
      <c r="BQ386" s="276"/>
      <c r="BR386" s="276"/>
      <c r="BS386" s="276"/>
      <c r="BT386" s="153"/>
    </row>
    <row r="387" spans="49:72" ht="15" x14ac:dyDescent="0.25">
      <c r="AW387"/>
      <c r="AX387"/>
      <c r="BA387"/>
      <c r="BK387" s="38"/>
      <c r="BN387" s="275"/>
      <c r="BO387" s="276"/>
      <c r="BP387" s="33"/>
      <c r="BQ387" s="276"/>
      <c r="BR387" s="276"/>
      <c r="BS387" s="276"/>
      <c r="BT387" s="153"/>
    </row>
    <row r="388" spans="49:72" ht="15" x14ac:dyDescent="0.25">
      <c r="AW388"/>
      <c r="AX388"/>
      <c r="BA388"/>
      <c r="BK388" s="38"/>
      <c r="BN388" s="275"/>
      <c r="BO388" s="276"/>
      <c r="BP388" s="33"/>
      <c r="BQ388" s="276"/>
      <c r="BR388" s="276"/>
      <c r="BS388" s="276"/>
      <c r="BT388" s="153"/>
    </row>
    <row r="389" spans="49:72" ht="15" x14ac:dyDescent="0.25">
      <c r="AW389"/>
      <c r="AX389"/>
      <c r="BA389"/>
      <c r="BK389" s="38"/>
      <c r="BN389" s="275"/>
      <c r="BO389" s="276"/>
      <c r="BP389" s="33"/>
      <c r="BQ389" s="276"/>
      <c r="BR389" s="276"/>
      <c r="BS389" s="276"/>
      <c r="BT389" s="153"/>
    </row>
    <row r="390" spans="49:72" ht="15" x14ac:dyDescent="0.25">
      <c r="AW390"/>
      <c r="AX390"/>
      <c r="BA390"/>
      <c r="BK390" s="38"/>
      <c r="BN390" s="275"/>
      <c r="BO390" s="276"/>
      <c r="BP390" s="33"/>
      <c r="BQ390" s="276"/>
      <c r="BR390" s="276"/>
      <c r="BS390" s="276"/>
      <c r="BT390" s="153"/>
    </row>
    <row r="391" spans="49:72" ht="15" x14ac:dyDescent="0.25">
      <c r="AW391"/>
      <c r="AX391"/>
      <c r="BA391"/>
      <c r="BK391" s="38"/>
      <c r="BN391" s="275"/>
      <c r="BO391" s="276"/>
      <c r="BP391" s="33"/>
      <c r="BQ391" s="276"/>
      <c r="BR391" s="276"/>
      <c r="BS391" s="276"/>
      <c r="BT391" s="153"/>
    </row>
    <row r="392" spans="49:72" ht="15" x14ac:dyDescent="0.25">
      <c r="AW392"/>
      <c r="AX392"/>
      <c r="BA392"/>
      <c r="BK392" s="38"/>
      <c r="BN392" s="275"/>
      <c r="BO392" s="276"/>
      <c r="BP392" s="33"/>
      <c r="BQ392" s="276"/>
      <c r="BR392" s="276"/>
      <c r="BS392" s="276"/>
      <c r="BT392" s="153"/>
    </row>
    <row r="393" spans="49:72" ht="15" x14ac:dyDescent="0.25">
      <c r="AW393"/>
      <c r="AX393"/>
      <c r="BA393"/>
      <c r="BK393" s="38"/>
      <c r="BN393" s="275"/>
      <c r="BO393" s="276"/>
      <c r="BP393" s="33"/>
      <c r="BQ393" s="276"/>
      <c r="BR393" s="276"/>
      <c r="BS393" s="276"/>
      <c r="BT393" s="153"/>
    </row>
    <row r="394" spans="49:72" ht="15" x14ac:dyDescent="0.25">
      <c r="AW394"/>
      <c r="AX394"/>
      <c r="BA394"/>
      <c r="BK394" s="38"/>
      <c r="BN394" s="275"/>
      <c r="BO394" s="276"/>
      <c r="BP394" s="33"/>
      <c r="BQ394" s="276"/>
      <c r="BR394" s="276"/>
      <c r="BS394" s="276"/>
      <c r="BT394" s="153"/>
    </row>
    <row r="395" spans="49:72" ht="15" x14ac:dyDescent="0.25">
      <c r="AW395"/>
      <c r="AX395"/>
      <c r="BA395"/>
      <c r="BK395" s="38"/>
      <c r="BN395" s="275"/>
      <c r="BO395" s="276"/>
      <c r="BP395" s="33"/>
      <c r="BQ395" s="276"/>
      <c r="BR395" s="276"/>
      <c r="BS395" s="276"/>
      <c r="BT395" s="153"/>
    </row>
    <row r="396" spans="49:72" ht="15" x14ac:dyDescent="0.25">
      <c r="AW396"/>
      <c r="AX396"/>
      <c r="BA396"/>
      <c r="BK396" s="38"/>
      <c r="BN396" s="275"/>
      <c r="BO396" s="276"/>
      <c r="BP396" s="33"/>
      <c r="BQ396" s="276"/>
      <c r="BR396" s="276"/>
      <c r="BS396" s="276"/>
      <c r="BT396" s="153"/>
    </row>
    <row r="397" spans="49:72" ht="15" x14ac:dyDescent="0.25">
      <c r="AW397"/>
      <c r="AX397"/>
      <c r="BA397"/>
      <c r="BK397" s="38"/>
      <c r="BN397" s="275"/>
      <c r="BO397" s="276"/>
      <c r="BP397" s="33"/>
      <c r="BQ397" s="276"/>
      <c r="BR397" s="276"/>
      <c r="BS397" s="276"/>
      <c r="BT397" s="153"/>
    </row>
    <row r="398" spans="49:72" ht="15" x14ac:dyDescent="0.25">
      <c r="AW398"/>
      <c r="AX398"/>
      <c r="BA398"/>
      <c r="BK398" s="38"/>
      <c r="BN398" s="275"/>
      <c r="BO398" s="276"/>
      <c r="BP398" s="33"/>
      <c r="BQ398" s="276"/>
      <c r="BR398" s="276"/>
      <c r="BS398" s="276"/>
      <c r="BT398" s="153"/>
    </row>
    <row r="399" spans="49:72" ht="15" x14ac:dyDescent="0.25">
      <c r="AW399"/>
      <c r="AX399"/>
      <c r="BA399"/>
      <c r="BK399" s="38"/>
      <c r="BN399" s="275"/>
      <c r="BO399" s="276"/>
      <c r="BP399" s="33"/>
      <c r="BQ399" s="276"/>
      <c r="BR399" s="276"/>
      <c r="BS399" s="276"/>
      <c r="BT399" s="153"/>
    </row>
    <row r="400" spans="49:72" ht="15" x14ac:dyDescent="0.25">
      <c r="AW400"/>
      <c r="AX400"/>
      <c r="BA400"/>
      <c r="BK400" s="38"/>
      <c r="BN400" s="275"/>
      <c r="BO400" s="276"/>
      <c r="BP400" s="33"/>
      <c r="BQ400" s="276"/>
      <c r="BR400" s="276"/>
      <c r="BS400" s="276"/>
      <c r="BT400" s="153"/>
    </row>
    <row r="401" spans="49:72" ht="15" x14ac:dyDescent="0.25">
      <c r="AW401"/>
      <c r="AX401"/>
      <c r="BA401"/>
      <c r="BK401" s="38"/>
      <c r="BN401" s="275"/>
      <c r="BO401" s="276"/>
      <c r="BP401" s="33"/>
      <c r="BQ401" s="276"/>
      <c r="BR401" s="276"/>
      <c r="BS401" s="276"/>
      <c r="BT401" s="153"/>
    </row>
    <row r="402" spans="49:72" ht="15" x14ac:dyDescent="0.25">
      <c r="AW402"/>
      <c r="AX402"/>
      <c r="BA402"/>
      <c r="BK402" s="38"/>
      <c r="BN402" s="275"/>
      <c r="BO402" s="276"/>
      <c r="BP402" s="33"/>
      <c r="BQ402" s="276"/>
      <c r="BR402" s="276"/>
      <c r="BS402" s="276"/>
      <c r="BT402" s="153"/>
    </row>
    <row r="403" spans="49:72" ht="15" x14ac:dyDescent="0.25">
      <c r="AW403"/>
      <c r="AX403"/>
      <c r="BA403"/>
      <c r="BK403" s="38"/>
      <c r="BN403" s="275"/>
      <c r="BO403" s="276"/>
      <c r="BP403" s="33"/>
      <c r="BQ403" s="276"/>
      <c r="BR403" s="276"/>
      <c r="BS403" s="276"/>
      <c r="BT403" s="153"/>
    </row>
    <row r="404" spans="49:72" ht="15" x14ac:dyDescent="0.25">
      <c r="AW404"/>
      <c r="AX404"/>
      <c r="BA404"/>
      <c r="BK404" s="38"/>
      <c r="BN404" s="275"/>
      <c r="BO404" s="276"/>
      <c r="BP404" s="33"/>
      <c r="BQ404" s="276"/>
      <c r="BR404" s="276"/>
      <c r="BS404" s="276"/>
      <c r="BT404" s="153"/>
    </row>
    <row r="405" spans="49:72" ht="15" x14ac:dyDescent="0.25">
      <c r="AW405"/>
      <c r="AX405"/>
      <c r="BA405"/>
      <c r="BK405" s="38"/>
      <c r="BN405" s="275"/>
      <c r="BO405" s="276"/>
      <c r="BP405" s="33"/>
      <c r="BQ405" s="276"/>
      <c r="BR405" s="276"/>
      <c r="BS405" s="276"/>
      <c r="BT405" s="153"/>
    </row>
    <row r="406" spans="49:72" ht="15" x14ac:dyDescent="0.25">
      <c r="AW406"/>
      <c r="AX406"/>
      <c r="BA406"/>
      <c r="BK406" s="38"/>
      <c r="BN406" s="275"/>
      <c r="BO406" s="276"/>
      <c r="BP406" s="33"/>
      <c r="BQ406" s="276"/>
      <c r="BR406" s="276"/>
      <c r="BS406" s="276"/>
      <c r="BT406" s="153"/>
    </row>
    <row r="407" spans="49:72" ht="15" x14ac:dyDescent="0.25">
      <c r="AW407"/>
      <c r="AX407"/>
      <c r="BA407"/>
      <c r="BK407" s="38"/>
      <c r="BN407" s="275"/>
      <c r="BO407" s="276"/>
      <c r="BP407" s="33"/>
      <c r="BQ407" s="276"/>
      <c r="BR407" s="276"/>
      <c r="BS407" s="276"/>
      <c r="BT407" s="153"/>
    </row>
    <row r="408" spans="49:72" ht="15" x14ac:dyDescent="0.25">
      <c r="AW408"/>
      <c r="AX408"/>
      <c r="BA408"/>
      <c r="BK408" s="38"/>
      <c r="BN408" s="275"/>
      <c r="BO408" s="276"/>
      <c r="BP408" s="33"/>
      <c r="BQ408" s="276"/>
      <c r="BR408" s="276"/>
      <c r="BS408" s="276"/>
      <c r="BT408" s="153"/>
    </row>
    <row r="409" spans="49:72" ht="15" x14ac:dyDescent="0.25">
      <c r="AW409"/>
      <c r="AX409"/>
      <c r="BA409"/>
      <c r="BK409" s="38"/>
      <c r="BN409" s="275"/>
      <c r="BO409" s="276"/>
      <c r="BP409" s="33"/>
      <c r="BQ409" s="276"/>
      <c r="BR409" s="276"/>
      <c r="BS409" s="276"/>
      <c r="BT409" s="153"/>
    </row>
    <row r="410" spans="49:72" ht="15" x14ac:dyDescent="0.25">
      <c r="AW410"/>
      <c r="AX410"/>
      <c r="BA410"/>
      <c r="BK410" s="38"/>
      <c r="BN410" s="275"/>
      <c r="BO410" s="276"/>
      <c r="BP410" s="33"/>
      <c r="BQ410" s="276"/>
      <c r="BR410" s="276"/>
      <c r="BS410" s="276"/>
      <c r="BT410" s="153"/>
    </row>
    <row r="411" spans="49:72" ht="15" x14ac:dyDescent="0.25">
      <c r="AW411"/>
      <c r="AX411"/>
      <c r="BA411"/>
      <c r="BK411" s="38"/>
      <c r="BN411" s="275"/>
      <c r="BO411" s="276"/>
      <c r="BP411" s="33"/>
      <c r="BQ411" s="276"/>
      <c r="BR411" s="276"/>
      <c r="BS411" s="276"/>
      <c r="BT411" s="153"/>
    </row>
    <row r="412" spans="49:72" ht="15" x14ac:dyDescent="0.25">
      <c r="AW412"/>
      <c r="AX412"/>
      <c r="BA412"/>
      <c r="BK412" s="38"/>
      <c r="BN412" s="275"/>
      <c r="BO412" s="276"/>
      <c r="BP412" s="33"/>
      <c r="BQ412" s="276"/>
      <c r="BR412" s="276"/>
      <c r="BS412" s="276"/>
      <c r="BT412" s="153"/>
    </row>
    <row r="413" spans="49:72" ht="15" x14ac:dyDescent="0.25">
      <c r="AW413"/>
      <c r="AX413"/>
      <c r="BA413"/>
      <c r="BK413" s="38"/>
      <c r="BN413" s="275"/>
      <c r="BO413" s="276"/>
      <c r="BP413" s="33"/>
      <c r="BQ413" s="276"/>
      <c r="BR413" s="276"/>
      <c r="BS413" s="276"/>
      <c r="BT413" s="153"/>
    </row>
    <row r="414" spans="49:72" ht="15" x14ac:dyDescent="0.25">
      <c r="AW414"/>
      <c r="AX414"/>
      <c r="BA414"/>
      <c r="BK414" s="38"/>
      <c r="BN414" s="275"/>
      <c r="BO414" s="276"/>
      <c r="BP414" s="33"/>
      <c r="BQ414" s="276"/>
      <c r="BR414" s="276"/>
      <c r="BS414" s="276"/>
      <c r="BT414" s="153"/>
    </row>
    <row r="415" spans="49:72" ht="15" x14ac:dyDescent="0.25">
      <c r="AW415"/>
      <c r="AX415"/>
      <c r="BA415"/>
      <c r="BK415" s="38"/>
      <c r="BN415" s="275"/>
      <c r="BO415" s="276"/>
      <c r="BP415" s="33"/>
      <c r="BQ415" s="276"/>
      <c r="BR415" s="276"/>
      <c r="BS415" s="276"/>
      <c r="BT415" s="153"/>
    </row>
    <row r="416" spans="49:72" ht="15" x14ac:dyDescent="0.25">
      <c r="AW416"/>
      <c r="AX416"/>
      <c r="BA416"/>
      <c r="BK416" s="38"/>
      <c r="BN416" s="275"/>
      <c r="BO416" s="276"/>
      <c r="BP416" s="33"/>
      <c r="BQ416" s="276"/>
      <c r="BR416" s="276"/>
      <c r="BS416" s="276"/>
      <c r="BT416" s="153"/>
    </row>
    <row r="417" spans="49:72" ht="15" x14ac:dyDescent="0.25">
      <c r="AW417"/>
      <c r="AX417"/>
      <c r="BA417"/>
      <c r="BK417" s="38"/>
      <c r="BN417" s="275"/>
      <c r="BO417" s="276"/>
      <c r="BP417" s="33"/>
      <c r="BQ417" s="276"/>
      <c r="BR417" s="276"/>
      <c r="BS417" s="276"/>
      <c r="BT417" s="153"/>
    </row>
    <row r="418" spans="49:72" ht="15" x14ac:dyDescent="0.25">
      <c r="AW418"/>
      <c r="AX418"/>
      <c r="BA418"/>
      <c r="BK418" s="38"/>
      <c r="BN418" s="275"/>
      <c r="BO418" s="276"/>
      <c r="BP418" s="33"/>
      <c r="BQ418" s="276"/>
      <c r="BR418" s="276"/>
      <c r="BS418" s="276"/>
      <c r="BT418" s="153"/>
    </row>
    <row r="419" spans="49:72" ht="15" x14ac:dyDescent="0.25">
      <c r="AW419"/>
      <c r="AX419"/>
      <c r="BA419"/>
      <c r="BK419" s="38"/>
      <c r="BN419" s="275"/>
      <c r="BO419" s="276"/>
      <c r="BP419" s="33"/>
      <c r="BQ419" s="276"/>
      <c r="BR419" s="276"/>
      <c r="BS419" s="276"/>
      <c r="BT419" s="153"/>
    </row>
    <row r="420" spans="49:72" ht="15" x14ac:dyDescent="0.25">
      <c r="AW420"/>
      <c r="AX420"/>
      <c r="BA420"/>
      <c r="BK420" s="38"/>
      <c r="BN420" s="275"/>
      <c r="BO420" s="276"/>
      <c r="BP420" s="33"/>
      <c r="BQ420" s="276"/>
      <c r="BR420" s="276"/>
      <c r="BS420" s="276"/>
      <c r="BT420" s="153"/>
    </row>
    <row r="421" spans="49:72" ht="15" x14ac:dyDescent="0.25">
      <c r="AW421"/>
      <c r="AX421"/>
      <c r="BA421"/>
      <c r="BK421" s="38"/>
      <c r="BN421" s="275"/>
      <c r="BO421" s="276"/>
      <c r="BP421" s="33"/>
      <c r="BQ421" s="276"/>
      <c r="BR421" s="276"/>
      <c r="BS421" s="276"/>
      <c r="BT421" s="153"/>
    </row>
    <row r="422" spans="49:72" ht="15" x14ac:dyDescent="0.25">
      <c r="AW422"/>
      <c r="AX422"/>
      <c r="BA422"/>
      <c r="BK422" s="38"/>
      <c r="BN422" s="275"/>
      <c r="BO422" s="276"/>
      <c r="BP422" s="33"/>
      <c r="BQ422" s="276"/>
      <c r="BR422" s="276"/>
      <c r="BS422" s="276"/>
      <c r="BT422" s="153"/>
    </row>
    <row r="423" spans="49:72" ht="15" x14ac:dyDescent="0.25">
      <c r="AW423"/>
      <c r="AX423"/>
      <c r="BA423"/>
      <c r="BK423" s="38"/>
      <c r="BN423" s="275"/>
      <c r="BO423" s="276"/>
      <c r="BP423" s="33"/>
      <c r="BQ423" s="276"/>
      <c r="BR423" s="276"/>
      <c r="BS423" s="276"/>
      <c r="BT423" s="153"/>
    </row>
    <row r="424" spans="49:72" ht="15" x14ac:dyDescent="0.25">
      <c r="AW424"/>
      <c r="AX424"/>
      <c r="BA424"/>
      <c r="BK424" s="38"/>
      <c r="BN424" s="275"/>
      <c r="BO424" s="276"/>
      <c r="BP424" s="33"/>
      <c r="BQ424" s="276"/>
      <c r="BR424" s="276"/>
      <c r="BS424" s="276"/>
      <c r="BT424" s="153"/>
    </row>
    <row r="425" spans="49:72" ht="15" x14ac:dyDescent="0.25">
      <c r="AW425"/>
      <c r="AX425"/>
      <c r="BA425"/>
      <c r="BK425" s="38"/>
      <c r="BN425" s="275"/>
      <c r="BO425" s="276"/>
      <c r="BP425" s="33"/>
      <c r="BQ425" s="276"/>
      <c r="BR425" s="276"/>
      <c r="BS425" s="276"/>
      <c r="BT425" s="153"/>
    </row>
    <row r="426" spans="49:72" ht="15" x14ac:dyDescent="0.25">
      <c r="AW426"/>
      <c r="AX426"/>
      <c r="BA426"/>
      <c r="BK426" s="38"/>
      <c r="BN426" s="275"/>
      <c r="BO426" s="276"/>
      <c r="BP426" s="33"/>
      <c r="BQ426" s="276"/>
      <c r="BR426" s="276"/>
      <c r="BS426" s="276"/>
      <c r="BT426" s="153"/>
    </row>
    <row r="427" spans="49:72" ht="15" x14ac:dyDescent="0.25">
      <c r="AW427"/>
      <c r="AX427"/>
      <c r="BA427"/>
      <c r="BK427" s="38"/>
      <c r="BN427" s="275"/>
      <c r="BO427" s="276"/>
      <c r="BP427" s="33"/>
      <c r="BQ427" s="276"/>
      <c r="BR427" s="276"/>
      <c r="BS427" s="276"/>
      <c r="BT427" s="153"/>
    </row>
    <row r="428" spans="49:72" ht="15" x14ac:dyDescent="0.25">
      <c r="AW428"/>
      <c r="AX428"/>
      <c r="BA428"/>
      <c r="BK428" s="38"/>
      <c r="BN428" s="275"/>
      <c r="BO428" s="276"/>
      <c r="BP428" s="33"/>
      <c r="BQ428" s="276"/>
      <c r="BR428" s="276"/>
      <c r="BS428" s="276"/>
      <c r="BT428" s="153"/>
    </row>
    <row r="429" spans="49:72" ht="15" x14ac:dyDescent="0.25">
      <c r="AW429"/>
      <c r="AX429"/>
      <c r="BA429"/>
      <c r="BK429" s="38"/>
      <c r="BN429" s="275"/>
      <c r="BO429" s="276"/>
      <c r="BP429" s="33"/>
      <c r="BQ429" s="276"/>
      <c r="BR429" s="276"/>
      <c r="BS429" s="276"/>
      <c r="BT429" s="153"/>
    </row>
    <row r="430" spans="49:72" ht="15" x14ac:dyDescent="0.25">
      <c r="AW430"/>
      <c r="AX430"/>
      <c r="BA430"/>
      <c r="BK430" s="38"/>
      <c r="BN430" s="275"/>
      <c r="BO430" s="276"/>
      <c r="BP430" s="33"/>
      <c r="BQ430" s="276"/>
      <c r="BR430" s="276"/>
      <c r="BS430" s="276"/>
      <c r="BT430" s="153"/>
    </row>
    <row r="431" spans="49:72" ht="15" x14ac:dyDescent="0.25">
      <c r="AW431"/>
      <c r="AX431"/>
      <c r="BA431"/>
      <c r="BK431" s="38"/>
      <c r="BN431" s="275"/>
      <c r="BO431" s="276"/>
      <c r="BP431" s="33"/>
      <c r="BQ431" s="276"/>
      <c r="BR431" s="276"/>
      <c r="BS431" s="276"/>
      <c r="BT431" s="153"/>
    </row>
    <row r="432" spans="49:72" ht="15" x14ac:dyDescent="0.25">
      <c r="AW432"/>
      <c r="AX432"/>
      <c r="BA432"/>
      <c r="BK432" s="38"/>
      <c r="BN432" s="275"/>
      <c r="BO432" s="276"/>
      <c r="BP432" s="33"/>
      <c r="BQ432" s="276"/>
      <c r="BR432" s="276"/>
      <c r="BS432" s="276"/>
      <c r="BT432" s="153"/>
    </row>
    <row r="433" spans="49:72" ht="15" x14ac:dyDescent="0.25">
      <c r="AW433"/>
      <c r="AX433"/>
      <c r="BA433"/>
      <c r="BK433" s="38"/>
      <c r="BN433" s="275"/>
      <c r="BO433" s="276"/>
      <c r="BP433" s="33"/>
      <c r="BQ433" s="276"/>
      <c r="BR433" s="276"/>
      <c r="BS433" s="276"/>
      <c r="BT433" s="153"/>
    </row>
    <row r="434" spans="49:72" ht="15" x14ac:dyDescent="0.25">
      <c r="AW434"/>
      <c r="AX434"/>
      <c r="BA434"/>
      <c r="BK434" s="38"/>
      <c r="BN434" s="275"/>
      <c r="BO434" s="276"/>
      <c r="BP434" s="33"/>
      <c r="BQ434" s="276"/>
      <c r="BR434" s="276"/>
      <c r="BS434" s="276"/>
      <c r="BT434" s="153"/>
    </row>
    <row r="435" spans="49:72" ht="15" x14ac:dyDescent="0.25">
      <c r="AW435"/>
      <c r="AX435"/>
      <c r="BA435"/>
      <c r="BK435" s="38"/>
      <c r="BN435" s="275"/>
      <c r="BO435" s="276"/>
      <c r="BP435" s="33"/>
      <c r="BQ435" s="276"/>
      <c r="BR435" s="276"/>
      <c r="BS435" s="276"/>
      <c r="BT435" s="153"/>
    </row>
    <row r="436" spans="49:72" ht="15" x14ac:dyDescent="0.25">
      <c r="AW436"/>
      <c r="AX436"/>
      <c r="BA436"/>
      <c r="BK436" s="38"/>
      <c r="BN436" s="275"/>
      <c r="BO436" s="276"/>
      <c r="BP436" s="33"/>
      <c r="BQ436" s="276"/>
      <c r="BR436" s="276"/>
      <c r="BS436" s="276"/>
      <c r="BT436" s="153"/>
    </row>
    <row r="437" spans="49:72" ht="15" x14ac:dyDescent="0.25">
      <c r="AW437"/>
      <c r="AX437"/>
      <c r="BA437"/>
      <c r="BK437" s="38"/>
      <c r="BN437" s="275"/>
      <c r="BO437" s="276"/>
      <c r="BP437" s="33"/>
      <c r="BQ437" s="276"/>
      <c r="BR437" s="276"/>
      <c r="BS437" s="276"/>
      <c r="BT437" s="153"/>
    </row>
    <row r="438" spans="49:72" ht="15" x14ac:dyDescent="0.25">
      <c r="AW438"/>
      <c r="AX438"/>
      <c r="BA438"/>
      <c r="BK438" s="38"/>
      <c r="BN438" s="275"/>
      <c r="BO438" s="276"/>
      <c r="BP438" s="33"/>
      <c r="BQ438" s="276"/>
      <c r="BR438" s="276"/>
      <c r="BS438" s="276"/>
      <c r="BT438" s="153"/>
    </row>
    <row r="439" spans="49:72" ht="15" x14ac:dyDescent="0.25">
      <c r="AW439"/>
      <c r="AX439"/>
      <c r="BA439"/>
      <c r="BK439" s="38"/>
      <c r="BN439" s="275"/>
      <c r="BO439" s="276"/>
      <c r="BP439" s="33"/>
      <c r="BQ439" s="276"/>
      <c r="BR439" s="276"/>
      <c r="BS439" s="276"/>
      <c r="BT439" s="153"/>
    </row>
    <row r="440" spans="49:72" ht="15" x14ac:dyDescent="0.25">
      <c r="AW440"/>
      <c r="AX440"/>
      <c r="BA440"/>
      <c r="BK440" s="38"/>
      <c r="BN440" s="275"/>
      <c r="BO440" s="276"/>
      <c r="BP440" s="33"/>
      <c r="BQ440" s="276"/>
      <c r="BR440" s="276"/>
      <c r="BS440" s="276"/>
      <c r="BT440" s="153"/>
    </row>
    <row r="441" spans="49:72" ht="15" x14ac:dyDescent="0.25">
      <c r="AW441"/>
      <c r="AX441"/>
      <c r="BA441"/>
      <c r="BK441" s="38"/>
      <c r="BN441" s="275"/>
      <c r="BO441" s="276"/>
      <c r="BP441" s="33"/>
      <c r="BQ441" s="276"/>
      <c r="BR441" s="276"/>
      <c r="BS441" s="276"/>
      <c r="BT441" s="153"/>
    </row>
    <row r="442" spans="49:72" ht="15" x14ac:dyDescent="0.25">
      <c r="AW442"/>
      <c r="AX442"/>
      <c r="BA442"/>
      <c r="BK442" s="38"/>
      <c r="BN442" s="275"/>
      <c r="BO442" s="276"/>
      <c r="BP442" s="33"/>
      <c r="BQ442" s="276"/>
      <c r="BR442" s="276"/>
      <c r="BS442" s="276"/>
      <c r="BT442" s="153"/>
    </row>
    <row r="443" spans="49:72" ht="15" x14ac:dyDescent="0.25">
      <c r="AW443"/>
      <c r="AX443"/>
      <c r="BA443"/>
      <c r="BK443" s="38"/>
      <c r="BN443" s="275"/>
      <c r="BO443" s="276"/>
      <c r="BP443" s="33"/>
      <c r="BQ443" s="276"/>
      <c r="BR443" s="276"/>
      <c r="BS443" s="276"/>
      <c r="BT443" s="153"/>
    </row>
    <row r="444" spans="49:72" ht="15" x14ac:dyDescent="0.25">
      <c r="AW444"/>
      <c r="AX444"/>
      <c r="BA444"/>
      <c r="BK444" s="38"/>
      <c r="BN444" s="275"/>
      <c r="BO444" s="276"/>
      <c r="BP444" s="33"/>
      <c r="BQ444" s="276"/>
      <c r="BR444" s="276"/>
      <c r="BS444" s="276"/>
      <c r="BT444" s="153"/>
    </row>
    <row r="445" spans="49:72" ht="15" x14ac:dyDescent="0.25">
      <c r="AW445"/>
      <c r="AX445"/>
      <c r="BA445"/>
      <c r="BK445" s="38"/>
      <c r="BN445" s="275"/>
      <c r="BO445" s="276"/>
      <c r="BP445" s="33"/>
      <c r="BQ445" s="276"/>
      <c r="BR445" s="276"/>
      <c r="BS445" s="276"/>
      <c r="BT445" s="153"/>
    </row>
    <row r="446" spans="49:72" ht="15" x14ac:dyDescent="0.25">
      <c r="AW446"/>
      <c r="AX446"/>
      <c r="BA446"/>
      <c r="BK446" s="38"/>
      <c r="BN446" s="275"/>
      <c r="BO446" s="276"/>
      <c r="BP446" s="33"/>
      <c r="BQ446" s="276"/>
      <c r="BR446" s="276"/>
      <c r="BS446" s="276"/>
      <c r="BT446" s="153"/>
    </row>
    <row r="447" spans="49:72" ht="15" x14ac:dyDescent="0.25">
      <c r="AW447"/>
      <c r="AX447"/>
      <c r="BA447"/>
      <c r="BK447" s="38"/>
      <c r="BN447" s="275"/>
      <c r="BO447" s="276"/>
      <c r="BP447" s="33"/>
      <c r="BQ447" s="276"/>
      <c r="BR447" s="276"/>
      <c r="BS447" s="276"/>
      <c r="BT447" s="153"/>
    </row>
    <row r="448" spans="49:72" ht="15" x14ac:dyDescent="0.25">
      <c r="AW448"/>
      <c r="AX448"/>
      <c r="BA448"/>
      <c r="BK448" s="38"/>
      <c r="BN448" s="275"/>
      <c r="BO448" s="276"/>
      <c r="BP448" s="33"/>
      <c r="BQ448" s="276"/>
      <c r="BR448" s="276"/>
      <c r="BS448" s="276"/>
      <c r="BT448" s="153"/>
    </row>
    <row r="449" spans="49:72" ht="15" x14ac:dyDescent="0.25">
      <c r="AW449"/>
      <c r="AX449"/>
      <c r="BA449"/>
      <c r="BK449" s="38"/>
      <c r="BN449" s="275"/>
      <c r="BO449" s="276"/>
      <c r="BP449" s="33"/>
      <c r="BQ449" s="276"/>
      <c r="BR449" s="276"/>
      <c r="BS449" s="276"/>
      <c r="BT449" s="153"/>
    </row>
    <row r="450" spans="49:72" ht="15" x14ac:dyDescent="0.25">
      <c r="AW450"/>
      <c r="AX450"/>
      <c r="BA450"/>
      <c r="BK450" s="38"/>
      <c r="BN450" s="275"/>
      <c r="BO450" s="276"/>
      <c r="BP450" s="33"/>
      <c r="BQ450" s="276"/>
      <c r="BR450" s="276"/>
      <c r="BS450" s="276"/>
      <c r="BT450" s="153"/>
    </row>
    <row r="451" spans="49:72" ht="15" x14ac:dyDescent="0.25">
      <c r="AW451"/>
      <c r="AX451"/>
      <c r="BA451"/>
      <c r="BK451" s="38"/>
      <c r="BN451" s="275"/>
      <c r="BO451" s="276"/>
      <c r="BP451" s="33"/>
      <c r="BQ451" s="276"/>
      <c r="BR451" s="276"/>
      <c r="BS451" s="276"/>
      <c r="BT451" s="153"/>
    </row>
    <row r="452" spans="49:72" ht="15" x14ac:dyDescent="0.25">
      <c r="AW452"/>
      <c r="AX452"/>
      <c r="BA452"/>
      <c r="BK452" s="38"/>
      <c r="BN452" s="275"/>
      <c r="BO452" s="276"/>
      <c r="BP452" s="33"/>
      <c r="BQ452" s="276"/>
      <c r="BR452" s="276"/>
      <c r="BS452" s="276"/>
      <c r="BT452" s="153"/>
    </row>
    <row r="453" spans="49:72" ht="15" x14ac:dyDescent="0.25">
      <c r="AW453"/>
      <c r="AX453"/>
      <c r="BA453"/>
      <c r="BK453" s="38"/>
      <c r="BN453" s="275"/>
      <c r="BO453" s="276"/>
      <c r="BP453" s="33"/>
      <c r="BQ453" s="276"/>
      <c r="BR453" s="276"/>
      <c r="BS453" s="276"/>
      <c r="BT453" s="153"/>
    </row>
    <row r="454" spans="49:72" ht="15" x14ac:dyDescent="0.25">
      <c r="AW454"/>
      <c r="AX454"/>
      <c r="BA454"/>
      <c r="BK454" s="38"/>
      <c r="BN454" s="275"/>
      <c r="BO454" s="276"/>
      <c r="BP454" s="33"/>
      <c r="BQ454" s="276"/>
      <c r="BR454" s="276"/>
      <c r="BS454" s="276"/>
      <c r="BT454" s="153"/>
    </row>
    <row r="455" spans="49:72" ht="15" x14ac:dyDescent="0.25">
      <c r="AW455"/>
      <c r="AX455"/>
      <c r="BA455"/>
      <c r="BK455" s="38"/>
      <c r="BN455" s="275"/>
      <c r="BO455" s="276"/>
      <c r="BP455" s="33"/>
      <c r="BQ455" s="276"/>
      <c r="BR455" s="276"/>
      <c r="BS455" s="276"/>
      <c r="BT455" s="153"/>
    </row>
    <row r="456" spans="49:72" ht="15" x14ac:dyDescent="0.25">
      <c r="AW456"/>
      <c r="AX456"/>
      <c r="BA456"/>
      <c r="BK456" s="38"/>
      <c r="BN456" s="275"/>
      <c r="BO456" s="276"/>
      <c r="BP456" s="33"/>
      <c r="BQ456" s="276"/>
      <c r="BR456" s="276"/>
      <c r="BS456" s="276"/>
      <c r="BT456" s="153"/>
    </row>
    <row r="457" spans="49:72" ht="15" x14ac:dyDescent="0.25">
      <c r="AW457"/>
      <c r="AX457"/>
      <c r="BA457"/>
      <c r="BK457" s="38"/>
      <c r="BN457" s="275"/>
      <c r="BO457" s="276"/>
      <c r="BP457" s="33"/>
      <c r="BQ457" s="276"/>
      <c r="BR457" s="276"/>
      <c r="BS457" s="276"/>
      <c r="BT457" s="153"/>
    </row>
    <row r="458" spans="49:72" ht="15" x14ac:dyDescent="0.25">
      <c r="AW458"/>
      <c r="AX458"/>
      <c r="BA458"/>
      <c r="BK458" s="38"/>
      <c r="BN458" s="275"/>
      <c r="BO458" s="276"/>
      <c r="BP458" s="33"/>
      <c r="BQ458" s="276"/>
      <c r="BR458" s="276"/>
      <c r="BS458" s="276"/>
      <c r="BT458" s="153"/>
    </row>
    <row r="459" spans="49:72" ht="15" x14ac:dyDescent="0.25">
      <c r="AW459"/>
      <c r="AX459"/>
      <c r="BA459"/>
      <c r="BK459" s="38"/>
      <c r="BN459" s="275"/>
      <c r="BO459" s="276"/>
      <c r="BP459" s="33"/>
      <c r="BQ459" s="276"/>
      <c r="BR459" s="276"/>
      <c r="BS459" s="276"/>
      <c r="BT459" s="153"/>
    </row>
    <row r="460" spans="49:72" ht="15" x14ac:dyDescent="0.25">
      <c r="AW460"/>
      <c r="AX460"/>
      <c r="BA460"/>
      <c r="BK460" s="38"/>
      <c r="BN460" s="275"/>
      <c r="BO460" s="276"/>
      <c r="BP460" s="33"/>
      <c r="BQ460" s="276"/>
      <c r="BR460" s="276"/>
      <c r="BS460" s="276"/>
      <c r="BT460" s="153"/>
    </row>
    <row r="461" spans="49:72" ht="15" x14ac:dyDescent="0.25">
      <c r="AW461"/>
      <c r="AX461"/>
      <c r="BA461"/>
      <c r="BK461" s="38"/>
      <c r="BN461" s="275"/>
      <c r="BO461" s="276"/>
      <c r="BP461" s="33"/>
      <c r="BQ461" s="276"/>
      <c r="BR461" s="276"/>
      <c r="BS461" s="276"/>
      <c r="BT461" s="153"/>
    </row>
    <row r="462" spans="49:72" ht="15" x14ac:dyDescent="0.25">
      <c r="AW462"/>
      <c r="AX462"/>
      <c r="BA462"/>
      <c r="BK462" s="38"/>
      <c r="BN462" s="275"/>
      <c r="BO462" s="276"/>
      <c r="BP462" s="33"/>
      <c r="BQ462" s="276"/>
      <c r="BR462" s="276"/>
      <c r="BS462" s="276"/>
      <c r="BT462" s="153"/>
    </row>
    <row r="463" spans="49:72" ht="15" x14ac:dyDescent="0.25">
      <c r="AW463"/>
      <c r="AX463"/>
      <c r="BA463"/>
      <c r="BK463" s="38"/>
      <c r="BN463" s="275"/>
      <c r="BO463" s="276"/>
      <c r="BP463" s="33"/>
      <c r="BQ463" s="276"/>
      <c r="BR463" s="276"/>
      <c r="BS463" s="276"/>
      <c r="BT463" s="153"/>
    </row>
    <row r="464" spans="49:72" ht="15" x14ac:dyDescent="0.25">
      <c r="AW464"/>
      <c r="AX464"/>
      <c r="BA464"/>
      <c r="BK464" s="38"/>
      <c r="BN464" s="275"/>
      <c r="BO464" s="276"/>
      <c r="BP464" s="33"/>
      <c r="BQ464" s="276"/>
      <c r="BR464" s="276"/>
      <c r="BS464" s="276"/>
      <c r="BT464" s="153"/>
    </row>
    <row r="465" spans="49:72" ht="15" x14ac:dyDescent="0.25">
      <c r="AW465"/>
      <c r="AX465"/>
      <c r="BA465"/>
      <c r="BK465" s="38"/>
      <c r="BN465" s="275"/>
      <c r="BO465" s="276"/>
      <c r="BP465" s="33"/>
      <c r="BQ465" s="276"/>
      <c r="BR465" s="276"/>
      <c r="BS465" s="276"/>
      <c r="BT465" s="153"/>
    </row>
    <row r="466" spans="49:72" ht="15" x14ac:dyDescent="0.25">
      <c r="AW466"/>
      <c r="AX466"/>
      <c r="BA466"/>
      <c r="BK466" s="38"/>
      <c r="BN466" s="275"/>
      <c r="BO466" s="276"/>
      <c r="BP466" s="33"/>
      <c r="BQ466" s="276"/>
      <c r="BR466" s="276"/>
      <c r="BS466" s="276"/>
      <c r="BT466" s="153"/>
    </row>
    <row r="467" spans="49:72" ht="15" x14ac:dyDescent="0.25">
      <c r="AW467"/>
      <c r="AX467"/>
      <c r="BA467"/>
      <c r="BK467" s="38"/>
      <c r="BN467" s="275"/>
      <c r="BO467" s="276"/>
      <c r="BP467" s="33"/>
      <c r="BQ467" s="276"/>
      <c r="BR467" s="276"/>
      <c r="BS467" s="276"/>
      <c r="BT467" s="153"/>
    </row>
    <row r="468" spans="49:72" ht="15" x14ac:dyDescent="0.25">
      <c r="AW468"/>
      <c r="AX468"/>
      <c r="BA468"/>
      <c r="BK468" s="38"/>
      <c r="BN468" s="275"/>
      <c r="BO468" s="276"/>
      <c r="BP468" s="33"/>
      <c r="BQ468" s="276"/>
      <c r="BR468" s="276"/>
      <c r="BS468" s="276"/>
      <c r="BT468" s="153"/>
    </row>
    <row r="469" spans="49:72" ht="15" x14ac:dyDescent="0.25">
      <c r="AW469"/>
      <c r="AX469"/>
      <c r="BA469"/>
      <c r="BK469" s="38"/>
      <c r="BN469" s="275"/>
      <c r="BO469" s="276"/>
      <c r="BP469" s="33"/>
      <c r="BQ469" s="276"/>
      <c r="BR469" s="276"/>
      <c r="BS469" s="276"/>
      <c r="BT469" s="153"/>
    </row>
    <row r="470" spans="49:72" ht="15" x14ac:dyDescent="0.25">
      <c r="AW470"/>
      <c r="AX470"/>
      <c r="BA470"/>
      <c r="BK470" s="38"/>
      <c r="BN470" s="275"/>
      <c r="BO470" s="276"/>
      <c r="BP470" s="33"/>
      <c r="BQ470" s="276"/>
      <c r="BR470" s="276"/>
      <c r="BS470" s="276"/>
      <c r="BT470" s="153"/>
    </row>
    <row r="471" spans="49:72" ht="15" x14ac:dyDescent="0.25">
      <c r="AW471"/>
      <c r="AX471"/>
      <c r="BA471"/>
      <c r="BK471" s="38"/>
      <c r="BN471" s="275"/>
      <c r="BO471" s="276"/>
      <c r="BP471" s="33"/>
      <c r="BQ471" s="276"/>
      <c r="BR471" s="276"/>
      <c r="BS471" s="276"/>
      <c r="BT471" s="153"/>
    </row>
    <row r="472" spans="49:72" ht="15" x14ac:dyDescent="0.25">
      <c r="AW472"/>
      <c r="AX472"/>
      <c r="BA472"/>
      <c r="BK472" s="38"/>
      <c r="BN472" s="275"/>
      <c r="BO472" s="276"/>
      <c r="BP472" s="33"/>
      <c r="BQ472" s="276"/>
      <c r="BR472" s="276"/>
      <c r="BS472" s="276"/>
      <c r="BT472" s="153"/>
    </row>
    <row r="473" spans="49:72" ht="15" x14ac:dyDescent="0.25">
      <c r="AW473"/>
      <c r="AX473"/>
      <c r="BA473"/>
      <c r="BK473" s="38"/>
      <c r="BN473" s="275"/>
      <c r="BO473" s="276"/>
      <c r="BP473" s="33"/>
      <c r="BQ473" s="276"/>
      <c r="BR473" s="276"/>
      <c r="BS473" s="276"/>
      <c r="BT473" s="153"/>
    </row>
    <row r="474" spans="49:72" ht="15" x14ac:dyDescent="0.25">
      <c r="AW474"/>
      <c r="AX474"/>
      <c r="BA474"/>
      <c r="BK474" s="38"/>
      <c r="BN474" s="275"/>
      <c r="BO474" s="276"/>
      <c r="BP474" s="33"/>
      <c r="BQ474" s="276"/>
      <c r="BR474" s="276"/>
      <c r="BS474" s="276"/>
      <c r="BT474" s="153"/>
    </row>
    <row r="475" spans="49:72" ht="15" x14ac:dyDescent="0.25">
      <c r="AW475"/>
      <c r="AX475"/>
      <c r="BA475"/>
      <c r="BK475" s="38"/>
      <c r="BN475" s="275"/>
      <c r="BO475" s="276"/>
      <c r="BP475" s="33"/>
      <c r="BQ475" s="276"/>
      <c r="BR475" s="276"/>
      <c r="BS475" s="276"/>
      <c r="BT475" s="153"/>
    </row>
    <row r="476" spans="49:72" ht="15" x14ac:dyDescent="0.25">
      <c r="AW476"/>
      <c r="AX476"/>
      <c r="BA476"/>
      <c r="BK476" s="38"/>
      <c r="BN476" s="275"/>
      <c r="BO476" s="276"/>
      <c r="BP476" s="33"/>
      <c r="BQ476" s="276"/>
      <c r="BR476" s="276"/>
      <c r="BS476" s="276"/>
      <c r="BT476" s="153"/>
    </row>
    <row r="477" spans="49:72" ht="15" x14ac:dyDescent="0.25">
      <c r="AW477"/>
      <c r="AX477"/>
      <c r="BA477"/>
      <c r="BK477" s="38"/>
      <c r="BN477" s="275"/>
      <c r="BO477" s="276"/>
      <c r="BP477" s="33"/>
      <c r="BQ477" s="276"/>
      <c r="BR477" s="276"/>
      <c r="BS477" s="276"/>
      <c r="BT477" s="153"/>
    </row>
    <row r="478" spans="49:72" ht="15" x14ac:dyDescent="0.25">
      <c r="AW478"/>
      <c r="AX478"/>
      <c r="BA478"/>
      <c r="BK478" s="38"/>
      <c r="BN478" s="275"/>
      <c r="BO478" s="276"/>
      <c r="BP478" s="33"/>
      <c r="BQ478" s="276"/>
      <c r="BR478" s="276"/>
      <c r="BS478" s="276"/>
      <c r="BT478" s="153"/>
    </row>
    <row r="479" spans="49:72" ht="15" x14ac:dyDescent="0.25">
      <c r="AW479"/>
      <c r="AX479"/>
      <c r="BA479"/>
      <c r="BK479" s="38"/>
      <c r="BN479" s="275"/>
      <c r="BO479" s="276"/>
      <c r="BP479" s="33"/>
      <c r="BQ479" s="276"/>
      <c r="BR479" s="276"/>
      <c r="BS479" s="276"/>
      <c r="BT479" s="153"/>
    </row>
    <row r="480" spans="49:72" ht="15" x14ac:dyDescent="0.25">
      <c r="AW480"/>
      <c r="AX480"/>
      <c r="BA480"/>
      <c r="BK480" s="38"/>
      <c r="BN480" s="275"/>
      <c r="BO480" s="276"/>
      <c r="BP480" s="33"/>
      <c r="BQ480" s="276"/>
      <c r="BR480" s="276"/>
      <c r="BS480" s="276"/>
      <c r="BT480" s="153"/>
    </row>
    <row r="481" spans="49:72" ht="15" x14ac:dyDescent="0.25">
      <c r="AW481"/>
      <c r="AX481"/>
      <c r="BA481"/>
      <c r="BK481" s="38"/>
      <c r="BN481" s="275"/>
      <c r="BO481" s="276"/>
      <c r="BP481" s="33"/>
      <c r="BQ481" s="276"/>
      <c r="BR481" s="276"/>
      <c r="BS481" s="276"/>
      <c r="BT481" s="153"/>
    </row>
    <row r="482" spans="49:72" ht="15" x14ac:dyDescent="0.25">
      <c r="AW482"/>
      <c r="AX482"/>
      <c r="BA482"/>
      <c r="BK482" s="38"/>
      <c r="BN482" s="275"/>
      <c r="BO482" s="276"/>
      <c r="BP482" s="33"/>
      <c r="BQ482" s="276"/>
      <c r="BR482" s="276"/>
      <c r="BS482" s="276"/>
      <c r="BT482" s="153"/>
    </row>
    <row r="483" spans="49:72" ht="15" x14ac:dyDescent="0.25">
      <c r="AW483"/>
      <c r="AX483"/>
      <c r="BA483"/>
      <c r="BK483" s="38"/>
      <c r="BN483" s="275"/>
      <c r="BO483" s="276"/>
      <c r="BP483" s="33"/>
      <c r="BQ483" s="276"/>
      <c r="BR483" s="276"/>
      <c r="BS483" s="276"/>
      <c r="BT483" s="153"/>
    </row>
    <row r="484" spans="49:72" ht="15" x14ac:dyDescent="0.25">
      <c r="AW484"/>
      <c r="AX484"/>
      <c r="BA484"/>
      <c r="BK484" s="38"/>
      <c r="BN484" s="275"/>
      <c r="BO484" s="276"/>
      <c r="BP484" s="33"/>
      <c r="BQ484" s="276"/>
      <c r="BR484" s="276"/>
      <c r="BS484" s="276"/>
      <c r="BT484" s="153"/>
    </row>
    <row r="485" spans="49:72" ht="15" x14ac:dyDescent="0.25">
      <c r="AW485"/>
      <c r="AX485"/>
      <c r="BA485"/>
      <c r="BK485" s="38"/>
      <c r="BN485" s="275"/>
      <c r="BO485" s="276"/>
      <c r="BP485" s="33"/>
      <c r="BQ485" s="276"/>
      <c r="BR485" s="276"/>
      <c r="BS485" s="276"/>
      <c r="BT485" s="153"/>
    </row>
    <row r="486" spans="49:72" ht="15" x14ac:dyDescent="0.25">
      <c r="AW486"/>
      <c r="AX486"/>
      <c r="BA486"/>
      <c r="BK486" s="38"/>
      <c r="BN486" s="275"/>
      <c r="BO486" s="276"/>
      <c r="BP486" s="33"/>
      <c r="BQ486" s="276"/>
      <c r="BR486" s="276"/>
      <c r="BS486" s="276"/>
      <c r="BT486" s="153"/>
    </row>
    <row r="487" spans="49:72" ht="15" x14ac:dyDescent="0.25">
      <c r="AW487"/>
      <c r="AX487"/>
      <c r="BA487"/>
      <c r="BK487" s="38"/>
      <c r="BN487" s="275"/>
      <c r="BO487" s="276"/>
      <c r="BP487" s="33"/>
      <c r="BQ487" s="276"/>
      <c r="BR487" s="276"/>
      <c r="BS487" s="276"/>
      <c r="BT487" s="153"/>
    </row>
    <row r="488" spans="49:72" ht="15" x14ac:dyDescent="0.25">
      <c r="AW488"/>
      <c r="AX488"/>
      <c r="BA488"/>
      <c r="BK488" s="38"/>
      <c r="BN488" s="275"/>
      <c r="BO488" s="276"/>
      <c r="BP488" s="33"/>
      <c r="BQ488" s="276"/>
      <c r="BR488" s="276"/>
      <c r="BS488" s="276"/>
      <c r="BT488" s="153"/>
    </row>
    <row r="489" spans="49:72" ht="15" x14ac:dyDescent="0.25">
      <c r="AW489"/>
      <c r="AX489"/>
      <c r="BA489"/>
      <c r="BK489" s="38"/>
      <c r="BN489" s="275"/>
      <c r="BO489" s="276"/>
      <c r="BP489" s="33"/>
      <c r="BQ489" s="276"/>
      <c r="BR489" s="276"/>
      <c r="BS489" s="276"/>
      <c r="BT489" s="153"/>
    </row>
    <row r="490" spans="49:72" ht="15" x14ac:dyDescent="0.25">
      <c r="AW490"/>
      <c r="AX490"/>
      <c r="BA490"/>
      <c r="BK490" s="38"/>
      <c r="BN490" s="275"/>
      <c r="BO490" s="276"/>
      <c r="BP490" s="33"/>
      <c r="BQ490" s="276"/>
      <c r="BR490" s="276"/>
      <c r="BS490" s="276"/>
      <c r="BT490" s="153"/>
    </row>
    <row r="491" spans="49:72" ht="15" x14ac:dyDescent="0.25">
      <c r="AW491"/>
      <c r="AX491"/>
      <c r="BA491"/>
      <c r="BK491" s="38"/>
      <c r="BN491" s="275"/>
      <c r="BO491" s="276"/>
      <c r="BP491" s="33"/>
      <c r="BQ491" s="276"/>
      <c r="BR491" s="276"/>
      <c r="BS491" s="276"/>
      <c r="BT491" s="153"/>
    </row>
    <row r="492" spans="49:72" ht="15" x14ac:dyDescent="0.25">
      <c r="AW492"/>
      <c r="AX492"/>
      <c r="BA492"/>
      <c r="BK492" s="38"/>
      <c r="BN492" s="275"/>
      <c r="BO492" s="276"/>
      <c r="BP492" s="33"/>
      <c r="BQ492" s="276"/>
      <c r="BR492" s="276"/>
      <c r="BS492" s="276"/>
      <c r="BT492" s="153"/>
    </row>
    <row r="493" spans="49:72" ht="15" x14ac:dyDescent="0.25">
      <c r="AW493"/>
      <c r="AX493"/>
      <c r="BA493"/>
      <c r="BK493" s="38"/>
      <c r="BN493" s="275"/>
      <c r="BO493" s="276"/>
      <c r="BP493" s="33"/>
      <c r="BQ493" s="276"/>
      <c r="BR493" s="276"/>
      <c r="BS493" s="276"/>
      <c r="BT493" s="153"/>
    </row>
    <row r="494" spans="49:72" ht="15" x14ac:dyDescent="0.25">
      <c r="AW494"/>
      <c r="AX494"/>
      <c r="BA494"/>
      <c r="BK494" s="38"/>
      <c r="BN494" s="275"/>
      <c r="BO494" s="276"/>
      <c r="BP494" s="33"/>
      <c r="BQ494" s="276"/>
      <c r="BR494" s="276"/>
      <c r="BS494" s="276"/>
      <c r="BT494" s="153"/>
    </row>
    <row r="495" spans="49:72" ht="15" x14ac:dyDescent="0.25">
      <c r="AW495"/>
      <c r="AX495"/>
      <c r="BA495"/>
      <c r="BK495" s="38"/>
      <c r="BN495" s="275"/>
      <c r="BO495" s="276"/>
      <c r="BP495" s="33"/>
      <c r="BQ495" s="276"/>
      <c r="BR495" s="276"/>
      <c r="BS495" s="276"/>
      <c r="BT495" s="153"/>
    </row>
    <row r="496" spans="49:72" ht="15" x14ac:dyDescent="0.25">
      <c r="AW496"/>
      <c r="AX496"/>
      <c r="BA496"/>
      <c r="BK496" s="38"/>
      <c r="BN496" s="275"/>
      <c r="BO496" s="276"/>
      <c r="BP496" s="33"/>
      <c r="BQ496" s="276"/>
      <c r="BR496" s="276"/>
      <c r="BS496" s="276"/>
      <c r="BT496" s="153"/>
    </row>
    <row r="497" spans="49:72" ht="15" x14ac:dyDescent="0.25">
      <c r="AW497"/>
      <c r="AX497"/>
      <c r="BA497"/>
      <c r="BK497" s="38"/>
      <c r="BN497" s="275"/>
      <c r="BO497" s="276"/>
      <c r="BP497" s="33"/>
      <c r="BQ497" s="276"/>
      <c r="BR497" s="276"/>
      <c r="BS497" s="276"/>
      <c r="BT497" s="153"/>
    </row>
    <row r="498" spans="49:72" ht="15" x14ac:dyDescent="0.25">
      <c r="AW498"/>
      <c r="AX498"/>
      <c r="BA498"/>
      <c r="BK498" s="38"/>
      <c r="BN498" s="275"/>
      <c r="BO498" s="276"/>
      <c r="BP498" s="33"/>
      <c r="BQ498" s="276"/>
      <c r="BR498" s="276"/>
      <c r="BS498" s="276"/>
      <c r="BT498" s="153"/>
    </row>
    <row r="499" spans="49:72" ht="15" x14ac:dyDescent="0.25">
      <c r="AW499"/>
      <c r="AX499"/>
      <c r="BA499"/>
      <c r="BK499" s="38"/>
      <c r="BN499" s="275"/>
      <c r="BO499" s="276"/>
      <c r="BP499" s="33"/>
      <c r="BQ499" s="276"/>
      <c r="BR499" s="276"/>
      <c r="BS499" s="276"/>
      <c r="BT499" s="153"/>
    </row>
    <row r="500" spans="49:72" ht="15" x14ac:dyDescent="0.25">
      <c r="AW500"/>
      <c r="AX500"/>
      <c r="BA500"/>
      <c r="BK500" s="38"/>
      <c r="BN500" s="275"/>
      <c r="BO500" s="276"/>
      <c r="BP500" s="33"/>
      <c r="BQ500" s="276"/>
      <c r="BR500" s="276"/>
      <c r="BS500" s="276"/>
      <c r="BT500" s="153"/>
    </row>
    <row r="501" spans="49:72" ht="15" x14ac:dyDescent="0.25">
      <c r="AW501"/>
      <c r="AX501"/>
      <c r="BA501"/>
      <c r="BK501" s="38"/>
      <c r="BN501" s="275"/>
      <c r="BO501" s="276"/>
      <c r="BP501" s="33"/>
      <c r="BQ501" s="276"/>
      <c r="BR501" s="276"/>
      <c r="BS501" s="276"/>
      <c r="BT501" s="153"/>
    </row>
    <row r="502" spans="49:72" ht="15" x14ac:dyDescent="0.25">
      <c r="AW502"/>
      <c r="AX502"/>
      <c r="BA502"/>
      <c r="BK502" s="38"/>
      <c r="BN502" s="275"/>
      <c r="BO502" s="276"/>
      <c r="BP502" s="33"/>
      <c r="BQ502" s="276"/>
      <c r="BR502" s="276"/>
      <c r="BS502" s="276"/>
      <c r="BT502" s="153"/>
    </row>
    <row r="503" spans="49:72" ht="15" x14ac:dyDescent="0.25">
      <c r="AW503"/>
      <c r="AX503"/>
      <c r="BA503"/>
      <c r="BK503" s="38"/>
      <c r="BN503" s="275"/>
      <c r="BO503" s="276"/>
      <c r="BP503" s="33"/>
      <c r="BQ503" s="276"/>
      <c r="BR503" s="276"/>
      <c r="BS503" s="276"/>
      <c r="BT503" s="153"/>
    </row>
    <row r="504" spans="49:72" ht="15" x14ac:dyDescent="0.25">
      <c r="AW504"/>
      <c r="AX504"/>
      <c r="BA504"/>
      <c r="BK504" s="38"/>
      <c r="BN504" s="275"/>
      <c r="BO504" s="276"/>
      <c r="BP504" s="33"/>
      <c r="BQ504" s="276"/>
      <c r="BR504" s="276"/>
      <c r="BS504" s="276"/>
      <c r="BT504" s="153"/>
    </row>
    <row r="505" spans="49:72" ht="15" x14ac:dyDescent="0.25">
      <c r="AW505"/>
      <c r="BA505"/>
    </row>
    <row r="506" spans="49:72" ht="15" x14ac:dyDescent="0.25">
      <c r="AW506"/>
      <c r="BA506"/>
    </row>
    <row r="507" spans="49:72" ht="15" x14ac:dyDescent="0.25">
      <c r="AW507"/>
      <c r="BA507"/>
    </row>
    <row r="508" spans="49:72" ht="15" x14ac:dyDescent="0.25">
      <c r="AW508"/>
      <c r="BA508"/>
    </row>
    <row r="509" spans="49:72" ht="15" x14ac:dyDescent="0.25">
      <c r="AW509"/>
      <c r="BA509"/>
    </row>
    <row r="510" spans="49:72" ht="15" x14ac:dyDescent="0.25">
      <c r="AW510"/>
      <c r="BA510"/>
    </row>
    <row r="511" spans="49:72" ht="15" x14ac:dyDescent="0.25">
      <c r="AW511"/>
      <c r="BA511"/>
    </row>
    <row r="512" spans="49:72" ht="15" x14ac:dyDescent="0.25">
      <c r="AW512"/>
      <c r="BA512"/>
    </row>
    <row r="513" spans="49:53" ht="15" x14ac:dyDescent="0.25">
      <c r="AW513"/>
      <c r="BA513"/>
    </row>
    <row r="514" spans="49:53" ht="15" x14ac:dyDescent="0.25">
      <c r="AW514"/>
      <c r="BA514"/>
    </row>
    <row r="515" spans="49:53" ht="15" x14ac:dyDescent="0.25">
      <c r="AW515"/>
      <c r="BA515"/>
    </row>
    <row r="516" spans="49:53" ht="15" x14ac:dyDescent="0.25">
      <c r="AW516"/>
      <c r="BA516"/>
    </row>
    <row r="517" spans="49:53" ht="15" x14ac:dyDescent="0.25">
      <c r="AW517"/>
      <c r="BA517"/>
    </row>
    <row r="518" spans="49:53" ht="15" x14ac:dyDescent="0.25">
      <c r="AW518"/>
      <c r="BA518"/>
    </row>
    <row r="519" spans="49:53" ht="15" x14ac:dyDescent="0.25">
      <c r="AW519"/>
      <c r="BA519"/>
    </row>
    <row r="520" spans="49:53" ht="15" x14ac:dyDescent="0.25">
      <c r="AW520"/>
      <c r="BA520"/>
    </row>
    <row r="521" spans="49:53" ht="15" x14ac:dyDescent="0.25">
      <c r="AW521"/>
      <c r="BA521"/>
    </row>
    <row r="522" spans="49:53" ht="15" x14ac:dyDescent="0.25">
      <c r="AW522"/>
      <c r="BA522"/>
    </row>
    <row r="523" spans="49:53" ht="15" x14ac:dyDescent="0.25">
      <c r="AW523"/>
      <c r="BA523"/>
    </row>
    <row r="524" spans="49:53" ht="15" x14ac:dyDescent="0.25">
      <c r="AW524"/>
      <c r="BA524"/>
    </row>
    <row r="525" spans="49:53" ht="15" x14ac:dyDescent="0.25">
      <c r="AW525"/>
      <c r="BA525"/>
    </row>
    <row r="526" spans="49:53" ht="15" x14ac:dyDescent="0.25">
      <c r="AW526"/>
      <c r="BA526"/>
    </row>
    <row r="527" spans="49:53" ht="15" x14ac:dyDescent="0.25">
      <c r="AW527"/>
      <c r="BA527"/>
    </row>
    <row r="528" spans="49:53" ht="15" x14ac:dyDescent="0.25">
      <c r="AW528"/>
      <c r="BA528"/>
    </row>
    <row r="529" spans="49:53" ht="15" x14ac:dyDescent="0.25">
      <c r="AW529"/>
      <c r="BA529"/>
    </row>
    <row r="530" spans="49:53" ht="15" x14ac:dyDescent="0.25">
      <c r="AW530"/>
      <c r="BA530"/>
    </row>
    <row r="531" spans="49:53" ht="15" x14ac:dyDescent="0.25">
      <c r="AW531"/>
      <c r="BA531"/>
    </row>
    <row r="532" spans="49:53" ht="15" x14ac:dyDescent="0.25">
      <c r="AW532"/>
      <c r="BA532"/>
    </row>
    <row r="533" spans="49:53" ht="15" x14ac:dyDescent="0.25">
      <c r="AW533"/>
      <c r="BA533"/>
    </row>
    <row r="534" spans="49:53" ht="15" x14ac:dyDescent="0.25">
      <c r="AW534"/>
      <c r="BA534"/>
    </row>
    <row r="535" spans="49:53" ht="15" x14ac:dyDescent="0.25">
      <c r="AW535"/>
      <c r="BA535"/>
    </row>
    <row r="536" spans="49:53" ht="15" x14ac:dyDescent="0.25">
      <c r="AW536"/>
      <c r="BA536"/>
    </row>
    <row r="537" spans="49:53" ht="15" x14ac:dyDescent="0.25">
      <c r="AW537"/>
      <c r="BA537"/>
    </row>
    <row r="538" spans="49:53" ht="15" x14ac:dyDescent="0.25">
      <c r="AW538"/>
      <c r="BA538"/>
    </row>
    <row r="539" spans="49:53" ht="15" x14ac:dyDescent="0.25">
      <c r="AW539"/>
      <c r="BA539"/>
    </row>
    <row r="540" spans="49:53" ht="15" x14ac:dyDescent="0.25">
      <c r="AW540"/>
      <c r="BA540"/>
    </row>
    <row r="541" spans="49:53" ht="15" x14ac:dyDescent="0.25">
      <c r="AW541"/>
      <c r="BA541"/>
    </row>
    <row r="542" spans="49:53" ht="15" x14ac:dyDescent="0.25">
      <c r="AW542"/>
      <c r="BA542"/>
    </row>
    <row r="543" spans="49:53" ht="15" x14ac:dyDescent="0.25">
      <c r="AW543"/>
      <c r="BA543"/>
    </row>
    <row r="544" spans="49:53" ht="15" x14ac:dyDescent="0.25">
      <c r="AW544"/>
      <c r="BA544"/>
    </row>
    <row r="545" spans="49:53" ht="15" x14ac:dyDescent="0.25">
      <c r="AW545"/>
      <c r="BA545"/>
    </row>
    <row r="546" spans="49:53" ht="15" x14ac:dyDescent="0.25">
      <c r="AW546"/>
      <c r="BA546"/>
    </row>
    <row r="547" spans="49:53" ht="15" x14ac:dyDescent="0.25">
      <c r="AW547"/>
      <c r="BA547"/>
    </row>
    <row r="548" spans="49:53" ht="15" x14ac:dyDescent="0.25">
      <c r="AW548"/>
      <c r="BA548"/>
    </row>
    <row r="549" spans="49:53" ht="15" x14ac:dyDescent="0.25">
      <c r="AW549"/>
      <c r="BA549"/>
    </row>
    <row r="550" spans="49:53" ht="15" x14ac:dyDescent="0.25">
      <c r="AW550"/>
      <c r="BA550"/>
    </row>
    <row r="551" spans="49:53" ht="15" x14ac:dyDescent="0.25">
      <c r="AW551"/>
      <c r="BA551"/>
    </row>
    <row r="552" spans="49:53" ht="15" x14ac:dyDescent="0.25">
      <c r="AW552"/>
      <c r="BA552"/>
    </row>
    <row r="553" spans="49:53" ht="15" x14ac:dyDescent="0.25">
      <c r="AW553"/>
      <c r="BA553"/>
    </row>
    <row r="554" spans="49:53" ht="15" x14ac:dyDescent="0.25">
      <c r="AW554"/>
      <c r="BA554"/>
    </row>
    <row r="555" spans="49:53" ht="15" x14ac:dyDescent="0.25">
      <c r="AW555"/>
      <c r="BA555"/>
    </row>
    <row r="556" spans="49:53" ht="15" x14ac:dyDescent="0.25">
      <c r="AW556"/>
      <c r="BA556"/>
    </row>
    <row r="557" spans="49:53" ht="15" x14ac:dyDescent="0.25">
      <c r="AW557"/>
      <c r="BA557"/>
    </row>
    <row r="558" spans="49:53" ht="15" x14ac:dyDescent="0.25">
      <c r="AW558"/>
      <c r="BA558"/>
    </row>
    <row r="559" spans="49:53" ht="15" x14ac:dyDescent="0.25">
      <c r="AW559"/>
      <c r="BA559"/>
    </row>
    <row r="560" spans="49:53" ht="15" x14ac:dyDescent="0.25">
      <c r="AW560"/>
      <c r="BA560"/>
    </row>
    <row r="561" spans="49:53" ht="15" x14ac:dyDescent="0.25">
      <c r="AW561"/>
      <c r="BA561"/>
    </row>
    <row r="562" spans="49:53" ht="15" x14ac:dyDescent="0.25">
      <c r="AW562"/>
      <c r="BA562"/>
    </row>
    <row r="563" spans="49:53" ht="15" x14ac:dyDescent="0.25">
      <c r="AW563"/>
      <c r="BA563"/>
    </row>
    <row r="564" spans="49:53" ht="15" x14ac:dyDescent="0.25">
      <c r="AW564"/>
      <c r="BA564"/>
    </row>
    <row r="565" spans="49:53" ht="15" x14ac:dyDescent="0.25">
      <c r="AW565"/>
      <c r="BA565"/>
    </row>
    <row r="566" spans="49:53" ht="15" x14ac:dyDescent="0.25">
      <c r="AW566"/>
      <c r="BA566"/>
    </row>
    <row r="567" spans="49:53" ht="15" x14ac:dyDescent="0.25">
      <c r="AW567"/>
      <c r="BA567"/>
    </row>
    <row r="568" spans="49:53" ht="15" x14ac:dyDescent="0.25">
      <c r="AW568"/>
      <c r="BA568"/>
    </row>
    <row r="569" spans="49:53" ht="15" x14ac:dyDescent="0.25">
      <c r="AW569"/>
      <c r="BA569"/>
    </row>
    <row r="570" spans="49:53" ht="15" x14ac:dyDescent="0.25">
      <c r="AW570"/>
      <c r="BA570"/>
    </row>
    <row r="571" spans="49:53" ht="15" x14ac:dyDescent="0.25">
      <c r="AW571"/>
      <c r="BA571"/>
    </row>
    <row r="572" spans="49:53" ht="15" x14ac:dyDescent="0.25">
      <c r="AW572"/>
      <c r="BA572"/>
    </row>
    <row r="573" spans="49:53" ht="15" x14ac:dyDescent="0.25">
      <c r="AW573"/>
      <c r="BA573"/>
    </row>
    <row r="574" spans="49:53" ht="15" x14ac:dyDescent="0.25">
      <c r="AW574"/>
      <c r="BA574"/>
    </row>
    <row r="575" spans="49:53" ht="15" x14ac:dyDescent="0.25">
      <c r="AW575"/>
      <c r="BA575"/>
    </row>
    <row r="576" spans="49:53" ht="15" x14ac:dyDescent="0.25">
      <c r="AW576"/>
      <c r="BA576"/>
    </row>
    <row r="577" spans="49:53" ht="15" x14ac:dyDescent="0.25">
      <c r="AW577"/>
      <c r="BA577"/>
    </row>
    <row r="578" spans="49:53" ht="15" x14ac:dyDescent="0.25">
      <c r="AW578"/>
      <c r="BA578"/>
    </row>
    <row r="579" spans="49:53" ht="15" x14ac:dyDescent="0.25">
      <c r="AW579"/>
      <c r="BA579"/>
    </row>
    <row r="580" spans="49:53" ht="15" x14ac:dyDescent="0.25">
      <c r="AW580"/>
      <c r="BA580"/>
    </row>
    <row r="581" spans="49:53" ht="15" x14ac:dyDescent="0.25">
      <c r="AW581"/>
      <c r="BA581"/>
    </row>
    <row r="582" spans="49:53" ht="15" x14ac:dyDescent="0.25">
      <c r="AW582"/>
      <c r="BA582"/>
    </row>
    <row r="583" spans="49:53" ht="15" x14ac:dyDescent="0.25">
      <c r="AW583"/>
      <c r="BA583"/>
    </row>
    <row r="584" spans="49:53" ht="15" x14ac:dyDescent="0.25">
      <c r="AW584"/>
      <c r="BA584"/>
    </row>
    <row r="585" spans="49:53" ht="15" x14ac:dyDescent="0.25">
      <c r="AW585"/>
      <c r="BA585"/>
    </row>
    <row r="586" spans="49:53" ht="15" x14ac:dyDescent="0.25">
      <c r="AW586"/>
      <c r="BA586"/>
    </row>
    <row r="587" spans="49:53" ht="15" x14ac:dyDescent="0.25">
      <c r="AW587"/>
      <c r="BA587"/>
    </row>
    <row r="588" spans="49:53" ht="15" x14ac:dyDescent="0.25">
      <c r="AW588"/>
      <c r="BA588"/>
    </row>
    <row r="589" spans="49:53" ht="15" x14ac:dyDescent="0.25">
      <c r="AW589"/>
      <c r="BA589"/>
    </row>
    <row r="590" spans="49:53" ht="15" x14ac:dyDescent="0.25">
      <c r="AW590"/>
      <c r="BA590"/>
    </row>
    <row r="591" spans="49:53" ht="15" x14ac:dyDescent="0.25">
      <c r="AW591"/>
      <c r="BA591"/>
    </row>
    <row r="592" spans="49:53" ht="15" x14ac:dyDescent="0.25">
      <c r="AW592"/>
      <c r="BA592"/>
    </row>
    <row r="593" spans="49:53" ht="15" x14ac:dyDescent="0.25">
      <c r="AW593"/>
      <c r="BA593"/>
    </row>
    <row r="594" spans="49:53" ht="15" x14ac:dyDescent="0.25">
      <c r="AW594"/>
      <c r="BA594"/>
    </row>
    <row r="595" spans="49:53" ht="15" x14ac:dyDescent="0.25">
      <c r="AW595"/>
      <c r="BA595"/>
    </row>
    <row r="596" spans="49:53" ht="15" x14ac:dyDescent="0.25">
      <c r="AW596"/>
      <c r="BA596"/>
    </row>
    <row r="597" spans="49:53" ht="15" x14ac:dyDescent="0.25">
      <c r="AW597"/>
      <c r="BA597"/>
    </row>
    <row r="598" spans="49:53" ht="15" x14ac:dyDescent="0.25">
      <c r="AW598"/>
      <c r="BA598"/>
    </row>
    <row r="599" spans="49:53" ht="15" x14ac:dyDescent="0.25">
      <c r="AW599"/>
      <c r="BA599"/>
    </row>
    <row r="600" spans="49:53" ht="15" x14ac:dyDescent="0.25">
      <c r="AW600"/>
      <c r="BA600"/>
    </row>
    <row r="601" spans="49:53" ht="15" x14ac:dyDescent="0.25">
      <c r="AW601"/>
      <c r="BA601"/>
    </row>
    <row r="602" spans="49:53" ht="15" x14ac:dyDescent="0.25">
      <c r="AW602"/>
      <c r="BA602"/>
    </row>
    <row r="603" spans="49:53" ht="15" x14ac:dyDescent="0.25">
      <c r="AW603"/>
      <c r="BA603"/>
    </row>
    <row r="604" spans="49:53" ht="15" x14ac:dyDescent="0.25">
      <c r="AW604"/>
      <c r="BA604"/>
    </row>
    <row r="605" spans="49:53" ht="15" x14ac:dyDescent="0.25">
      <c r="AW605"/>
      <c r="BA605"/>
    </row>
    <row r="606" spans="49:53" ht="15" x14ac:dyDescent="0.25">
      <c r="AW606"/>
      <c r="BA606"/>
    </row>
    <row r="607" spans="49:53" ht="15" x14ac:dyDescent="0.25">
      <c r="AW607"/>
      <c r="BA607"/>
    </row>
    <row r="608" spans="49:53" ht="15" x14ac:dyDescent="0.25">
      <c r="AW608"/>
      <c r="BA608"/>
    </row>
    <row r="609" spans="49:53" ht="15" x14ac:dyDescent="0.25">
      <c r="AW609"/>
      <c r="BA609"/>
    </row>
    <row r="610" spans="49:53" ht="15" x14ac:dyDescent="0.25">
      <c r="AW610"/>
      <c r="BA610"/>
    </row>
    <row r="611" spans="49:53" ht="15" x14ac:dyDescent="0.25">
      <c r="AW611"/>
      <c r="BA611"/>
    </row>
    <row r="612" spans="49:53" ht="15" x14ac:dyDescent="0.25">
      <c r="AW612"/>
      <c r="BA612"/>
    </row>
    <row r="613" spans="49:53" ht="15" x14ac:dyDescent="0.25">
      <c r="AW613"/>
      <c r="BA613"/>
    </row>
    <row r="614" spans="49:53" ht="15" x14ac:dyDescent="0.25">
      <c r="AW614"/>
      <c r="BA614"/>
    </row>
    <row r="615" spans="49:53" ht="15" x14ac:dyDescent="0.25">
      <c r="AW615"/>
      <c r="BA615"/>
    </row>
    <row r="616" spans="49:53" ht="15" x14ac:dyDescent="0.25">
      <c r="AW616"/>
      <c r="BA616"/>
    </row>
    <row r="617" spans="49:53" ht="15" x14ac:dyDescent="0.25">
      <c r="AW617"/>
      <c r="BA617"/>
    </row>
    <row r="618" spans="49:53" ht="15" x14ac:dyDescent="0.25">
      <c r="AW618"/>
      <c r="BA618"/>
    </row>
    <row r="619" spans="49:53" ht="15" x14ac:dyDescent="0.25">
      <c r="AW619"/>
      <c r="BA619"/>
    </row>
    <row r="620" spans="49:53" ht="15" x14ac:dyDescent="0.25">
      <c r="AW620"/>
      <c r="BA620"/>
    </row>
    <row r="621" spans="49:53" ht="15" x14ac:dyDescent="0.25">
      <c r="AW621"/>
      <c r="BA621"/>
    </row>
    <row r="622" spans="49:53" ht="15" x14ac:dyDescent="0.25">
      <c r="AW622"/>
      <c r="BA622"/>
    </row>
    <row r="623" spans="49:53" ht="15" x14ac:dyDescent="0.25">
      <c r="AW623"/>
      <c r="BA623"/>
    </row>
    <row r="624" spans="49:53" ht="15" x14ac:dyDescent="0.25">
      <c r="AW624"/>
      <c r="BA624"/>
    </row>
    <row r="625" spans="49:53" ht="15" x14ac:dyDescent="0.25">
      <c r="AW625"/>
      <c r="BA625"/>
    </row>
    <row r="626" spans="49:53" ht="15" x14ac:dyDescent="0.25">
      <c r="AW626"/>
      <c r="BA626"/>
    </row>
    <row r="627" spans="49:53" ht="15" x14ac:dyDescent="0.25">
      <c r="AW627"/>
      <c r="BA627"/>
    </row>
    <row r="628" spans="49:53" ht="15" x14ac:dyDescent="0.25">
      <c r="AW628"/>
      <c r="BA628"/>
    </row>
    <row r="629" spans="49:53" ht="15" x14ac:dyDescent="0.25">
      <c r="AW629"/>
      <c r="BA629"/>
    </row>
    <row r="630" spans="49:53" ht="15" x14ac:dyDescent="0.25">
      <c r="AW630"/>
      <c r="BA630"/>
    </row>
    <row r="631" spans="49:53" ht="15" x14ac:dyDescent="0.25">
      <c r="AW631"/>
      <c r="BA631"/>
    </row>
    <row r="632" spans="49:53" ht="15" x14ac:dyDescent="0.25">
      <c r="AW632"/>
      <c r="BA632"/>
    </row>
    <row r="633" spans="49:53" ht="15" x14ac:dyDescent="0.25">
      <c r="AW633"/>
      <c r="BA633"/>
    </row>
    <row r="634" spans="49:53" ht="15" x14ac:dyDescent="0.25">
      <c r="AW634"/>
      <c r="BA634"/>
    </row>
    <row r="635" spans="49:53" ht="15" x14ac:dyDescent="0.25">
      <c r="AW635"/>
      <c r="BA635"/>
    </row>
    <row r="636" spans="49:53" ht="15" x14ac:dyDescent="0.25">
      <c r="AW636"/>
      <c r="BA636"/>
    </row>
    <row r="637" spans="49:53" ht="15" x14ac:dyDescent="0.25">
      <c r="AW637"/>
      <c r="BA637"/>
    </row>
    <row r="638" spans="49:53" ht="15" x14ac:dyDescent="0.25">
      <c r="AW638"/>
      <c r="BA638"/>
    </row>
    <row r="639" spans="49:53" ht="15" x14ac:dyDescent="0.25">
      <c r="AW639"/>
      <c r="BA639"/>
    </row>
    <row r="640" spans="49:53" ht="15" x14ac:dyDescent="0.25">
      <c r="AW640"/>
      <c r="BA640"/>
    </row>
    <row r="641" spans="49:53" ht="15" x14ac:dyDescent="0.25">
      <c r="AW641"/>
      <c r="BA641"/>
    </row>
    <row r="642" spans="49:53" ht="15" x14ac:dyDescent="0.25">
      <c r="AW642"/>
      <c r="BA642"/>
    </row>
    <row r="643" spans="49:53" ht="15" x14ac:dyDescent="0.25">
      <c r="AW643"/>
      <c r="BA643"/>
    </row>
    <row r="644" spans="49:53" ht="15" x14ac:dyDescent="0.25">
      <c r="AW644"/>
      <c r="BA644"/>
    </row>
    <row r="645" spans="49:53" ht="15" x14ac:dyDescent="0.25">
      <c r="AW645"/>
      <c r="BA645"/>
    </row>
    <row r="646" spans="49:53" ht="15" x14ac:dyDescent="0.25">
      <c r="AW646"/>
      <c r="BA646"/>
    </row>
    <row r="647" spans="49:53" ht="15" x14ac:dyDescent="0.25">
      <c r="AW647"/>
      <c r="BA647"/>
    </row>
    <row r="648" spans="49:53" ht="15" x14ac:dyDescent="0.25">
      <c r="AW648"/>
      <c r="BA648"/>
    </row>
    <row r="649" spans="49:53" ht="15" x14ac:dyDescent="0.25">
      <c r="AW649"/>
      <c r="BA649"/>
    </row>
    <row r="650" spans="49:53" ht="15" x14ac:dyDescent="0.25">
      <c r="AW650"/>
      <c r="BA650"/>
    </row>
    <row r="651" spans="49:53" ht="15" x14ac:dyDescent="0.25">
      <c r="AW651"/>
      <c r="BA651"/>
    </row>
    <row r="652" spans="49:53" ht="15" x14ac:dyDescent="0.25">
      <c r="AW652"/>
      <c r="BA652"/>
    </row>
    <row r="653" spans="49:53" ht="15" x14ac:dyDescent="0.25">
      <c r="AW653"/>
      <c r="BA653"/>
    </row>
    <row r="654" spans="49:53" ht="15" x14ac:dyDescent="0.25">
      <c r="AW654"/>
      <c r="BA654"/>
    </row>
    <row r="655" spans="49:53" ht="15" x14ac:dyDescent="0.25">
      <c r="AW655"/>
      <c r="BA655"/>
    </row>
    <row r="656" spans="49:53" ht="15" x14ac:dyDescent="0.25">
      <c r="AW656"/>
      <c r="BA656"/>
    </row>
    <row r="657" spans="49:53" ht="15" x14ac:dyDescent="0.25">
      <c r="AW657"/>
      <c r="BA657"/>
    </row>
    <row r="658" spans="49:53" ht="15" x14ac:dyDescent="0.25">
      <c r="AW658"/>
      <c r="BA658"/>
    </row>
    <row r="659" spans="49:53" ht="15" x14ac:dyDescent="0.25">
      <c r="AW659"/>
      <c r="BA659"/>
    </row>
    <row r="660" spans="49:53" ht="15" x14ac:dyDescent="0.25">
      <c r="AW660"/>
      <c r="BA660"/>
    </row>
    <row r="661" spans="49:53" ht="15" x14ac:dyDescent="0.25">
      <c r="AW661"/>
      <c r="BA661"/>
    </row>
    <row r="662" spans="49:53" ht="15" x14ac:dyDescent="0.25">
      <c r="AW662"/>
      <c r="BA662"/>
    </row>
    <row r="663" spans="49:53" ht="15" x14ac:dyDescent="0.25">
      <c r="AW663"/>
      <c r="BA663"/>
    </row>
    <row r="664" spans="49:53" ht="15" x14ac:dyDescent="0.25">
      <c r="AW664"/>
      <c r="BA664"/>
    </row>
    <row r="665" spans="49:53" ht="15" x14ac:dyDescent="0.25">
      <c r="AW665"/>
      <c r="BA665"/>
    </row>
    <row r="666" spans="49:53" ht="15" x14ac:dyDescent="0.25">
      <c r="AW666"/>
      <c r="BA666"/>
    </row>
    <row r="667" spans="49:53" ht="15" x14ac:dyDescent="0.25">
      <c r="AW667"/>
      <c r="BA667"/>
    </row>
    <row r="668" spans="49:53" ht="15" x14ac:dyDescent="0.25">
      <c r="AW668"/>
      <c r="BA668"/>
    </row>
    <row r="669" spans="49:53" ht="15" x14ac:dyDescent="0.25">
      <c r="AW669"/>
      <c r="BA669"/>
    </row>
    <row r="670" spans="49:53" ht="15" x14ac:dyDescent="0.25">
      <c r="AW670"/>
      <c r="BA670"/>
    </row>
    <row r="671" spans="49:53" ht="15" x14ac:dyDescent="0.25">
      <c r="AW671"/>
      <c r="BA671"/>
    </row>
    <row r="672" spans="49:53" ht="15" x14ac:dyDescent="0.25">
      <c r="AW672"/>
      <c r="BA672"/>
    </row>
    <row r="673" spans="49:53" ht="15" x14ac:dyDescent="0.25">
      <c r="AW673"/>
      <c r="BA673"/>
    </row>
    <row r="674" spans="49:53" ht="15" x14ac:dyDescent="0.25">
      <c r="AW674"/>
      <c r="BA674"/>
    </row>
    <row r="675" spans="49:53" ht="15" x14ac:dyDescent="0.25">
      <c r="AW675"/>
      <c r="BA675"/>
    </row>
    <row r="676" spans="49:53" ht="15" x14ac:dyDescent="0.25">
      <c r="AW676"/>
      <c r="BA676"/>
    </row>
    <row r="677" spans="49:53" ht="15" x14ac:dyDescent="0.25">
      <c r="AW677"/>
      <c r="BA677"/>
    </row>
    <row r="678" spans="49:53" ht="15" x14ac:dyDescent="0.25">
      <c r="AW678"/>
      <c r="BA678"/>
    </row>
    <row r="679" spans="49:53" ht="15" x14ac:dyDescent="0.25">
      <c r="AW679"/>
      <c r="BA679"/>
    </row>
    <row r="680" spans="49:53" ht="15" x14ac:dyDescent="0.25">
      <c r="AW680"/>
      <c r="BA680"/>
    </row>
    <row r="681" spans="49:53" ht="15" x14ac:dyDescent="0.25">
      <c r="AW681"/>
      <c r="BA681"/>
    </row>
    <row r="682" spans="49:53" ht="15" x14ac:dyDescent="0.25">
      <c r="AW682"/>
      <c r="BA682"/>
    </row>
    <row r="683" spans="49:53" ht="15" x14ac:dyDescent="0.25">
      <c r="AW683"/>
      <c r="BA683"/>
    </row>
    <row r="684" spans="49:53" ht="15" x14ac:dyDescent="0.25">
      <c r="AW684"/>
      <c r="BA684"/>
    </row>
    <row r="685" spans="49:53" ht="15" x14ac:dyDescent="0.25">
      <c r="AW685"/>
      <c r="BA685"/>
    </row>
    <row r="686" spans="49:53" ht="15" x14ac:dyDescent="0.25">
      <c r="AW686"/>
      <c r="BA686"/>
    </row>
    <row r="687" spans="49:53" ht="15" x14ac:dyDescent="0.25">
      <c r="AW687"/>
      <c r="BA687"/>
    </row>
    <row r="688" spans="49:53" ht="15" x14ac:dyDescent="0.25">
      <c r="AW688"/>
      <c r="BA688"/>
    </row>
    <row r="689" spans="49:53" ht="15" x14ac:dyDescent="0.25">
      <c r="AW689"/>
      <c r="BA689"/>
    </row>
    <row r="690" spans="49:53" ht="15" x14ac:dyDescent="0.25">
      <c r="AW690"/>
      <c r="BA690"/>
    </row>
    <row r="691" spans="49:53" ht="15" x14ac:dyDescent="0.25">
      <c r="AW691"/>
      <c r="BA691"/>
    </row>
    <row r="692" spans="49:53" ht="15" x14ac:dyDescent="0.25">
      <c r="AW692"/>
      <c r="BA692"/>
    </row>
    <row r="693" spans="49:53" ht="15" x14ac:dyDescent="0.25">
      <c r="AW693"/>
      <c r="BA693"/>
    </row>
    <row r="694" spans="49:53" ht="15" x14ac:dyDescent="0.25">
      <c r="AW694"/>
      <c r="BA694"/>
    </row>
    <row r="695" spans="49:53" ht="15" x14ac:dyDescent="0.25">
      <c r="AW695"/>
      <c r="BA695"/>
    </row>
    <row r="696" spans="49:53" ht="15" x14ac:dyDescent="0.25">
      <c r="AW696"/>
      <c r="BA696"/>
    </row>
    <row r="697" spans="49:53" ht="15" x14ac:dyDescent="0.25">
      <c r="AW697"/>
      <c r="BA697"/>
    </row>
    <row r="698" spans="49:53" ht="15" x14ac:dyDescent="0.25">
      <c r="AW698"/>
      <c r="BA698"/>
    </row>
    <row r="699" spans="49:53" ht="15" x14ac:dyDescent="0.25">
      <c r="AW699"/>
      <c r="BA699"/>
    </row>
    <row r="700" spans="49:53" ht="15" x14ac:dyDescent="0.25">
      <c r="AW700"/>
      <c r="BA700"/>
    </row>
    <row r="701" spans="49:53" ht="15" x14ac:dyDescent="0.25">
      <c r="AW701"/>
      <c r="BA701"/>
    </row>
    <row r="702" spans="49:53" ht="15" x14ac:dyDescent="0.25">
      <c r="AW702"/>
      <c r="BA702"/>
    </row>
    <row r="703" spans="49:53" ht="15" x14ac:dyDescent="0.25">
      <c r="AW703"/>
      <c r="BA703"/>
    </row>
    <row r="704" spans="49:53" ht="15" x14ac:dyDescent="0.25">
      <c r="AW704"/>
      <c r="BA704"/>
    </row>
    <row r="705" spans="49:53" ht="15" x14ac:dyDescent="0.25">
      <c r="AW705"/>
      <c r="BA705"/>
    </row>
    <row r="706" spans="49:53" ht="15" x14ac:dyDescent="0.25">
      <c r="AW706"/>
      <c r="BA706"/>
    </row>
    <row r="707" spans="49:53" ht="15" x14ac:dyDescent="0.25">
      <c r="AW707"/>
      <c r="BA707"/>
    </row>
    <row r="708" spans="49:53" ht="15" x14ac:dyDescent="0.25">
      <c r="AW708"/>
      <c r="BA708"/>
    </row>
    <row r="709" spans="49:53" ht="15" x14ac:dyDescent="0.25">
      <c r="AW709"/>
      <c r="BA709"/>
    </row>
    <row r="710" spans="49:53" ht="15" x14ac:dyDescent="0.25">
      <c r="AW710"/>
      <c r="BA710"/>
    </row>
    <row r="711" spans="49:53" ht="15" x14ac:dyDescent="0.25">
      <c r="AW711"/>
      <c r="BA711"/>
    </row>
    <row r="712" spans="49:53" ht="15" x14ac:dyDescent="0.25">
      <c r="AW712"/>
      <c r="BA712"/>
    </row>
    <row r="713" spans="49:53" ht="15" x14ac:dyDescent="0.25">
      <c r="AW713"/>
      <c r="BA713"/>
    </row>
    <row r="714" spans="49:53" ht="15" x14ac:dyDescent="0.25">
      <c r="AW714"/>
      <c r="BA714"/>
    </row>
    <row r="715" spans="49:53" ht="15" x14ac:dyDescent="0.25">
      <c r="AW715"/>
      <c r="BA715"/>
    </row>
    <row r="716" spans="49:53" ht="15" x14ac:dyDescent="0.25">
      <c r="AW716"/>
      <c r="BA716"/>
    </row>
    <row r="717" spans="49:53" ht="15" x14ac:dyDescent="0.25">
      <c r="AW717"/>
      <c r="BA717"/>
    </row>
    <row r="718" spans="49:53" ht="15" x14ac:dyDescent="0.25">
      <c r="AW718"/>
      <c r="BA718"/>
    </row>
    <row r="719" spans="49:53" ht="15" x14ac:dyDescent="0.25">
      <c r="AW719"/>
      <c r="BA719"/>
    </row>
    <row r="720" spans="49:53" ht="15" x14ac:dyDescent="0.25">
      <c r="AW720"/>
      <c r="BA720"/>
    </row>
    <row r="721" spans="49:53" ht="15" x14ac:dyDescent="0.25">
      <c r="AW721"/>
      <c r="BA721"/>
    </row>
    <row r="722" spans="49:53" ht="15" x14ac:dyDescent="0.25">
      <c r="AW722"/>
      <c r="BA722"/>
    </row>
    <row r="723" spans="49:53" ht="15" x14ac:dyDescent="0.25">
      <c r="AW723"/>
      <c r="BA723"/>
    </row>
    <row r="724" spans="49:53" ht="15" x14ac:dyDescent="0.25">
      <c r="AW724"/>
      <c r="BA724"/>
    </row>
    <row r="725" spans="49:53" ht="15" x14ac:dyDescent="0.25">
      <c r="AW725"/>
      <c r="BA725"/>
    </row>
    <row r="726" spans="49:53" ht="15" x14ac:dyDescent="0.25">
      <c r="AW726"/>
      <c r="BA726"/>
    </row>
    <row r="727" spans="49:53" ht="15" x14ac:dyDescent="0.25">
      <c r="AW727"/>
      <c r="BA727"/>
    </row>
    <row r="728" spans="49:53" ht="15" x14ac:dyDescent="0.25">
      <c r="AW728"/>
      <c r="BA728"/>
    </row>
    <row r="729" spans="49:53" ht="15" x14ac:dyDescent="0.25">
      <c r="AW729"/>
      <c r="BA729"/>
    </row>
    <row r="730" spans="49:53" ht="15" x14ac:dyDescent="0.25">
      <c r="AW730"/>
      <c r="BA730"/>
    </row>
    <row r="731" spans="49:53" ht="15" x14ac:dyDescent="0.25">
      <c r="AW731"/>
      <c r="BA731"/>
    </row>
    <row r="732" spans="49:53" ht="15" x14ac:dyDescent="0.25">
      <c r="AW732"/>
      <c r="BA732"/>
    </row>
    <row r="733" spans="49:53" ht="15" x14ac:dyDescent="0.25">
      <c r="AW733"/>
      <c r="BA733"/>
    </row>
    <row r="734" spans="49:53" ht="15" x14ac:dyDescent="0.25">
      <c r="AW734"/>
      <c r="BA734"/>
    </row>
    <row r="735" spans="49:53" ht="15" x14ac:dyDescent="0.25">
      <c r="AW735"/>
      <c r="BA735"/>
    </row>
    <row r="736" spans="49:53" ht="15" x14ac:dyDescent="0.25">
      <c r="AW736"/>
      <c r="BA736"/>
    </row>
    <row r="737" spans="49:53" ht="15" x14ac:dyDescent="0.25">
      <c r="AW737"/>
      <c r="BA737"/>
    </row>
    <row r="738" spans="49:53" ht="15" x14ac:dyDescent="0.25">
      <c r="AW738"/>
      <c r="BA738"/>
    </row>
    <row r="739" spans="49:53" ht="15" x14ac:dyDescent="0.25">
      <c r="AW739"/>
      <c r="BA739"/>
    </row>
    <row r="740" spans="49:53" ht="15" x14ac:dyDescent="0.25">
      <c r="AW740"/>
      <c r="BA740"/>
    </row>
    <row r="741" spans="49:53" ht="15" x14ac:dyDescent="0.25">
      <c r="AW741"/>
      <c r="BA741"/>
    </row>
    <row r="742" spans="49:53" ht="15" x14ac:dyDescent="0.25">
      <c r="AW742"/>
      <c r="BA742"/>
    </row>
    <row r="743" spans="49:53" ht="15" x14ac:dyDescent="0.25">
      <c r="AW743"/>
      <c r="BA743"/>
    </row>
    <row r="744" spans="49:53" ht="15" x14ac:dyDescent="0.25">
      <c r="AW744"/>
      <c r="BA744"/>
    </row>
    <row r="745" spans="49:53" ht="15" x14ac:dyDescent="0.25">
      <c r="AW745"/>
      <c r="BA745"/>
    </row>
    <row r="746" spans="49:53" ht="15" x14ac:dyDescent="0.25">
      <c r="AW746"/>
      <c r="BA746"/>
    </row>
    <row r="747" spans="49:53" ht="15" x14ac:dyDescent="0.25">
      <c r="AW747"/>
      <c r="BA747"/>
    </row>
    <row r="748" spans="49:53" ht="15" x14ac:dyDescent="0.25">
      <c r="AW748"/>
      <c r="BA748"/>
    </row>
    <row r="749" spans="49:53" ht="15" x14ac:dyDescent="0.25">
      <c r="AW749"/>
      <c r="BA749"/>
    </row>
    <row r="750" spans="49:53" ht="15" x14ac:dyDescent="0.25">
      <c r="AW750"/>
      <c r="BA750"/>
    </row>
    <row r="751" spans="49:53" ht="15" x14ac:dyDescent="0.25">
      <c r="AW751"/>
      <c r="BA751"/>
    </row>
    <row r="752" spans="49:53" ht="15" x14ac:dyDescent="0.25">
      <c r="AW752"/>
      <c r="BA752"/>
    </row>
    <row r="753" spans="49:53" ht="15" x14ac:dyDescent="0.25">
      <c r="AW753"/>
      <c r="BA753"/>
    </row>
    <row r="754" spans="49:53" ht="15" x14ac:dyDescent="0.25">
      <c r="AW754"/>
      <c r="BA754"/>
    </row>
    <row r="755" spans="49:53" ht="15" x14ac:dyDescent="0.25">
      <c r="AW755"/>
      <c r="BA755"/>
    </row>
    <row r="756" spans="49:53" ht="15" x14ac:dyDescent="0.25">
      <c r="AW756"/>
      <c r="BA756"/>
    </row>
    <row r="757" spans="49:53" ht="15" x14ac:dyDescent="0.25">
      <c r="AW757"/>
      <c r="BA757"/>
    </row>
    <row r="758" spans="49:53" ht="15" x14ac:dyDescent="0.25">
      <c r="AW758"/>
      <c r="BA758"/>
    </row>
    <row r="759" spans="49:53" ht="15" x14ac:dyDescent="0.25">
      <c r="AW759"/>
      <c r="BA759"/>
    </row>
    <row r="760" spans="49:53" ht="15" x14ac:dyDescent="0.25">
      <c r="AW760"/>
      <c r="BA760"/>
    </row>
    <row r="761" spans="49:53" ht="15" x14ac:dyDescent="0.25">
      <c r="AW761"/>
      <c r="BA761"/>
    </row>
    <row r="762" spans="49:53" ht="15" x14ac:dyDescent="0.25">
      <c r="AW762"/>
      <c r="BA762"/>
    </row>
    <row r="763" spans="49:53" ht="15" x14ac:dyDescent="0.25">
      <c r="AW763"/>
      <c r="BA763"/>
    </row>
    <row r="764" spans="49:53" ht="15" x14ac:dyDescent="0.25">
      <c r="AW764"/>
      <c r="BA764"/>
    </row>
    <row r="765" spans="49:53" ht="15" x14ac:dyDescent="0.25">
      <c r="AW765"/>
      <c r="BA765"/>
    </row>
    <row r="766" spans="49:53" ht="15" x14ac:dyDescent="0.25">
      <c r="AW766"/>
      <c r="BA766"/>
    </row>
    <row r="767" spans="49:53" ht="15" x14ac:dyDescent="0.25">
      <c r="AW767"/>
      <c r="BA767"/>
    </row>
    <row r="768" spans="49:53" ht="15" x14ac:dyDescent="0.25">
      <c r="AW768"/>
      <c r="BA768"/>
    </row>
    <row r="769" spans="49:53" ht="15" x14ac:dyDescent="0.25">
      <c r="AW769"/>
      <c r="BA769"/>
    </row>
    <row r="770" spans="49:53" ht="15" x14ac:dyDescent="0.25">
      <c r="AW770"/>
      <c r="BA770"/>
    </row>
    <row r="771" spans="49:53" ht="15" x14ac:dyDescent="0.25">
      <c r="AW771"/>
      <c r="BA771"/>
    </row>
    <row r="772" spans="49:53" ht="15" x14ac:dyDescent="0.25">
      <c r="AW772"/>
      <c r="BA772"/>
    </row>
    <row r="773" spans="49:53" ht="15" x14ac:dyDescent="0.25">
      <c r="AW773"/>
      <c r="BA773"/>
    </row>
    <row r="774" spans="49:53" ht="15" x14ac:dyDescent="0.25">
      <c r="AW774"/>
      <c r="BA774"/>
    </row>
    <row r="775" spans="49:53" ht="15" x14ac:dyDescent="0.25">
      <c r="AW775"/>
      <c r="BA775"/>
    </row>
    <row r="776" spans="49:53" ht="15" x14ac:dyDescent="0.25">
      <c r="AW776"/>
      <c r="BA776"/>
    </row>
    <row r="777" spans="49:53" ht="15" x14ac:dyDescent="0.25">
      <c r="AW777"/>
      <c r="BA777"/>
    </row>
    <row r="778" spans="49:53" ht="15" x14ac:dyDescent="0.25">
      <c r="AW778"/>
      <c r="BA778"/>
    </row>
    <row r="779" spans="49:53" ht="15" x14ac:dyDescent="0.25">
      <c r="AW779"/>
      <c r="BA779"/>
    </row>
    <row r="780" spans="49:53" ht="15" x14ac:dyDescent="0.25">
      <c r="AW780"/>
      <c r="BA780"/>
    </row>
    <row r="781" spans="49:53" ht="15" x14ac:dyDescent="0.25">
      <c r="AW781"/>
      <c r="BA781"/>
    </row>
    <row r="782" spans="49:53" ht="15" x14ac:dyDescent="0.25">
      <c r="AW782"/>
      <c r="BA782"/>
    </row>
    <row r="783" spans="49:53" ht="15" x14ac:dyDescent="0.25">
      <c r="AW783"/>
      <c r="BA783"/>
    </row>
    <row r="784" spans="49:53" ht="15" x14ac:dyDescent="0.25">
      <c r="AW784"/>
      <c r="BA784"/>
    </row>
    <row r="785" spans="49:53" ht="15" x14ac:dyDescent="0.25">
      <c r="AW785"/>
      <c r="BA785"/>
    </row>
    <row r="786" spans="49:53" ht="15" x14ac:dyDescent="0.25">
      <c r="AW786"/>
      <c r="BA786"/>
    </row>
    <row r="787" spans="49:53" ht="15" x14ac:dyDescent="0.25">
      <c r="AW787"/>
      <c r="BA787"/>
    </row>
    <row r="788" spans="49:53" ht="15" x14ac:dyDescent="0.25">
      <c r="AW788"/>
      <c r="BA788"/>
    </row>
    <row r="789" spans="49:53" ht="15" x14ac:dyDescent="0.25">
      <c r="AW789"/>
      <c r="BA789"/>
    </row>
    <row r="790" spans="49:53" ht="15" x14ac:dyDescent="0.25">
      <c r="AW790"/>
      <c r="BA790"/>
    </row>
    <row r="791" spans="49:53" ht="15" x14ac:dyDescent="0.25">
      <c r="AW791"/>
      <c r="BA791"/>
    </row>
    <row r="792" spans="49:53" ht="15" x14ac:dyDescent="0.25">
      <c r="AW792"/>
      <c r="BA792"/>
    </row>
    <row r="793" spans="49:53" ht="15" x14ac:dyDescent="0.25">
      <c r="AW793"/>
      <c r="BA793"/>
    </row>
    <row r="794" spans="49:53" ht="15" x14ac:dyDescent="0.25">
      <c r="AW794"/>
      <c r="BA794"/>
    </row>
    <row r="795" spans="49:53" ht="15" x14ac:dyDescent="0.25">
      <c r="AW795"/>
      <c r="BA795"/>
    </row>
    <row r="796" spans="49:53" ht="15" x14ac:dyDescent="0.25">
      <c r="AW796"/>
      <c r="BA796"/>
    </row>
    <row r="797" spans="49:53" ht="15" x14ac:dyDescent="0.25">
      <c r="AW797"/>
      <c r="BA797"/>
    </row>
    <row r="798" spans="49:53" ht="15" x14ac:dyDescent="0.25">
      <c r="AW798"/>
      <c r="BA798"/>
    </row>
    <row r="799" spans="49:53" ht="15" x14ac:dyDescent="0.25">
      <c r="AW799"/>
      <c r="BA799"/>
    </row>
    <row r="800" spans="49:53" ht="15" x14ac:dyDescent="0.25">
      <c r="AW800"/>
      <c r="BA800"/>
    </row>
    <row r="801" spans="49:53" ht="15" x14ac:dyDescent="0.25">
      <c r="AW801"/>
      <c r="BA801"/>
    </row>
    <row r="802" spans="49:53" ht="15" x14ac:dyDescent="0.25">
      <c r="AW802"/>
      <c r="BA802"/>
    </row>
    <row r="803" spans="49:53" ht="15" x14ac:dyDescent="0.25">
      <c r="AW803"/>
      <c r="BA803"/>
    </row>
    <row r="804" spans="49:53" ht="15" x14ac:dyDescent="0.25">
      <c r="AW804"/>
      <c r="BA804"/>
    </row>
    <row r="805" spans="49:53" ht="15" x14ac:dyDescent="0.25">
      <c r="AW805"/>
      <c r="BA805"/>
    </row>
    <row r="806" spans="49:53" ht="15" x14ac:dyDescent="0.25">
      <c r="AW806"/>
      <c r="BA806"/>
    </row>
    <row r="807" spans="49:53" ht="15" x14ac:dyDescent="0.25">
      <c r="AW807"/>
      <c r="BA807"/>
    </row>
    <row r="808" spans="49:53" ht="15" x14ac:dyDescent="0.25">
      <c r="AW808"/>
      <c r="BA808"/>
    </row>
    <row r="809" spans="49:53" ht="15" x14ac:dyDescent="0.25">
      <c r="AW809"/>
      <c r="BA809"/>
    </row>
    <row r="810" spans="49:53" ht="15" x14ac:dyDescent="0.25">
      <c r="AW810"/>
      <c r="BA810"/>
    </row>
    <row r="811" spans="49:53" ht="15" x14ac:dyDescent="0.25">
      <c r="AW811"/>
      <c r="BA811"/>
    </row>
    <row r="812" spans="49:53" ht="15" x14ac:dyDescent="0.25">
      <c r="AW812"/>
      <c r="BA812"/>
    </row>
    <row r="813" spans="49:53" ht="15" x14ac:dyDescent="0.25">
      <c r="AW813"/>
      <c r="BA813"/>
    </row>
    <row r="814" spans="49:53" ht="15" x14ac:dyDescent="0.25">
      <c r="AW814"/>
      <c r="BA814"/>
    </row>
    <row r="815" spans="49:53" ht="15" x14ac:dyDescent="0.25">
      <c r="AW815"/>
      <c r="BA815"/>
    </row>
    <row r="816" spans="49:53" ht="15" x14ac:dyDescent="0.25">
      <c r="AW816"/>
      <c r="BA816"/>
    </row>
    <row r="817" spans="49:53" ht="15" x14ac:dyDescent="0.25">
      <c r="AW817"/>
      <c r="BA817"/>
    </row>
    <row r="818" spans="49:53" ht="15" x14ac:dyDescent="0.25">
      <c r="AW818"/>
      <c r="BA818"/>
    </row>
    <row r="819" spans="49:53" ht="15" x14ac:dyDescent="0.25">
      <c r="AW819"/>
      <c r="BA819"/>
    </row>
    <row r="820" spans="49:53" ht="15" x14ac:dyDescent="0.25">
      <c r="AW820"/>
      <c r="BA820"/>
    </row>
    <row r="821" spans="49:53" ht="15" x14ac:dyDescent="0.25">
      <c r="AW821"/>
      <c r="BA821"/>
    </row>
    <row r="822" spans="49:53" ht="15" x14ac:dyDescent="0.25">
      <c r="AW822"/>
      <c r="BA822"/>
    </row>
    <row r="823" spans="49:53" ht="15" x14ac:dyDescent="0.25">
      <c r="AW823"/>
      <c r="BA823"/>
    </row>
    <row r="824" spans="49:53" ht="15" x14ac:dyDescent="0.25">
      <c r="AW824"/>
      <c r="BA824"/>
    </row>
    <row r="825" spans="49:53" ht="15" x14ac:dyDescent="0.25">
      <c r="AW825"/>
      <c r="BA825"/>
    </row>
    <row r="826" spans="49:53" ht="15" x14ac:dyDescent="0.25">
      <c r="AW826"/>
      <c r="BA826"/>
    </row>
    <row r="827" spans="49:53" ht="15" x14ac:dyDescent="0.25">
      <c r="AW827"/>
      <c r="BA827"/>
    </row>
    <row r="828" spans="49:53" ht="15" x14ac:dyDescent="0.25">
      <c r="AW828"/>
      <c r="BA828"/>
    </row>
    <row r="829" spans="49:53" ht="15" x14ac:dyDescent="0.25">
      <c r="AW829"/>
      <c r="BA829"/>
    </row>
    <row r="830" spans="49:53" ht="15" x14ac:dyDescent="0.25">
      <c r="AW830"/>
      <c r="BA830"/>
    </row>
    <row r="831" spans="49:53" ht="15" x14ac:dyDescent="0.25">
      <c r="AW831"/>
      <c r="BA831"/>
    </row>
    <row r="832" spans="49:53" ht="15" x14ac:dyDescent="0.25">
      <c r="AW832"/>
      <c r="BA832"/>
    </row>
    <row r="833" spans="49:53" ht="15" x14ac:dyDescent="0.25">
      <c r="AW833"/>
      <c r="BA833"/>
    </row>
    <row r="834" spans="49:53" ht="15" x14ac:dyDescent="0.25">
      <c r="AW834"/>
      <c r="BA834"/>
    </row>
    <row r="835" spans="49:53" ht="15" x14ac:dyDescent="0.25">
      <c r="AW835"/>
      <c r="BA835"/>
    </row>
    <row r="836" spans="49:53" ht="15" x14ac:dyDescent="0.25">
      <c r="AW836"/>
      <c r="BA836"/>
    </row>
    <row r="837" spans="49:53" ht="15" x14ac:dyDescent="0.25">
      <c r="AW837"/>
      <c r="BA837"/>
    </row>
    <row r="838" spans="49:53" ht="15" x14ac:dyDescent="0.25">
      <c r="AW838"/>
      <c r="BA838"/>
    </row>
    <row r="839" spans="49:53" ht="15" x14ac:dyDescent="0.25">
      <c r="AW839"/>
      <c r="BA839"/>
    </row>
    <row r="840" spans="49:53" ht="15" x14ac:dyDescent="0.25">
      <c r="AW840"/>
      <c r="BA840"/>
    </row>
    <row r="841" spans="49:53" ht="15" x14ac:dyDescent="0.25">
      <c r="AW841"/>
      <c r="BA841"/>
    </row>
    <row r="842" spans="49:53" ht="15" x14ac:dyDescent="0.25">
      <c r="AW842"/>
      <c r="BA842"/>
    </row>
    <row r="843" spans="49:53" ht="15" x14ac:dyDescent="0.25">
      <c r="AW843"/>
      <c r="BA843"/>
    </row>
    <row r="844" spans="49:53" ht="15" x14ac:dyDescent="0.25">
      <c r="AW844"/>
      <c r="BA844"/>
    </row>
    <row r="845" spans="49:53" ht="15" x14ac:dyDescent="0.25">
      <c r="AW845"/>
      <c r="BA845"/>
    </row>
    <row r="846" spans="49:53" ht="15" x14ac:dyDescent="0.25">
      <c r="AW846"/>
      <c r="BA846"/>
    </row>
    <row r="847" spans="49:53" ht="15" x14ac:dyDescent="0.25">
      <c r="AW847"/>
      <c r="BA847"/>
    </row>
    <row r="848" spans="49:53" ht="15" x14ac:dyDescent="0.25">
      <c r="AW848"/>
      <c r="BA848"/>
    </row>
    <row r="849" spans="49:53" ht="15" x14ac:dyDescent="0.25">
      <c r="AW849"/>
      <c r="BA849"/>
    </row>
    <row r="850" spans="49:53" ht="15" x14ac:dyDescent="0.25">
      <c r="AW850"/>
      <c r="BA850"/>
    </row>
    <row r="851" spans="49:53" ht="15" x14ac:dyDescent="0.25">
      <c r="AW851"/>
      <c r="BA851"/>
    </row>
    <row r="852" spans="49:53" ht="15" x14ac:dyDescent="0.25">
      <c r="AW852"/>
      <c r="BA852"/>
    </row>
    <row r="853" spans="49:53" ht="15" x14ac:dyDescent="0.25">
      <c r="AW853"/>
      <c r="BA853"/>
    </row>
    <row r="854" spans="49:53" ht="15" x14ac:dyDescent="0.25">
      <c r="AW854"/>
      <c r="BA854"/>
    </row>
    <row r="855" spans="49:53" ht="15" x14ac:dyDescent="0.25">
      <c r="AW855"/>
      <c r="BA855"/>
    </row>
    <row r="856" spans="49:53" ht="15" x14ac:dyDescent="0.25">
      <c r="AW856"/>
      <c r="BA856"/>
    </row>
    <row r="857" spans="49:53" ht="15" x14ac:dyDescent="0.25">
      <c r="AW857"/>
      <c r="BA857"/>
    </row>
    <row r="858" spans="49:53" ht="15" x14ac:dyDescent="0.25">
      <c r="AW858"/>
      <c r="BA858"/>
    </row>
    <row r="859" spans="49:53" ht="15" x14ac:dyDescent="0.25">
      <c r="AW859"/>
      <c r="BA859"/>
    </row>
    <row r="860" spans="49:53" ht="15" x14ac:dyDescent="0.25">
      <c r="AW860"/>
      <c r="BA860"/>
    </row>
    <row r="861" spans="49:53" ht="15" x14ac:dyDescent="0.25">
      <c r="AW861"/>
      <c r="BA861"/>
    </row>
    <row r="862" spans="49:53" ht="15" x14ac:dyDescent="0.25">
      <c r="AW862"/>
      <c r="BA862"/>
    </row>
    <row r="863" spans="49:53" ht="15" x14ac:dyDescent="0.25">
      <c r="AW863"/>
      <c r="BA863"/>
    </row>
    <row r="864" spans="49:53" ht="15" x14ac:dyDescent="0.25">
      <c r="AW864"/>
      <c r="BA864"/>
    </row>
    <row r="865" spans="49:53" ht="15" x14ac:dyDescent="0.25">
      <c r="AW865"/>
      <c r="BA865"/>
    </row>
    <row r="866" spans="49:53" ht="15" x14ac:dyDescent="0.25">
      <c r="AW866"/>
      <c r="BA866"/>
    </row>
    <row r="867" spans="49:53" ht="15" x14ac:dyDescent="0.25">
      <c r="AW867"/>
      <c r="BA867"/>
    </row>
    <row r="868" spans="49:53" ht="15" x14ac:dyDescent="0.25">
      <c r="AW868"/>
      <c r="BA868"/>
    </row>
    <row r="869" spans="49:53" ht="15" x14ac:dyDescent="0.25">
      <c r="AW869"/>
      <c r="BA869"/>
    </row>
    <row r="870" spans="49:53" ht="15" x14ac:dyDescent="0.25">
      <c r="AW870"/>
      <c r="BA870"/>
    </row>
    <row r="871" spans="49:53" ht="15" x14ac:dyDescent="0.25">
      <c r="AW871"/>
      <c r="BA871"/>
    </row>
    <row r="872" spans="49:53" ht="15" x14ac:dyDescent="0.25">
      <c r="AW872"/>
      <c r="BA872"/>
    </row>
    <row r="873" spans="49:53" ht="15" x14ac:dyDescent="0.25">
      <c r="AW873"/>
      <c r="BA873"/>
    </row>
    <row r="874" spans="49:53" ht="15" x14ac:dyDescent="0.25">
      <c r="AW874"/>
      <c r="BA874"/>
    </row>
    <row r="875" spans="49:53" ht="15" x14ac:dyDescent="0.25">
      <c r="AW875"/>
      <c r="BA875"/>
    </row>
    <row r="876" spans="49:53" ht="15" x14ac:dyDescent="0.25">
      <c r="AW876"/>
      <c r="BA876"/>
    </row>
    <row r="877" spans="49:53" ht="15" x14ac:dyDescent="0.25">
      <c r="AW877"/>
      <c r="BA877"/>
    </row>
    <row r="878" spans="49:53" ht="15" x14ac:dyDescent="0.25">
      <c r="AW878"/>
      <c r="BA878"/>
    </row>
    <row r="879" spans="49:53" ht="15" x14ac:dyDescent="0.25">
      <c r="AW879"/>
      <c r="BA879"/>
    </row>
    <row r="880" spans="49:53" ht="15" x14ac:dyDescent="0.25">
      <c r="AW880"/>
      <c r="BA880"/>
    </row>
    <row r="881" spans="49:53" ht="15" x14ac:dyDescent="0.25">
      <c r="AW881"/>
      <c r="BA881"/>
    </row>
    <row r="882" spans="49:53" ht="15" x14ac:dyDescent="0.25">
      <c r="AW882"/>
      <c r="BA882"/>
    </row>
    <row r="883" spans="49:53" ht="15" x14ac:dyDescent="0.25">
      <c r="AW883"/>
      <c r="BA883"/>
    </row>
    <row r="884" spans="49:53" ht="15" x14ac:dyDescent="0.25">
      <c r="AW884"/>
      <c r="BA884"/>
    </row>
    <row r="885" spans="49:53" ht="15" x14ac:dyDescent="0.25">
      <c r="AW885"/>
      <c r="BA885"/>
    </row>
    <row r="886" spans="49:53" ht="15" x14ac:dyDescent="0.25">
      <c r="AW886"/>
      <c r="BA886"/>
    </row>
    <row r="887" spans="49:53" ht="15" x14ac:dyDescent="0.25">
      <c r="AW887"/>
      <c r="BA887"/>
    </row>
    <row r="888" spans="49:53" ht="15" x14ac:dyDescent="0.25">
      <c r="AW888"/>
      <c r="BA888"/>
    </row>
    <row r="889" spans="49:53" ht="15" x14ac:dyDescent="0.25">
      <c r="AW889"/>
      <c r="BA889"/>
    </row>
    <row r="890" spans="49:53" ht="15" x14ac:dyDescent="0.25">
      <c r="AW890"/>
      <c r="BA890"/>
    </row>
    <row r="891" spans="49:53" ht="15" x14ac:dyDescent="0.25">
      <c r="AW891"/>
      <c r="BA891"/>
    </row>
    <row r="892" spans="49:53" ht="15" x14ac:dyDescent="0.25">
      <c r="AW892"/>
      <c r="BA892"/>
    </row>
    <row r="893" spans="49:53" ht="15" x14ac:dyDescent="0.25">
      <c r="AW893"/>
      <c r="BA893"/>
    </row>
    <row r="894" spans="49:53" ht="15" x14ac:dyDescent="0.25">
      <c r="AW894"/>
      <c r="BA894"/>
    </row>
    <row r="895" spans="49:53" ht="15" x14ac:dyDescent="0.25">
      <c r="AW895"/>
      <c r="BA895"/>
    </row>
    <row r="896" spans="49:53" ht="15" x14ac:dyDescent="0.25">
      <c r="AW896"/>
      <c r="BA896"/>
    </row>
    <row r="897" spans="49:53" ht="15" x14ac:dyDescent="0.25">
      <c r="AW897"/>
      <c r="BA897"/>
    </row>
    <row r="898" spans="49:53" ht="15" x14ac:dyDescent="0.25">
      <c r="AW898"/>
      <c r="BA898"/>
    </row>
    <row r="899" spans="49:53" ht="15" x14ac:dyDescent="0.25">
      <c r="AW899"/>
      <c r="BA899"/>
    </row>
    <row r="900" spans="49:53" ht="15" x14ac:dyDescent="0.25">
      <c r="AW900"/>
      <c r="BA900"/>
    </row>
    <row r="901" spans="49:53" ht="15" x14ac:dyDescent="0.25">
      <c r="AW901"/>
      <c r="BA901"/>
    </row>
    <row r="902" spans="49:53" ht="15" x14ac:dyDescent="0.25">
      <c r="AW902"/>
      <c r="BA902"/>
    </row>
    <row r="903" spans="49:53" ht="15" x14ac:dyDescent="0.25">
      <c r="AW903"/>
      <c r="BA903"/>
    </row>
    <row r="904" spans="49:53" ht="15" x14ac:dyDescent="0.25">
      <c r="AW904"/>
      <c r="BA904"/>
    </row>
    <row r="905" spans="49:53" ht="15" x14ac:dyDescent="0.25">
      <c r="AW905"/>
      <c r="BA905"/>
    </row>
    <row r="906" spans="49:53" ht="15" x14ac:dyDescent="0.25">
      <c r="AW906"/>
      <c r="BA906"/>
    </row>
    <row r="907" spans="49:53" ht="15" x14ac:dyDescent="0.25">
      <c r="AW907"/>
      <c r="BA907"/>
    </row>
    <row r="908" spans="49:53" ht="15" x14ac:dyDescent="0.25">
      <c r="AW908"/>
      <c r="BA908"/>
    </row>
    <row r="909" spans="49:53" ht="15" x14ac:dyDescent="0.25">
      <c r="AW909"/>
      <c r="BA909"/>
    </row>
    <row r="910" spans="49:53" ht="15" x14ac:dyDescent="0.25">
      <c r="AW910"/>
      <c r="BA910"/>
    </row>
    <row r="911" spans="49:53" ht="15" x14ac:dyDescent="0.25">
      <c r="AW911"/>
      <c r="BA911"/>
    </row>
    <row r="912" spans="49:53" ht="15" x14ac:dyDescent="0.25">
      <c r="AW912"/>
      <c r="BA912"/>
    </row>
    <row r="913" spans="49:53" ht="15" x14ac:dyDescent="0.25">
      <c r="AW913"/>
      <c r="BA913"/>
    </row>
    <row r="914" spans="49:53" ht="15" x14ac:dyDescent="0.25">
      <c r="AW914"/>
      <c r="BA914"/>
    </row>
    <row r="915" spans="49:53" ht="15" x14ac:dyDescent="0.25">
      <c r="AW915"/>
      <c r="BA915"/>
    </row>
    <row r="916" spans="49:53" ht="15" x14ac:dyDescent="0.25">
      <c r="AW916"/>
      <c r="BA916"/>
    </row>
    <row r="917" spans="49:53" ht="15" x14ac:dyDescent="0.25">
      <c r="AW917"/>
      <c r="BA917"/>
    </row>
    <row r="918" spans="49:53" ht="15" x14ac:dyDescent="0.25">
      <c r="AW918"/>
      <c r="BA918"/>
    </row>
    <row r="919" spans="49:53" ht="15" x14ac:dyDescent="0.25">
      <c r="AW919"/>
      <c r="BA919"/>
    </row>
    <row r="920" spans="49:53" ht="15" x14ac:dyDescent="0.25">
      <c r="AW920"/>
      <c r="BA920"/>
    </row>
    <row r="921" spans="49:53" ht="15" x14ac:dyDescent="0.25">
      <c r="AW921"/>
      <c r="BA921"/>
    </row>
    <row r="922" spans="49:53" ht="15" x14ac:dyDescent="0.25">
      <c r="AW922"/>
      <c r="BA922"/>
    </row>
    <row r="923" spans="49:53" ht="15" x14ac:dyDescent="0.25">
      <c r="AW923"/>
      <c r="BA923"/>
    </row>
    <row r="924" spans="49:53" ht="15" x14ac:dyDescent="0.25">
      <c r="AW924"/>
      <c r="BA924"/>
    </row>
    <row r="925" spans="49:53" ht="15" x14ac:dyDescent="0.25">
      <c r="AW925"/>
      <c r="BA925"/>
    </row>
    <row r="926" spans="49:53" ht="15" x14ac:dyDescent="0.25">
      <c r="AW926"/>
      <c r="BA926"/>
    </row>
    <row r="927" spans="49:53" ht="15" x14ac:dyDescent="0.25">
      <c r="AW927"/>
      <c r="BA927"/>
    </row>
    <row r="928" spans="49:53" ht="15" x14ac:dyDescent="0.25">
      <c r="AW928"/>
      <c r="BA928"/>
    </row>
    <row r="929" spans="49:53" ht="15" x14ac:dyDescent="0.25">
      <c r="AW929"/>
      <c r="BA929"/>
    </row>
    <row r="930" spans="49:53" ht="15" x14ac:dyDescent="0.25">
      <c r="AW930"/>
      <c r="BA930"/>
    </row>
    <row r="931" spans="49:53" ht="15" x14ac:dyDescent="0.25">
      <c r="AW931"/>
      <c r="BA931"/>
    </row>
    <row r="932" spans="49:53" ht="15" x14ac:dyDescent="0.25">
      <c r="AW932"/>
      <c r="BA932"/>
    </row>
    <row r="933" spans="49:53" ht="15" x14ac:dyDescent="0.25">
      <c r="AW933"/>
      <c r="BA933"/>
    </row>
    <row r="934" spans="49:53" ht="15" x14ac:dyDescent="0.25">
      <c r="AW934"/>
      <c r="BA934"/>
    </row>
    <row r="935" spans="49:53" ht="15" x14ac:dyDescent="0.25">
      <c r="AW935"/>
      <c r="BA935"/>
    </row>
    <row r="936" spans="49:53" ht="15" x14ac:dyDescent="0.25">
      <c r="AW936"/>
      <c r="BA936"/>
    </row>
    <row r="937" spans="49:53" ht="15" x14ac:dyDescent="0.25">
      <c r="AW937"/>
      <c r="BA937"/>
    </row>
    <row r="938" spans="49:53" ht="15" x14ac:dyDescent="0.25">
      <c r="AW938"/>
      <c r="BA938"/>
    </row>
    <row r="939" spans="49:53" ht="15" x14ac:dyDescent="0.25">
      <c r="AW939"/>
      <c r="BA939"/>
    </row>
    <row r="940" spans="49:53" ht="15" x14ac:dyDescent="0.25">
      <c r="AW940"/>
      <c r="BA940"/>
    </row>
    <row r="941" spans="49:53" ht="15" x14ac:dyDescent="0.25">
      <c r="AW941"/>
      <c r="BA941"/>
    </row>
    <row r="942" spans="49:53" ht="15" x14ac:dyDescent="0.25">
      <c r="AW942"/>
      <c r="BA942"/>
    </row>
    <row r="943" spans="49:53" ht="15" x14ac:dyDescent="0.25">
      <c r="AW943"/>
      <c r="BA943"/>
    </row>
    <row r="944" spans="49:53" ht="15" x14ac:dyDescent="0.25">
      <c r="AW944"/>
      <c r="BA944"/>
    </row>
    <row r="945" spans="49:53" ht="15" x14ac:dyDescent="0.25">
      <c r="AW945"/>
      <c r="BA945"/>
    </row>
    <row r="946" spans="49:53" ht="15" x14ac:dyDescent="0.25">
      <c r="AW946"/>
      <c r="BA946"/>
    </row>
    <row r="947" spans="49:53" ht="15" x14ac:dyDescent="0.25">
      <c r="AW947"/>
      <c r="BA947"/>
    </row>
    <row r="948" spans="49:53" ht="15" x14ac:dyDescent="0.25">
      <c r="AW948"/>
      <c r="BA948"/>
    </row>
    <row r="949" spans="49:53" ht="15" x14ac:dyDescent="0.25">
      <c r="AW949"/>
      <c r="BA949"/>
    </row>
    <row r="950" spans="49:53" ht="15" x14ac:dyDescent="0.25">
      <c r="AW950"/>
      <c r="BA950"/>
    </row>
    <row r="951" spans="49:53" ht="15" x14ac:dyDescent="0.25">
      <c r="AW951"/>
      <c r="BA951"/>
    </row>
    <row r="952" spans="49:53" ht="15" x14ac:dyDescent="0.25">
      <c r="AW952"/>
      <c r="BA952"/>
    </row>
    <row r="953" spans="49:53" ht="15" x14ac:dyDescent="0.25">
      <c r="AW953"/>
      <c r="BA953"/>
    </row>
    <row r="954" spans="49:53" ht="15" x14ac:dyDescent="0.25">
      <c r="AW954"/>
      <c r="BA954"/>
    </row>
    <row r="955" spans="49:53" ht="15" x14ac:dyDescent="0.25">
      <c r="AW955"/>
      <c r="BA955"/>
    </row>
    <row r="956" spans="49:53" ht="15" x14ac:dyDescent="0.25">
      <c r="AW956"/>
      <c r="BA956"/>
    </row>
    <row r="957" spans="49:53" ht="15" x14ac:dyDescent="0.25">
      <c r="AW957"/>
      <c r="BA957"/>
    </row>
    <row r="958" spans="49:53" ht="15" x14ac:dyDescent="0.25">
      <c r="AW958"/>
      <c r="BA958"/>
    </row>
    <row r="959" spans="49:53" ht="15" x14ac:dyDescent="0.25">
      <c r="AW959"/>
      <c r="BA959"/>
    </row>
    <row r="960" spans="49:53" ht="15" x14ac:dyDescent="0.25">
      <c r="AW960"/>
      <c r="BA960"/>
    </row>
    <row r="961" spans="49:53" ht="15" x14ac:dyDescent="0.25">
      <c r="AW961"/>
      <c r="BA961"/>
    </row>
    <row r="962" spans="49:53" ht="15" x14ac:dyDescent="0.25">
      <c r="AW962"/>
      <c r="BA962"/>
    </row>
    <row r="963" spans="49:53" ht="15" x14ac:dyDescent="0.25">
      <c r="AW963"/>
      <c r="BA963"/>
    </row>
    <row r="964" spans="49:53" ht="15" x14ac:dyDescent="0.25">
      <c r="AW964"/>
      <c r="BA964"/>
    </row>
    <row r="965" spans="49:53" ht="15" x14ac:dyDescent="0.25">
      <c r="AW965"/>
      <c r="BA965"/>
    </row>
    <row r="966" spans="49:53" ht="15" x14ac:dyDescent="0.25">
      <c r="AW966"/>
      <c r="BA966"/>
    </row>
    <row r="967" spans="49:53" ht="15" x14ac:dyDescent="0.25">
      <c r="AW967"/>
      <c r="BA967"/>
    </row>
    <row r="968" spans="49:53" ht="15" x14ac:dyDescent="0.25">
      <c r="AW968"/>
      <c r="BA968"/>
    </row>
    <row r="969" spans="49:53" ht="15" x14ac:dyDescent="0.25">
      <c r="AW969"/>
      <c r="BA969"/>
    </row>
    <row r="970" spans="49:53" ht="15" x14ac:dyDescent="0.25">
      <c r="AW970"/>
      <c r="BA970"/>
    </row>
    <row r="971" spans="49:53" ht="15" x14ac:dyDescent="0.25">
      <c r="AW971"/>
      <c r="BA971"/>
    </row>
    <row r="972" spans="49:53" ht="15" x14ac:dyDescent="0.25">
      <c r="AW972"/>
      <c r="BA972"/>
    </row>
    <row r="973" spans="49:53" ht="15" x14ac:dyDescent="0.25">
      <c r="AW973"/>
      <c r="BA973"/>
    </row>
    <row r="974" spans="49:53" ht="15" x14ac:dyDescent="0.25">
      <c r="AW974"/>
      <c r="BA974"/>
    </row>
    <row r="975" spans="49:53" ht="15" x14ac:dyDescent="0.25">
      <c r="AW975"/>
      <c r="BA975"/>
    </row>
    <row r="976" spans="49:53" ht="15" x14ac:dyDescent="0.25">
      <c r="AW976"/>
      <c r="BA976"/>
    </row>
    <row r="977" spans="49:53" ht="15" x14ac:dyDescent="0.25">
      <c r="AW977"/>
      <c r="BA977"/>
    </row>
    <row r="978" spans="49:53" ht="15" x14ac:dyDescent="0.25">
      <c r="AW978"/>
      <c r="BA978"/>
    </row>
    <row r="979" spans="49:53" ht="15" x14ac:dyDescent="0.25">
      <c r="AW979"/>
      <c r="BA979"/>
    </row>
    <row r="980" spans="49:53" ht="15" x14ac:dyDescent="0.25">
      <c r="AW980"/>
      <c r="BA980"/>
    </row>
    <row r="981" spans="49:53" ht="15" x14ac:dyDescent="0.25">
      <c r="AW981"/>
      <c r="BA981"/>
    </row>
    <row r="982" spans="49:53" ht="15" x14ac:dyDescent="0.25">
      <c r="AW982"/>
      <c r="BA982"/>
    </row>
    <row r="983" spans="49:53" ht="15" x14ac:dyDescent="0.25">
      <c r="AW983"/>
      <c r="BA983"/>
    </row>
    <row r="984" spans="49:53" ht="15" x14ac:dyDescent="0.25">
      <c r="AW984"/>
      <c r="BA984"/>
    </row>
    <row r="985" spans="49:53" ht="15" x14ac:dyDescent="0.25">
      <c r="AW985"/>
      <c r="BA985"/>
    </row>
    <row r="986" spans="49:53" ht="15" x14ac:dyDescent="0.25">
      <c r="AW986"/>
      <c r="BA986"/>
    </row>
    <row r="987" spans="49:53" ht="15" x14ac:dyDescent="0.25">
      <c r="AW987"/>
      <c r="BA987"/>
    </row>
    <row r="988" spans="49:53" ht="15" x14ac:dyDescent="0.25">
      <c r="AW988"/>
      <c r="BA988"/>
    </row>
    <row r="989" spans="49:53" ht="15" x14ac:dyDescent="0.25">
      <c r="AW989"/>
      <c r="BA989"/>
    </row>
    <row r="990" spans="49:53" ht="15" x14ac:dyDescent="0.25">
      <c r="AW990"/>
      <c r="BA990"/>
    </row>
    <row r="991" spans="49:53" ht="15" x14ac:dyDescent="0.25">
      <c r="AW991"/>
      <c r="BA991"/>
    </row>
    <row r="992" spans="49:53" ht="15" x14ac:dyDescent="0.25">
      <c r="AW992"/>
      <c r="BA992"/>
    </row>
    <row r="993" spans="49:53" ht="15" x14ac:dyDescent="0.25">
      <c r="AW993"/>
      <c r="BA993"/>
    </row>
    <row r="994" spans="49:53" ht="15" x14ac:dyDescent="0.25">
      <c r="AW994"/>
      <c r="BA994"/>
    </row>
    <row r="995" spans="49:53" ht="15" x14ac:dyDescent="0.25">
      <c r="AW995"/>
      <c r="BA995"/>
    </row>
    <row r="996" spans="49:53" ht="15" x14ac:dyDescent="0.25">
      <c r="AW996"/>
      <c r="BA996"/>
    </row>
    <row r="997" spans="49:53" ht="15" x14ac:dyDescent="0.25">
      <c r="AW997"/>
      <c r="BA997"/>
    </row>
    <row r="998" spans="49:53" ht="15" x14ac:dyDescent="0.25">
      <c r="AW998"/>
      <c r="BA998"/>
    </row>
    <row r="999" spans="49:53" ht="15" x14ac:dyDescent="0.25">
      <c r="AW999"/>
      <c r="BA999"/>
    </row>
    <row r="1000" spans="49:53" ht="15" x14ac:dyDescent="0.25">
      <c r="AW1000"/>
      <c r="BA1000"/>
    </row>
    <row r="1001" spans="49:53" ht="15" x14ac:dyDescent="0.25">
      <c r="AW1001"/>
      <c r="BA1001"/>
    </row>
    <row r="1002" spans="49:53" ht="15" x14ac:dyDescent="0.25">
      <c r="AW1002"/>
      <c r="BA1002"/>
    </row>
    <row r="1003" spans="49:53" ht="15" x14ac:dyDescent="0.25">
      <c r="AW1003"/>
      <c r="BA1003"/>
    </row>
    <row r="1004" spans="49:53" ht="15" x14ac:dyDescent="0.25">
      <c r="AW1004"/>
      <c r="BA1004"/>
    </row>
    <row r="1005" spans="49:53" ht="15" x14ac:dyDescent="0.25">
      <c r="AW1005"/>
      <c r="BA1005"/>
    </row>
    <row r="1006" spans="49:53" ht="15" x14ac:dyDescent="0.25">
      <c r="AW1006"/>
      <c r="BA1006"/>
    </row>
    <row r="1007" spans="49:53" ht="15" x14ac:dyDescent="0.25">
      <c r="AW1007"/>
      <c r="BA1007"/>
    </row>
    <row r="1008" spans="49:53" ht="15" x14ac:dyDescent="0.25">
      <c r="AW1008"/>
      <c r="BA1008"/>
    </row>
    <row r="1009" spans="49:53" ht="15" x14ac:dyDescent="0.25">
      <c r="AW1009"/>
      <c r="BA1009"/>
    </row>
    <row r="1010" spans="49:53" ht="15" x14ac:dyDescent="0.25">
      <c r="AW1010"/>
      <c r="BA1010"/>
    </row>
    <row r="1011" spans="49:53" ht="15" x14ac:dyDescent="0.25">
      <c r="AW1011"/>
      <c r="BA1011"/>
    </row>
    <row r="1012" spans="49:53" ht="15" x14ac:dyDescent="0.25">
      <c r="AW1012"/>
      <c r="BA1012"/>
    </row>
    <row r="1013" spans="49:53" ht="15" x14ac:dyDescent="0.25">
      <c r="AW1013"/>
      <c r="BA1013"/>
    </row>
    <row r="1014" spans="49:53" ht="15" x14ac:dyDescent="0.25">
      <c r="AW1014"/>
      <c r="BA1014"/>
    </row>
    <row r="1015" spans="49:53" ht="15" x14ac:dyDescent="0.25">
      <c r="AW1015"/>
      <c r="BA1015"/>
    </row>
    <row r="1016" spans="49:53" ht="15" x14ac:dyDescent="0.25">
      <c r="AW1016"/>
      <c r="BA1016"/>
    </row>
    <row r="1017" spans="49:53" ht="15" x14ac:dyDescent="0.25">
      <c r="AW1017"/>
      <c r="BA1017"/>
    </row>
    <row r="1018" spans="49:53" ht="15" x14ac:dyDescent="0.25">
      <c r="AW1018"/>
      <c r="BA1018"/>
    </row>
    <row r="1019" spans="49:53" ht="15" x14ac:dyDescent="0.25">
      <c r="AW1019"/>
      <c r="BA1019"/>
    </row>
    <row r="1020" spans="49:53" ht="15" x14ac:dyDescent="0.25">
      <c r="AW1020"/>
      <c r="BA1020"/>
    </row>
    <row r="1021" spans="49:53" ht="15" x14ac:dyDescent="0.25">
      <c r="AW1021"/>
      <c r="BA1021"/>
    </row>
    <row r="1022" spans="49:53" ht="15" x14ac:dyDescent="0.25">
      <c r="AW1022"/>
      <c r="BA1022"/>
    </row>
    <row r="1023" spans="49:53" ht="15" x14ac:dyDescent="0.25">
      <c r="AW1023"/>
      <c r="BA1023"/>
    </row>
    <row r="1024" spans="49:53" ht="15" x14ac:dyDescent="0.25">
      <c r="AW1024"/>
      <c r="BA1024"/>
    </row>
    <row r="1025" spans="49:53" ht="15" x14ac:dyDescent="0.25">
      <c r="AW1025"/>
      <c r="BA1025"/>
    </row>
    <row r="1026" spans="49:53" ht="15" x14ac:dyDescent="0.25">
      <c r="AW1026"/>
      <c r="BA1026"/>
    </row>
    <row r="1027" spans="49:53" ht="15" x14ac:dyDescent="0.25">
      <c r="AW1027"/>
      <c r="BA1027"/>
    </row>
    <row r="1028" spans="49:53" ht="15" x14ac:dyDescent="0.25">
      <c r="AW1028"/>
      <c r="BA1028"/>
    </row>
    <row r="1029" spans="49:53" ht="15" x14ac:dyDescent="0.25">
      <c r="AW1029"/>
      <c r="BA1029"/>
    </row>
    <row r="1030" spans="49:53" ht="15" x14ac:dyDescent="0.25">
      <c r="AW1030"/>
      <c r="BA1030"/>
    </row>
    <row r="1031" spans="49:53" ht="15" x14ac:dyDescent="0.25">
      <c r="AW1031"/>
      <c r="BA1031"/>
    </row>
    <row r="1032" spans="49:53" ht="15" x14ac:dyDescent="0.25">
      <c r="AW1032"/>
      <c r="BA1032"/>
    </row>
    <row r="1033" spans="49:53" ht="15" x14ac:dyDescent="0.25">
      <c r="AW1033"/>
      <c r="BA1033"/>
    </row>
    <row r="1034" spans="49:53" ht="15" x14ac:dyDescent="0.25">
      <c r="AW1034"/>
      <c r="BA1034"/>
    </row>
    <row r="1035" spans="49:53" ht="15" x14ac:dyDescent="0.25">
      <c r="AW1035"/>
      <c r="BA1035"/>
    </row>
    <row r="1036" spans="49:53" ht="15" x14ac:dyDescent="0.25">
      <c r="AW1036"/>
      <c r="BA1036"/>
    </row>
    <row r="1037" spans="49:53" ht="15" x14ac:dyDescent="0.25">
      <c r="AW1037"/>
      <c r="BA1037"/>
    </row>
    <row r="1038" spans="49:53" ht="15" x14ac:dyDescent="0.25">
      <c r="AW1038"/>
      <c r="BA1038"/>
    </row>
    <row r="1039" spans="49:53" ht="15" x14ac:dyDescent="0.25">
      <c r="AW1039"/>
      <c r="BA1039"/>
    </row>
    <row r="1040" spans="49:53" ht="15" x14ac:dyDescent="0.25">
      <c r="AW1040"/>
      <c r="BA1040"/>
    </row>
    <row r="1041" spans="49:53" ht="15" x14ac:dyDescent="0.25">
      <c r="AW1041"/>
      <c r="BA1041"/>
    </row>
    <row r="1042" spans="49:53" ht="15" x14ac:dyDescent="0.25">
      <c r="AW1042"/>
      <c r="BA1042"/>
    </row>
    <row r="1043" spans="49:53" ht="15" x14ac:dyDescent="0.25">
      <c r="AW1043"/>
      <c r="BA1043"/>
    </row>
    <row r="1044" spans="49:53" ht="15" x14ac:dyDescent="0.25">
      <c r="AW1044"/>
      <c r="BA1044"/>
    </row>
    <row r="1045" spans="49:53" ht="15" x14ac:dyDescent="0.25">
      <c r="AW1045"/>
      <c r="BA1045"/>
    </row>
    <row r="1046" spans="49:53" ht="15" x14ac:dyDescent="0.25">
      <c r="AW1046"/>
      <c r="BA1046"/>
    </row>
    <row r="1047" spans="49:53" ht="15" x14ac:dyDescent="0.25">
      <c r="AW1047"/>
      <c r="BA1047"/>
    </row>
    <row r="1048" spans="49:53" ht="15" x14ac:dyDescent="0.25">
      <c r="AW1048"/>
      <c r="BA1048"/>
    </row>
    <row r="1049" spans="49:53" ht="15" x14ac:dyDescent="0.25">
      <c r="AW1049"/>
      <c r="BA1049"/>
    </row>
    <row r="1050" spans="49:53" ht="15" x14ac:dyDescent="0.25">
      <c r="AW1050"/>
      <c r="BA1050"/>
    </row>
    <row r="1051" spans="49:53" ht="15" x14ac:dyDescent="0.25">
      <c r="AW1051"/>
      <c r="BA1051"/>
    </row>
    <row r="1052" spans="49:53" ht="15" x14ac:dyDescent="0.25">
      <c r="AW1052"/>
      <c r="BA1052"/>
    </row>
    <row r="1053" spans="49:53" ht="15" x14ac:dyDescent="0.25">
      <c r="AW1053"/>
      <c r="BA1053"/>
    </row>
    <row r="1054" spans="49:53" ht="15" x14ac:dyDescent="0.25">
      <c r="AW1054"/>
      <c r="BA1054"/>
    </row>
    <row r="1055" spans="49:53" ht="15" x14ac:dyDescent="0.25">
      <c r="AW1055"/>
      <c r="BA1055"/>
    </row>
    <row r="1056" spans="49:53" ht="15" x14ac:dyDescent="0.25">
      <c r="AW1056"/>
      <c r="BA1056"/>
    </row>
    <row r="1057" spans="49:53" ht="15" x14ac:dyDescent="0.25">
      <c r="AW1057"/>
      <c r="BA1057"/>
    </row>
    <row r="1058" spans="49:53" ht="15" x14ac:dyDescent="0.25">
      <c r="AW1058"/>
      <c r="BA1058"/>
    </row>
    <row r="1059" spans="49:53" ht="15" x14ac:dyDescent="0.25">
      <c r="AW1059"/>
      <c r="BA1059"/>
    </row>
    <row r="1060" spans="49:53" ht="15" x14ac:dyDescent="0.25">
      <c r="AW1060"/>
      <c r="BA1060"/>
    </row>
    <row r="1061" spans="49:53" ht="15" x14ac:dyDescent="0.25">
      <c r="AW1061"/>
      <c r="BA1061"/>
    </row>
    <row r="1062" spans="49:53" ht="15" x14ac:dyDescent="0.25">
      <c r="AW1062"/>
      <c r="BA1062"/>
    </row>
    <row r="1063" spans="49:53" ht="15" x14ac:dyDescent="0.25">
      <c r="AW1063"/>
      <c r="BA1063"/>
    </row>
    <row r="1064" spans="49:53" ht="15" x14ac:dyDescent="0.25">
      <c r="AW1064"/>
      <c r="BA1064"/>
    </row>
    <row r="1065" spans="49:53" ht="15" x14ac:dyDescent="0.25">
      <c r="AW1065"/>
      <c r="BA1065"/>
    </row>
    <row r="1066" spans="49:53" ht="15" x14ac:dyDescent="0.25">
      <c r="AW1066"/>
      <c r="BA1066"/>
    </row>
    <row r="1067" spans="49:53" ht="15" x14ac:dyDescent="0.25">
      <c r="AW1067"/>
      <c r="BA1067"/>
    </row>
    <row r="1068" spans="49:53" ht="15" x14ac:dyDescent="0.25">
      <c r="AW1068"/>
      <c r="BA1068"/>
    </row>
    <row r="1069" spans="49:53" ht="15" x14ac:dyDescent="0.25">
      <c r="AW1069"/>
      <c r="BA1069"/>
    </row>
    <row r="1070" spans="49:53" ht="15" x14ac:dyDescent="0.25">
      <c r="AW1070"/>
      <c r="BA1070"/>
    </row>
    <row r="1071" spans="49:53" ht="15" x14ac:dyDescent="0.25">
      <c r="AW1071"/>
      <c r="BA1071"/>
    </row>
    <row r="1072" spans="49:53" ht="15" x14ac:dyDescent="0.25">
      <c r="AW1072"/>
      <c r="BA1072"/>
    </row>
    <row r="1073" spans="49:53" ht="15" x14ac:dyDescent="0.25">
      <c r="AW1073"/>
      <c r="BA1073"/>
    </row>
    <row r="1074" spans="49:53" ht="15" x14ac:dyDescent="0.25">
      <c r="AW1074"/>
      <c r="BA1074"/>
    </row>
    <row r="1075" spans="49:53" ht="15" x14ac:dyDescent="0.25">
      <c r="AW1075"/>
      <c r="BA1075"/>
    </row>
    <row r="1076" spans="49:53" ht="15" x14ac:dyDescent="0.25">
      <c r="AW1076"/>
      <c r="BA1076"/>
    </row>
    <row r="1077" spans="49:53" ht="15" x14ac:dyDescent="0.25">
      <c r="AW1077"/>
      <c r="BA1077"/>
    </row>
    <row r="1078" spans="49:53" ht="15" x14ac:dyDescent="0.25">
      <c r="AW1078"/>
      <c r="BA1078"/>
    </row>
    <row r="1079" spans="49:53" ht="15" x14ac:dyDescent="0.25">
      <c r="AW1079"/>
      <c r="BA1079"/>
    </row>
    <row r="1080" spans="49:53" ht="15" x14ac:dyDescent="0.25">
      <c r="AW1080"/>
      <c r="BA1080"/>
    </row>
    <row r="1081" spans="49:53" ht="15" x14ac:dyDescent="0.25">
      <c r="AW1081"/>
      <c r="BA1081"/>
    </row>
    <row r="1082" spans="49:53" ht="15" x14ac:dyDescent="0.25">
      <c r="AW1082"/>
      <c r="BA1082"/>
    </row>
    <row r="1083" spans="49:53" ht="15" x14ac:dyDescent="0.25">
      <c r="AW1083"/>
      <c r="BA1083"/>
    </row>
    <row r="1084" spans="49:53" ht="15" x14ac:dyDescent="0.25">
      <c r="AW1084"/>
      <c r="BA1084"/>
    </row>
    <row r="1085" spans="49:53" ht="15" x14ac:dyDescent="0.25">
      <c r="AW1085"/>
      <c r="BA1085"/>
    </row>
    <row r="1086" spans="49:53" ht="15" x14ac:dyDescent="0.25">
      <c r="AW1086"/>
      <c r="BA1086"/>
    </row>
    <row r="1087" spans="49:53" ht="15" x14ac:dyDescent="0.25">
      <c r="AW1087"/>
      <c r="BA1087"/>
    </row>
    <row r="1088" spans="49:53" ht="15" x14ac:dyDescent="0.25">
      <c r="AW1088"/>
      <c r="BA1088"/>
    </row>
    <row r="1089" spans="49:53" ht="15" x14ac:dyDescent="0.25">
      <c r="AW1089"/>
      <c r="BA1089"/>
    </row>
    <row r="1090" spans="49:53" ht="15" x14ac:dyDescent="0.25">
      <c r="AW1090"/>
      <c r="BA1090"/>
    </row>
    <row r="1091" spans="49:53" ht="15" x14ac:dyDescent="0.25">
      <c r="AW1091"/>
      <c r="BA1091"/>
    </row>
    <row r="1092" spans="49:53" ht="15" x14ac:dyDescent="0.25">
      <c r="AW1092"/>
      <c r="BA1092"/>
    </row>
    <row r="1093" spans="49:53" ht="15" x14ac:dyDescent="0.25">
      <c r="AW1093"/>
      <c r="BA1093"/>
    </row>
    <row r="1094" spans="49:53" ht="15" x14ac:dyDescent="0.25">
      <c r="AW1094"/>
      <c r="BA1094"/>
    </row>
    <row r="1095" spans="49:53" ht="15" x14ac:dyDescent="0.25">
      <c r="AW1095"/>
      <c r="BA1095"/>
    </row>
    <row r="1096" spans="49:53" ht="15" x14ac:dyDescent="0.25">
      <c r="AW1096"/>
      <c r="BA1096"/>
    </row>
    <row r="1097" spans="49:53" ht="15" x14ac:dyDescent="0.25">
      <c r="AW1097"/>
      <c r="BA1097"/>
    </row>
    <row r="1098" spans="49:53" ht="15" x14ac:dyDescent="0.25">
      <c r="AW1098"/>
      <c r="BA1098"/>
    </row>
    <row r="1099" spans="49:53" ht="15" x14ac:dyDescent="0.25">
      <c r="AW1099"/>
      <c r="BA1099"/>
    </row>
    <row r="1100" spans="49:53" ht="15" x14ac:dyDescent="0.25">
      <c r="AW1100"/>
      <c r="BA1100"/>
    </row>
    <row r="1101" spans="49:53" ht="15" x14ac:dyDescent="0.25">
      <c r="AW1101"/>
      <c r="BA1101"/>
    </row>
    <row r="1102" spans="49:53" ht="15" x14ac:dyDescent="0.25">
      <c r="AW1102"/>
      <c r="BA1102"/>
    </row>
    <row r="1103" spans="49:53" ht="15" x14ac:dyDescent="0.25">
      <c r="AW1103"/>
      <c r="BA1103"/>
    </row>
    <row r="1104" spans="49:53" ht="15" x14ac:dyDescent="0.25">
      <c r="AW1104"/>
      <c r="BA1104"/>
    </row>
    <row r="1105" spans="49:53" ht="15" x14ac:dyDescent="0.25">
      <c r="AW1105"/>
      <c r="BA1105"/>
    </row>
    <row r="1106" spans="49:53" ht="15" x14ac:dyDescent="0.25">
      <c r="AW1106"/>
      <c r="BA1106"/>
    </row>
    <row r="1107" spans="49:53" ht="15" x14ac:dyDescent="0.25">
      <c r="AW1107"/>
      <c r="BA1107"/>
    </row>
    <row r="1108" spans="49:53" ht="15" x14ac:dyDescent="0.25">
      <c r="AW1108"/>
      <c r="BA1108"/>
    </row>
    <row r="1109" spans="49:53" ht="15" x14ac:dyDescent="0.25">
      <c r="AW1109"/>
      <c r="BA1109"/>
    </row>
    <row r="1110" spans="49:53" ht="15" x14ac:dyDescent="0.25">
      <c r="AW1110"/>
      <c r="BA1110"/>
    </row>
    <row r="1111" spans="49:53" ht="15" x14ac:dyDescent="0.25">
      <c r="AW1111"/>
      <c r="BA1111"/>
    </row>
    <row r="1112" spans="49:53" ht="15" x14ac:dyDescent="0.25">
      <c r="AW1112"/>
      <c r="BA1112"/>
    </row>
    <row r="1113" spans="49:53" ht="15" x14ac:dyDescent="0.25">
      <c r="AW1113"/>
      <c r="BA1113"/>
    </row>
    <row r="1114" spans="49:53" ht="15" x14ac:dyDescent="0.25">
      <c r="AW1114"/>
      <c r="BA1114"/>
    </row>
    <row r="1115" spans="49:53" ht="15" x14ac:dyDescent="0.25">
      <c r="AW1115"/>
      <c r="BA1115"/>
    </row>
    <row r="1116" spans="49:53" ht="15" x14ac:dyDescent="0.25">
      <c r="AW1116"/>
      <c r="BA1116"/>
    </row>
    <row r="1117" spans="49:53" ht="15" x14ac:dyDescent="0.25">
      <c r="AW1117"/>
      <c r="BA1117"/>
    </row>
    <row r="1118" spans="49:53" ht="15" x14ac:dyDescent="0.25">
      <c r="AW1118"/>
      <c r="BA1118"/>
    </row>
    <row r="1119" spans="49:53" ht="15" x14ac:dyDescent="0.25">
      <c r="AW1119"/>
      <c r="BA1119"/>
    </row>
    <row r="1120" spans="49:53" ht="15" x14ac:dyDescent="0.25">
      <c r="AW1120"/>
      <c r="BA1120"/>
    </row>
    <row r="1121" spans="49:53" ht="15" x14ac:dyDescent="0.25">
      <c r="AW1121"/>
      <c r="BA1121"/>
    </row>
    <row r="1122" spans="49:53" ht="15" x14ac:dyDescent="0.25">
      <c r="AW1122"/>
      <c r="BA1122"/>
    </row>
    <row r="1123" spans="49:53" ht="15" x14ac:dyDescent="0.25">
      <c r="AW1123"/>
      <c r="BA1123"/>
    </row>
    <row r="1124" spans="49:53" ht="15" x14ac:dyDescent="0.25">
      <c r="AW1124"/>
      <c r="BA1124"/>
    </row>
    <row r="1125" spans="49:53" ht="15" x14ac:dyDescent="0.25">
      <c r="AW1125"/>
      <c r="BA1125"/>
    </row>
    <row r="1126" spans="49:53" ht="15" x14ac:dyDescent="0.25">
      <c r="AW1126"/>
      <c r="BA1126"/>
    </row>
    <row r="1127" spans="49:53" ht="15" x14ac:dyDescent="0.25">
      <c r="AW1127"/>
      <c r="BA1127"/>
    </row>
    <row r="1128" spans="49:53" ht="15" x14ac:dyDescent="0.25">
      <c r="AW1128"/>
      <c r="BA1128"/>
    </row>
    <row r="1129" spans="49:53" ht="15" x14ac:dyDescent="0.25">
      <c r="AW1129"/>
      <c r="BA1129"/>
    </row>
    <row r="1130" spans="49:53" ht="15" x14ac:dyDescent="0.25">
      <c r="AW1130"/>
      <c r="BA1130"/>
    </row>
    <row r="1131" spans="49:53" ht="15" x14ac:dyDescent="0.25">
      <c r="AW1131"/>
      <c r="BA1131"/>
    </row>
    <row r="1132" spans="49:53" ht="15" x14ac:dyDescent="0.25">
      <c r="AW1132"/>
      <c r="BA1132"/>
    </row>
    <row r="1133" spans="49:53" ht="15" x14ac:dyDescent="0.25">
      <c r="AW1133"/>
      <c r="BA1133"/>
    </row>
    <row r="1134" spans="49:53" ht="15" x14ac:dyDescent="0.25">
      <c r="AW1134"/>
      <c r="BA1134"/>
    </row>
    <row r="1135" spans="49:53" ht="15" x14ac:dyDescent="0.25">
      <c r="AW1135"/>
      <c r="BA1135"/>
    </row>
    <row r="1136" spans="49:53" ht="15" x14ac:dyDescent="0.25">
      <c r="AW1136"/>
      <c r="BA1136"/>
    </row>
    <row r="1137" spans="49:53" ht="15" x14ac:dyDescent="0.25">
      <c r="AW1137"/>
      <c r="BA1137"/>
    </row>
    <row r="1138" spans="49:53" ht="15" x14ac:dyDescent="0.25">
      <c r="AW1138"/>
      <c r="BA1138"/>
    </row>
    <row r="1139" spans="49:53" ht="15" x14ac:dyDescent="0.25">
      <c r="AW1139"/>
      <c r="BA1139"/>
    </row>
    <row r="1140" spans="49:53" ht="15" x14ac:dyDescent="0.25">
      <c r="AW1140"/>
      <c r="BA1140"/>
    </row>
    <row r="1141" spans="49:53" ht="15" x14ac:dyDescent="0.25">
      <c r="AW1141"/>
      <c r="BA1141"/>
    </row>
    <row r="1142" spans="49:53" ht="15" x14ac:dyDescent="0.25">
      <c r="AW1142"/>
      <c r="BA1142"/>
    </row>
    <row r="1143" spans="49:53" ht="15" x14ac:dyDescent="0.25">
      <c r="AW1143"/>
      <c r="BA1143"/>
    </row>
    <row r="1144" spans="49:53" ht="15" x14ac:dyDescent="0.25">
      <c r="AW1144"/>
      <c r="BA1144"/>
    </row>
    <row r="1145" spans="49:53" ht="15" x14ac:dyDescent="0.25">
      <c r="AW1145"/>
      <c r="BA1145"/>
    </row>
    <row r="1146" spans="49:53" ht="15" x14ac:dyDescent="0.25">
      <c r="AW1146"/>
      <c r="BA1146"/>
    </row>
    <row r="1147" spans="49:53" ht="15" x14ac:dyDescent="0.25">
      <c r="AW1147"/>
      <c r="BA1147"/>
    </row>
    <row r="1148" spans="49:53" ht="15" x14ac:dyDescent="0.25">
      <c r="AW1148"/>
      <c r="BA1148"/>
    </row>
    <row r="1149" spans="49:53" ht="15" x14ac:dyDescent="0.25">
      <c r="AW1149"/>
      <c r="BA1149"/>
    </row>
    <row r="1150" spans="49:53" ht="15" x14ac:dyDescent="0.25">
      <c r="AW1150"/>
      <c r="BA1150"/>
    </row>
    <row r="1151" spans="49:53" ht="15" x14ac:dyDescent="0.25">
      <c r="AW1151"/>
      <c r="BA1151"/>
    </row>
    <row r="1152" spans="49:53" ht="15" x14ac:dyDescent="0.25">
      <c r="AW1152"/>
      <c r="BA1152"/>
    </row>
    <row r="1153" spans="49:53" ht="15" x14ac:dyDescent="0.25">
      <c r="AW1153"/>
      <c r="BA1153"/>
    </row>
    <row r="1154" spans="49:53" ht="15" x14ac:dyDescent="0.25">
      <c r="AW1154"/>
      <c r="BA1154"/>
    </row>
    <row r="1155" spans="49:53" ht="15" x14ac:dyDescent="0.25">
      <c r="AW1155"/>
      <c r="BA1155"/>
    </row>
    <row r="1156" spans="49:53" ht="15" x14ac:dyDescent="0.25">
      <c r="AW1156"/>
      <c r="BA1156"/>
    </row>
    <row r="1157" spans="49:53" ht="15" x14ac:dyDescent="0.25">
      <c r="AW1157"/>
      <c r="BA1157"/>
    </row>
    <row r="1158" spans="49:53" ht="15" x14ac:dyDescent="0.25">
      <c r="AW1158"/>
      <c r="BA1158"/>
    </row>
    <row r="1159" spans="49:53" ht="15" x14ac:dyDescent="0.25">
      <c r="AW1159"/>
      <c r="BA1159"/>
    </row>
    <row r="1160" spans="49:53" ht="15" x14ac:dyDescent="0.25">
      <c r="AW1160"/>
      <c r="BA1160"/>
    </row>
    <row r="1161" spans="49:53" ht="15" x14ac:dyDescent="0.25">
      <c r="AW1161"/>
      <c r="BA1161"/>
    </row>
    <row r="1162" spans="49:53" ht="15" x14ac:dyDescent="0.25">
      <c r="AW1162"/>
      <c r="BA1162"/>
    </row>
    <row r="1163" spans="49:53" ht="15" x14ac:dyDescent="0.25">
      <c r="AW1163"/>
      <c r="BA1163"/>
    </row>
    <row r="1164" spans="49:53" ht="15" x14ac:dyDescent="0.25">
      <c r="AW1164"/>
      <c r="BA1164"/>
    </row>
    <row r="1165" spans="49:53" ht="15" x14ac:dyDescent="0.25">
      <c r="AW1165"/>
      <c r="BA1165"/>
    </row>
    <row r="1166" spans="49:53" ht="15" x14ac:dyDescent="0.25">
      <c r="AW1166"/>
      <c r="BA1166"/>
    </row>
    <row r="1167" spans="49:53" ht="15" x14ac:dyDescent="0.25">
      <c r="AW1167"/>
      <c r="BA1167"/>
    </row>
    <row r="1168" spans="49:53" ht="15" x14ac:dyDescent="0.25">
      <c r="AW1168"/>
      <c r="BA1168"/>
    </row>
    <row r="1169" spans="49:53" ht="15" x14ac:dyDescent="0.25">
      <c r="AW1169"/>
      <c r="BA1169"/>
    </row>
    <row r="1170" spans="49:53" ht="15" x14ac:dyDescent="0.25">
      <c r="AW1170"/>
      <c r="BA1170"/>
    </row>
    <row r="1171" spans="49:53" ht="15" x14ac:dyDescent="0.25">
      <c r="AW1171"/>
      <c r="BA1171"/>
    </row>
    <row r="1172" spans="49:53" ht="15" x14ac:dyDescent="0.25">
      <c r="AW1172"/>
      <c r="BA1172"/>
    </row>
    <row r="1173" spans="49:53" ht="15" x14ac:dyDescent="0.25">
      <c r="AW1173"/>
      <c r="BA1173"/>
    </row>
    <row r="1174" spans="49:53" ht="15" x14ac:dyDescent="0.25">
      <c r="AW1174"/>
      <c r="BA1174"/>
    </row>
    <row r="1175" spans="49:53" ht="15" x14ac:dyDescent="0.25">
      <c r="AW1175"/>
      <c r="BA1175"/>
    </row>
    <row r="1176" spans="49:53" ht="15" x14ac:dyDescent="0.25">
      <c r="AW1176"/>
      <c r="BA1176"/>
    </row>
    <row r="1177" spans="49:53" ht="15" x14ac:dyDescent="0.25">
      <c r="AW1177"/>
      <c r="BA1177"/>
    </row>
    <row r="1178" spans="49:53" ht="15" x14ac:dyDescent="0.25">
      <c r="AW1178"/>
      <c r="BA1178"/>
    </row>
    <row r="1179" spans="49:53" ht="15" x14ac:dyDescent="0.25">
      <c r="AW1179"/>
      <c r="BA1179"/>
    </row>
    <row r="1180" spans="49:53" ht="15" x14ac:dyDescent="0.25">
      <c r="AW1180"/>
      <c r="BA1180"/>
    </row>
    <row r="1181" spans="49:53" ht="15" x14ac:dyDescent="0.25">
      <c r="AW1181"/>
      <c r="BA1181"/>
    </row>
    <row r="1182" spans="49:53" ht="15" x14ac:dyDescent="0.25">
      <c r="AW1182"/>
      <c r="BA1182"/>
    </row>
    <row r="1183" spans="49:53" ht="15" x14ac:dyDescent="0.25">
      <c r="AW1183"/>
      <c r="BA1183"/>
    </row>
    <row r="1184" spans="49:53" ht="15" x14ac:dyDescent="0.25">
      <c r="AW1184"/>
      <c r="BA1184"/>
    </row>
    <row r="1185" spans="49:53" ht="15" x14ac:dyDescent="0.25">
      <c r="AW1185"/>
      <c r="BA1185"/>
    </row>
    <row r="1186" spans="49:53" ht="15" x14ac:dyDescent="0.25">
      <c r="AW1186"/>
      <c r="BA1186"/>
    </row>
    <row r="1187" spans="49:53" ht="15" x14ac:dyDescent="0.25">
      <c r="AW1187"/>
      <c r="BA1187"/>
    </row>
    <row r="1188" spans="49:53" ht="15" x14ac:dyDescent="0.25">
      <c r="AW1188"/>
      <c r="BA1188"/>
    </row>
  </sheetData>
  <sheetProtection algorithmName="SHA-512" hashValue="gTVg0yl94I4PfCaCztwBCgO3Hek5u6R92KVD63pvjf9tG7UlMGA9UlYWwUqVSWqvWLlW5pY/YpLmXs/uYAihYA==" saltValue="Jws5XPdlzqKZC8kzqz4CGQ==" spinCount="100000" sheet="1" selectLockedCells="1" selectUnlockedCells="1"/>
  <mergeCells count="29">
    <mergeCell ref="A1:A4"/>
    <mergeCell ref="B1:B4"/>
    <mergeCell ref="C1:C4"/>
    <mergeCell ref="BC3:BF3"/>
    <mergeCell ref="Z2:AI2"/>
    <mergeCell ref="AK2:AT2"/>
    <mergeCell ref="AY1:AY4"/>
    <mergeCell ref="E3:E4"/>
    <mergeCell ref="H3:H4"/>
    <mergeCell ref="G3:G4"/>
    <mergeCell ref="AZ3:AZ4"/>
    <mergeCell ref="AX3:AX4"/>
    <mergeCell ref="K2:X2"/>
    <mergeCell ref="BH3:BH4"/>
    <mergeCell ref="D3:D4"/>
    <mergeCell ref="I1:I4"/>
    <mergeCell ref="F1:F4"/>
    <mergeCell ref="BT2:BT4"/>
    <mergeCell ref="BL2:BL4"/>
    <mergeCell ref="BM2:BM4"/>
    <mergeCell ref="BN2:BN4"/>
    <mergeCell ref="BO2:BO4"/>
    <mergeCell ref="BP2:BP4"/>
    <mergeCell ref="BQ2:BQ4"/>
    <mergeCell ref="BR2:BR4"/>
    <mergeCell ref="U1:X1"/>
    <mergeCell ref="BS3:BS4"/>
    <mergeCell ref="J3:J4"/>
    <mergeCell ref="BB1:BB4"/>
  </mergeCells>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75437-5015-4C56-8462-8BFE1176A8B0}">
  <dimension ref="A1:M105"/>
  <sheetViews>
    <sheetView zoomScaleNormal="100" workbookViewId="0">
      <pane ySplit="5" topLeftCell="A6" activePane="bottomLeft" state="frozen"/>
      <selection activeCell="J32" sqref="J32"/>
      <selection pane="bottomLeft" activeCell="B6" sqref="B6:E10"/>
    </sheetView>
  </sheetViews>
  <sheetFormatPr defaultRowHeight="14.5" x14ac:dyDescent="0.35"/>
  <cols>
    <col min="1" max="1" width="0.81640625" customWidth="1"/>
    <col min="2" max="2" width="25.453125" customWidth="1"/>
    <col min="3" max="3" width="21.54296875" customWidth="1"/>
    <col min="4" max="4" width="22" hidden="1" customWidth="1"/>
    <col min="5" max="5" width="20" customWidth="1"/>
    <col min="6" max="6" width="23.453125" customWidth="1"/>
    <col min="7" max="7" width="1.453125" customWidth="1"/>
  </cols>
  <sheetData>
    <row r="1" spans="1:13" ht="37.5" customHeight="1" x14ac:dyDescent="0.35">
      <c r="B1" s="414" t="s">
        <v>46</v>
      </c>
      <c r="C1" s="414"/>
      <c r="D1" s="414"/>
      <c r="E1" s="414"/>
      <c r="F1" s="414"/>
    </row>
    <row r="2" spans="1:13" ht="8.15" customHeight="1" x14ac:dyDescent="0.35">
      <c r="B2" s="54"/>
      <c r="C2" s="54"/>
      <c r="D2" s="54"/>
      <c r="E2" s="54"/>
      <c r="F2" s="54"/>
    </row>
    <row r="3" spans="1:13" ht="30" customHeight="1" x14ac:dyDescent="0.35">
      <c r="B3" s="415" t="s">
        <v>47</v>
      </c>
      <c r="C3" s="415"/>
      <c r="D3" s="415"/>
      <c r="E3" s="415"/>
      <c r="F3" s="415"/>
    </row>
    <row r="4" spans="1:13" ht="6" customHeight="1" x14ac:dyDescent="0.35">
      <c r="B4" s="3"/>
      <c r="C4" s="3"/>
      <c r="D4" s="3"/>
      <c r="E4" s="3"/>
      <c r="F4" s="4"/>
    </row>
    <row r="5" spans="1:13" s="1" customFormat="1" ht="31" x14ac:dyDescent="0.35">
      <c r="B5" s="354" t="s">
        <v>48</v>
      </c>
      <c r="C5" s="354" t="s">
        <v>49</v>
      </c>
      <c r="D5" s="354" t="s">
        <v>50</v>
      </c>
      <c r="E5" s="354" t="s">
        <v>51</v>
      </c>
      <c r="F5" s="354" t="s">
        <v>52</v>
      </c>
      <c r="M5" s="28"/>
    </row>
    <row r="6" spans="1:13" s="2" customFormat="1" x14ac:dyDescent="0.25">
      <c r="A6" s="7">
        <v>1</v>
      </c>
      <c r="B6" s="251"/>
      <c r="C6" s="318"/>
      <c r="D6" s="169"/>
      <c r="E6" s="345"/>
      <c r="F6" s="188"/>
      <c r="H6" s="29"/>
      <c r="M6" s="61"/>
    </row>
    <row r="7" spans="1:13" s="2" customFormat="1" x14ac:dyDescent="0.25">
      <c r="A7" s="7">
        <v>2</v>
      </c>
      <c r="B7" s="220"/>
      <c r="C7" s="318"/>
      <c r="D7" s="169"/>
      <c r="E7" s="345"/>
      <c r="F7" s="188"/>
      <c r="H7" s="29" t="str">
        <f>IF(OR(ISBLANK(D7),ISBLANK('Field information 2'!D13)),"",
IF('Field information 2'!D13&gt;D7,"Field size has increased",
IF('Field information 2'!D13&lt;D7,"Field size has decreased","")))</f>
        <v/>
      </c>
      <c r="K7" s="246"/>
    </row>
    <row r="8" spans="1:13" s="2" customFormat="1" x14ac:dyDescent="0.25">
      <c r="A8" s="7">
        <v>3</v>
      </c>
      <c r="B8" s="220"/>
      <c r="C8" s="318"/>
      <c r="D8" s="169"/>
      <c r="E8" s="345"/>
      <c r="F8" s="188"/>
      <c r="H8" s="29" t="str">
        <f>IF(OR(ISBLANK(D8),ISBLANK('Field information 2'!D14)),"",
IF('Field information 2'!D14&gt;D8,"Field size has increased",
IF('Field information 2'!D14&lt;D8,"Field size has decreased","")))</f>
        <v/>
      </c>
    </row>
    <row r="9" spans="1:13" s="2" customFormat="1" x14ac:dyDescent="0.25">
      <c r="A9" s="7">
        <v>4</v>
      </c>
      <c r="B9" s="220"/>
      <c r="C9" s="318"/>
      <c r="D9" s="169"/>
      <c r="E9" s="345"/>
      <c r="F9" s="188"/>
      <c r="H9" s="29" t="str">
        <f>IF(OR(ISBLANK(D9),ISBLANK('Field information 2'!D15)),"",
IF('Field information 2'!D15&gt;D9,"Field size has increased",
IF('Field information 2'!D15&lt;D9,"Field size has decreased","")))</f>
        <v/>
      </c>
      <c r="K9" s="246"/>
    </row>
    <row r="10" spans="1:13" s="3" customFormat="1" x14ac:dyDescent="0.35">
      <c r="A10" s="7">
        <v>5</v>
      </c>
      <c r="B10" s="220"/>
      <c r="C10" s="318"/>
      <c r="D10" s="169"/>
      <c r="E10" s="345"/>
      <c r="F10" s="188"/>
      <c r="H10" s="29" t="str">
        <f>IF(OR(ISBLANK(D10),ISBLANK('Field information 2'!D16)),"",
IF('Field information 2'!D16&gt;D10,"Field size has increased",
IF('Field information 2'!D16&lt;D10,"Field size has decreased","")))</f>
        <v/>
      </c>
    </row>
    <row r="11" spans="1:13" x14ac:dyDescent="0.35">
      <c r="A11" s="7">
        <v>6</v>
      </c>
      <c r="B11" s="251"/>
      <c r="C11" s="318"/>
      <c r="D11" s="169"/>
      <c r="E11" s="345"/>
      <c r="F11" s="188"/>
      <c r="H11" s="29" t="str">
        <f>IF(OR(ISBLANK(D11),ISBLANK('Field information 2'!D17)),"",
IF('Field information 2'!D17&gt;D11,"Field size has increased",
IF('Field information 2'!D17&lt;D11,"Field size has decreased","")))</f>
        <v/>
      </c>
    </row>
    <row r="12" spans="1:13" x14ac:dyDescent="0.35">
      <c r="A12" s="7">
        <v>7</v>
      </c>
      <c r="B12" s="220"/>
      <c r="C12" s="318"/>
      <c r="D12" s="169"/>
      <c r="E12" s="345"/>
      <c r="F12" s="188"/>
      <c r="H12" s="29" t="str">
        <f>IF(OR(ISBLANK(D12),ISBLANK('Field information 2'!D18)),"",
IF('Field information 2'!D18&gt;D12,"Field size has increased",
IF('Field information 2'!D18&lt;D12,"Field size has decreased","")))</f>
        <v/>
      </c>
    </row>
    <row r="13" spans="1:13" x14ac:dyDescent="0.35">
      <c r="A13" s="7">
        <v>8</v>
      </c>
      <c r="B13" s="251"/>
      <c r="C13" s="318"/>
      <c r="D13" s="169"/>
      <c r="E13" s="345"/>
      <c r="F13" s="188"/>
      <c r="H13" s="29" t="str">
        <f>IF(OR(ISBLANK(D13),ISBLANK('Field information 2'!D19)),"",
IF('Field information 2'!D19&gt;D13,"Field size has increased",
IF('Field information 2'!D19&lt;D13,"Field size has decreased","")))</f>
        <v/>
      </c>
    </row>
    <row r="14" spans="1:13" x14ac:dyDescent="0.35">
      <c r="A14" s="7">
        <v>9</v>
      </c>
      <c r="B14" s="220"/>
      <c r="C14" s="188"/>
      <c r="D14" s="169"/>
      <c r="E14" s="345"/>
      <c r="F14" s="188"/>
      <c r="H14" s="29" t="str">
        <f>IF(OR(ISBLANK(D14),ISBLANK('Field information 2'!D20)),"",
IF('Field information 2'!D20&gt;D14,"Field size has increased",
IF('Field information 2'!D20&lt;D14,"Field size has decreased","")))</f>
        <v/>
      </c>
    </row>
    <row r="15" spans="1:13" x14ac:dyDescent="0.35">
      <c r="A15" s="7">
        <v>10</v>
      </c>
      <c r="B15" s="220"/>
      <c r="C15" s="188"/>
      <c r="D15" s="169"/>
      <c r="E15" s="345"/>
      <c r="F15" s="188"/>
      <c r="H15" s="29" t="str">
        <f>IF(OR(ISBLANK(D15),ISBLANK('Field information 2'!D21)),"",
IF('Field information 2'!D21&gt;D15,"Field size has increased",
IF('Field information 2'!D21&lt;D15,"Field size has decreased","")))</f>
        <v/>
      </c>
    </row>
    <row r="16" spans="1:13" x14ac:dyDescent="0.35">
      <c r="A16" s="7">
        <v>11</v>
      </c>
      <c r="B16" s="220"/>
      <c r="C16" s="188"/>
      <c r="D16" s="169"/>
      <c r="E16" s="345"/>
      <c r="F16" s="188"/>
      <c r="H16" s="29" t="str">
        <f>IF(OR(ISBLANK(D16),ISBLANK('Field information 2'!D22)),"",
IF('Field information 2'!D22&gt;D16,"Field size has increased",
IF('Field information 2'!D22&lt;D16,"Field size has decreased","")))</f>
        <v/>
      </c>
    </row>
    <row r="17" spans="1:8" x14ac:dyDescent="0.35">
      <c r="A17" s="7">
        <v>12</v>
      </c>
      <c r="B17" s="220"/>
      <c r="C17" s="188"/>
      <c r="D17" s="169"/>
      <c r="E17" s="345"/>
      <c r="F17" s="188"/>
      <c r="H17" s="29" t="str">
        <f>IF(OR(ISBLANK(D17),ISBLANK('Field information 2'!D23)),"",
IF('Field information 2'!D23&gt;D17,"Field size has increased",
IF('Field information 2'!D23&lt;D17,"Field size has decreased","")))</f>
        <v/>
      </c>
    </row>
    <row r="18" spans="1:8" x14ac:dyDescent="0.35">
      <c r="A18" s="7">
        <v>13</v>
      </c>
      <c r="B18" s="251"/>
      <c r="C18" s="188"/>
      <c r="D18" s="169"/>
      <c r="E18" s="345"/>
      <c r="F18" s="188"/>
      <c r="H18" s="29" t="str">
        <f>IF(OR(ISBLANK(D18),ISBLANK('Field information 2'!D24)),"",
IF('Field information 2'!D24&gt;D18,"Field size has increased",
IF('Field information 2'!D24&lt;D18,"Field size has decreased","")))</f>
        <v/>
      </c>
    </row>
    <row r="19" spans="1:8" x14ac:dyDescent="0.35">
      <c r="A19" s="7">
        <v>14</v>
      </c>
      <c r="B19" s="220"/>
      <c r="C19" s="188"/>
      <c r="D19" s="169"/>
      <c r="E19" s="345"/>
      <c r="F19" s="188"/>
      <c r="H19" s="29" t="str">
        <f>IF(OR(ISBLANK(D19),ISBLANK('Field information 2'!D25)),"",
IF('Field information 2'!D25&gt;D19,"Field size has increased",
IF('Field information 2'!D25&lt;D19,"Field size has decreased","")))</f>
        <v/>
      </c>
    </row>
    <row r="20" spans="1:8" x14ac:dyDescent="0.35">
      <c r="A20" s="7">
        <v>15</v>
      </c>
      <c r="B20" s="251"/>
      <c r="C20" s="188"/>
      <c r="D20" s="169"/>
      <c r="E20" s="345"/>
      <c r="F20" s="188"/>
      <c r="H20" s="29" t="str">
        <f>IF(OR(ISBLANK(D20),ISBLANK('Field information 2'!D26)),"",
IF('Field information 2'!D26&gt;D20,"Field size has increased",
IF('Field information 2'!D26&lt;D20,"Field size has decreased","")))</f>
        <v/>
      </c>
    </row>
    <row r="21" spans="1:8" x14ac:dyDescent="0.35">
      <c r="A21" s="7">
        <v>16</v>
      </c>
      <c r="B21" s="220"/>
      <c r="C21" s="188"/>
      <c r="D21" s="169"/>
      <c r="E21" s="345"/>
      <c r="F21" s="188"/>
      <c r="H21" s="29" t="str">
        <f>IF(OR(ISBLANK(D21),ISBLANK('Field information 2'!D27)),"",
IF('Field information 2'!D27&gt;D21,"Field size has increased",
IF('Field information 2'!D27&lt;D21,"Field size has decreased","")))</f>
        <v/>
      </c>
    </row>
    <row r="22" spans="1:8" x14ac:dyDescent="0.35">
      <c r="A22" s="7">
        <v>17</v>
      </c>
      <c r="B22" s="220"/>
      <c r="C22" s="188"/>
      <c r="D22" s="169"/>
      <c r="E22" s="345"/>
      <c r="F22" s="188"/>
      <c r="H22" s="29" t="str">
        <f>IF(OR(ISBLANK(D22),ISBLANK('Field information 2'!D28)),"",
IF('Field information 2'!D28&gt;D22,"Field size has increased",
IF('Field information 2'!D28&lt;D22,"Field size has decreased","")))</f>
        <v/>
      </c>
    </row>
    <row r="23" spans="1:8" x14ac:dyDescent="0.35">
      <c r="A23" s="7">
        <v>18</v>
      </c>
      <c r="B23" s="220"/>
      <c r="C23" s="188"/>
      <c r="D23" s="169"/>
      <c r="E23" s="345"/>
      <c r="F23" s="188"/>
      <c r="H23" s="29" t="str">
        <f>IF(OR(ISBLANK(D23),ISBLANK('Field information 2'!D29)),"",
IF('Field information 2'!D29&gt;D23,"Field size has increased",
IF('Field information 2'!D29&lt;D23,"Field size has decreased","")))</f>
        <v/>
      </c>
    </row>
    <row r="24" spans="1:8" x14ac:dyDescent="0.35">
      <c r="A24" s="7">
        <v>19</v>
      </c>
      <c r="B24" s="220"/>
      <c r="C24" s="188"/>
      <c r="D24" s="169"/>
      <c r="E24" s="345"/>
      <c r="F24" s="188"/>
      <c r="H24" s="29" t="str">
        <f>IF(OR(ISBLANK(D24),ISBLANK('Field information 2'!D30)),"",
IF('Field information 2'!D30&gt;D24,"Field size has increased",
IF('Field information 2'!D30&lt;D24,"Field size has decreased","")))</f>
        <v/>
      </c>
    </row>
    <row r="25" spans="1:8" x14ac:dyDescent="0.35">
      <c r="A25" s="7">
        <v>20</v>
      </c>
      <c r="B25" s="251"/>
      <c r="C25" s="188"/>
      <c r="D25" s="169"/>
      <c r="E25" s="345"/>
      <c r="F25" s="188"/>
      <c r="H25" s="29" t="str">
        <f>IF(OR(ISBLANK(D25),ISBLANK('Field information 2'!D31)),"",
IF('Field information 2'!D31&gt;D25,"Field size has increased",
IF('Field information 2'!D31&lt;D25,"Field size has decreased","")))</f>
        <v/>
      </c>
    </row>
    <row r="26" spans="1:8" x14ac:dyDescent="0.35">
      <c r="A26" s="7">
        <v>21</v>
      </c>
      <c r="B26" s="220"/>
      <c r="C26" s="188"/>
      <c r="D26" s="169"/>
      <c r="E26" s="345"/>
      <c r="F26" s="188"/>
      <c r="H26" s="29" t="str">
        <f>IF(OR(ISBLANK(D26),ISBLANK('Field information 2'!D32)),"",
IF('Field information 2'!D32&gt;D26,"Field size has increased",
IF('Field information 2'!D32&lt;D26,"Field size has decreased","")))</f>
        <v/>
      </c>
    </row>
    <row r="27" spans="1:8" x14ac:dyDescent="0.35">
      <c r="A27" s="7">
        <v>22</v>
      </c>
      <c r="B27" s="251"/>
      <c r="C27" s="188"/>
      <c r="D27" s="169"/>
      <c r="E27" s="345"/>
      <c r="F27" s="188"/>
      <c r="H27" s="29" t="str">
        <f>IF(OR(ISBLANK(D27),ISBLANK('Field information 2'!D33)),"",
IF('Field information 2'!D33&gt;D27,"Field size has increased",
IF('Field information 2'!D33&lt;D27,"Field size has decreased","")))</f>
        <v/>
      </c>
    </row>
    <row r="28" spans="1:8" x14ac:dyDescent="0.35">
      <c r="A28" s="7">
        <v>23</v>
      </c>
      <c r="B28" s="220"/>
      <c r="C28" s="188"/>
      <c r="D28" s="169"/>
      <c r="E28" s="345"/>
      <c r="F28" s="188"/>
      <c r="H28" s="29" t="str">
        <f>IF(OR(ISBLANK(D28),ISBLANK('Field information 2'!D34)),"",
IF('Field information 2'!D34&gt;D28,"Field size has increased",
IF('Field information 2'!D34&lt;D28,"Field size has decreased","")))</f>
        <v/>
      </c>
    </row>
    <row r="29" spans="1:8" x14ac:dyDescent="0.35">
      <c r="A29" s="7">
        <v>24</v>
      </c>
      <c r="B29" s="220"/>
      <c r="C29" s="188"/>
      <c r="D29" s="169"/>
      <c r="E29" s="345"/>
      <c r="F29" s="188"/>
      <c r="H29" s="29" t="str">
        <f>IF(OR(ISBLANK(D29),ISBLANK('Field information 2'!D35)),"",
IF('Field information 2'!D35&gt;D29,"Field size has increased",
IF('Field information 2'!D35&lt;D29,"Field size has decreased","")))</f>
        <v/>
      </c>
    </row>
    <row r="30" spans="1:8" x14ac:dyDescent="0.35">
      <c r="A30" s="7">
        <v>25</v>
      </c>
      <c r="B30" s="220"/>
      <c r="C30" s="188"/>
      <c r="D30" s="169"/>
      <c r="E30" s="345"/>
      <c r="F30" s="188"/>
      <c r="H30" s="29" t="str">
        <f>IF(OR(ISBLANK(D30),ISBLANK('Field information 2'!D36)),"",
IF('Field information 2'!D36&gt;D30,"Field size has increased",
IF('Field information 2'!D36&lt;D30,"Field size has decreased","")))</f>
        <v/>
      </c>
    </row>
    <row r="31" spans="1:8" x14ac:dyDescent="0.35">
      <c r="A31" s="7">
        <v>26</v>
      </c>
      <c r="B31" s="220"/>
      <c r="C31" s="188"/>
      <c r="D31" s="169"/>
      <c r="E31" s="345"/>
      <c r="F31" s="188"/>
      <c r="H31" s="29" t="str">
        <f>IF(OR(ISBLANK(D31),ISBLANK('Field information 2'!D37)),"",
IF('Field information 2'!D37&gt;D31,"Field size has increased",
IF('Field information 2'!D37&lt;D31,"Field size has decreased","")))</f>
        <v/>
      </c>
    </row>
    <row r="32" spans="1:8" x14ac:dyDescent="0.35">
      <c r="A32" s="7">
        <v>27</v>
      </c>
      <c r="B32" s="251"/>
      <c r="C32" s="188"/>
      <c r="D32" s="169"/>
      <c r="E32" s="345"/>
      <c r="F32" s="188"/>
      <c r="H32" s="29" t="str">
        <f>IF(OR(ISBLANK(D32),ISBLANK('Field information 2'!D38)),"",
IF('Field information 2'!D38&gt;D32,"Field size has increased",
IF('Field information 2'!D38&lt;D32,"Field size has decreased","")))</f>
        <v/>
      </c>
    </row>
    <row r="33" spans="1:8" x14ac:dyDescent="0.35">
      <c r="A33" s="7">
        <v>28</v>
      </c>
      <c r="B33" s="220"/>
      <c r="C33" s="188"/>
      <c r="D33" s="169"/>
      <c r="E33" s="345"/>
      <c r="F33" s="188"/>
      <c r="H33" s="29" t="str">
        <f>IF(OR(ISBLANK(D33),ISBLANK('Field information 2'!D39)),"",
IF('Field information 2'!D39&gt;D33,"Field size has increased",
IF('Field information 2'!D39&lt;D33,"Field size has decreased","")))</f>
        <v/>
      </c>
    </row>
    <row r="34" spans="1:8" x14ac:dyDescent="0.35">
      <c r="A34" s="7">
        <v>29</v>
      </c>
      <c r="B34" s="251"/>
      <c r="C34" s="188"/>
      <c r="D34" s="169"/>
      <c r="E34" s="345"/>
      <c r="F34" s="188"/>
      <c r="H34" s="29" t="str">
        <f>IF(OR(ISBLANK(D34),ISBLANK('Field information 2'!D40)),"",
IF('Field information 2'!D40&gt;D34,"Field size has increased",
IF('Field information 2'!D40&lt;D34,"Field size has decreased","")))</f>
        <v/>
      </c>
    </row>
    <row r="35" spans="1:8" x14ac:dyDescent="0.35">
      <c r="A35" s="7">
        <v>30</v>
      </c>
      <c r="B35" s="220"/>
      <c r="C35" s="188"/>
      <c r="D35" s="169"/>
      <c r="E35" s="345"/>
      <c r="F35" s="188"/>
      <c r="H35" s="29" t="str">
        <f>IF(OR(ISBLANK(D35),ISBLANK('Field information 2'!D41)),"",
IF('Field information 2'!D41&gt;D35,"Field size has increased",
IF('Field information 2'!D41&lt;D35,"Field size has decreased","")))</f>
        <v/>
      </c>
    </row>
    <row r="36" spans="1:8" x14ac:dyDescent="0.35">
      <c r="A36" s="7">
        <v>31</v>
      </c>
      <c r="B36" s="220"/>
      <c r="C36" s="188"/>
      <c r="D36" s="169"/>
      <c r="E36" s="345"/>
      <c r="F36" s="188"/>
      <c r="H36" s="29" t="str">
        <f>IF(OR(ISBLANK(D36),ISBLANK('Field information 2'!D42)),"",
IF('Field information 2'!D42&gt;D36,"Field size has increased",
IF('Field information 2'!D42&lt;D36,"Field size has decreased","")))</f>
        <v/>
      </c>
    </row>
    <row r="37" spans="1:8" x14ac:dyDescent="0.35">
      <c r="A37" s="7">
        <v>32</v>
      </c>
      <c r="B37" s="220"/>
      <c r="C37" s="188"/>
      <c r="D37" s="169"/>
      <c r="E37" s="345"/>
      <c r="F37" s="188"/>
      <c r="H37" s="29" t="str">
        <f>IF(OR(ISBLANK(D37),ISBLANK('Field information 2'!D43)),"",
IF('Field information 2'!D43&gt;D37,"Field size has increased",
IF('Field information 2'!D43&lt;D37,"Field size has decreased","")))</f>
        <v/>
      </c>
    </row>
    <row r="38" spans="1:8" x14ac:dyDescent="0.35">
      <c r="A38" s="7">
        <v>33</v>
      </c>
      <c r="B38" s="220"/>
      <c r="C38" s="188"/>
      <c r="D38" s="169"/>
      <c r="E38" s="345"/>
      <c r="F38" s="188"/>
      <c r="H38" s="29" t="str">
        <f>IF(OR(ISBLANK(D38),ISBLANK('Field information 2'!D44)),"",
IF('Field information 2'!D44&gt;D38,"Field size has increased",
IF('Field information 2'!D44&lt;D38,"Field size has decreased","")))</f>
        <v/>
      </c>
    </row>
    <row r="39" spans="1:8" x14ac:dyDescent="0.35">
      <c r="A39" s="7">
        <v>34</v>
      </c>
      <c r="B39" s="251"/>
      <c r="C39" s="188"/>
      <c r="D39" s="169"/>
      <c r="E39" s="345"/>
      <c r="F39" s="188"/>
      <c r="H39" s="29" t="str">
        <f>IF(OR(ISBLANK(D39),ISBLANK('Field information 2'!D45)),"",
IF('Field information 2'!D45&gt;D39,"Field size has increased",
IF('Field information 2'!D45&lt;D39,"Field size has decreased","")))</f>
        <v/>
      </c>
    </row>
    <row r="40" spans="1:8" x14ac:dyDescent="0.35">
      <c r="A40" s="7">
        <v>35</v>
      </c>
      <c r="B40" s="220"/>
      <c r="C40" s="188"/>
      <c r="D40" s="169"/>
      <c r="E40" s="345"/>
      <c r="F40" s="188"/>
      <c r="H40" s="29" t="str">
        <f>IF(OR(ISBLANK(D40),ISBLANK('Field information 2'!D46)),"",
IF('Field information 2'!D46&gt;D40,"Field size has increased",
IF('Field information 2'!D46&lt;D40,"Field size has decreased","")))</f>
        <v/>
      </c>
    </row>
    <row r="41" spans="1:8" x14ac:dyDescent="0.35">
      <c r="A41" s="7">
        <v>36</v>
      </c>
      <c r="B41" s="251"/>
      <c r="C41" s="188"/>
      <c r="D41" s="169"/>
      <c r="E41" s="345"/>
      <c r="F41" s="188"/>
      <c r="H41" s="29" t="str">
        <f>IF(OR(ISBLANK(D41),ISBLANK('Field information 2'!D47)),"",
IF('Field information 2'!D47&gt;D41,"Field size has increased",
IF('Field information 2'!D47&lt;D41,"Field size has decreased","")))</f>
        <v/>
      </c>
    </row>
    <row r="42" spans="1:8" x14ac:dyDescent="0.35">
      <c r="A42" s="7">
        <v>37</v>
      </c>
      <c r="B42" s="220"/>
      <c r="C42" s="188"/>
      <c r="D42" s="169"/>
      <c r="E42" s="345"/>
      <c r="F42" s="188"/>
      <c r="H42" s="29" t="str">
        <f>IF(OR(ISBLANK(D42),ISBLANK('Field information 2'!D48)),"",
IF('Field information 2'!D48&gt;D42,"Field size has increased",
IF('Field information 2'!D48&lt;D42,"Field size has decreased","")))</f>
        <v/>
      </c>
    </row>
    <row r="43" spans="1:8" x14ac:dyDescent="0.35">
      <c r="A43" s="7">
        <v>38</v>
      </c>
      <c r="B43" s="220"/>
      <c r="C43" s="188"/>
      <c r="D43" s="169"/>
      <c r="E43" s="345"/>
      <c r="F43" s="188"/>
      <c r="H43" s="29" t="str">
        <f>IF(OR(ISBLANK(D43),ISBLANK('Field information 2'!D49)),"",
IF('Field information 2'!D49&gt;D43,"Field size has increased",
IF('Field information 2'!D49&lt;D43,"Field size has decreased","")))</f>
        <v/>
      </c>
    </row>
    <row r="44" spans="1:8" ht="15" x14ac:dyDescent="0.25">
      <c r="A44" s="7">
        <v>39</v>
      </c>
      <c r="B44" s="220"/>
      <c r="C44" s="188"/>
      <c r="D44" s="169"/>
      <c r="E44" s="345"/>
      <c r="F44" s="188"/>
      <c r="H44" s="29" t="str">
        <f>IF(OR(ISBLANK(D44),ISBLANK('Field information 2'!D50)),"",
IF('Field information 2'!D50&gt;D44,"Field size has increased",
IF('Field information 2'!D50&lt;D44,"Field size has decreased","")))</f>
        <v/>
      </c>
    </row>
    <row r="45" spans="1:8" ht="15" x14ac:dyDescent="0.25">
      <c r="A45" s="7">
        <v>40</v>
      </c>
      <c r="B45" s="220"/>
      <c r="C45" s="188"/>
      <c r="D45" s="169"/>
      <c r="E45" s="345"/>
      <c r="F45" s="188"/>
      <c r="H45" s="29" t="str">
        <f>IF(OR(ISBLANK(D45),ISBLANK('Field information 2'!D51)),"",
IF('Field information 2'!D51&gt;D45,"Field size has increased",
IF('Field information 2'!D51&lt;D45,"Field size has decreased","")))</f>
        <v/>
      </c>
    </row>
    <row r="46" spans="1:8" ht="15" x14ac:dyDescent="0.25">
      <c r="A46" s="7">
        <v>41</v>
      </c>
      <c r="B46" s="251"/>
      <c r="C46" s="188"/>
      <c r="D46" s="169"/>
      <c r="E46" s="345"/>
      <c r="F46" s="188"/>
      <c r="H46" s="29" t="str">
        <f>IF(OR(ISBLANK(D46),ISBLANK('Field information 2'!D52)),"",
IF('Field information 2'!D52&gt;D46,"Field size has increased",
IF('Field information 2'!D52&lt;D46,"Field size has decreased","")))</f>
        <v/>
      </c>
    </row>
    <row r="47" spans="1:8" ht="15" x14ac:dyDescent="0.25">
      <c r="A47" s="7">
        <v>42</v>
      </c>
      <c r="B47" s="220"/>
      <c r="C47" s="188"/>
      <c r="D47" s="169"/>
      <c r="E47" s="345"/>
      <c r="F47" s="188"/>
      <c r="H47" s="29" t="str">
        <f>IF(OR(ISBLANK(D47),ISBLANK('Field information 2'!D53)),"",
IF('Field information 2'!D53&gt;D47,"Field size has increased",
IF('Field information 2'!D53&lt;D47,"Field size has decreased","")))</f>
        <v/>
      </c>
    </row>
    <row r="48" spans="1:8" ht="15" x14ac:dyDescent="0.25">
      <c r="A48" s="7">
        <v>43</v>
      </c>
      <c r="B48" s="251"/>
      <c r="C48" s="188"/>
      <c r="D48" s="169"/>
      <c r="E48" s="345"/>
      <c r="F48" s="188"/>
      <c r="H48" s="29" t="str">
        <f>IF(OR(ISBLANK(D48),ISBLANK('Field information 2'!D54)),"",
IF('Field information 2'!D54&gt;D48,"Field size has increased",
IF('Field information 2'!D54&lt;D48,"Field size has decreased","")))</f>
        <v/>
      </c>
    </row>
    <row r="49" spans="1:8" ht="15" x14ac:dyDescent="0.25">
      <c r="A49" s="7">
        <v>44</v>
      </c>
      <c r="B49" s="220"/>
      <c r="C49" s="188"/>
      <c r="D49" s="169"/>
      <c r="E49" s="345"/>
      <c r="F49" s="188"/>
      <c r="H49" s="29" t="str">
        <f>IF(OR(ISBLANK(D49),ISBLANK('Field information 2'!D55)),"",
IF('Field information 2'!D55&gt;D49,"Field size has increased",
IF('Field information 2'!D55&lt;D49,"Field size has decreased","")))</f>
        <v/>
      </c>
    </row>
    <row r="50" spans="1:8" ht="15" x14ac:dyDescent="0.25">
      <c r="A50" s="7">
        <v>45</v>
      </c>
      <c r="B50" s="220"/>
      <c r="C50" s="188"/>
      <c r="D50" s="169"/>
      <c r="E50" s="345"/>
      <c r="F50" s="188"/>
      <c r="H50" s="29" t="str">
        <f>IF(OR(ISBLANK(D50),ISBLANK('Field information 2'!D56)),"",
IF('Field information 2'!D56&gt;D50,"Field size has increased",
IF('Field information 2'!D56&lt;D50,"Field size has decreased","")))</f>
        <v/>
      </c>
    </row>
    <row r="51" spans="1:8" ht="15" x14ac:dyDescent="0.25">
      <c r="A51" s="7">
        <v>46</v>
      </c>
      <c r="B51" s="220"/>
      <c r="C51" s="188"/>
      <c r="D51" s="169"/>
      <c r="E51" s="345"/>
      <c r="F51" s="188"/>
      <c r="H51" s="29" t="str">
        <f>IF(OR(ISBLANK(D51),ISBLANK('Field information 2'!D57)),"",
IF('Field information 2'!D57&gt;D51,"Field size has increased",
IF('Field information 2'!D57&lt;D51,"Field size has decreased","")))</f>
        <v/>
      </c>
    </row>
    <row r="52" spans="1:8" ht="15" x14ac:dyDescent="0.25">
      <c r="A52" s="7">
        <v>47</v>
      </c>
      <c r="B52" s="220"/>
      <c r="C52" s="188"/>
      <c r="D52" s="169"/>
      <c r="E52" s="345"/>
      <c r="F52" s="188"/>
      <c r="H52" s="29" t="str">
        <f>IF(OR(ISBLANK(D52),ISBLANK('Field information 2'!D58)),"",
IF('Field information 2'!D58&gt;D52,"Field size has increased",
IF('Field information 2'!D58&lt;D52,"Field size has decreased","")))</f>
        <v/>
      </c>
    </row>
    <row r="53" spans="1:8" ht="15" x14ac:dyDescent="0.25">
      <c r="A53" s="7">
        <v>48</v>
      </c>
      <c r="B53" s="251"/>
      <c r="C53" s="188"/>
      <c r="D53" s="169"/>
      <c r="E53" s="345"/>
      <c r="F53" s="188"/>
      <c r="H53" s="29" t="str">
        <f>IF(OR(ISBLANK(D53),ISBLANK('Field information 2'!D59)),"",
IF('Field information 2'!D59&gt;D53,"Field size has increased",
IF('Field information 2'!D59&lt;D53,"Field size has decreased","")))</f>
        <v/>
      </c>
    </row>
    <row r="54" spans="1:8" ht="15" x14ac:dyDescent="0.25">
      <c r="A54" s="7">
        <v>49</v>
      </c>
      <c r="B54" s="220"/>
      <c r="C54" s="188"/>
      <c r="D54" s="169"/>
      <c r="E54" s="345"/>
      <c r="F54" s="188"/>
      <c r="H54" s="29" t="str">
        <f>IF(OR(ISBLANK(D54),ISBLANK('Field information 2'!D60)),"",
IF('Field information 2'!D60&gt;D54,"Field size has increased",
IF('Field information 2'!D60&lt;D54,"Field size has decreased","")))</f>
        <v/>
      </c>
    </row>
    <row r="55" spans="1:8" ht="15" x14ac:dyDescent="0.25">
      <c r="A55" s="7">
        <v>50</v>
      </c>
      <c r="B55" s="251"/>
      <c r="C55" s="188"/>
      <c r="D55" s="169"/>
      <c r="E55" s="345"/>
      <c r="F55" s="188"/>
      <c r="H55" s="29" t="str">
        <f>IF(OR(ISBLANK(D55),ISBLANK('Field information 2'!D61)),"",
IF('Field information 2'!D61&gt;D55,"Field size has increased",
IF('Field information 2'!D61&lt;D55,"Field size has decreased","")))</f>
        <v/>
      </c>
    </row>
    <row r="56" spans="1:8" ht="15" x14ac:dyDescent="0.25">
      <c r="B56" s="220"/>
      <c r="C56" s="188"/>
      <c r="D56" s="188"/>
      <c r="E56" s="345"/>
      <c r="F56" s="188"/>
    </row>
    <row r="57" spans="1:8" ht="15" x14ac:dyDescent="0.25">
      <c r="B57" s="220"/>
      <c r="C57" s="188"/>
      <c r="D57" s="188"/>
      <c r="E57" s="345"/>
      <c r="F57" s="188"/>
    </row>
    <row r="58" spans="1:8" ht="15" x14ac:dyDescent="0.25">
      <c r="B58" s="220"/>
      <c r="C58" s="188"/>
      <c r="D58" s="188"/>
      <c r="E58" s="345"/>
      <c r="F58" s="188"/>
    </row>
    <row r="59" spans="1:8" ht="15" x14ac:dyDescent="0.25">
      <c r="B59" s="220"/>
      <c r="C59" s="188"/>
      <c r="D59" s="188"/>
      <c r="E59" s="345"/>
      <c r="F59" s="188"/>
    </row>
    <row r="60" spans="1:8" ht="15" x14ac:dyDescent="0.25">
      <c r="B60" s="251"/>
      <c r="C60" s="188"/>
      <c r="D60" s="188"/>
      <c r="E60" s="345"/>
      <c r="F60" s="188"/>
    </row>
    <row r="61" spans="1:8" ht="15" x14ac:dyDescent="0.25">
      <c r="B61" s="220"/>
      <c r="C61" s="188"/>
      <c r="D61" s="188"/>
      <c r="E61" s="345"/>
      <c r="F61" s="188"/>
    </row>
    <row r="62" spans="1:8" ht="15" x14ac:dyDescent="0.25">
      <c r="B62" s="251"/>
      <c r="C62" s="188"/>
      <c r="D62" s="188"/>
      <c r="E62" s="345"/>
      <c r="F62" s="188"/>
    </row>
    <row r="63" spans="1:8" ht="15" x14ac:dyDescent="0.25">
      <c r="B63" s="220"/>
      <c r="C63" s="188"/>
      <c r="D63" s="188"/>
      <c r="E63" s="345"/>
      <c r="F63" s="188"/>
    </row>
    <row r="64" spans="1:8" ht="15" x14ac:dyDescent="0.25">
      <c r="B64" s="220"/>
      <c r="C64" s="188"/>
      <c r="D64" s="188"/>
      <c r="E64" s="345"/>
      <c r="F64" s="188"/>
    </row>
    <row r="65" spans="2:6" ht="15" x14ac:dyDescent="0.25">
      <c r="B65" s="220"/>
      <c r="C65" s="188"/>
      <c r="D65" s="188"/>
      <c r="E65" s="345"/>
      <c r="F65" s="188"/>
    </row>
    <row r="66" spans="2:6" ht="15" x14ac:dyDescent="0.25">
      <c r="B66" s="220"/>
      <c r="C66" s="188"/>
      <c r="D66" s="188"/>
      <c r="E66" s="345"/>
      <c r="F66" s="188"/>
    </row>
    <row r="67" spans="2:6" ht="15" x14ac:dyDescent="0.25">
      <c r="B67" s="251"/>
      <c r="C67" s="188"/>
      <c r="D67" s="188"/>
      <c r="E67" s="345"/>
      <c r="F67" s="188"/>
    </row>
    <row r="68" spans="2:6" ht="15" x14ac:dyDescent="0.25">
      <c r="B68" s="220"/>
      <c r="C68" s="188"/>
      <c r="D68" s="188"/>
      <c r="E68" s="345"/>
      <c r="F68" s="188"/>
    </row>
    <row r="69" spans="2:6" ht="15" x14ac:dyDescent="0.25">
      <c r="B69" s="251"/>
      <c r="C69" s="188"/>
      <c r="D69" s="188"/>
      <c r="E69" s="345"/>
      <c r="F69" s="188"/>
    </row>
    <row r="70" spans="2:6" ht="15" x14ac:dyDescent="0.25">
      <c r="B70" s="220"/>
      <c r="C70" s="188"/>
      <c r="D70" s="188"/>
      <c r="E70" s="345"/>
      <c r="F70" s="188"/>
    </row>
    <row r="71" spans="2:6" ht="15" x14ac:dyDescent="0.25">
      <c r="B71" s="220"/>
      <c r="C71" s="188"/>
      <c r="D71" s="188"/>
      <c r="E71" s="345"/>
      <c r="F71" s="188"/>
    </row>
    <row r="72" spans="2:6" ht="15" x14ac:dyDescent="0.25">
      <c r="B72" s="220"/>
      <c r="C72" s="188"/>
      <c r="D72" s="188"/>
      <c r="E72" s="345"/>
      <c r="F72" s="188"/>
    </row>
    <row r="73" spans="2:6" ht="15" x14ac:dyDescent="0.25">
      <c r="B73" s="220"/>
      <c r="C73" s="188"/>
      <c r="D73" s="188"/>
      <c r="E73" s="345"/>
      <c r="F73" s="188"/>
    </row>
    <row r="74" spans="2:6" ht="15" x14ac:dyDescent="0.25">
      <c r="B74" s="251"/>
      <c r="C74" s="188"/>
      <c r="D74" s="188"/>
      <c r="E74" s="345"/>
      <c r="F74" s="188"/>
    </row>
    <row r="75" spans="2:6" ht="15" x14ac:dyDescent="0.25">
      <c r="B75" s="220"/>
      <c r="C75" s="188"/>
      <c r="D75" s="188"/>
      <c r="E75" s="345"/>
      <c r="F75" s="188"/>
    </row>
    <row r="76" spans="2:6" ht="15" x14ac:dyDescent="0.25">
      <c r="B76" s="251"/>
      <c r="C76" s="188"/>
      <c r="D76" s="188"/>
      <c r="E76" s="345"/>
      <c r="F76" s="188"/>
    </row>
    <row r="77" spans="2:6" ht="15" x14ac:dyDescent="0.25">
      <c r="B77" s="220"/>
      <c r="C77" s="188"/>
      <c r="D77" s="188"/>
      <c r="E77" s="345"/>
      <c r="F77" s="188"/>
    </row>
    <row r="78" spans="2:6" ht="15" x14ac:dyDescent="0.25">
      <c r="B78" s="220"/>
      <c r="C78" s="188"/>
      <c r="D78" s="188"/>
      <c r="E78" s="345"/>
      <c r="F78" s="188"/>
    </row>
    <row r="79" spans="2:6" ht="15" x14ac:dyDescent="0.25">
      <c r="B79" s="220"/>
      <c r="C79" s="188"/>
      <c r="D79" s="188"/>
      <c r="E79" s="345"/>
      <c r="F79" s="188"/>
    </row>
    <row r="80" spans="2:6" ht="15" x14ac:dyDescent="0.25">
      <c r="B80" s="220"/>
      <c r="C80" s="188"/>
      <c r="D80" s="188"/>
      <c r="E80" s="345"/>
      <c r="F80" s="188"/>
    </row>
    <row r="81" spans="2:6" ht="15" x14ac:dyDescent="0.25">
      <c r="B81" s="251"/>
      <c r="C81" s="188"/>
      <c r="D81" s="188"/>
      <c r="E81" s="345"/>
      <c r="F81" s="188"/>
    </row>
    <row r="82" spans="2:6" ht="15" x14ac:dyDescent="0.25">
      <c r="B82" s="220"/>
      <c r="C82" s="188"/>
      <c r="D82" s="188"/>
      <c r="E82" s="345"/>
      <c r="F82" s="188"/>
    </row>
    <row r="83" spans="2:6" ht="15" x14ac:dyDescent="0.25">
      <c r="B83" s="251"/>
      <c r="C83" s="188"/>
      <c r="D83" s="188"/>
      <c r="E83" s="345"/>
      <c r="F83" s="188"/>
    </row>
    <row r="84" spans="2:6" ht="15" x14ac:dyDescent="0.25">
      <c r="B84" s="220"/>
      <c r="C84" s="188"/>
      <c r="D84" s="188"/>
      <c r="E84" s="345"/>
      <c r="F84" s="188"/>
    </row>
    <row r="85" spans="2:6" ht="15" x14ac:dyDescent="0.25">
      <c r="B85" s="220"/>
      <c r="C85" s="188"/>
      <c r="D85" s="188"/>
      <c r="E85" s="345"/>
      <c r="F85" s="188"/>
    </row>
    <row r="86" spans="2:6" ht="15" x14ac:dyDescent="0.25">
      <c r="B86" s="220"/>
      <c r="C86" s="188"/>
      <c r="D86" s="188"/>
      <c r="E86" s="345"/>
      <c r="F86" s="188"/>
    </row>
    <row r="87" spans="2:6" ht="15" x14ac:dyDescent="0.25">
      <c r="B87" s="220"/>
      <c r="C87" s="188"/>
      <c r="D87" s="188"/>
      <c r="E87" s="345"/>
      <c r="F87" s="188"/>
    </row>
    <row r="88" spans="2:6" ht="15" x14ac:dyDescent="0.25">
      <c r="B88" s="251"/>
      <c r="C88" s="188"/>
      <c r="D88" s="188"/>
      <c r="E88" s="345"/>
      <c r="F88" s="188"/>
    </row>
    <row r="89" spans="2:6" ht="15" x14ac:dyDescent="0.25">
      <c r="B89" s="220"/>
      <c r="C89" s="188"/>
      <c r="D89" s="188"/>
      <c r="E89" s="345"/>
      <c r="F89" s="188"/>
    </row>
    <row r="90" spans="2:6" ht="15" x14ac:dyDescent="0.25">
      <c r="B90" s="251"/>
      <c r="C90" s="188"/>
      <c r="D90" s="188"/>
      <c r="E90" s="345"/>
      <c r="F90" s="188"/>
    </row>
    <row r="91" spans="2:6" ht="15" x14ac:dyDescent="0.25">
      <c r="B91" s="220"/>
      <c r="C91" s="188"/>
      <c r="D91" s="188"/>
      <c r="E91" s="345"/>
      <c r="F91" s="188"/>
    </row>
    <row r="92" spans="2:6" ht="15" x14ac:dyDescent="0.25">
      <c r="B92" s="220"/>
      <c r="C92" s="188"/>
      <c r="D92" s="188"/>
      <c r="E92" s="345"/>
      <c r="F92" s="188"/>
    </row>
    <row r="93" spans="2:6" ht="15" x14ac:dyDescent="0.25">
      <c r="B93" s="220"/>
      <c r="C93" s="188"/>
      <c r="D93" s="188"/>
      <c r="E93" s="345"/>
      <c r="F93" s="188"/>
    </row>
    <row r="94" spans="2:6" ht="15" x14ac:dyDescent="0.25">
      <c r="B94" s="220"/>
      <c r="C94" s="188"/>
      <c r="D94" s="188"/>
      <c r="E94" s="345"/>
      <c r="F94" s="188"/>
    </row>
    <row r="95" spans="2:6" ht="15" x14ac:dyDescent="0.25">
      <c r="B95" s="251"/>
      <c r="C95" s="188"/>
      <c r="D95" s="188"/>
      <c r="E95" s="345"/>
      <c r="F95" s="188"/>
    </row>
    <row r="96" spans="2:6" ht="15" x14ac:dyDescent="0.25">
      <c r="B96" s="220"/>
      <c r="C96" s="188"/>
      <c r="D96" s="188"/>
      <c r="E96" s="345"/>
      <c r="F96" s="188"/>
    </row>
    <row r="97" spans="2:6" ht="15" x14ac:dyDescent="0.25">
      <c r="B97" s="251"/>
      <c r="C97" s="188"/>
      <c r="D97" s="188"/>
      <c r="E97" s="345"/>
      <c r="F97" s="188"/>
    </row>
    <row r="98" spans="2:6" ht="15" x14ac:dyDescent="0.25">
      <c r="B98" s="220"/>
      <c r="C98" s="188"/>
      <c r="D98" s="188"/>
      <c r="E98" s="345"/>
      <c r="F98" s="188"/>
    </row>
    <row r="99" spans="2:6" ht="15" x14ac:dyDescent="0.25">
      <c r="B99" s="220"/>
      <c r="C99" s="188"/>
      <c r="D99" s="188"/>
      <c r="E99" s="345"/>
      <c r="F99" s="188"/>
    </row>
    <row r="100" spans="2:6" ht="15" x14ac:dyDescent="0.25">
      <c r="B100" s="220"/>
      <c r="C100" s="188"/>
      <c r="D100" s="188"/>
      <c r="E100" s="345"/>
      <c r="F100" s="188"/>
    </row>
    <row r="101" spans="2:6" ht="15" x14ac:dyDescent="0.25">
      <c r="B101" s="220"/>
      <c r="C101" s="188"/>
      <c r="D101" s="188"/>
      <c r="E101" s="345"/>
      <c r="F101" s="188"/>
    </row>
    <row r="102" spans="2:6" ht="15" x14ac:dyDescent="0.25">
      <c r="B102" s="251"/>
      <c r="C102" s="188"/>
      <c r="D102" s="188"/>
      <c r="E102" s="345"/>
      <c r="F102" s="188"/>
    </row>
    <row r="103" spans="2:6" ht="15" x14ac:dyDescent="0.25">
      <c r="B103" s="220"/>
      <c r="C103" s="188"/>
      <c r="D103" s="188"/>
      <c r="E103" s="345"/>
      <c r="F103" s="188"/>
    </row>
    <row r="104" spans="2:6" ht="15" x14ac:dyDescent="0.25">
      <c r="B104" s="251"/>
      <c r="C104" s="188"/>
      <c r="D104" s="188"/>
      <c r="E104" s="345"/>
      <c r="F104" s="188"/>
    </row>
    <row r="105" spans="2:6" ht="15" x14ac:dyDescent="0.25">
      <c r="B105" s="220"/>
      <c r="C105" s="188"/>
      <c r="D105" s="188"/>
      <c r="E105" s="345"/>
      <c r="F105" s="188"/>
    </row>
  </sheetData>
  <sheetProtection algorithmName="SHA-512" hashValue="BSQCWwjaADDq3A9yixkQfV+k3pX2prSfoxcyuBgczEj2zSdZ1rFBhbWlJdIkKt91CPxRoqV0OR6i0I/KwUDa8w==" saltValue="LGHvj0UBzhz8woml22KQtQ==" spinCount="100000" sheet="1" selectLockedCells="1"/>
  <mergeCells count="2">
    <mergeCell ref="B1:F1"/>
    <mergeCell ref="B3:F3"/>
  </mergeCells>
  <phoneticPr fontId="14" type="noConversion"/>
  <dataValidations count="1">
    <dataValidation type="list" allowBlank="1" showInputMessage="1" showErrorMessage="1" sqref="F6:F55" xr:uid="{B5BAD6EF-DB90-4BD5-8F34-049CDD525E5F}">
      <formula1>"S; LS, SL; SZL; ZL, SCL; CL; ZCL; SC; ZC; C, 10-25% OM, &gt;25% OM"</formula1>
    </dataValidation>
  </dataValidations>
  <pageMargins left="0.7" right="0.7" top="0.75" bottom="0.75" header="0.3" footer="0.3"/>
  <pageSetup paperSize="0" orientation="portrait" horizontalDpi="0" verticalDpi="0" copies="0"/>
  <headerFooter>
    <oddHeader>&amp;C&amp;"Calibri"&amp;10&amp;K0000FF OFFICIAL – BUSINESS&amp;1#_x000D_</oddHeader>
    <oddFooter>&amp;C_x000D_&amp;1#&amp;"Calibri"&amp;10&amp;K0000FF OFFICIAL –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65E74-2A74-4E5E-9F6E-FB117F1F9209}">
  <dimension ref="A1:AA112"/>
  <sheetViews>
    <sheetView zoomScaleNormal="100" workbookViewId="0">
      <pane ySplit="5" topLeftCell="A6" activePane="bottomLeft" state="frozen"/>
      <selection pane="bottomLeft" activeCell="M4" sqref="M4:M5"/>
    </sheetView>
  </sheetViews>
  <sheetFormatPr defaultRowHeight="14.5" x14ac:dyDescent="0.35"/>
  <cols>
    <col min="1" max="1" width="1.54296875" customWidth="1"/>
    <col min="2" max="2" width="16.54296875" customWidth="1"/>
    <col min="3" max="3" width="16.81640625" hidden="1" customWidth="1"/>
    <col min="4" max="4" width="14.453125" hidden="1" customWidth="1"/>
    <col min="5" max="5" width="13.81640625" hidden="1" customWidth="1"/>
    <col min="6" max="6" width="13.81640625" customWidth="1"/>
    <col min="7" max="8" width="20" hidden="1" customWidth="1"/>
    <col min="9" max="9" width="20" customWidth="1"/>
    <col min="10" max="10" width="15.453125" customWidth="1"/>
    <col min="11" max="11" width="11.26953125" hidden="1" customWidth="1"/>
    <col min="12" max="12" width="14.1796875" customWidth="1"/>
    <col min="13" max="13" width="16.54296875" customWidth="1"/>
    <col min="14" max="14" width="14" customWidth="1"/>
    <col min="15" max="15" width="16.54296875" customWidth="1"/>
    <col min="16" max="16" width="14" customWidth="1"/>
    <col min="17" max="17" width="16.54296875" customWidth="1"/>
    <col min="18" max="18" width="1.54296875" customWidth="1"/>
  </cols>
  <sheetData>
    <row r="1" spans="1:27" ht="44.15" customHeight="1" x14ac:dyDescent="0.35">
      <c r="B1" s="414" t="s">
        <v>53</v>
      </c>
      <c r="C1" s="414"/>
      <c r="D1" s="414"/>
      <c r="E1" s="414"/>
      <c r="F1" s="414"/>
      <c r="G1" s="414"/>
      <c r="H1" s="414"/>
      <c r="I1" s="414"/>
      <c r="J1" s="414"/>
      <c r="K1" s="414"/>
      <c r="L1" s="414"/>
      <c r="M1" s="414"/>
      <c r="N1" s="414"/>
      <c r="O1" s="414"/>
      <c r="P1" s="414"/>
      <c r="Q1" s="414"/>
      <c r="S1" s="27"/>
    </row>
    <row r="2" spans="1:27" ht="5.15" customHeight="1" x14ac:dyDescent="0.35">
      <c r="C2" s="27"/>
      <c r="D2" s="27"/>
      <c r="E2" s="27"/>
      <c r="F2" s="27"/>
      <c r="G2" s="27"/>
      <c r="H2" s="27"/>
      <c r="I2" s="27"/>
      <c r="J2" s="27"/>
      <c r="K2" s="27"/>
    </row>
    <row r="3" spans="1:27" ht="1" customHeight="1" thickBot="1" x14ac:dyDescent="0.4">
      <c r="B3" s="3"/>
      <c r="D3" s="5"/>
      <c r="L3" s="420" t="s">
        <v>54</v>
      </c>
      <c r="M3" s="421"/>
      <c r="N3" s="422" t="s">
        <v>55</v>
      </c>
      <c r="O3" s="423"/>
      <c r="P3" s="422" t="s">
        <v>56</v>
      </c>
      <c r="Q3" s="423"/>
    </row>
    <row r="4" spans="1:27" ht="52" customHeight="1" x14ac:dyDescent="0.35">
      <c r="B4" s="433"/>
      <c r="C4" s="428"/>
      <c r="D4" s="426" t="s">
        <v>57</v>
      </c>
      <c r="E4" s="426" t="s">
        <v>57</v>
      </c>
      <c r="F4" s="430" t="s">
        <v>58</v>
      </c>
      <c r="G4" s="148"/>
      <c r="H4" s="148"/>
      <c r="I4" s="430" t="s">
        <v>59</v>
      </c>
      <c r="J4" s="430" t="s">
        <v>60</v>
      </c>
      <c r="K4" s="424"/>
      <c r="L4" s="203" t="s">
        <v>61</v>
      </c>
      <c r="M4" s="217"/>
      <c r="N4" s="203" t="s">
        <v>62</v>
      </c>
      <c r="O4" s="218"/>
      <c r="P4" s="203" t="s">
        <v>63</v>
      </c>
      <c r="Q4" s="218"/>
      <c r="S4" s="5"/>
    </row>
    <row r="5" spans="1:27" ht="28" customHeight="1" thickBot="1" x14ac:dyDescent="0.4">
      <c r="B5" s="434"/>
      <c r="C5" s="429"/>
      <c r="D5" s="427"/>
      <c r="E5" s="427"/>
      <c r="F5" s="431"/>
      <c r="G5" s="6"/>
      <c r="H5" s="6"/>
      <c r="I5" s="431"/>
      <c r="J5" s="431"/>
      <c r="K5" s="425"/>
      <c r="L5" s="203" t="s">
        <v>64</v>
      </c>
      <c r="M5" s="204"/>
      <c r="N5" s="203" t="s">
        <v>64</v>
      </c>
      <c r="O5" s="205"/>
      <c r="P5" s="203" t="s">
        <v>64</v>
      </c>
      <c r="Q5" s="205"/>
      <c r="S5" s="419"/>
      <c r="T5" s="419"/>
      <c r="U5" s="419"/>
      <c r="V5" s="419"/>
      <c r="W5" s="419"/>
      <c r="X5" s="419"/>
      <c r="Y5" s="419"/>
      <c r="Z5" s="419"/>
      <c r="AA5" s="419"/>
    </row>
    <row r="6" spans="1:27" ht="42.65" customHeight="1" thickBot="1" x14ac:dyDescent="0.4">
      <c r="B6" s="434"/>
      <c r="C6" s="292"/>
      <c r="D6" s="291"/>
      <c r="E6" s="291"/>
      <c r="F6" s="431"/>
      <c r="G6" s="6"/>
      <c r="H6" s="6"/>
      <c r="I6" s="431"/>
      <c r="J6" s="431"/>
      <c r="K6" s="290"/>
      <c r="L6" s="416" t="s">
        <v>65</v>
      </c>
      <c r="M6" s="417"/>
      <c r="N6" s="417"/>
      <c r="O6" s="417"/>
      <c r="P6" s="417"/>
      <c r="Q6" s="418"/>
    </row>
    <row r="7" spans="1:27" ht="29.5" thickBot="1" x14ac:dyDescent="0.4">
      <c r="B7" s="434"/>
      <c r="C7" s="292"/>
      <c r="D7" s="291"/>
      <c r="E7" s="291"/>
      <c r="F7" s="431"/>
      <c r="G7" s="6"/>
      <c r="H7" s="6"/>
      <c r="I7" s="431"/>
      <c r="J7" s="431"/>
      <c r="K7" s="290"/>
      <c r="L7" s="203" t="s">
        <v>66</v>
      </c>
      <c r="M7" s="205"/>
      <c r="N7" s="203" t="s">
        <v>66</v>
      </c>
      <c r="O7" s="205"/>
      <c r="P7" s="203" t="s">
        <v>66</v>
      </c>
      <c r="Q7" s="205"/>
    </row>
    <row r="8" spans="1:27" ht="29.5" thickBot="1" x14ac:dyDescent="0.4">
      <c r="B8" s="434"/>
      <c r="C8" s="292"/>
      <c r="D8" s="291"/>
      <c r="E8" s="291"/>
      <c r="F8" s="431"/>
      <c r="G8" s="6"/>
      <c r="H8" s="6"/>
      <c r="I8" s="431"/>
      <c r="J8" s="431"/>
      <c r="K8" s="290"/>
      <c r="L8" s="203" t="s">
        <v>67</v>
      </c>
      <c r="M8" s="205"/>
      <c r="N8" s="203" t="s">
        <v>67</v>
      </c>
      <c r="O8" s="205"/>
      <c r="P8" s="203" t="s">
        <v>67</v>
      </c>
      <c r="Q8" s="205"/>
    </row>
    <row r="9" spans="1:27" ht="29.5" thickBot="1" x14ac:dyDescent="0.4">
      <c r="B9" s="435"/>
      <c r="C9" s="292"/>
      <c r="D9" s="291"/>
      <c r="E9" s="291"/>
      <c r="F9" s="432"/>
      <c r="G9" s="6"/>
      <c r="H9" s="6"/>
      <c r="I9" s="432"/>
      <c r="J9" s="432"/>
      <c r="K9" s="290"/>
      <c r="L9" s="203" t="s">
        <v>68</v>
      </c>
      <c r="M9" s="296"/>
      <c r="N9" s="203" t="s">
        <v>68</v>
      </c>
      <c r="O9" s="296"/>
      <c r="P9" s="203" t="s">
        <v>68</v>
      </c>
      <c r="Q9" s="296"/>
    </row>
    <row r="10" spans="1:27" s="1" customFormat="1" ht="62" x14ac:dyDescent="0.35">
      <c r="B10" s="355" t="s">
        <v>48</v>
      </c>
      <c r="C10" s="354" t="s">
        <v>49</v>
      </c>
      <c r="D10" s="354" t="s">
        <v>50</v>
      </c>
      <c r="E10" s="354" t="s">
        <v>51</v>
      </c>
      <c r="F10" s="354" t="s">
        <v>69</v>
      </c>
      <c r="G10" s="354" t="s">
        <v>70</v>
      </c>
      <c r="H10" s="354" t="s">
        <v>71</v>
      </c>
      <c r="I10" s="354" t="s">
        <v>72</v>
      </c>
      <c r="J10" s="354" t="s">
        <v>73</v>
      </c>
      <c r="K10" s="356" t="s">
        <v>74</v>
      </c>
      <c r="L10" s="357" t="s">
        <v>75</v>
      </c>
      <c r="M10" s="357" t="s">
        <v>76</v>
      </c>
      <c r="N10" s="357" t="s">
        <v>75</v>
      </c>
      <c r="O10" s="357" t="s">
        <v>77</v>
      </c>
      <c r="P10" s="357" t="s">
        <v>75</v>
      </c>
      <c r="Q10" s="358" t="s">
        <v>77</v>
      </c>
    </row>
    <row r="11" spans="1:27" s="1" customFormat="1" ht="5.15" customHeight="1" x14ac:dyDescent="0.35">
      <c r="B11" s="149"/>
      <c r="C11" s="63"/>
      <c r="D11" s="63"/>
      <c r="E11" s="63"/>
      <c r="F11" s="63"/>
      <c r="G11" s="63"/>
      <c r="H11" s="63"/>
      <c r="I11" s="63"/>
      <c r="J11" s="63"/>
      <c r="K11" s="64"/>
      <c r="L11" s="63"/>
      <c r="M11" s="63"/>
      <c r="N11" s="63"/>
      <c r="O11" s="63"/>
      <c r="P11" s="63"/>
      <c r="Q11" s="150"/>
    </row>
    <row r="12" spans="1:27" s="2" customFormat="1" x14ac:dyDescent="0.35">
      <c r="A12" s="7"/>
      <c r="B12" s="248" t="str">
        <f>IF(ISBLANK('Field information 1'!B6),"",
IF(ISTEXT('Field information 1'!B6),'Field information 1'!B6, TEXT('Field information 1'!B6,"0")))</f>
        <v/>
      </c>
      <c r="C12" s="8" t="str">
        <f>IF(ISBLANK('Field information 1'!C6),"",'Field information 1'!C6)</f>
        <v/>
      </c>
      <c r="D12" s="26" t="str">
        <f>IF(ISBLANK('Field information 1'!D6),"",'Field information 1'!D6)</f>
        <v/>
      </c>
      <c r="E12" s="26" t="str">
        <f>IF(ISBLANK('Field information 1'!E6),"",'Field information 1'!E6)</f>
        <v/>
      </c>
      <c r="F12" s="221"/>
      <c r="G12" s="172"/>
      <c r="H12" s="172"/>
      <c r="I12" s="222"/>
      <c r="J12" s="222"/>
      <c r="K12" s="172"/>
      <c r="L12" s="336"/>
      <c r="M12" s="336"/>
      <c r="N12" s="336"/>
      <c r="O12" s="336"/>
      <c r="P12" s="336"/>
      <c r="Q12" s="337"/>
    </row>
    <row r="13" spans="1:27" s="2" customFormat="1" x14ac:dyDescent="0.35">
      <c r="A13" s="7"/>
      <c r="B13" s="248" t="str">
        <f>IF(ISBLANK('Field information 1'!B7),"",
IF(ISTEXT('Field information 1'!B7),'Field information 1'!B7, TEXT('Field information 1'!B7,"0")))</f>
        <v/>
      </c>
      <c r="C13" s="8" t="str">
        <f>IF(ISBLANK('Field information 1'!C7),"",'Field information 1'!C7)</f>
        <v/>
      </c>
      <c r="D13" s="26" t="str">
        <f>IF(ISBLANK('Field information 1'!D7),"",'Field information 1'!D7)</f>
        <v/>
      </c>
      <c r="E13" s="26" t="str">
        <f>IF(ISBLANK('Field information 1'!E7),"",'Field information 1'!E7)</f>
        <v/>
      </c>
      <c r="F13" s="221"/>
      <c r="G13" s="172"/>
      <c r="H13" s="172"/>
      <c r="I13" s="222"/>
      <c r="J13" s="222"/>
      <c r="K13" s="172"/>
      <c r="L13" s="336"/>
      <c r="M13" s="336"/>
      <c r="N13" s="336"/>
      <c r="O13" s="336"/>
      <c r="P13" s="336"/>
      <c r="Q13" s="337"/>
      <c r="T13" s="246"/>
    </row>
    <row r="14" spans="1:27" s="2" customFormat="1" x14ac:dyDescent="0.35">
      <c r="A14" s="7"/>
      <c r="B14" s="248" t="str">
        <f>IF(ISBLANK('Field information 1'!B8),"",
IF(ISTEXT('Field information 1'!B8),'Field information 1'!B8, TEXT('Field information 1'!B8,"0")))</f>
        <v/>
      </c>
      <c r="C14" s="8" t="str">
        <f>IF(ISBLANK('Field information 1'!C8),"",'Field information 1'!C8)</f>
        <v/>
      </c>
      <c r="D14" s="26" t="str">
        <f>IF(ISBLANK('Field information 1'!D8),"",'Field information 1'!D8)</f>
        <v/>
      </c>
      <c r="E14" s="26" t="str">
        <f>IF(ISBLANK('Field information 1'!E8),"",'Field information 1'!E8)</f>
        <v/>
      </c>
      <c r="F14" s="221"/>
      <c r="G14" s="172"/>
      <c r="H14" s="172"/>
      <c r="I14" s="222"/>
      <c r="J14" s="222"/>
      <c r="K14" s="172"/>
      <c r="L14" s="336"/>
      <c r="M14" s="336"/>
      <c r="N14" s="336"/>
      <c r="O14" s="336"/>
      <c r="P14" s="336"/>
      <c r="Q14" s="337"/>
    </row>
    <row r="15" spans="1:27" s="2" customFormat="1" x14ac:dyDescent="0.35">
      <c r="A15" s="7"/>
      <c r="B15" s="248" t="str">
        <f>IF(ISBLANK('Field information 1'!B9),"",
IF(ISTEXT('Field information 1'!B9),'Field information 1'!B9, TEXT('Field information 1'!B9,"0")))</f>
        <v/>
      </c>
      <c r="C15" s="8" t="str">
        <f>IF(ISBLANK('Field information 1'!C9),"",'Field information 1'!C9)</f>
        <v/>
      </c>
      <c r="D15" s="26" t="str">
        <f>IF(ISBLANK('Field information 1'!D9),"",'Field information 1'!D9)</f>
        <v/>
      </c>
      <c r="E15" s="26" t="str">
        <f>IF(ISBLANK('Field information 1'!E9),"",'Field information 1'!E9)</f>
        <v/>
      </c>
      <c r="F15" s="221"/>
      <c r="G15" s="172"/>
      <c r="H15" s="172"/>
      <c r="I15" s="222"/>
      <c r="J15" s="222"/>
      <c r="K15" s="172"/>
      <c r="L15" s="336"/>
      <c r="M15" s="336"/>
      <c r="N15" s="336"/>
      <c r="O15" s="336"/>
      <c r="P15" s="336"/>
      <c r="Q15" s="337"/>
    </row>
    <row r="16" spans="1:27" s="3" customFormat="1" x14ac:dyDescent="0.35">
      <c r="A16" s="7"/>
      <c r="B16" s="248" t="str">
        <f>IF(ISBLANK('Field information 1'!B10),"",
IF(ISTEXT('Field information 1'!B10),'Field information 1'!B10, TEXT('Field information 1'!B10,"0")))</f>
        <v/>
      </c>
      <c r="C16" s="8" t="str">
        <f>IF(ISBLANK('Field information 1'!C10),"",'Field information 1'!C10)</f>
        <v/>
      </c>
      <c r="D16" s="26" t="str">
        <f>IF(ISBLANK('Field information 1'!D10),"",'Field information 1'!D10)</f>
        <v/>
      </c>
      <c r="E16" s="26" t="str">
        <f>IF(ISBLANK('Field information 1'!E10),"",'Field information 1'!E10)</f>
        <v/>
      </c>
      <c r="F16" s="221"/>
      <c r="G16" s="172"/>
      <c r="H16" s="172"/>
      <c r="I16" s="222"/>
      <c r="J16" s="222"/>
      <c r="K16" s="172"/>
      <c r="L16" s="336"/>
      <c r="M16" s="336"/>
      <c r="N16" s="336"/>
      <c r="O16" s="336"/>
      <c r="P16" s="336"/>
      <c r="Q16" s="337"/>
    </row>
    <row r="17" spans="1:20" x14ac:dyDescent="0.35">
      <c r="A17" s="7"/>
      <c r="B17" s="248" t="str">
        <f>IF(ISBLANK('Field information 1'!B11),"",
IF(ISTEXT('Field information 1'!B11),'Field information 1'!B11, TEXT('Field information 1'!B11,"0")))</f>
        <v/>
      </c>
      <c r="C17" s="8" t="str">
        <f>IF(ISBLANK('Field information 1'!C11),"",'Field information 1'!C11)</f>
        <v/>
      </c>
      <c r="D17" s="26" t="str">
        <f>IF(ISBLANK('Field information 1'!D11),"",'Field information 1'!D11)</f>
        <v/>
      </c>
      <c r="E17" s="26" t="str">
        <f>IF(ISBLANK('Field information 1'!E11),"",'Field information 1'!E11)</f>
        <v/>
      </c>
      <c r="F17" s="221"/>
      <c r="G17" s="172"/>
      <c r="H17" s="172"/>
      <c r="I17" s="222"/>
      <c r="J17" s="222"/>
      <c r="K17" s="172"/>
      <c r="L17" s="336"/>
      <c r="M17" s="336"/>
      <c r="N17" s="336"/>
      <c r="O17" s="336"/>
      <c r="P17" s="336"/>
      <c r="Q17" s="337"/>
    </row>
    <row r="18" spans="1:20" x14ac:dyDescent="0.35">
      <c r="A18" s="7"/>
      <c r="B18" s="248" t="str">
        <f>IF(ISBLANK('Field information 1'!B12),"",
IF(ISTEXT('Field information 1'!B12),'Field information 1'!B12, TEXT('Field information 1'!B12,"0")))</f>
        <v/>
      </c>
      <c r="C18" s="8" t="str">
        <f>IF(ISBLANK('Field information 1'!C12),"",'Field information 1'!C12)</f>
        <v/>
      </c>
      <c r="D18" s="26" t="str">
        <f>IF(ISBLANK('Field information 1'!D12),"",'Field information 1'!D12)</f>
        <v/>
      </c>
      <c r="E18" s="26" t="str">
        <f>IF(ISBLANK('Field information 1'!E12),"",'Field information 1'!E12)</f>
        <v/>
      </c>
      <c r="F18" s="221"/>
      <c r="G18" s="172"/>
      <c r="H18" s="172"/>
      <c r="I18" s="222"/>
      <c r="J18" s="222"/>
      <c r="K18" s="172"/>
      <c r="L18" s="336"/>
      <c r="M18" s="336"/>
      <c r="N18" s="336"/>
      <c r="O18" s="336"/>
      <c r="P18" s="336"/>
      <c r="Q18" s="337"/>
      <c r="T18" s="272"/>
    </row>
    <row r="19" spans="1:20" x14ac:dyDescent="0.35">
      <c r="A19" s="7"/>
      <c r="B19" s="248" t="str">
        <f>IF(ISBLANK('Field information 1'!B13),"",
IF(ISTEXT('Field information 1'!B13),'Field information 1'!B13, TEXT('Field information 1'!B13,"0")))</f>
        <v/>
      </c>
      <c r="C19" s="8" t="str">
        <f>IF(ISBLANK('Field information 1'!C13),"",'Field information 1'!C13)</f>
        <v/>
      </c>
      <c r="D19" s="26" t="str">
        <f>IF(ISBLANK('Field information 1'!D13),"",'Field information 1'!D13)</f>
        <v/>
      </c>
      <c r="E19" s="26" t="str">
        <f>IF(ISBLANK('Field information 1'!E13),"",'Field information 1'!E13)</f>
        <v/>
      </c>
      <c r="F19" s="221"/>
      <c r="G19" s="172"/>
      <c r="H19" s="172"/>
      <c r="I19" s="222"/>
      <c r="J19" s="222"/>
      <c r="K19" s="172"/>
      <c r="L19" s="336"/>
      <c r="M19" s="336"/>
      <c r="N19" s="336"/>
      <c r="O19" s="336"/>
      <c r="P19" s="336"/>
      <c r="Q19" s="337"/>
    </row>
    <row r="20" spans="1:20" x14ac:dyDescent="0.35">
      <c r="A20" s="7"/>
      <c r="B20" s="248" t="str">
        <f>IF(ISBLANK('Field information 1'!B14),"",
IF(ISTEXT('Field information 1'!B14),'Field information 1'!B14, TEXT('Field information 1'!B14,"0")))</f>
        <v/>
      </c>
      <c r="C20" s="8" t="str">
        <f>IF(ISBLANK('Field information 1'!C14),"",'Field information 1'!C14)</f>
        <v/>
      </c>
      <c r="D20" s="26" t="str">
        <f>IF(ISBLANK('Field information 1'!D14),"",'Field information 1'!D14)</f>
        <v/>
      </c>
      <c r="E20" s="26" t="str">
        <f>IF(ISBLANK('Field information 1'!E14),"",'Field information 1'!E14)</f>
        <v/>
      </c>
      <c r="F20" s="221"/>
      <c r="G20" s="172"/>
      <c r="H20" s="172"/>
      <c r="I20" s="222"/>
      <c r="J20" s="222"/>
      <c r="K20" s="172"/>
      <c r="L20" s="336"/>
      <c r="M20" s="336"/>
      <c r="N20" s="336"/>
      <c r="O20" s="336"/>
      <c r="P20" s="336"/>
      <c r="Q20" s="337"/>
    </row>
    <row r="21" spans="1:20" x14ac:dyDescent="0.35">
      <c r="A21" s="7"/>
      <c r="B21" s="248" t="str">
        <f>IF(ISBLANK('Field information 1'!B15),"",
IF(ISTEXT('Field information 1'!B15),'Field information 1'!B15, TEXT('Field information 1'!B15,"0")))</f>
        <v/>
      </c>
      <c r="C21" s="8" t="str">
        <f>IF(ISBLANK('Field information 1'!C15),"",'Field information 1'!C15)</f>
        <v/>
      </c>
      <c r="D21" s="26" t="str">
        <f>IF(ISBLANK('Field information 1'!D15),"",'Field information 1'!D15)</f>
        <v/>
      </c>
      <c r="E21" s="26" t="str">
        <f>IF(ISBLANK('Field information 1'!E15),"",'Field information 1'!E15)</f>
        <v/>
      </c>
      <c r="F21" s="221"/>
      <c r="G21" s="172"/>
      <c r="H21" s="172"/>
      <c r="I21" s="222"/>
      <c r="J21" s="222"/>
      <c r="K21" s="172"/>
      <c r="L21" s="336"/>
      <c r="M21" s="336"/>
      <c r="N21" s="336"/>
      <c r="O21" s="336"/>
      <c r="P21" s="336"/>
      <c r="Q21" s="337"/>
    </row>
    <row r="22" spans="1:20" x14ac:dyDescent="0.35">
      <c r="A22" s="7"/>
      <c r="B22" s="248" t="str">
        <f>IF(ISBLANK('Field information 1'!B16),"",
IF(ISTEXT('Field information 1'!B16),'Field information 1'!B16, TEXT('Field information 1'!B16,"0")))</f>
        <v/>
      </c>
      <c r="C22" s="8" t="str">
        <f>IF(ISBLANK('Field information 1'!C16),"",'Field information 1'!C16)</f>
        <v/>
      </c>
      <c r="D22" s="26" t="str">
        <f>IF(ISBLANK('Field information 1'!D16),"",'Field information 1'!D16)</f>
        <v/>
      </c>
      <c r="E22" s="26" t="str">
        <f>IF(ISBLANK('Field information 1'!E16),"",'Field information 1'!E16)</f>
        <v/>
      </c>
      <c r="F22" s="221"/>
      <c r="G22" s="172"/>
      <c r="H22" s="172"/>
      <c r="I22" s="222"/>
      <c r="J22" s="222"/>
      <c r="K22" s="172"/>
      <c r="L22" s="336"/>
      <c r="M22" s="336"/>
      <c r="N22" s="336"/>
      <c r="O22" s="336"/>
      <c r="P22" s="336"/>
      <c r="Q22" s="337"/>
    </row>
    <row r="23" spans="1:20" x14ac:dyDescent="0.35">
      <c r="A23" s="7"/>
      <c r="B23" s="248" t="str">
        <f>IF(ISBLANK('Field information 1'!B17),"",
IF(ISTEXT('Field information 1'!B17),'Field information 1'!B17, TEXT('Field information 1'!B17,"0")))</f>
        <v/>
      </c>
      <c r="C23" s="8" t="str">
        <f>IF(ISBLANK('Field information 1'!C17),"",'Field information 1'!C17)</f>
        <v/>
      </c>
      <c r="D23" s="26" t="str">
        <f>IF(ISBLANK('Field information 1'!D17),"",'Field information 1'!D17)</f>
        <v/>
      </c>
      <c r="E23" s="26" t="str">
        <f>IF(ISBLANK('Field information 1'!E17),"",'Field information 1'!E17)</f>
        <v/>
      </c>
      <c r="F23" s="221"/>
      <c r="G23" s="172"/>
      <c r="H23" s="172"/>
      <c r="I23" s="222"/>
      <c r="J23" s="222"/>
      <c r="K23" s="172"/>
      <c r="L23" s="336"/>
      <c r="M23" s="336"/>
      <c r="N23" s="336"/>
      <c r="O23" s="336"/>
      <c r="P23" s="336"/>
      <c r="Q23" s="337"/>
    </row>
    <row r="24" spans="1:20" x14ac:dyDescent="0.35">
      <c r="A24" s="7"/>
      <c r="B24" s="248" t="str">
        <f>IF(ISBLANK('Field information 1'!B18),"",
IF(ISTEXT('Field information 1'!B18),'Field information 1'!B18, TEXT('Field information 1'!B18,"0")))</f>
        <v/>
      </c>
      <c r="C24" s="8" t="str">
        <f>IF(ISBLANK('Field information 1'!C18),"",'Field information 1'!C18)</f>
        <v/>
      </c>
      <c r="D24" s="26" t="str">
        <f>IF(ISBLANK('Field information 1'!D18),"",'Field information 1'!D18)</f>
        <v/>
      </c>
      <c r="E24" s="26" t="str">
        <f>IF(ISBLANK('Field information 1'!E18),"",'Field information 1'!E18)</f>
        <v/>
      </c>
      <c r="F24" s="221"/>
      <c r="G24" s="172"/>
      <c r="H24" s="172"/>
      <c r="I24" s="222"/>
      <c r="J24" s="222"/>
      <c r="K24" s="172"/>
      <c r="L24" s="336"/>
      <c r="M24" s="336"/>
      <c r="N24" s="336"/>
      <c r="O24" s="336"/>
      <c r="P24" s="336"/>
      <c r="Q24" s="337"/>
    </row>
    <row r="25" spans="1:20" x14ac:dyDescent="0.35">
      <c r="A25" s="7"/>
      <c r="B25" s="248" t="str">
        <f>IF(ISBLANK('Field information 1'!B19),"",
IF(ISTEXT('Field information 1'!B19),'Field information 1'!B19, TEXT('Field information 1'!B19,"0")))</f>
        <v/>
      </c>
      <c r="C25" s="8" t="str">
        <f>IF(ISBLANK('Field information 1'!C19),"",'Field information 1'!C19)</f>
        <v/>
      </c>
      <c r="D25" s="26" t="str">
        <f>IF(ISBLANK('Field information 1'!D19),"",'Field information 1'!D19)</f>
        <v/>
      </c>
      <c r="E25" s="26" t="str">
        <f>IF(ISBLANK('Field information 1'!E19),"",'Field information 1'!E19)</f>
        <v/>
      </c>
      <c r="F25" s="221"/>
      <c r="G25" s="172"/>
      <c r="H25" s="172"/>
      <c r="I25" s="222"/>
      <c r="J25" s="222"/>
      <c r="K25" s="172"/>
      <c r="L25" s="336"/>
      <c r="M25" s="336"/>
      <c r="N25" s="336"/>
      <c r="O25" s="336"/>
      <c r="P25" s="336"/>
      <c r="Q25" s="337"/>
    </row>
    <row r="26" spans="1:20" x14ac:dyDescent="0.35">
      <c r="A26" s="7"/>
      <c r="B26" s="248" t="str">
        <f>IF(ISBLANK('Field information 1'!B20),"",
IF(ISTEXT('Field information 1'!B20),'Field information 1'!B20, TEXT('Field information 1'!B20,"0")))</f>
        <v/>
      </c>
      <c r="C26" s="8" t="str">
        <f>IF(ISBLANK('Field information 1'!C20),"",'Field information 1'!C20)</f>
        <v/>
      </c>
      <c r="D26" s="26" t="str">
        <f>IF(ISBLANK('Field information 1'!D20),"",'Field information 1'!D20)</f>
        <v/>
      </c>
      <c r="E26" s="26" t="str">
        <f>IF(ISBLANK('Field information 1'!E20),"",'Field information 1'!E20)</f>
        <v/>
      </c>
      <c r="F26" s="221"/>
      <c r="G26" s="172"/>
      <c r="H26" s="172"/>
      <c r="I26" s="222"/>
      <c r="J26" s="222"/>
      <c r="K26" s="172"/>
      <c r="L26" s="336"/>
      <c r="M26" s="336"/>
      <c r="N26" s="336"/>
      <c r="O26" s="336"/>
      <c r="P26" s="336"/>
      <c r="Q26" s="337"/>
    </row>
    <row r="27" spans="1:20" x14ac:dyDescent="0.35">
      <c r="A27" s="7"/>
      <c r="B27" s="248" t="str">
        <f>IF(ISBLANK('Field information 1'!B21),"",
IF(ISTEXT('Field information 1'!B21),'Field information 1'!B21, TEXT('Field information 1'!B21,"0")))</f>
        <v/>
      </c>
      <c r="C27" s="8" t="str">
        <f>IF(ISBLANK('Field information 1'!C21),"",'Field information 1'!C21)</f>
        <v/>
      </c>
      <c r="D27" s="26" t="str">
        <f>IF(ISBLANK('Field information 1'!D21),"",'Field information 1'!D21)</f>
        <v/>
      </c>
      <c r="E27" s="26" t="str">
        <f>IF(ISBLANK('Field information 1'!E21),"",'Field information 1'!E21)</f>
        <v/>
      </c>
      <c r="F27" s="221"/>
      <c r="G27" s="172"/>
      <c r="H27" s="172"/>
      <c r="I27" s="222"/>
      <c r="J27" s="222"/>
      <c r="K27" s="172"/>
      <c r="L27" s="336"/>
      <c r="M27" s="336"/>
      <c r="N27" s="336"/>
      <c r="O27" s="336"/>
      <c r="P27" s="336"/>
      <c r="Q27" s="337"/>
    </row>
    <row r="28" spans="1:20" x14ac:dyDescent="0.35">
      <c r="A28" s="7"/>
      <c r="B28" s="248" t="str">
        <f>IF(ISBLANK('Field information 1'!B22),"",
IF(ISTEXT('Field information 1'!B22),'Field information 1'!B22, TEXT('Field information 1'!B22,"0")))</f>
        <v/>
      </c>
      <c r="C28" s="8" t="str">
        <f>IF(ISBLANK('Field information 1'!C22),"",'Field information 1'!C22)</f>
        <v/>
      </c>
      <c r="D28" s="26" t="str">
        <f>IF(ISBLANK('Field information 1'!D22),"",'Field information 1'!D22)</f>
        <v/>
      </c>
      <c r="E28" s="26" t="str">
        <f>IF(ISBLANK('Field information 1'!E22),"",'Field information 1'!E22)</f>
        <v/>
      </c>
      <c r="F28" s="221"/>
      <c r="G28" s="172"/>
      <c r="H28" s="172"/>
      <c r="I28" s="222"/>
      <c r="J28" s="222"/>
      <c r="K28" s="172"/>
      <c r="L28" s="336"/>
      <c r="M28" s="336"/>
      <c r="N28" s="336"/>
      <c r="O28" s="336"/>
      <c r="P28" s="336"/>
      <c r="Q28" s="337"/>
    </row>
    <row r="29" spans="1:20" x14ac:dyDescent="0.35">
      <c r="A29" s="7"/>
      <c r="B29" s="248" t="str">
        <f>IF(ISBLANK('Field information 1'!B23),"",
IF(ISTEXT('Field information 1'!B23),'Field information 1'!B23, TEXT('Field information 1'!B23,"0")))</f>
        <v/>
      </c>
      <c r="C29" s="8" t="str">
        <f>IF(ISBLANK('Field information 1'!C23),"",'Field information 1'!C23)</f>
        <v/>
      </c>
      <c r="D29" s="26" t="str">
        <f>IF(ISBLANK('Field information 1'!D23),"",'Field information 1'!D23)</f>
        <v/>
      </c>
      <c r="E29" s="26" t="str">
        <f>IF(ISBLANK('Field information 1'!E23),"",'Field information 1'!E23)</f>
        <v/>
      </c>
      <c r="F29" s="221"/>
      <c r="G29" s="172"/>
      <c r="H29" s="172"/>
      <c r="I29" s="222"/>
      <c r="J29" s="222"/>
      <c r="K29" s="172"/>
      <c r="L29" s="336"/>
      <c r="M29" s="336"/>
      <c r="N29" s="336"/>
      <c r="O29" s="336"/>
      <c r="P29" s="336"/>
      <c r="Q29" s="337"/>
    </row>
    <row r="30" spans="1:20" x14ac:dyDescent="0.35">
      <c r="A30" s="7"/>
      <c r="B30" s="248" t="str">
        <f>IF(ISBLANK('Field information 1'!B24),"",
IF(ISTEXT('Field information 1'!B24),'Field information 1'!B24, TEXT('Field information 1'!B24,"0")))</f>
        <v/>
      </c>
      <c r="C30" s="8" t="str">
        <f>IF(ISBLANK('Field information 1'!C24),"",'Field information 1'!C24)</f>
        <v/>
      </c>
      <c r="D30" s="26" t="str">
        <f>IF(ISBLANK('Field information 1'!D24),"",'Field information 1'!D24)</f>
        <v/>
      </c>
      <c r="E30" s="26" t="str">
        <f>IF(ISBLANK('Field information 1'!E24),"",'Field information 1'!E24)</f>
        <v/>
      </c>
      <c r="F30" s="221"/>
      <c r="G30" s="172"/>
      <c r="H30" s="172"/>
      <c r="I30" s="222"/>
      <c r="J30" s="222"/>
      <c r="K30" s="172"/>
      <c r="L30" s="336"/>
      <c r="M30" s="336"/>
      <c r="N30" s="336"/>
      <c r="O30" s="336"/>
      <c r="P30" s="336"/>
      <c r="Q30" s="337"/>
    </row>
    <row r="31" spans="1:20" x14ac:dyDescent="0.35">
      <c r="A31" s="7"/>
      <c r="B31" s="248" t="str">
        <f>IF(ISBLANK('Field information 1'!B25),"",
IF(ISTEXT('Field information 1'!B25),'Field information 1'!B25, TEXT('Field information 1'!B25,"0")))</f>
        <v/>
      </c>
      <c r="C31" s="8" t="str">
        <f>IF(ISBLANK('Field information 1'!C25),"",'Field information 1'!C25)</f>
        <v/>
      </c>
      <c r="D31" s="26" t="str">
        <f>IF(ISBLANK('Field information 1'!D25),"",'Field information 1'!D25)</f>
        <v/>
      </c>
      <c r="E31" s="26" t="str">
        <f>IF(ISBLANK('Field information 1'!E25),"",'Field information 1'!E25)</f>
        <v/>
      </c>
      <c r="F31" s="221"/>
      <c r="G31" s="172"/>
      <c r="H31" s="172"/>
      <c r="I31" s="222"/>
      <c r="J31" s="222"/>
      <c r="K31" s="172"/>
      <c r="L31" s="336"/>
      <c r="M31" s="336"/>
      <c r="N31" s="336"/>
      <c r="O31" s="336"/>
      <c r="P31" s="336"/>
      <c r="Q31" s="337"/>
    </row>
    <row r="32" spans="1:20" x14ac:dyDescent="0.35">
      <c r="A32" s="7"/>
      <c r="B32" s="248" t="str">
        <f>IF(ISBLANK('Field information 1'!B26),"",
IF(ISTEXT('Field information 1'!B26),'Field information 1'!B26, TEXT('Field information 1'!B26,"0")))</f>
        <v/>
      </c>
      <c r="C32" s="8" t="str">
        <f>IF(ISBLANK('Field information 1'!C26),"",'Field information 1'!C26)</f>
        <v/>
      </c>
      <c r="D32" s="26" t="str">
        <f>IF(ISBLANK('Field information 1'!D26),"",'Field information 1'!D26)</f>
        <v/>
      </c>
      <c r="E32" s="26" t="str">
        <f>IF(ISBLANK('Field information 1'!E26),"",'Field information 1'!E26)</f>
        <v/>
      </c>
      <c r="F32" s="221"/>
      <c r="G32" s="172"/>
      <c r="H32" s="172"/>
      <c r="I32" s="222"/>
      <c r="J32" s="222"/>
      <c r="K32" s="172"/>
      <c r="L32" s="336"/>
      <c r="M32" s="336"/>
      <c r="N32" s="336"/>
      <c r="O32" s="336"/>
      <c r="P32" s="336"/>
      <c r="Q32" s="337"/>
    </row>
    <row r="33" spans="1:17" x14ac:dyDescent="0.35">
      <c r="A33" s="7"/>
      <c r="B33" s="248" t="str">
        <f>IF(ISBLANK('Field information 1'!B27),"",
IF(ISTEXT('Field information 1'!B27),'Field information 1'!B27, TEXT('Field information 1'!B27,"0")))</f>
        <v/>
      </c>
      <c r="C33" s="8" t="str">
        <f>IF(ISBLANK('Field information 1'!C27),"",'Field information 1'!C27)</f>
        <v/>
      </c>
      <c r="D33" s="26" t="str">
        <f>IF(ISBLANK('Field information 1'!D27),"",'Field information 1'!D27)</f>
        <v/>
      </c>
      <c r="E33" s="26" t="str">
        <f>IF(ISBLANK('Field information 1'!E27),"",'Field information 1'!E27)</f>
        <v/>
      </c>
      <c r="F33" s="221"/>
      <c r="G33" s="172"/>
      <c r="H33" s="172"/>
      <c r="I33" s="222"/>
      <c r="J33" s="222"/>
      <c r="K33" s="172"/>
      <c r="L33" s="336"/>
      <c r="M33" s="336"/>
      <c r="N33" s="336"/>
      <c r="O33" s="336"/>
      <c r="P33" s="336"/>
      <c r="Q33" s="337"/>
    </row>
    <row r="34" spans="1:17" ht="15" x14ac:dyDescent="0.25">
      <c r="A34" s="7"/>
      <c r="B34" s="248" t="str">
        <f>IF(ISBLANK('Field information 1'!B28),"",
IF(ISTEXT('Field information 1'!B28),'Field information 1'!B28, TEXT('Field information 1'!B28,"0")))</f>
        <v/>
      </c>
      <c r="C34" s="8" t="str">
        <f>IF(ISBLANK('Field information 1'!C28),"",'Field information 1'!C28)</f>
        <v/>
      </c>
      <c r="D34" s="26" t="str">
        <f>IF(ISBLANK('Field information 1'!D28),"",'Field information 1'!D28)</f>
        <v/>
      </c>
      <c r="E34" s="26" t="str">
        <f>IF(ISBLANK('Field information 1'!E28),"",'Field information 1'!E28)</f>
        <v/>
      </c>
      <c r="F34" s="221"/>
      <c r="G34" s="172"/>
      <c r="H34" s="172"/>
      <c r="I34" s="222"/>
      <c r="J34" s="222"/>
      <c r="K34" s="172"/>
      <c r="L34" s="336"/>
      <c r="M34" s="336"/>
      <c r="N34" s="336"/>
      <c r="O34" s="336"/>
      <c r="P34" s="336"/>
      <c r="Q34" s="337"/>
    </row>
    <row r="35" spans="1:17" ht="15" x14ac:dyDescent="0.25">
      <c r="A35" s="7"/>
      <c r="B35" s="248" t="str">
        <f>IF(ISBLANK('Field information 1'!B29),"",
IF(ISTEXT('Field information 1'!B29),'Field information 1'!B29, TEXT('Field information 1'!B29,"0")))</f>
        <v/>
      </c>
      <c r="C35" s="8" t="str">
        <f>IF(ISBLANK('Field information 1'!C29),"",'Field information 1'!C29)</f>
        <v/>
      </c>
      <c r="D35" s="26" t="str">
        <f>IF(ISBLANK('Field information 1'!D29),"",'Field information 1'!D29)</f>
        <v/>
      </c>
      <c r="E35" s="26" t="str">
        <f>IF(ISBLANK('Field information 1'!E29),"",'Field information 1'!E29)</f>
        <v/>
      </c>
      <c r="F35" s="221"/>
      <c r="G35" s="172"/>
      <c r="H35" s="172"/>
      <c r="I35" s="222"/>
      <c r="J35" s="222"/>
      <c r="K35" s="172"/>
      <c r="L35" s="336"/>
      <c r="M35" s="336"/>
      <c r="N35" s="336"/>
      <c r="O35" s="336"/>
      <c r="P35" s="336"/>
      <c r="Q35" s="337"/>
    </row>
    <row r="36" spans="1:17" ht="15" x14ac:dyDescent="0.25">
      <c r="A36" s="7"/>
      <c r="B36" s="248" t="str">
        <f>IF(ISBLANK('Field information 1'!B30),"",
IF(ISTEXT('Field information 1'!B30),'Field information 1'!B30, TEXT('Field information 1'!B30,"0")))</f>
        <v/>
      </c>
      <c r="C36" s="8" t="str">
        <f>IF(ISBLANK('Field information 1'!C30),"",'Field information 1'!C30)</f>
        <v/>
      </c>
      <c r="D36" s="26" t="str">
        <f>IF(ISBLANK('Field information 1'!D30),"",'Field information 1'!D30)</f>
        <v/>
      </c>
      <c r="E36" s="26" t="str">
        <f>IF(ISBLANK('Field information 1'!E30),"",'Field information 1'!E30)</f>
        <v/>
      </c>
      <c r="F36" s="221"/>
      <c r="G36" s="172"/>
      <c r="H36" s="172"/>
      <c r="I36" s="222"/>
      <c r="J36" s="222"/>
      <c r="K36" s="172"/>
      <c r="L36" s="336"/>
      <c r="M36" s="336"/>
      <c r="N36" s="336"/>
      <c r="O36" s="336"/>
      <c r="P36" s="336"/>
      <c r="Q36" s="337"/>
    </row>
    <row r="37" spans="1:17" ht="15" x14ac:dyDescent="0.25">
      <c r="A37" s="7"/>
      <c r="B37" s="248" t="str">
        <f>IF(ISBLANK('Field information 1'!B31),"",
IF(ISTEXT('Field information 1'!B31),'Field information 1'!B31, TEXT('Field information 1'!B31,"0")))</f>
        <v/>
      </c>
      <c r="C37" s="8" t="str">
        <f>IF(ISBLANK('Field information 1'!C31),"",'Field information 1'!C31)</f>
        <v/>
      </c>
      <c r="D37" s="26" t="str">
        <f>IF(ISBLANK('Field information 1'!D31),"",'Field information 1'!D31)</f>
        <v/>
      </c>
      <c r="E37" s="26" t="str">
        <f>IF(ISBLANK('Field information 1'!E31),"",'Field information 1'!E31)</f>
        <v/>
      </c>
      <c r="F37" s="221"/>
      <c r="G37" s="172"/>
      <c r="H37" s="172"/>
      <c r="I37" s="222"/>
      <c r="J37" s="222"/>
      <c r="K37" s="172"/>
      <c r="L37" s="336"/>
      <c r="M37" s="336"/>
      <c r="N37" s="336"/>
      <c r="O37" s="336"/>
      <c r="P37" s="336"/>
      <c r="Q37" s="337"/>
    </row>
    <row r="38" spans="1:17" ht="15" x14ac:dyDescent="0.25">
      <c r="A38" s="7"/>
      <c r="B38" s="248" t="str">
        <f>IF(ISBLANK('Field information 1'!B32),"",
IF(ISTEXT('Field information 1'!B32),'Field information 1'!B32, TEXT('Field information 1'!B32,"0")))</f>
        <v/>
      </c>
      <c r="C38" s="8" t="str">
        <f>IF(ISBLANK('Field information 1'!C32),"",'Field information 1'!C32)</f>
        <v/>
      </c>
      <c r="D38" s="26" t="str">
        <f>IF(ISBLANK('Field information 1'!D32),"",'Field information 1'!D32)</f>
        <v/>
      </c>
      <c r="E38" s="26" t="str">
        <f>IF(ISBLANK('Field information 1'!E32),"",'Field information 1'!E32)</f>
        <v/>
      </c>
      <c r="F38" s="221"/>
      <c r="G38" s="172"/>
      <c r="H38" s="172"/>
      <c r="I38" s="222"/>
      <c r="J38" s="222"/>
      <c r="K38" s="172"/>
      <c r="L38" s="336"/>
      <c r="M38" s="336"/>
      <c r="N38" s="336"/>
      <c r="O38" s="336"/>
      <c r="P38" s="336"/>
      <c r="Q38" s="337"/>
    </row>
    <row r="39" spans="1:17" ht="15" x14ac:dyDescent="0.25">
      <c r="A39" s="7"/>
      <c r="B39" s="248" t="str">
        <f>IF(ISBLANK('Field information 1'!B33),"",
IF(ISTEXT('Field information 1'!B33),'Field information 1'!B33, TEXT('Field information 1'!B33,"0")))</f>
        <v/>
      </c>
      <c r="C39" s="8" t="str">
        <f>IF(ISBLANK('Field information 1'!C33),"",'Field information 1'!C33)</f>
        <v/>
      </c>
      <c r="D39" s="26" t="str">
        <f>IF(ISBLANK('Field information 1'!D33),"",'Field information 1'!D33)</f>
        <v/>
      </c>
      <c r="E39" s="26" t="str">
        <f>IF(ISBLANK('Field information 1'!E33),"",'Field information 1'!E33)</f>
        <v/>
      </c>
      <c r="F39" s="221"/>
      <c r="G39" s="172"/>
      <c r="H39" s="172"/>
      <c r="I39" s="222"/>
      <c r="J39" s="222"/>
      <c r="K39" s="172"/>
      <c r="L39" s="336"/>
      <c r="M39" s="336"/>
      <c r="N39" s="336"/>
      <c r="O39" s="336"/>
      <c r="P39" s="336"/>
      <c r="Q39" s="337"/>
    </row>
    <row r="40" spans="1:17" ht="15" x14ac:dyDescent="0.25">
      <c r="A40" s="7"/>
      <c r="B40" s="248" t="str">
        <f>IF(ISBLANK('Field information 1'!B34),"",
IF(ISTEXT('Field information 1'!B34),'Field information 1'!B34, TEXT('Field information 1'!B34,"0")))</f>
        <v/>
      </c>
      <c r="C40" s="8" t="str">
        <f>IF(ISBLANK('Field information 1'!C34),"",'Field information 1'!C34)</f>
        <v/>
      </c>
      <c r="D40" s="26" t="str">
        <f>IF(ISBLANK('Field information 1'!D34),"",'Field information 1'!D34)</f>
        <v/>
      </c>
      <c r="E40" s="26" t="str">
        <f>IF(ISBLANK('Field information 1'!E34),"",'Field information 1'!E34)</f>
        <v/>
      </c>
      <c r="F40" s="221"/>
      <c r="G40" s="172"/>
      <c r="H40" s="172"/>
      <c r="I40" s="222"/>
      <c r="J40" s="222"/>
      <c r="K40" s="172"/>
      <c r="L40" s="336"/>
      <c r="M40" s="336"/>
      <c r="N40" s="336"/>
      <c r="O40" s="336"/>
      <c r="P40" s="336"/>
      <c r="Q40" s="337"/>
    </row>
    <row r="41" spans="1:17" ht="15" x14ac:dyDescent="0.25">
      <c r="A41" s="7"/>
      <c r="B41" s="248" t="str">
        <f>IF(ISBLANK('Field information 1'!B35),"",
IF(ISTEXT('Field information 1'!B35),'Field information 1'!B35, TEXT('Field information 1'!B35,"0")))</f>
        <v/>
      </c>
      <c r="C41" s="8" t="str">
        <f>IF(ISBLANK('Field information 1'!C35),"",'Field information 1'!C35)</f>
        <v/>
      </c>
      <c r="D41" s="26" t="str">
        <f>IF(ISBLANK('Field information 1'!D35),"",'Field information 1'!D35)</f>
        <v/>
      </c>
      <c r="E41" s="26" t="str">
        <f>IF(ISBLANK('Field information 1'!E35),"",'Field information 1'!E35)</f>
        <v/>
      </c>
      <c r="F41" s="221"/>
      <c r="G41" s="172"/>
      <c r="H41" s="172"/>
      <c r="I41" s="222"/>
      <c r="J41" s="222"/>
      <c r="K41" s="172"/>
      <c r="L41" s="336"/>
      <c r="M41" s="336"/>
      <c r="N41" s="336"/>
      <c r="O41" s="336"/>
      <c r="P41" s="336"/>
      <c r="Q41" s="337"/>
    </row>
    <row r="42" spans="1:17" ht="15" x14ac:dyDescent="0.25">
      <c r="A42" s="7"/>
      <c r="B42" s="248" t="str">
        <f>IF(ISBLANK('Field information 1'!B36),"",
IF(ISTEXT('Field information 1'!B36),'Field information 1'!B36, TEXT('Field information 1'!B36,"0")))</f>
        <v/>
      </c>
      <c r="C42" s="8" t="str">
        <f>IF(ISBLANK('Field information 1'!C36),"",'Field information 1'!C36)</f>
        <v/>
      </c>
      <c r="D42" s="26" t="str">
        <f>IF(ISBLANK('Field information 1'!D36),"",'Field information 1'!D36)</f>
        <v/>
      </c>
      <c r="E42" s="26" t="str">
        <f>IF(ISBLANK('Field information 1'!E36),"",'Field information 1'!E36)</f>
        <v/>
      </c>
      <c r="F42" s="221"/>
      <c r="G42" s="172"/>
      <c r="H42" s="172"/>
      <c r="I42" s="222"/>
      <c r="J42" s="222"/>
      <c r="K42" s="172"/>
      <c r="L42" s="336"/>
      <c r="M42" s="336"/>
      <c r="N42" s="336"/>
      <c r="O42" s="336"/>
      <c r="P42" s="336"/>
      <c r="Q42" s="337"/>
    </row>
    <row r="43" spans="1:17" ht="15" x14ac:dyDescent="0.25">
      <c r="A43" s="7"/>
      <c r="B43" s="248" t="str">
        <f>IF(ISBLANK('Field information 1'!B37),"",
IF(ISTEXT('Field information 1'!B37),'Field information 1'!B37, TEXT('Field information 1'!B37,"0")))</f>
        <v/>
      </c>
      <c r="C43" s="8" t="str">
        <f>IF(ISBLANK('Field information 1'!C37),"",'Field information 1'!C37)</f>
        <v/>
      </c>
      <c r="D43" s="26" t="str">
        <f>IF(ISBLANK('Field information 1'!D37),"",'Field information 1'!D37)</f>
        <v/>
      </c>
      <c r="E43" s="26" t="str">
        <f>IF(ISBLANK('Field information 1'!E37),"",'Field information 1'!E37)</f>
        <v/>
      </c>
      <c r="F43" s="221"/>
      <c r="G43" s="172"/>
      <c r="H43" s="172"/>
      <c r="I43" s="222"/>
      <c r="J43" s="222"/>
      <c r="K43" s="172"/>
      <c r="L43" s="336"/>
      <c r="M43" s="336"/>
      <c r="N43" s="336"/>
      <c r="O43" s="336"/>
      <c r="P43" s="336"/>
      <c r="Q43" s="337"/>
    </row>
    <row r="44" spans="1:17" ht="15" x14ac:dyDescent="0.25">
      <c r="A44" s="7"/>
      <c r="B44" s="248" t="str">
        <f>IF(ISBLANK('Field information 1'!B38),"",
IF(ISTEXT('Field information 1'!B38),'Field information 1'!B38, TEXT('Field information 1'!B38,"0")))</f>
        <v/>
      </c>
      <c r="C44" s="8" t="str">
        <f>IF(ISBLANK('Field information 1'!C38),"",'Field information 1'!C38)</f>
        <v/>
      </c>
      <c r="D44" s="26" t="str">
        <f>IF(ISBLANK('Field information 1'!D38),"",'Field information 1'!D38)</f>
        <v/>
      </c>
      <c r="E44" s="26" t="str">
        <f>IF(ISBLANK('Field information 1'!E38),"",'Field information 1'!E38)</f>
        <v/>
      </c>
      <c r="F44" s="221"/>
      <c r="G44" s="172"/>
      <c r="H44" s="172"/>
      <c r="I44" s="222"/>
      <c r="J44" s="222"/>
      <c r="K44" s="172"/>
      <c r="L44" s="336"/>
      <c r="M44" s="336"/>
      <c r="N44" s="336"/>
      <c r="O44" s="336"/>
      <c r="P44" s="336"/>
      <c r="Q44" s="337"/>
    </row>
    <row r="45" spans="1:17" ht="15" x14ac:dyDescent="0.25">
      <c r="A45" s="7"/>
      <c r="B45" s="248" t="str">
        <f>IF(ISBLANK('Field information 1'!B39),"",
IF(ISTEXT('Field information 1'!B39),'Field information 1'!B39, TEXT('Field information 1'!B39,"0")))</f>
        <v/>
      </c>
      <c r="C45" s="8" t="str">
        <f>IF(ISBLANK('Field information 1'!C39),"",'Field information 1'!C39)</f>
        <v/>
      </c>
      <c r="D45" s="26" t="str">
        <f>IF(ISBLANK('Field information 1'!D39),"",'Field information 1'!D39)</f>
        <v/>
      </c>
      <c r="E45" s="26" t="str">
        <f>IF(ISBLANK('Field information 1'!E39),"",'Field information 1'!E39)</f>
        <v/>
      </c>
      <c r="F45" s="221"/>
      <c r="G45" s="172"/>
      <c r="H45" s="172"/>
      <c r="I45" s="222"/>
      <c r="J45" s="222"/>
      <c r="K45" s="172"/>
      <c r="L45" s="336"/>
      <c r="M45" s="336"/>
      <c r="N45" s="336"/>
      <c r="O45" s="336"/>
      <c r="P45" s="336"/>
      <c r="Q45" s="337"/>
    </row>
    <row r="46" spans="1:17" ht="15" x14ac:dyDescent="0.25">
      <c r="A46" s="7"/>
      <c r="B46" s="248" t="str">
        <f>IF(ISBLANK('Field information 1'!B40),"",
IF(ISTEXT('Field information 1'!B40),'Field information 1'!B40, TEXT('Field information 1'!B40,"0")))</f>
        <v/>
      </c>
      <c r="C46" s="8" t="str">
        <f>IF(ISBLANK('Field information 1'!C40),"",'Field information 1'!C40)</f>
        <v/>
      </c>
      <c r="D46" s="26" t="str">
        <f>IF(ISBLANK('Field information 1'!D40),"",'Field information 1'!D40)</f>
        <v/>
      </c>
      <c r="E46" s="26" t="str">
        <f>IF(ISBLANK('Field information 1'!E40),"",'Field information 1'!E40)</f>
        <v/>
      </c>
      <c r="F46" s="221"/>
      <c r="G46" s="172"/>
      <c r="H46" s="172"/>
      <c r="I46" s="222"/>
      <c r="J46" s="222"/>
      <c r="K46" s="172"/>
      <c r="L46" s="336"/>
      <c r="M46" s="336"/>
      <c r="N46" s="336"/>
      <c r="O46" s="336"/>
      <c r="P46" s="336"/>
      <c r="Q46" s="337"/>
    </row>
    <row r="47" spans="1:17" ht="15" x14ac:dyDescent="0.25">
      <c r="A47" s="7"/>
      <c r="B47" s="248" t="str">
        <f>IF(ISBLANK('Field information 1'!B41),"",
IF(ISTEXT('Field information 1'!B41),'Field information 1'!B41, TEXT('Field information 1'!B41,"0")))</f>
        <v/>
      </c>
      <c r="C47" s="8" t="str">
        <f>IF(ISBLANK('Field information 1'!C41),"",'Field information 1'!C41)</f>
        <v/>
      </c>
      <c r="D47" s="26" t="str">
        <f>IF(ISBLANK('Field information 1'!D41),"",'Field information 1'!D41)</f>
        <v/>
      </c>
      <c r="E47" s="26" t="str">
        <f>IF(ISBLANK('Field information 1'!E41),"",'Field information 1'!E41)</f>
        <v/>
      </c>
      <c r="F47" s="221"/>
      <c r="G47" s="172"/>
      <c r="H47" s="172"/>
      <c r="I47" s="222"/>
      <c r="J47" s="222"/>
      <c r="K47" s="172"/>
      <c r="L47" s="336"/>
      <c r="M47" s="336"/>
      <c r="N47" s="336"/>
      <c r="O47" s="336"/>
      <c r="P47" s="336"/>
      <c r="Q47" s="337"/>
    </row>
    <row r="48" spans="1:17" ht="15" x14ac:dyDescent="0.25">
      <c r="A48" s="7"/>
      <c r="B48" s="248" t="str">
        <f>IF(ISBLANK('Field information 1'!B42),"",
IF(ISTEXT('Field information 1'!B42),'Field information 1'!B42, TEXT('Field information 1'!B42,"0")))</f>
        <v/>
      </c>
      <c r="C48" s="8" t="str">
        <f>IF(ISBLANK('Field information 1'!C42),"",'Field information 1'!C42)</f>
        <v/>
      </c>
      <c r="D48" s="26" t="str">
        <f>IF(ISBLANK('Field information 1'!D42),"",'Field information 1'!D42)</f>
        <v/>
      </c>
      <c r="E48" s="26" t="str">
        <f>IF(ISBLANK('Field information 1'!E42),"",'Field information 1'!E42)</f>
        <v/>
      </c>
      <c r="F48" s="221"/>
      <c r="G48" s="172"/>
      <c r="H48" s="172"/>
      <c r="I48" s="222"/>
      <c r="J48" s="222"/>
      <c r="K48" s="172"/>
      <c r="L48" s="336"/>
      <c r="M48" s="336"/>
      <c r="N48" s="336"/>
      <c r="O48" s="336"/>
      <c r="P48" s="336"/>
      <c r="Q48" s="337"/>
    </row>
    <row r="49" spans="1:17" ht="15" x14ac:dyDescent="0.25">
      <c r="A49" s="7"/>
      <c r="B49" s="248" t="str">
        <f>IF(ISBLANK('Field information 1'!B43),"",
IF(ISTEXT('Field information 1'!B43),'Field information 1'!B43, TEXT('Field information 1'!B43,"0")))</f>
        <v/>
      </c>
      <c r="C49" s="8" t="str">
        <f>IF(ISBLANK('Field information 1'!C43),"",'Field information 1'!C43)</f>
        <v/>
      </c>
      <c r="D49" s="26" t="str">
        <f>IF(ISBLANK('Field information 1'!D43),"",'Field information 1'!D43)</f>
        <v/>
      </c>
      <c r="E49" s="26" t="str">
        <f>IF(ISBLANK('Field information 1'!E43),"",'Field information 1'!E43)</f>
        <v/>
      </c>
      <c r="F49" s="221"/>
      <c r="G49" s="172"/>
      <c r="H49" s="172"/>
      <c r="I49" s="222"/>
      <c r="J49" s="222"/>
      <c r="K49" s="172"/>
      <c r="L49" s="336"/>
      <c r="M49" s="336"/>
      <c r="N49" s="336"/>
      <c r="O49" s="336"/>
      <c r="P49" s="336"/>
      <c r="Q49" s="337"/>
    </row>
    <row r="50" spans="1:17" ht="15" x14ac:dyDescent="0.25">
      <c r="A50" s="7"/>
      <c r="B50" s="248" t="str">
        <f>IF(ISBLANK('Field information 1'!B44),"",
IF(ISTEXT('Field information 1'!B44),'Field information 1'!B44, TEXT('Field information 1'!B44,"0")))</f>
        <v/>
      </c>
      <c r="C50" s="8" t="str">
        <f>IF(ISBLANK('Field information 1'!C44),"",'Field information 1'!C44)</f>
        <v/>
      </c>
      <c r="D50" s="26" t="str">
        <f>IF(ISBLANK('Field information 1'!D44),"",'Field information 1'!D44)</f>
        <v/>
      </c>
      <c r="E50" s="26" t="str">
        <f>IF(ISBLANK('Field information 1'!E44),"",'Field information 1'!E44)</f>
        <v/>
      </c>
      <c r="F50" s="221"/>
      <c r="G50" s="172"/>
      <c r="H50" s="172"/>
      <c r="I50" s="222"/>
      <c r="J50" s="222"/>
      <c r="K50" s="172"/>
      <c r="L50" s="336"/>
      <c r="M50" s="336"/>
      <c r="N50" s="336"/>
      <c r="O50" s="336"/>
      <c r="P50" s="336"/>
      <c r="Q50" s="337"/>
    </row>
    <row r="51" spans="1:17" ht="15" x14ac:dyDescent="0.25">
      <c r="A51" s="7"/>
      <c r="B51" s="248" t="str">
        <f>IF(ISBLANK('Field information 1'!B45),"",
IF(ISTEXT('Field information 1'!B45),'Field information 1'!B45, TEXT('Field information 1'!B45,"0")))</f>
        <v/>
      </c>
      <c r="C51" s="8" t="str">
        <f>IF(ISBLANK('Field information 1'!C45),"",'Field information 1'!C45)</f>
        <v/>
      </c>
      <c r="D51" s="26" t="str">
        <f>IF(ISBLANK('Field information 1'!D45),"",'Field information 1'!D45)</f>
        <v/>
      </c>
      <c r="E51" s="26" t="str">
        <f>IF(ISBLANK('Field information 1'!E45),"",'Field information 1'!E45)</f>
        <v/>
      </c>
      <c r="F51" s="221"/>
      <c r="G51" s="172"/>
      <c r="H51" s="172"/>
      <c r="I51" s="222"/>
      <c r="J51" s="222"/>
      <c r="K51" s="172"/>
      <c r="L51" s="336"/>
      <c r="M51" s="336"/>
      <c r="N51" s="336"/>
      <c r="O51" s="336"/>
      <c r="P51" s="336"/>
      <c r="Q51" s="337"/>
    </row>
    <row r="52" spans="1:17" ht="15" x14ac:dyDescent="0.25">
      <c r="A52" s="7"/>
      <c r="B52" s="248" t="str">
        <f>IF(ISBLANK('Field information 1'!B46),"",
IF(ISTEXT('Field information 1'!B46),'Field information 1'!B46, TEXT('Field information 1'!B46,"0")))</f>
        <v/>
      </c>
      <c r="C52" s="8" t="str">
        <f>IF(ISBLANK('Field information 1'!C46),"",'Field information 1'!C46)</f>
        <v/>
      </c>
      <c r="D52" s="26" t="str">
        <f>IF(ISBLANK('Field information 1'!D46),"",'Field information 1'!D46)</f>
        <v/>
      </c>
      <c r="E52" s="26" t="str">
        <f>IF(ISBLANK('Field information 1'!E46),"",'Field information 1'!E46)</f>
        <v/>
      </c>
      <c r="F52" s="221"/>
      <c r="G52" s="172"/>
      <c r="H52" s="172"/>
      <c r="I52" s="222"/>
      <c r="J52" s="222"/>
      <c r="K52" s="172"/>
      <c r="L52" s="336"/>
      <c r="M52" s="336"/>
      <c r="N52" s="336"/>
      <c r="O52" s="336"/>
      <c r="P52" s="336"/>
      <c r="Q52" s="337"/>
    </row>
    <row r="53" spans="1:17" ht="15" x14ac:dyDescent="0.25">
      <c r="A53" s="7"/>
      <c r="B53" s="248" t="str">
        <f>IF(ISBLANK('Field information 1'!B47),"",
IF(ISTEXT('Field information 1'!B47),'Field information 1'!B47, TEXT('Field information 1'!B47,"0")))</f>
        <v/>
      </c>
      <c r="C53" s="8" t="str">
        <f>IF(ISBLANK('Field information 1'!C47),"",'Field information 1'!C47)</f>
        <v/>
      </c>
      <c r="D53" s="26" t="str">
        <f>IF(ISBLANK('Field information 1'!D47),"",'Field information 1'!D47)</f>
        <v/>
      </c>
      <c r="E53" s="26" t="str">
        <f>IF(ISBLANK('Field information 1'!E47),"",'Field information 1'!E47)</f>
        <v/>
      </c>
      <c r="F53" s="221"/>
      <c r="G53" s="172"/>
      <c r="H53" s="172"/>
      <c r="I53" s="222"/>
      <c r="J53" s="222"/>
      <c r="K53" s="172"/>
      <c r="L53" s="336"/>
      <c r="M53" s="336"/>
      <c r="N53" s="336"/>
      <c r="O53" s="336"/>
      <c r="P53" s="336"/>
      <c r="Q53" s="337"/>
    </row>
    <row r="54" spans="1:17" ht="15" x14ac:dyDescent="0.25">
      <c r="A54" s="7"/>
      <c r="B54" s="248" t="str">
        <f>IF(ISBLANK('Field information 1'!B48),"",
IF(ISTEXT('Field information 1'!B48),'Field information 1'!B48, TEXT('Field information 1'!B48,"0")))</f>
        <v/>
      </c>
      <c r="C54" s="8" t="str">
        <f>IF(ISBLANK('Field information 1'!C48),"",'Field information 1'!C48)</f>
        <v/>
      </c>
      <c r="D54" s="26" t="str">
        <f>IF(ISBLANK('Field information 1'!D48),"",'Field information 1'!D48)</f>
        <v/>
      </c>
      <c r="E54" s="26" t="str">
        <f>IF(ISBLANK('Field information 1'!E48),"",'Field information 1'!E48)</f>
        <v/>
      </c>
      <c r="F54" s="221"/>
      <c r="G54" s="172"/>
      <c r="H54" s="172"/>
      <c r="I54" s="222"/>
      <c r="J54" s="222"/>
      <c r="K54" s="172"/>
      <c r="L54" s="336"/>
      <c r="M54" s="336"/>
      <c r="N54" s="336"/>
      <c r="O54" s="336"/>
      <c r="P54" s="336"/>
      <c r="Q54" s="337"/>
    </row>
    <row r="55" spans="1:17" ht="15" x14ac:dyDescent="0.25">
      <c r="A55" s="7"/>
      <c r="B55" s="248" t="str">
        <f>IF(ISBLANK('Field information 1'!B49),"",
IF(ISTEXT('Field information 1'!B49),'Field information 1'!B49, TEXT('Field information 1'!B49,"0")))</f>
        <v/>
      </c>
      <c r="C55" s="8" t="str">
        <f>IF(ISBLANK('Field information 1'!C49),"",'Field information 1'!C49)</f>
        <v/>
      </c>
      <c r="D55" s="26" t="str">
        <f>IF(ISBLANK('Field information 1'!D49),"",'Field information 1'!D49)</f>
        <v/>
      </c>
      <c r="E55" s="26" t="str">
        <f>IF(ISBLANK('Field information 1'!E49),"",'Field information 1'!E49)</f>
        <v/>
      </c>
      <c r="F55" s="221"/>
      <c r="G55" s="172"/>
      <c r="H55" s="172"/>
      <c r="I55" s="222"/>
      <c r="J55" s="222"/>
      <c r="K55" s="172"/>
      <c r="L55" s="336"/>
      <c r="M55" s="336"/>
      <c r="N55" s="336"/>
      <c r="O55" s="336"/>
      <c r="P55" s="336"/>
      <c r="Q55" s="337"/>
    </row>
    <row r="56" spans="1:17" ht="15" x14ac:dyDescent="0.25">
      <c r="A56" s="7"/>
      <c r="B56" s="248" t="str">
        <f>IF(ISBLANK('Field information 1'!B50),"",
IF(ISTEXT('Field information 1'!B50),'Field information 1'!B50, TEXT('Field information 1'!B50,"0")))</f>
        <v/>
      </c>
      <c r="C56" s="8" t="str">
        <f>IF(ISBLANK('Field information 1'!C50),"",'Field information 1'!C50)</f>
        <v/>
      </c>
      <c r="D56" s="26" t="str">
        <f>IF(ISBLANK('Field information 1'!D50),"",'Field information 1'!D50)</f>
        <v/>
      </c>
      <c r="E56" s="26" t="str">
        <f>IF(ISBLANK('Field information 1'!E50),"",'Field information 1'!E50)</f>
        <v/>
      </c>
      <c r="F56" s="221"/>
      <c r="G56" s="172"/>
      <c r="H56" s="172"/>
      <c r="I56" s="222"/>
      <c r="J56" s="222"/>
      <c r="K56" s="172"/>
      <c r="L56" s="336"/>
      <c r="M56" s="336"/>
      <c r="N56" s="336"/>
      <c r="O56" s="336"/>
      <c r="P56" s="336"/>
      <c r="Q56" s="337"/>
    </row>
    <row r="57" spans="1:17" ht="15" x14ac:dyDescent="0.25">
      <c r="A57" s="7"/>
      <c r="B57" s="248" t="str">
        <f>IF(ISBLANK('Field information 1'!B51),"",
IF(ISTEXT('Field information 1'!B51),'Field information 1'!B51, TEXT('Field information 1'!B51,"0")))</f>
        <v/>
      </c>
      <c r="C57" s="8" t="str">
        <f>IF(ISBLANK('Field information 1'!C51),"",'Field information 1'!C51)</f>
        <v/>
      </c>
      <c r="D57" s="26" t="str">
        <f>IF(ISBLANK('Field information 1'!D51),"",'Field information 1'!D51)</f>
        <v/>
      </c>
      <c r="E57" s="26" t="str">
        <f>IF(ISBLANK('Field information 1'!E51),"",'Field information 1'!E51)</f>
        <v/>
      </c>
      <c r="F57" s="221"/>
      <c r="G57" s="172"/>
      <c r="H57" s="172"/>
      <c r="I57" s="222"/>
      <c r="J57" s="222"/>
      <c r="K57" s="172"/>
      <c r="L57" s="336"/>
      <c r="M57" s="336"/>
      <c r="N57" s="336"/>
      <c r="O57" s="336"/>
      <c r="P57" s="336"/>
      <c r="Q57" s="337"/>
    </row>
    <row r="58" spans="1:17" ht="15" x14ac:dyDescent="0.25">
      <c r="A58" s="7"/>
      <c r="B58" s="248" t="str">
        <f>IF(ISBLANK('Field information 1'!B52),"",
IF(ISTEXT('Field information 1'!B52),'Field information 1'!B52, TEXT('Field information 1'!B52,"0")))</f>
        <v/>
      </c>
      <c r="C58" s="8" t="str">
        <f>IF(ISBLANK('Field information 1'!C52),"",'Field information 1'!C52)</f>
        <v/>
      </c>
      <c r="D58" s="26" t="str">
        <f>IF(ISBLANK('Field information 1'!D52),"",'Field information 1'!D52)</f>
        <v/>
      </c>
      <c r="E58" s="26" t="str">
        <f>IF(ISBLANK('Field information 1'!E52),"",'Field information 1'!E52)</f>
        <v/>
      </c>
      <c r="F58" s="221"/>
      <c r="G58" s="172"/>
      <c r="H58" s="172"/>
      <c r="I58" s="222"/>
      <c r="J58" s="222"/>
      <c r="K58" s="172"/>
      <c r="L58" s="336"/>
      <c r="M58" s="336"/>
      <c r="N58" s="336"/>
      <c r="O58" s="336"/>
      <c r="P58" s="336"/>
      <c r="Q58" s="337"/>
    </row>
    <row r="59" spans="1:17" ht="15" x14ac:dyDescent="0.25">
      <c r="A59" s="7"/>
      <c r="B59" s="248" t="str">
        <f>IF(ISBLANK('Field information 1'!B53),"",
IF(ISTEXT('Field information 1'!B53),'Field information 1'!B53, TEXT('Field information 1'!B53,"0")))</f>
        <v/>
      </c>
      <c r="C59" s="8" t="str">
        <f>IF(ISBLANK('Field information 1'!C53),"",'Field information 1'!C53)</f>
        <v/>
      </c>
      <c r="D59" s="26" t="str">
        <f>IF(ISBLANK('Field information 1'!D53),"",'Field information 1'!D53)</f>
        <v/>
      </c>
      <c r="E59" s="26" t="str">
        <f>IF(ISBLANK('Field information 1'!E53),"",'Field information 1'!E53)</f>
        <v/>
      </c>
      <c r="F59" s="221"/>
      <c r="G59" s="172"/>
      <c r="H59" s="172"/>
      <c r="I59" s="222"/>
      <c r="J59" s="222"/>
      <c r="K59" s="172"/>
      <c r="L59" s="336"/>
      <c r="M59" s="336"/>
      <c r="N59" s="336"/>
      <c r="O59" s="336"/>
      <c r="P59" s="336"/>
      <c r="Q59" s="337"/>
    </row>
    <row r="60" spans="1:17" ht="15" x14ac:dyDescent="0.25">
      <c r="A60" s="7"/>
      <c r="B60" s="248" t="str">
        <f>IF(ISBLANK('Field information 1'!B54),"",
IF(ISTEXT('Field information 1'!B54),'Field information 1'!B54, TEXT('Field information 1'!B54,"0")))</f>
        <v/>
      </c>
      <c r="C60" s="8" t="str">
        <f>IF(ISBLANK('Field information 1'!C54),"",'Field information 1'!C54)</f>
        <v/>
      </c>
      <c r="D60" s="26" t="str">
        <f>IF(ISBLANK('Field information 1'!D54),"",'Field information 1'!D54)</f>
        <v/>
      </c>
      <c r="E60" s="26" t="str">
        <f>IF(ISBLANK('Field information 1'!E54),"",'Field information 1'!E54)</f>
        <v/>
      </c>
      <c r="F60" s="221"/>
      <c r="G60" s="172"/>
      <c r="H60" s="172"/>
      <c r="I60" s="222"/>
      <c r="J60" s="222"/>
      <c r="K60" s="172"/>
      <c r="L60" s="336"/>
      <c r="M60" s="336"/>
      <c r="N60" s="336"/>
      <c r="O60" s="336"/>
      <c r="P60" s="336"/>
      <c r="Q60" s="337"/>
    </row>
    <row r="61" spans="1:17" ht="15" x14ac:dyDescent="0.25">
      <c r="A61" s="7"/>
      <c r="B61" s="248" t="str">
        <f>IF(ISBLANK('Field information 1'!B55),"",
IF(ISTEXT('Field information 1'!B55),'Field information 1'!B55, TEXT('Field information 1'!B55,"0")))</f>
        <v/>
      </c>
      <c r="C61" s="8" t="str">
        <f>IF(ISBLANK('Field information 1'!C55),"",'Field information 1'!C55)</f>
        <v/>
      </c>
      <c r="D61" s="26" t="str">
        <f>IF(ISBLANK('Field information 1'!D55),"",'Field information 1'!D55)</f>
        <v/>
      </c>
      <c r="E61" s="26" t="str">
        <f>IF(ISBLANK('Field information 1'!E55),"",'Field information 1'!E55)</f>
        <v/>
      </c>
      <c r="F61" s="221"/>
      <c r="G61" s="172"/>
      <c r="H61" s="172"/>
      <c r="I61" s="222"/>
      <c r="J61" s="222"/>
      <c r="K61" s="172"/>
      <c r="L61" s="336"/>
      <c r="M61" s="336"/>
      <c r="N61" s="336"/>
      <c r="O61" s="336"/>
      <c r="P61" s="336"/>
      <c r="Q61" s="337"/>
    </row>
    <row r="62" spans="1:17" ht="15" x14ac:dyDescent="0.25">
      <c r="B62" s="248" t="str">
        <f>IF(ISBLANK('Field information 1'!B56),"",
IF(ISTEXT('Field information 1'!B56),'Field information 1'!B56, TEXT('Field information 1'!B56,"0")))</f>
        <v/>
      </c>
      <c r="C62" s="8" t="str">
        <f>IF(ISBLANK('Field information 1'!C56),"",'Field information 1'!C56)</f>
        <v/>
      </c>
      <c r="D62" s="26" t="str">
        <f>IF(ISBLANK('Field information 1'!D56),"",'Field information 1'!D56)</f>
        <v/>
      </c>
      <c r="E62" s="26" t="str">
        <f>IF(ISBLANK('Field information 1'!E56),"",'Field information 1'!E56)</f>
        <v/>
      </c>
      <c r="F62" s="221"/>
      <c r="G62" s="172"/>
      <c r="H62" s="172"/>
      <c r="I62" s="222"/>
      <c r="J62" s="222"/>
      <c r="K62" s="172"/>
      <c r="L62" s="336"/>
      <c r="M62" s="336"/>
      <c r="N62" s="336"/>
      <c r="O62" s="336"/>
      <c r="P62" s="336"/>
      <c r="Q62" s="337"/>
    </row>
    <row r="63" spans="1:17" ht="15" x14ac:dyDescent="0.25">
      <c r="B63" s="248" t="str">
        <f>IF(ISBLANK('Field information 1'!B57),"",
IF(ISTEXT('Field information 1'!B57),'Field information 1'!B57, TEXT('Field information 1'!B57,"0")))</f>
        <v/>
      </c>
      <c r="C63" s="8" t="str">
        <f>IF(ISBLANK('Field information 1'!C57),"",'Field information 1'!C57)</f>
        <v/>
      </c>
      <c r="D63" s="26" t="str">
        <f>IF(ISBLANK('Field information 1'!D57),"",'Field information 1'!D57)</f>
        <v/>
      </c>
      <c r="E63" s="26" t="str">
        <f>IF(ISBLANK('Field information 1'!E57),"",'Field information 1'!E57)</f>
        <v/>
      </c>
      <c r="F63" s="221"/>
      <c r="G63" s="172"/>
      <c r="H63" s="172"/>
      <c r="I63" s="222"/>
      <c r="J63" s="222"/>
      <c r="K63" s="172"/>
      <c r="L63" s="336"/>
      <c r="M63" s="336"/>
      <c r="N63" s="336"/>
      <c r="O63" s="336"/>
      <c r="P63" s="336"/>
      <c r="Q63" s="337"/>
    </row>
    <row r="64" spans="1:17" ht="15" x14ac:dyDescent="0.25">
      <c r="B64" s="248" t="str">
        <f>IF(ISBLANK('Field information 1'!B58),"",
IF(ISTEXT('Field information 1'!B58),'Field information 1'!B58, TEXT('Field information 1'!B58,"0")))</f>
        <v/>
      </c>
      <c r="C64" s="8" t="str">
        <f>IF(ISBLANK('Field information 1'!C58),"",'Field information 1'!C58)</f>
        <v/>
      </c>
      <c r="D64" s="26" t="str">
        <f>IF(ISBLANK('Field information 1'!D58),"",'Field information 1'!D58)</f>
        <v/>
      </c>
      <c r="E64" s="26" t="str">
        <f>IF(ISBLANK('Field information 1'!E58),"",'Field information 1'!E58)</f>
        <v/>
      </c>
      <c r="F64" s="221"/>
      <c r="G64" s="172"/>
      <c r="H64" s="172"/>
      <c r="I64" s="222"/>
      <c r="J64" s="222"/>
      <c r="K64" s="172"/>
      <c r="L64" s="336"/>
      <c r="M64" s="336"/>
      <c r="N64" s="336"/>
      <c r="O64" s="336"/>
      <c r="P64" s="336"/>
      <c r="Q64" s="337"/>
    </row>
    <row r="65" spans="2:17" ht="15" x14ac:dyDescent="0.25">
      <c r="B65" s="248" t="str">
        <f>IF(ISBLANK('Field information 1'!B59),"",
IF(ISTEXT('Field information 1'!B59),'Field information 1'!B59, TEXT('Field information 1'!B59,"0")))</f>
        <v/>
      </c>
      <c r="C65" s="8" t="str">
        <f>IF(ISBLANK('Field information 1'!C59),"",'Field information 1'!C59)</f>
        <v/>
      </c>
      <c r="D65" s="26" t="str">
        <f>IF(ISBLANK('Field information 1'!D59),"",'Field information 1'!D59)</f>
        <v/>
      </c>
      <c r="E65" s="26" t="str">
        <f>IF(ISBLANK('Field information 1'!E59),"",'Field information 1'!E59)</f>
        <v/>
      </c>
      <c r="F65" s="221"/>
      <c r="G65" s="172"/>
      <c r="H65" s="172"/>
      <c r="I65" s="222"/>
      <c r="J65" s="222"/>
      <c r="K65" s="172"/>
      <c r="L65" s="336"/>
      <c r="M65" s="336"/>
      <c r="N65" s="336"/>
      <c r="O65" s="336"/>
      <c r="P65" s="336"/>
      <c r="Q65" s="337"/>
    </row>
    <row r="66" spans="2:17" ht="15" x14ac:dyDescent="0.25">
      <c r="B66" s="248" t="str">
        <f>IF(ISBLANK('Field information 1'!B60),"",
IF(ISTEXT('Field information 1'!B60),'Field information 1'!B60, TEXT('Field information 1'!B60,"0")))</f>
        <v/>
      </c>
      <c r="C66" s="8" t="str">
        <f>IF(ISBLANK('Field information 1'!C60),"",'Field information 1'!C60)</f>
        <v/>
      </c>
      <c r="D66" s="26" t="str">
        <f>IF(ISBLANK('Field information 1'!D60),"",'Field information 1'!D60)</f>
        <v/>
      </c>
      <c r="E66" s="26" t="str">
        <f>IF(ISBLANK('Field information 1'!E60),"",'Field information 1'!E60)</f>
        <v/>
      </c>
      <c r="F66" s="221"/>
      <c r="G66" s="172"/>
      <c r="H66" s="172"/>
      <c r="I66" s="222"/>
      <c r="J66" s="222"/>
      <c r="K66" s="172"/>
      <c r="L66" s="336"/>
      <c r="M66" s="336"/>
      <c r="N66" s="336"/>
      <c r="O66" s="336"/>
      <c r="P66" s="336"/>
      <c r="Q66" s="337"/>
    </row>
    <row r="67" spans="2:17" ht="15" x14ac:dyDescent="0.25">
      <c r="B67" s="248" t="str">
        <f>IF(ISBLANK('Field information 1'!B61),"",
IF(ISTEXT('Field information 1'!B61),'Field information 1'!B61, TEXT('Field information 1'!B61,"0")))</f>
        <v/>
      </c>
      <c r="C67" s="8" t="str">
        <f>IF(ISBLANK('Field information 1'!C61),"",'Field information 1'!C61)</f>
        <v/>
      </c>
      <c r="D67" s="26" t="str">
        <f>IF(ISBLANK('Field information 1'!D61),"",'Field information 1'!D61)</f>
        <v/>
      </c>
      <c r="E67" s="26" t="str">
        <f>IF(ISBLANK('Field information 1'!E61),"",'Field information 1'!E61)</f>
        <v/>
      </c>
      <c r="F67" s="221"/>
      <c r="G67" s="172"/>
      <c r="H67" s="172"/>
      <c r="I67" s="222"/>
      <c r="J67" s="222"/>
      <c r="K67" s="172"/>
      <c r="L67" s="336"/>
      <c r="M67" s="336"/>
      <c r="N67" s="336"/>
      <c r="O67" s="336"/>
      <c r="P67" s="336"/>
      <c r="Q67" s="337"/>
    </row>
    <row r="68" spans="2:17" ht="15" x14ac:dyDescent="0.25">
      <c r="B68" s="248" t="str">
        <f>IF(ISBLANK('Field information 1'!B62),"",
IF(ISTEXT('Field information 1'!B62),'Field information 1'!B62, TEXT('Field information 1'!B62,"0")))</f>
        <v/>
      </c>
      <c r="C68" s="8" t="str">
        <f>IF(ISBLANK('Field information 1'!C62),"",'Field information 1'!C62)</f>
        <v/>
      </c>
      <c r="D68" s="26" t="str">
        <f>IF(ISBLANK('Field information 1'!D62),"",'Field information 1'!D62)</f>
        <v/>
      </c>
      <c r="E68" s="26" t="str">
        <f>IF(ISBLANK('Field information 1'!E62),"",'Field information 1'!E62)</f>
        <v/>
      </c>
      <c r="F68" s="221"/>
      <c r="G68" s="172"/>
      <c r="H68" s="172"/>
      <c r="I68" s="222"/>
      <c r="J68" s="222"/>
      <c r="K68" s="172"/>
      <c r="L68" s="336"/>
      <c r="M68" s="336"/>
      <c r="N68" s="336"/>
      <c r="O68" s="336"/>
      <c r="P68" s="336"/>
      <c r="Q68" s="337"/>
    </row>
    <row r="69" spans="2:17" ht="15" x14ac:dyDescent="0.25">
      <c r="B69" s="248" t="str">
        <f>IF(ISBLANK('Field information 1'!B63),"",
IF(ISTEXT('Field information 1'!B63),'Field information 1'!B63, TEXT('Field information 1'!B63,"0")))</f>
        <v/>
      </c>
      <c r="C69" s="8" t="str">
        <f>IF(ISBLANK('Field information 1'!C63),"",'Field information 1'!C63)</f>
        <v/>
      </c>
      <c r="D69" s="26" t="str">
        <f>IF(ISBLANK('Field information 1'!D63),"",'Field information 1'!D63)</f>
        <v/>
      </c>
      <c r="E69" s="26" t="str">
        <f>IF(ISBLANK('Field information 1'!E63),"",'Field information 1'!E63)</f>
        <v/>
      </c>
      <c r="F69" s="221"/>
      <c r="G69" s="172"/>
      <c r="H69" s="172"/>
      <c r="I69" s="222"/>
      <c r="J69" s="222"/>
      <c r="K69" s="172"/>
      <c r="L69" s="336"/>
      <c r="M69" s="336"/>
      <c r="N69" s="336"/>
      <c r="O69" s="336"/>
      <c r="P69" s="336"/>
      <c r="Q69" s="337"/>
    </row>
    <row r="70" spans="2:17" ht="15" x14ac:dyDescent="0.25">
      <c r="B70" s="248" t="str">
        <f>IF(ISBLANK('Field information 1'!B64),"",
IF(ISTEXT('Field information 1'!B64),'Field information 1'!B64, TEXT('Field information 1'!B64,"0")))</f>
        <v/>
      </c>
      <c r="C70" s="8" t="str">
        <f>IF(ISBLANK('Field information 1'!C64),"",'Field information 1'!C64)</f>
        <v/>
      </c>
      <c r="D70" s="26" t="str">
        <f>IF(ISBLANK('Field information 1'!D64),"",'Field information 1'!D64)</f>
        <v/>
      </c>
      <c r="E70" s="26" t="str">
        <f>IF(ISBLANK('Field information 1'!E64),"",'Field information 1'!E64)</f>
        <v/>
      </c>
      <c r="F70" s="221"/>
      <c r="G70" s="172"/>
      <c r="H70" s="172"/>
      <c r="I70" s="222"/>
      <c r="J70" s="222"/>
      <c r="K70" s="172"/>
      <c r="L70" s="336"/>
      <c r="M70" s="336"/>
      <c r="N70" s="336"/>
      <c r="O70" s="336"/>
      <c r="P70" s="336"/>
      <c r="Q70" s="337"/>
    </row>
    <row r="71" spans="2:17" ht="15" x14ac:dyDescent="0.25">
      <c r="B71" s="248" t="str">
        <f>IF(ISBLANK('Field information 1'!B65),"",
IF(ISTEXT('Field information 1'!B65),'Field information 1'!B65, TEXT('Field information 1'!B65,"0")))</f>
        <v/>
      </c>
      <c r="C71" s="8" t="str">
        <f>IF(ISBLANK('Field information 1'!C65),"",'Field information 1'!C65)</f>
        <v/>
      </c>
      <c r="D71" s="26" t="str">
        <f>IF(ISBLANK('Field information 1'!D65),"",'Field information 1'!D65)</f>
        <v/>
      </c>
      <c r="E71" s="26" t="str">
        <f>IF(ISBLANK('Field information 1'!E65),"",'Field information 1'!E65)</f>
        <v/>
      </c>
      <c r="F71" s="221"/>
      <c r="G71" s="172"/>
      <c r="H71" s="172"/>
      <c r="I71" s="222"/>
      <c r="J71" s="222"/>
      <c r="K71" s="172"/>
      <c r="L71" s="336"/>
      <c r="M71" s="336"/>
      <c r="N71" s="336"/>
      <c r="O71" s="336"/>
      <c r="P71" s="336"/>
      <c r="Q71" s="337"/>
    </row>
    <row r="72" spans="2:17" ht="15" x14ac:dyDescent="0.25">
      <c r="B72" s="248" t="str">
        <f>IF(ISBLANK('Field information 1'!B66),"",
IF(ISTEXT('Field information 1'!B66),'Field information 1'!B66, TEXT('Field information 1'!B66,"0")))</f>
        <v/>
      </c>
      <c r="C72" s="8" t="str">
        <f>IF(ISBLANK('Field information 1'!C66),"",'Field information 1'!C66)</f>
        <v/>
      </c>
      <c r="D72" s="26" t="str">
        <f>IF(ISBLANK('Field information 1'!D66),"",'Field information 1'!D66)</f>
        <v/>
      </c>
      <c r="E72" s="26" t="str">
        <f>IF(ISBLANK('Field information 1'!E66),"",'Field information 1'!E66)</f>
        <v/>
      </c>
      <c r="F72" s="221"/>
      <c r="G72" s="172"/>
      <c r="H72" s="172"/>
      <c r="I72" s="222"/>
      <c r="J72" s="222"/>
      <c r="K72" s="172"/>
      <c r="L72" s="336"/>
      <c r="M72" s="336"/>
      <c r="N72" s="336"/>
      <c r="O72" s="336"/>
      <c r="P72" s="336"/>
      <c r="Q72" s="337"/>
    </row>
    <row r="73" spans="2:17" ht="15" x14ac:dyDescent="0.25">
      <c r="B73" s="248" t="str">
        <f>IF(ISBLANK('Field information 1'!B67),"",
IF(ISTEXT('Field information 1'!B67),'Field information 1'!B67, TEXT('Field information 1'!B67,"0")))</f>
        <v/>
      </c>
      <c r="C73" s="8" t="str">
        <f>IF(ISBLANK('Field information 1'!C67),"",'Field information 1'!C67)</f>
        <v/>
      </c>
      <c r="D73" s="26" t="str">
        <f>IF(ISBLANK('Field information 1'!D67),"",'Field information 1'!D67)</f>
        <v/>
      </c>
      <c r="E73" s="26" t="str">
        <f>IF(ISBLANK('Field information 1'!E67),"",'Field information 1'!E67)</f>
        <v/>
      </c>
      <c r="F73" s="221"/>
      <c r="G73" s="172"/>
      <c r="H73" s="172"/>
      <c r="I73" s="222"/>
      <c r="J73" s="222"/>
      <c r="K73" s="172"/>
      <c r="L73" s="336"/>
      <c r="M73" s="336"/>
      <c r="N73" s="336"/>
      <c r="O73" s="336"/>
      <c r="P73" s="336"/>
      <c r="Q73" s="337"/>
    </row>
    <row r="74" spans="2:17" ht="15" x14ac:dyDescent="0.25">
      <c r="B74" s="248" t="str">
        <f>IF(ISBLANK('Field information 1'!B68),"",
IF(ISTEXT('Field information 1'!B68),'Field information 1'!B68, TEXT('Field information 1'!B68,"0")))</f>
        <v/>
      </c>
      <c r="C74" s="8" t="str">
        <f>IF(ISBLANK('Field information 1'!C68),"",'Field information 1'!C68)</f>
        <v/>
      </c>
      <c r="D74" s="26" t="str">
        <f>IF(ISBLANK('Field information 1'!D68),"",'Field information 1'!D68)</f>
        <v/>
      </c>
      <c r="E74" s="26" t="str">
        <f>IF(ISBLANK('Field information 1'!E68),"",'Field information 1'!E68)</f>
        <v/>
      </c>
      <c r="F74" s="221"/>
      <c r="G74" s="172"/>
      <c r="H74" s="172"/>
      <c r="I74" s="222"/>
      <c r="J74" s="222"/>
      <c r="K74" s="172"/>
      <c r="L74" s="336"/>
      <c r="M74" s="336"/>
      <c r="N74" s="336"/>
      <c r="O74" s="336"/>
      <c r="P74" s="336"/>
      <c r="Q74" s="337"/>
    </row>
    <row r="75" spans="2:17" ht="15" x14ac:dyDescent="0.25">
      <c r="B75" s="248" t="str">
        <f>IF(ISBLANK('Field information 1'!B69),"",
IF(ISTEXT('Field information 1'!B69),'Field information 1'!B69, TEXT('Field information 1'!B69,"0")))</f>
        <v/>
      </c>
      <c r="C75" s="8" t="str">
        <f>IF(ISBLANK('Field information 1'!C69),"",'Field information 1'!C69)</f>
        <v/>
      </c>
      <c r="D75" s="26" t="str">
        <f>IF(ISBLANK('Field information 1'!D69),"",'Field information 1'!D69)</f>
        <v/>
      </c>
      <c r="E75" s="26" t="str">
        <f>IF(ISBLANK('Field information 1'!E69),"",'Field information 1'!E69)</f>
        <v/>
      </c>
      <c r="F75" s="221"/>
      <c r="G75" s="172"/>
      <c r="H75" s="172"/>
      <c r="I75" s="222"/>
      <c r="J75" s="222"/>
      <c r="K75" s="172"/>
      <c r="L75" s="336"/>
      <c r="M75" s="336"/>
      <c r="N75" s="336"/>
      <c r="O75" s="336"/>
      <c r="P75" s="336"/>
      <c r="Q75" s="337"/>
    </row>
    <row r="76" spans="2:17" ht="15" x14ac:dyDescent="0.25">
      <c r="B76" s="248" t="str">
        <f>IF(ISBLANK('Field information 1'!B70),"",
IF(ISTEXT('Field information 1'!B70),'Field information 1'!B70, TEXT('Field information 1'!B70,"0")))</f>
        <v/>
      </c>
      <c r="C76" s="8" t="str">
        <f>IF(ISBLANK('Field information 1'!C70),"",'Field information 1'!C70)</f>
        <v/>
      </c>
      <c r="D76" s="26" t="str">
        <f>IF(ISBLANK('Field information 1'!D70),"",'Field information 1'!D70)</f>
        <v/>
      </c>
      <c r="E76" s="26" t="str">
        <f>IF(ISBLANK('Field information 1'!E70),"",'Field information 1'!E70)</f>
        <v/>
      </c>
      <c r="F76" s="221"/>
      <c r="G76" s="172"/>
      <c r="H76" s="172"/>
      <c r="I76" s="222"/>
      <c r="J76" s="222"/>
      <c r="K76" s="172"/>
      <c r="L76" s="336"/>
      <c r="M76" s="336"/>
      <c r="N76" s="336"/>
      <c r="O76" s="336"/>
      <c r="P76" s="336"/>
      <c r="Q76" s="337"/>
    </row>
    <row r="77" spans="2:17" ht="15" x14ac:dyDescent="0.25">
      <c r="B77" s="248" t="str">
        <f>IF(ISBLANK('Field information 1'!B71),"",
IF(ISTEXT('Field information 1'!B71),'Field information 1'!B71, TEXT('Field information 1'!B71,"0")))</f>
        <v/>
      </c>
      <c r="C77" s="8" t="str">
        <f>IF(ISBLANK('Field information 1'!C71),"",'Field information 1'!C71)</f>
        <v/>
      </c>
      <c r="D77" s="26" t="str">
        <f>IF(ISBLANK('Field information 1'!D71),"",'Field information 1'!D71)</f>
        <v/>
      </c>
      <c r="E77" s="26" t="str">
        <f>IF(ISBLANK('Field information 1'!E71),"",'Field information 1'!E71)</f>
        <v/>
      </c>
      <c r="F77" s="221"/>
      <c r="G77" s="172"/>
      <c r="H77" s="172"/>
      <c r="I77" s="222"/>
      <c r="J77" s="222"/>
      <c r="K77" s="172"/>
      <c r="L77" s="336"/>
      <c r="M77" s="336"/>
      <c r="N77" s="336"/>
      <c r="O77" s="336"/>
      <c r="P77" s="336"/>
      <c r="Q77" s="337"/>
    </row>
    <row r="78" spans="2:17" ht="15" x14ac:dyDescent="0.25">
      <c r="B78" s="248" t="str">
        <f>IF(ISBLANK('Field information 1'!B72),"",
IF(ISTEXT('Field information 1'!B72),'Field information 1'!B72, TEXT('Field information 1'!B72,"0")))</f>
        <v/>
      </c>
      <c r="C78" s="8" t="str">
        <f>IF(ISBLANK('Field information 1'!C72),"",'Field information 1'!C72)</f>
        <v/>
      </c>
      <c r="D78" s="26" t="str">
        <f>IF(ISBLANK('Field information 1'!D72),"",'Field information 1'!D72)</f>
        <v/>
      </c>
      <c r="E78" s="26" t="str">
        <f>IF(ISBLANK('Field information 1'!E72),"",'Field information 1'!E72)</f>
        <v/>
      </c>
      <c r="F78" s="221"/>
      <c r="G78" s="172"/>
      <c r="H78" s="172"/>
      <c r="I78" s="222"/>
      <c r="J78" s="222"/>
      <c r="K78" s="172"/>
      <c r="L78" s="336"/>
      <c r="M78" s="336"/>
      <c r="N78" s="336"/>
      <c r="O78" s="336"/>
      <c r="P78" s="336"/>
      <c r="Q78" s="337"/>
    </row>
    <row r="79" spans="2:17" ht="15" x14ac:dyDescent="0.25">
      <c r="B79" s="248" t="str">
        <f>IF(ISBLANK('Field information 1'!B73),"",
IF(ISTEXT('Field information 1'!B73),'Field information 1'!B73, TEXT('Field information 1'!B73,"0")))</f>
        <v/>
      </c>
      <c r="C79" s="8" t="str">
        <f>IF(ISBLANK('Field information 1'!C73),"",'Field information 1'!C73)</f>
        <v/>
      </c>
      <c r="D79" s="26" t="str">
        <f>IF(ISBLANK('Field information 1'!D73),"",'Field information 1'!D73)</f>
        <v/>
      </c>
      <c r="E79" s="26" t="str">
        <f>IF(ISBLANK('Field information 1'!E73),"",'Field information 1'!E73)</f>
        <v/>
      </c>
      <c r="F79" s="221"/>
      <c r="G79" s="172"/>
      <c r="H79" s="172"/>
      <c r="I79" s="222"/>
      <c r="J79" s="222"/>
      <c r="K79" s="172"/>
      <c r="L79" s="336"/>
      <c r="M79" s="336"/>
      <c r="N79" s="336"/>
      <c r="O79" s="336"/>
      <c r="P79" s="336"/>
      <c r="Q79" s="337"/>
    </row>
    <row r="80" spans="2:17" ht="15" x14ac:dyDescent="0.25">
      <c r="B80" s="248" t="str">
        <f>IF(ISBLANK('Field information 1'!B74),"",
IF(ISTEXT('Field information 1'!B74),'Field information 1'!B74, TEXT('Field information 1'!B74,"0")))</f>
        <v/>
      </c>
      <c r="C80" s="8" t="str">
        <f>IF(ISBLANK('Field information 1'!C74),"",'Field information 1'!C74)</f>
        <v/>
      </c>
      <c r="D80" s="26" t="str">
        <f>IF(ISBLANK('Field information 1'!D74),"",'Field information 1'!D74)</f>
        <v/>
      </c>
      <c r="E80" s="26" t="str">
        <f>IF(ISBLANK('Field information 1'!E74),"",'Field information 1'!E74)</f>
        <v/>
      </c>
      <c r="F80" s="221"/>
      <c r="G80" s="172"/>
      <c r="H80" s="172"/>
      <c r="I80" s="222"/>
      <c r="J80" s="222"/>
      <c r="K80" s="172"/>
      <c r="L80" s="336"/>
      <c r="M80" s="336"/>
      <c r="N80" s="336"/>
      <c r="O80" s="336"/>
      <c r="P80" s="336"/>
      <c r="Q80" s="337"/>
    </row>
    <row r="81" spans="2:17" ht="15" x14ac:dyDescent="0.25">
      <c r="B81" s="248" t="str">
        <f>IF(ISBLANK('Field information 1'!B75),"",
IF(ISTEXT('Field information 1'!B75),'Field information 1'!B75, TEXT('Field information 1'!B75,"0")))</f>
        <v/>
      </c>
      <c r="C81" s="8" t="str">
        <f>IF(ISBLANK('Field information 1'!C75),"",'Field information 1'!C75)</f>
        <v/>
      </c>
      <c r="D81" s="26" t="str">
        <f>IF(ISBLANK('Field information 1'!D75),"",'Field information 1'!D75)</f>
        <v/>
      </c>
      <c r="E81" s="26" t="str">
        <f>IF(ISBLANK('Field information 1'!E75),"",'Field information 1'!E75)</f>
        <v/>
      </c>
      <c r="F81" s="221"/>
      <c r="G81" s="172"/>
      <c r="H81" s="172"/>
      <c r="I81" s="222"/>
      <c r="J81" s="222"/>
      <c r="K81" s="172"/>
      <c r="L81" s="336"/>
      <c r="M81" s="336"/>
      <c r="N81" s="336"/>
      <c r="O81" s="336"/>
      <c r="P81" s="336"/>
      <c r="Q81" s="337"/>
    </row>
    <row r="82" spans="2:17" ht="15" x14ac:dyDescent="0.25">
      <c r="B82" s="248" t="str">
        <f>IF(ISBLANK('Field information 1'!B76),"",
IF(ISTEXT('Field information 1'!B76),'Field information 1'!B76, TEXT('Field information 1'!B76,"0")))</f>
        <v/>
      </c>
      <c r="C82" s="8" t="str">
        <f>IF(ISBLANK('Field information 1'!C76),"",'Field information 1'!C76)</f>
        <v/>
      </c>
      <c r="D82" s="26" t="str">
        <f>IF(ISBLANK('Field information 1'!D76),"",'Field information 1'!D76)</f>
        <v/>
      </c>
      <c r="E82" s="26" t="str">
        <f>IF(ISBLANK('Field information 1'!E76),"",'Field information 1'!E76)</f>
        <v/>
      </c>
      <c r="F82" s="221"/>
      <c r="G82" s="172"/>
      <c r="H82" s="172"/>
      <c r="I82" s="222"/>
      <c r="J82" s="222"/>
      <c r="K82" s="172"/>
      <c r="L82" s="336"/>
      <c r="M82" s="336"/>
      <c r="N82" s="336"/>
      <c r="O82" s="336"/>
      <c r="P82" s="336"/>
      <c r="Q82" s="337"/>
    </row>
    <row r="83" spans="2:17" ht="15" x14ac:dyDescent="0.25">
      <c r="B83" s="248" t="str">
        <f>IF(ISBLANK('Field information 1'!B77),"",
IF(ISTEXT('Field information 1'!B77),'Field information 1'!B77, TEXT('Field information 1'!B77,"0")))</f>
        <v/>
      </c>
      <c r="C83" s="8" t="str">
        <f>IF(ISBLANK('Field information 1'!C77),"",'Field information 1'!C77)</f>
        <v/>
      </c>
      <c r="D83" s="26" t="str">
        <f>IF(ISBLANK('Field information 1'!D77),"",'Field information 1'!D77)</f>
        <v/>
      </c>
      <c r="E83" s="26" t="str">
        <f>IF(ISBLANK('Field information 1'!E77),"",'Field information 1'!E77)</f>
        <v/>
      </c>
      <c r="F83" s="221"/>
      <c r="G83" s="172"/>
      <c r="H83" s="172"/>
      <c r="I83" s="222"/>
      <c r="J83" s="222"/>
      <c r="K83" s="172"/>
      <c r="L83" s="336"/>
      <c r="M83" s="336"/>
      <c r="N83" s="336"/>
      <c r="O83" s="336"/>
      <c r="P83" s="336"/>
      <c r="Q83" s="337"/>
    </row>
    <row r="84" spans="2:17" ht="15" x14ac:dyDescent="0.25">
      <c r="B84" s="248" t="str">
        <f>IF(ISBLANK('Field information 1'!B78),"",
IF(ISTEXT('Field information 1'!B78),'Field information 1'!B78, TEXT('Field information 1'!B78,"0")))</f>
        <v/>
      </c>
      <c r="C84" s="8" t="str">
        <f>IF(ISBLANK('Field information 1'!C78),"",'Field information 1'!C78)</f>
        <v/>
      </c>
      <c r="D84" s="26" t="str">
        <f>IF(ISBLANK('Field information 1'!D78),"",'Field information 1'!D78)</f>
        <v/>
      </c>
      <c r="E84" s="26" t="str">
        <f>IF(ISBLANK('Field information 1'!E78),"",'Field information 1'!E78)</f>
        <v/>
      </c>
      <c r="F84" s="221"/>
      <c r="G84" s="172"/>
      <c r="H84" s="172"/>
      <c r="I84" s="222"/>
      <c r="J84" s="222"/>
      <c r="K84" s="172"/>
      <c r="L84" s="336"/>
      <c r="M84" s="336"/>
      <c r="N84" s="336"/>
      <c r="O84" s="336"/>
      <c r="P84" s="336"/>
      <c r="Q84" s="337"/>
    </row>
    <row r="85" spans="2:17" ht="15" x14ac:dyDescent="0.25">
      <c r="B85" s="248" t="str">
        <f>IF(ISBLANK('Field information 1'!B79),"",
IF(ISTEXT('Field information 1'!B79),'Field information 1'!B79, TEXT('Field information 1'!B79,"0")))</f>
        <v/>
      </c>
      <c r="C85" s="8" t="str">
        <f>IF(ISBLANK('Field information 1'!C79),"",'Field information 1'!C79)</f>
        <v/>
      </c>
      <c r="D85" s="26" t="str">
        <f>IF(ISBLANK('Field information 1'!D79),"",'Field information 1'!D79)</f>
        <v/>
      </c>
      <c r="E85" s="26" t="str">
        <f>IF(ISBLANK('Field information 1'!E79),"",'Field information 1'!E79)</f>
        <v/>
      </c>
      <c r="F85" s="221"/>
      <c r="G85" s="172"/>
      <c r="H85" s="172"/>
      <c r="I85" s="222"/>
      <c r="J85" s="222"/>
      <c r="K85" s="172"/>
      <c r="L85" s="336"/>
      <c r="M85" s="336"/>
      <c r="N85" s="336"/>
      <c r="O85" s="336"/>
      <c r="P85" s="336"/>
      <c r="Q85" s="337"/>
    </row>
    <row r="86" spans="2:17" ht="15" x14ac:dyDescent="0.25">
      <c r="B86" s="248" t="str">
        <f>IF(ISBLANK('Field information 1'!B80),"",
IF(ISTEXT('Field information 1'!B80),'Field information 1'!B80, TEXT('Field information 1'!B80,"0")))</f>
        <v/>
      </c>
      <c r="C86" s="8" t="str">
        <f>IF(ISBLANK('Field information 1'!C80),"",'Field information 1'!C80)</f>
        <v/>
      </c>
      <c r="D86" s="26" t="str">
        <f>IF(ISBLANK('Field information 1'!D80),"",'Field information 1'!D80)</f>
        <v/>
      </c>
      <c r="E86" s="26" t="str">
        <f>IF(ISBLANK('Field information 1'!E80),"",'Field information 1'!E80)</f>
        <v/>
      </c>
      <c r="F86" s="221"/>
      <c r="G86" s="172"/>
      <c r="H86" s="172"/>
      <c r="I86" s="222"/>
      <c r="J86" s="222"/>
      <c r="K86" s="172"/>
      <c r="L86" s="336"/>
      <c r="M86" s="336"/>
      <c r="N86" s="336"/>
      <c r="O86" s="336"/>
      <c r="P86" s="336"/>
      <c r="Q86" s="337"/>
    </row>
    <row r="87" spans="2:17" ht="15" x14ac:dyDescent="0.25">
      <c r="B87" s="248" t="str">
        <f>IF(ISBLANK('Field information 1'!B81),"",
IF(ISTEXT('Field information 1'!B81),'Field information 1'!B81, TEXT('Field information 1'!B81,"0")))</f>
        <v/>
      </c>
      <c r="C87" s="8" t="str">
        <f>IF(ISBLANK('Field information 1'!C81),"",'Field information 1'!C81)</f>
        <v/>
      </c>
      <c r="D87" s="26" t="str">
        <f>IF(ISBLANK('Field information 1'!D81),"",'Field information 1'!D81)</f>
        <v/>
      </c>
      <c r="E87" s="26" t="str">
        <f>IF(ISBLANK('Field information 1'!E81),"",'Field information 1'!E81)</f>
        <v/>
      </c>
      <c r="F87" s="221"/>
      <c r="G87" s="172"/>
      <c r="H87" s="172"/>
      <c r="I87" s="222"/>
      <c r="J87" s="222"/>
      <c r="K87" s="172"/>
      <c r="L87" s="336"/>
      <c r="M87" s="336"/>
      <c r="N87" s="336"/>
      <c r="O87" s="336"/>
      <c r="P87" s="336"/>
      <c r="Q87" s="337"/>
    </row>
    <row r="88" spans="2:17" ht="15" x14ac:dyDescent="0.25">
      <c r="B88" s="248" t="str">
        <f>IF(ISBLANK('Field information 1'!B82),"",
IF(ISTEXT('Field information 1'!B82),'Field information 1'!B82, TEXT('Field information 1'!B82,"0")))</f>
        <v/>
      </c>
      <c r="C88" s="8" t="str">
        <f>IF(ISBLANK('Field information 1'!C82),"",'Field information 1'!C82)</f>
        <v/>
      </c>
      <c r="D88" s="26" t="str">
        <f>IF(ISBLANK('Field information 1'!D82),"",'Field information 1'!D82)</f>
        <v/>
      </c>
      <c r="E88" s="26" t="str">
        <f>IF(ISBLANK('Field information 1'!E82),"",'Field information 1'!E82)</f>
        <v/>
      </c>
      <c r="F88" s="221"/>
      <c r="G88" s="172"/>
      <c r="H88" s="172"/>
      <c r="I88" s="222"/>
      <c r="J88" s="222"/>
      <c r="K88" s="172"/>
      <c r="L88" s="336"/>
      <c r="M88" s="336"/>
      <c r="N88" s="336"/>
      <c r="O88" s="336"/>
      <c r="P88" s="336"/>
      <c r="Q88" s="337"/>
    </row>
    <row r="89" spans="2:17" ht="15" x14ac:dyDescent="0.25">
      <c r="B89" s="248" t="str">
        <f>IF(ISBLANK('Field information 1'!B83),"",
IF(ISTEXT('Field information 1'!B83),'Field information 1'!B83, TEXT('Field information 1'!B83,"0")))</f>
        <v/>
      </c>
      <c r="C89" s="8" t="str">
        <f>IF(ISBLANK('Field information 1'!C83),"",'Field information 1'!C83)</f>
        <v/>
      </c>
      <c r="D89" s="26" t="str">
        <f>IF(ISBLANK('Field information 1'!D83),"",'Field information 1'!D83)</f>
        <v/>
      </c>
      <c r="E89" s="26" t="str">
        <f>IF(ISBLANK('Field information 1'!E83),"",'Field information 1'!E83)</f>
        <v/>
      </c>
      <c r="F89" s="221"/>
      <c r="G89" s="172"/>
      <c r="H89" s="172"/>
      <c r="I89" s="222"/>
      <c r="J89" s="222"/>
      <c r="K89" s="172"/>
      <c r="L89" s="336"/>
      <c r="M89" s="336"/>
      <c r="N89" s="336"/>
      <c r="O89" s="336"/>
      <c r="P89" s="336"/>
      <c r="Q89" s="337"/>
    </row>
    <row r="90" spans="2:17" ht="15" x14ac:dyDescent="0.25">
      <c r="B90" s="248" t="str">
        <f>IF(ISBLANK('Field information 1'!B84),"",
IF(ISTEXT('Field information 1'!B84),'Field information 1'!B84, TEXT('Field information 1'!B84,"0")))</f>
        <v/>
      </c>
      <c r="C90" s="8" t="str">
        <f>IF(ISBLANK('Field information 1'!C84),"",'Field information 1'!C84)</f>
        <v/>
      </c>
      <c r="D90" s="26" t="str">
        <f>IF(ISBLANK('Field information 1'!D84),"",'Field information 1'!D84)</f>
        <v/>
      </c>
      <c r="E90" s="26" t="str">
        <f>IF(ISBLANK('Field information 1'!E84),"",'Field information 1'!E84)</f>
        <v/>
      </c>
      <c r="F90" s="221"/>
      <c r="G90" s="172"/>
      <c r="H90" s="172"/>
      <c r="I90" s="222"/>
      <c r="J90" s="222"/>
      <c r="K90" s="172"/>
      <c r="L90" s="336"/>
      <c r="M90" s="336"/>
      <c r="N90" s="336"/>
      <c r="O90" s="336"/>
      <c r="P90" s="336"/>
      <c r="Q90" s="337"/>
    </row>
    <row r="91" spans="2:17" ht="15" x14ac:dyDescent="0.25">
      <c r="B91" s="248" t="str">
        <f>IF(ISBLANK('Field information 1'!B85),"",
IF(ISTEXT('Field information 1'!B85),'Field information 1'!B85, TEXT('Field information 1'!B85,"0")))</f>
        <v/>
      </c>
      <c r="C91" s="8" t="str">
        <f>IF(ISBLANK('Field information 1'!C85),"",'Field information 1'!C85)</f>
        <v/>
      </c>
      <c r="D91" s="26" t="str">
        <f>IF(ISBLANK('Field information 1'!D85),"",'Field information 1'!D85)</f>
        <v/>
      </c>
      <c r="E91" s="26" t="str">
        <f>IF(ISBLANK('Field information 1'!E85),"",'Field information 1'!E85)</f>
        <v/>
      </c>
      <c r="F91" s="221"/>
      <c r="G91" s="172"/>
      <c r="H91" s="172"/>
      <c r="I91" s="222"/>
      <c r="J91" s="222"/>
      <c r="K91" s="172"/>
      <c r="L91" s="336"/>
      <c r="M91" s="336"/>
      <c r="N91" s="336"/>
      <c r="O91" s="336"/>
      <c r="P91" s="336"/>
      <c r="Q91" s="337"/>
    </row>
    <row r="92" spans="2:17" ht="15" x14ac:dyDescent="0.25">
      <c r="B92" s="248" t="str">
        <f>IF(ISBLANK('Field information 1'!B86),"",
IF(ISTEXT('Field information 1'!B86),'Field information 1'!B86, TEXT('Field information 1'!B86,"0")))</f>
        <v/>
      </c>
      <c r="C92" s="8" t="str">
        <f>IF(ISBLANK('Field information 1'!C86),"",'Field information 1'!C86)</f>
        <v/>
      </c>
      <c r="D92" s="26" t="str">
        <f>IF(ISBLANK('Field information 1'!D86),"",'Field information 1'!D86)</f>
        <v/>
      </c>
      <c r="E92" s="26" t="str">
        <f>IF(ISBLANK('Field information 1'!E86),"",'Field information 1'!E86)</f>
        <v/>
      </c>
      <c r="F92" s="221"/>
      <c r="G92" s="172"/>
      <c r="H92" s="172"/>
      <c r="I92" s="222"/>
      <c r="J92" s="222"/>
      <c r="K92" s="172"/>
      <c r="L92" s="336"/>
      <c r="M92" s="336"/>
      <c r="N92" s="336"/>
      <c r="O92" s="336"/>
      <c r="P92" s="336"/>
      <c r="Q92" s="337"/>
    </row>
    <row r="93" spans="2:17" ht="15" x14ac:dyDescent="0.25">
      <c r="B93" s="248" t="str">
        <f>IF(ISBLANK('Field information 1'!B87),"",
IF(ISTEXT('Field information 1'!B87),'Field information 1'!B87, TEXT('Field information 1'!B87,"0")))</f>
        <v/>
      </c>
      <c r="C93" s="8" t="str">
        <f>IF(ISBLANK('Field information 1'!C87),"",'Field information 1'!C87)</f>
        <v/>
      </c>
      <c r="D93" s="26" t="str">
        <f>IF(ISBLANK('Field information 1'!D87),"",'Field information 1'!D87)</f>
        <v/>
      </c>
      <c r="E93" s="26" t="str">
        <f>IF(ISBLANK('Field information 1'!E87),"",'Field information 1'!E87)</f>
        <v/>
      </c>
      <c r="F93" s="221"/>
      <c r="G93" s="172"/>
      <c r="H93" s="172"/>
      <c r="I93" s="222"/>
      <c r="J93" s="222"/>
      <c r="K93" s="172"/>
      <c r="L93" s="336"/>
      <c r="M93" s="336"/>
      <c r="N93" s="336"/>
      <c r="O93" s="336"/>
      <c r="P93" s="336"/>
      <c r="Q93" s="337"/>
    </row>
    <row r="94" spans="2:17" ht="15" x14ac:dyDescent="0.25">
      <c r="B94" s="248" t="str">
        <f>IF(ISBLANK('Field information 1'!B88),"",
IF(ISTEXT('Field information 1'!B88),'Field information 1'!B88, TEXT('Field information 1'!B88,"0")))</f>
        <v/>
      </c>
      <c r="C94" s="8" t="str">
        <f>IF(ISBLANK('Field information 1'!C88),"",'Field information 1'!C88)</f>
        <v/>
      </c>
      <c r="D94" s="26" t="str">
        <f>IF(ISBLANK('Field information 1'!D88),"",'Field information 1'!D88)</f>
        <v/>
      </c>
      <c r="E94" s="26" t="str">
        <f>IF(ISBLANK('Field information 1'!E88),"",'Field information 1'!E88)</f>
        <v/>
      </c>
      <c r="F94" s="221"/>
      <c r="G94" s="172"/>
      <c r="H94" s="172"/>
      <c r="I94" s="222"/>
      <c r="J94" s="222"/>
      <c r="K94" s="172"/>
      <c r="L94" s="336"/>
      <c r="M94" s="336"/>
      <c r="N94" s="336"/>
      <c r="O94" s="336"/>
      <c r="P94" s="336"/>
      <c r="Q94" s="337"/>
    </row>
    <row r="95" spans="2:17" ht="15" x14ac:dyDescent="0.25">
      <c r="B95" s="248" t="str">
        <f>IF(ISBLANK('Field information 1'!B89),"",
IF(ISTEXT('Field information 1'!B89),'Field information 1'!B89, TEXT('Field information 1'!B89,"0")))</f>
        <v/>
      </c>
      <c r="C95" s="8" t="str">
        <f>IF(ISBLANK('Field information 1'!C89),"",'Field information 1'!C89)</f>
        <v/>
      </c>
      <c r="D95" s="26" t="str">
        <f>IF(ISBLANK('Field information 1'!D89),"",'Field information 1'!D89)</f>
        <v/>
      </c>
      <c r="E95" s="26" t="str">
        <f>IF(ISBLANK('Field information 1'!E89),"",'Field information 1'!E89)</f>
        <v/>
      </c>
      <c r="F95" s="221"/>
      <c r="G95" s="172"/>
      <c r="H95" s="172"/>
      <c r="I95" s="222"/>
      <c r="J95" s="222"/>
      <c r="K95" s="172"/>
      <c r="L95" s="336"/>
      <c r="M95" s="336"/>
      <c r="N95" s="336"/>
      <c r="O95" s="336"/>
      <c r="P95" s="336"/>
      <c r="Q95" s="337"/>
    </row>
    <row r="96" spans="2:17" ht="15" x14ac:dyDescent="0.25">
      <c r="B96" s="248" t="str">
        <f>IF(ISBLANK('Field information 1'!B90),"",
IF(ISTEXT('Field information 1'!B90),'Field information 1'!B90, TEXT('Field information 1'!B90,"0")))</f>
        <v/>
      </c>
      <c r="C96" s="8" t="str">
        <f>IF(ISBLANK('Field information 1'!C90),"",'Field information 1'!C90)</f>
        <v/>
      </c>
      <c r="D96" s="26" t="str">
        <f>IF(ISBLANK('Field information 1'!D90),"",'Field information 1'!D90)</f>
        <v/>
      </c>
      <c r="E96" s="26" t="str">
        <f>IF(ISBLANK('Field information 1'!E90),"",'Field information 1'!E90)</f>
        <v/>
      </c>
      <c r="F96" s="221"/>
      <c r="G96" s="172"/>
      <c r="H96" s="172"/>
      <c r="I96" s="222"/>
      <c r="J96" s="222"/>
      <c r="K96" s="172"/>
      <c r="L96" s="336"/>
      <c r="M96" s="336"/>
      <c r="N96" s="336"/>
      <c r="O96" s="336"/>
      <c r="P96" s="336"/>
      <c r="Q96" s="337"/>
    </row>
    <row r="97" spans="2:17" ht="15" x14ac:dyDescent="0.25">
      <c r="B97" s="248" t="str">
        <f>IF(ISBLANK('Field information 1'!B91),"",
IF(ISTEXT('Field information 1'!B91),'Field information 1'!B91, TEXT('Field information 1'!B91,"0")))</f>
        <v/>
      </c>
      <c r="C97" s="8" t="str">
        <f>IF(ISBLANK('Field information 1'!C91),"",'Field information 1'!C91)</f>
        <v/>
      </c>
      <c r="D97" s="26" t="str">
        <f>IF(ISBLANK('Field information 1'!D91),"",'Field information 1'!D91)</f>
        <v/>
      </c>
      <c r="E97" s="26" t="str">
        <f>IF(ISBLANK('Field information 1'!E91),"",'Field information 1'!E91)</f>
        <v/>
      </c>
      <c r="F97" s="221"/>
      <c r="G97" s="172"/>
      <c r="H97" s="172"/>
      <c r="I97" s="222"/>
      <c r="J97" s="222"/>
      <c r="K97" s="172"/>
      <c r="L97" s="336"/>
      <c r="M97" s="336"/>
      <c r="N97" s="336"/>
      <c r="O97" s="336"/>
      <c r="P97" s="336"/>
      <c r="Q97" s="337"/>
    </row>
    <row r="98" spans="2:17" ht="15" x14ac:dyDescent="0.25">
      <c r="B98" s="248" t="str">
        <f>IF(ISBLANK('Field information 1'!B92),"",
IF(ISTEXT('Field information 1'!B92),'Field information 1'!B92, TEXT('Field information 1'!B92,"0")))</f>
        <v/>
      </c>
      <c r="C98" s="8" t="str">
        <f>IF(ISBLANK('Field information 1'!C92),"",'Field information 1'!C92)</f>
        <v/>
      </c>
      <c r="D98" s="26" t="str">
        <f>IF(ISBLANK('Field information 1'!D92),"",'Field information 1'!D92)</f>
        <v/>
      </c>
      <c r="E98" s="26" t="str">
        <f>IF(ISBLANK('Field information 1'!E92),"",'Field information 1'!E92)</f>
        <v/>
      </c>
      <c r="F98" s="221"/>
      <c r="G98" s="172"/>
      <c r="H98" s="172"/>
      <c r="I98" s="222"/>
      <c r="J98" s="222"/>
      <c r="K98" s="172"/>
      <c r="L98" s="336"/>
      <c r="M98" s="336"/>
      <c r="N98" s="336"/>
      <c r="O98" s="336"/>
      <c r="P98" s="336"/>
      <c r="Q98" s="337"/>
    </row>
    <row r="99" spans="2:17" ht="15" x14ac:dyDescent="0.25">
      <c r="B99" s="248" t="str">
        <f>IF(ISBLANK('Field information 1'!B93),"",
IF(ISTEXT('Field information 1'!B93),'Field information 1'!B93, TEXT('Field information 1'!B93,"0")))</f>
        <v/>
      </c>
      <c r="C99" s="8" t="str">
        <f>IF(ISBLANK('Field information 1'!C93),"",'Field information 1'!C93)</f>
        <v/>
      </c>
      <c r="D99" s="26" t="str">
        <f>IF(ISBLANK('Field information 1'!D93),"",'Field information 1'!D93)</f>
        <v/>
      </c>
      <c r="E99" s="26" t="str">
        <f>IF(ISBLANK('Field information 1'!E93),"",'Field information 1'!E93)</f>
        <v/>
      </c>
      <c r="F99" s="221"/>
      <c r="G99" s="172"/>
      <c r="H99" s="172"/>
      <c r="I99" s="222"/>
      <c r="J99" s="222"/>
      <c r="K99" s="172"/>
      <c r="L99" s="336"/>
      <c r="M99" s="336"/>
      <c r="N99" s="336"/>
      <c r="O99" s="336"/>
      <c r="P99" s="336"/>
      <c r="Q99" s="337"/>
    </row>
    <row r="100" spans="2:17" ht="15" x14ac:dyDescent="0.25">
      <c r="B100" s="248" t="str">
        <f>IF(ISBLANK('Field information 1'!B94),"",
IF(ISTEXT('Field information 1'!B94),'Field information 1'!B94, TEXT('Field information 1'!B94,"0")))</f>
        <v/>
      </c>
      <c r="C100" s="8" t="str">
        <f>IF(ISBLANK('Field information 1'!C94),"",'Field information 1'!C94)</f>
        <v/>
      </c>
      <c r="D100" s="26" t="str">
        <f>IF(ISBLANK('Field information 1'!D94),"",'Field information 1'!D94)</f>
        <v/>
      </c>
      <c r="E100" s="26" t="str">
        <f>IF(ISBLANK('Field information 1'!E94),"",'Field information 1'!E94)</f>
        <v/>
      </c>
      <c r="F100" s="221"/>
      <c r="G100" s="172"/>
      <c r="H100" s="172"/>
      <c r="I100" s="222"/>
      <c r="J100" s="222"/>
      <c r="K100" s="172"/>
      <c r="L100" s="336"/>
      <c r="M100" s="336"/>
      <c r="N100" s="336"/>
      <c r="O100" s="336"/>
      <c r="P100" s="336"/>
      <c r="Q100" s="337"/>
    </row>
    <row r="101" spans="2:17" ht="15" x14ac:dyDescent="0.25">
      <c r="B101" s="248" t="str">
        <f>IF(ISBLANK('Field information 1'!B95),"",
IF(ISTEXT('Field information 1'!B95),'Field information 1'!B95, TEXT('Field information 1'!B95,"0")))</f>
        <v/>
      </c>
      <c r="C101" s="8" t="str">
        <f>IF(ISBLANK('Field information 1'!C95),"",'Field information 1'!C95)</f>
        <v/>
      </c>
      <c r="D101" s="26" t="str">
        <f>IF(ISBLANK('Field information 1'!D95),"",'Field information 1'!D95)</f>
        <v/>
      </c>
      <c r="E101" s="26" t="str">
        <f>IF(ISBLANK('Field information 1'!E95),"",'Field information 1'!E95)</f>
        <v/>
      </c>
      <c r="F101" s="221"/>
      <c r="G101" s="172"/>
      <c r="H101" s="172"/>
      <c r="I101" s="222"/>
      <c r="J101" s="222"/>
      <c r="K101" s="172"/>
      <c r="L101" s="336"/>
      <c r="M101" s="336"/>
      <c r="N101" s="336"/>
      <c r="O101" s="336"/>
      <c r="P101" s="336"/>
      <c r="Q101" s="337"/>
    </row>
    <row r="102" spans="2:17" ht="15" x14ac:dyDescent="0.25">
      <c r="B102" s="248" t="str">
        <f>IF(ISBLANK('Field information 1'!B96),"",
IF(ISTEXT('Field information 1'!B96),'Field information 1'!B96, TEXT('Field information 1'!B96,"0")))</f>
        <v/>
      </c>
      <c r="C102" s="8" t="str">
        <f>IF(ISBLANK('Field information 1'!C96),"",'Field information 1'!C96)</f>
        <v/>
      </c>
      <c r="D102" s="26" t="str">
        <f>IF(ISBLANK('Field information 1'!D96),"",'Field information 1'!D96)</f>
        <v/>
      </c>
      <c r="E102" s="26" t="str">
        <f>IF(ISBLANK('Field information 1'!E96),"",'Field information 1'!E96)</f>
        <v/>
      </c>
      <c r="F102" s="221"/>
      <c r="G102" s="172"/>
      <c r="H102" s="172"/>
      <c r="I102" s="222"/>
      <c r="J102" s="222"/>
      <c r="K102" s="172"/>
      <c r="L102" s="336"/>
      <c r="M102" s="336"/>
      <c r="N102" s="336"/>
      <c r="O102" s="336"/>
      <c r="P102" s="336"/>
      <c r="Q102" s="337"/>
    </row>
    <row r="103" spans="2:17" ht="15" x14ac:dyDescent="0.25">
      <c r="B103" s="248" t="str">
        <f>IF(ISBLANK('Field information 1'!B97),"",
IF(ISTEXT('Field information 1'!B97),'Field information 1'!B97, TEXT('Field information 1'!B97,"0")))</f>
        <v/>
      </c>
      <c r="C103" s="8" t="str">
        <f>IF(ISBLANK('Field information 1'!C97),"",'Field information 1'!C97)</f>
        <v/>
      </c>
      <c r="D103" s="26" t="str">
        <f>IF(ISBLANK('Field information 1'!D97),"",'Field information 1'!D97)</f>
        <v/>
      </c>
      <c r="E103" s="26" t="str">
        <f>IF(ISBLANK('Field information 1'!E97),"",'Field information 1'!E97)</f>
        <v/>
      </c>
      <c r="F103" s="221"/>
      <c r="G103" s="172"/>
      <c r="H103" s="172"/>
      <c r="I103" s="222"/>
      <c r="J103" s="222"/>
      <c r="K103" s="172"/>
      <c r="L103" s="336"/>
      <c r="M103" s="336"/>
      <c r="N103" s="336"/>
      <c r="O103" s="336"/>
      <c r="P103" s="336"/>
      <c r="Q103" s="337"/>
    </row>
    <row r="104" spans="2:17" ht="15" x14ac:dyDescent="0.25">
      <c r="B104" s="248" t="str">
        <f>IF(ISBLANK('Field information 1'!B98),"",
IF(ISTEXT('Field information 1'!B98),'Field information 1'!B98, TEXT('Field information 1'!B98,"0")))</f>
        <v/>
      </c>
      <c r="C104" s="8" t="str">
        <f>IF(ISBLANK('Field information 1'!C98),"",'Field information 1'!C98)</f>
        <v/>
      </c>
      <c r="D104" s="26" t="str">
        <f>IF(ISBLANK('Field information 1'!D98),"",'Field information 1'!D98)</f>
        <v/>
      </c>
      <c r="E104" s="26" t="str">
        <f>IF(ISBLANK('Field information 1'!E98),"",'Field information 1'!E98)</f>
        <v/>
      </c>
      <c r="F104" s="221"/>
      <c r="G104" s="172"/>
      <c r="H104" s="172"/>
      <c r="I104" s="222"/>
      <c r="J104" s="222"/>
      <c r="K104" s="172"/>
      <c r="L104" s="336"/>
      <c r="M104" s="336"/>
      <c r="N104" s="336"/>
      <c r="O104" s="336"/>
      <c r="P104" s="336"/>
      <c r="Q104" s="337"/>
    </row>
    <row r="105" spans="2:17" ht="15" x14ac:dyDescent="0.25">
      <c r="B105" s="248" t="str">
        <f>IF(ISBLANK('Field information 1'!B99),"",
IF(ISTEXT('Field information 1'!B99),'Field information 1'!B99, TEXT('Field information 1'!B99,"0")))</f>
        <v/>
      </c>
      <c r="C105" s="8" t="str">
        <f>IF(ISBLANK('Field information 1'!C99),"",'Field information 1'!C99)</f>
        <v/>
      </c>
      <c r="D105" s="26" t="str">
        <f>IF(ISBLANK('Field information 1'!D99),"",'Field information 1'!D99)</f>
        <v/>
      </c>
      <c r="E105" s="26" t="str">
        <f>IF(ISBLANK('Field information 1'!E99),"",'Field information 1'!E99)</f>
        <v/>
      </c>
      <c r="F105" s="221"/>
      <c r="G105" s="172"/>
      <c r="H105" s="172"/>
      <c r="I105" s="222"/>
      <c r="J105" s="222"/>
      <c r="K105" s="172"/>
      <c r="L105" s="336"/>
      <c r="M105" s="336"/>
      <c r="N105" s="336"/>
      <c r="O105" s="336"/>
      <c r="P105" s="336"/>
      <c r="Q105" s="337"/>
    </row>
    <row r="106" spans="2:17" ht="15" x14ac:dyDescent="0.25">
      <c r="B106" s="248" t="str">
        <f>IF(ISBLANK('Field information 1'!B100),"",
IF(ISTEXT('Field information 1'!B100),'Field information 1'!B100, TEXT('Field information 1'!B100,"0")))</f>
        <v/>
      </c>
      <c r="C106" s="8" t="str">
        <f>IF(ISBLANK('Field information 1'!C100),"",'Field information 1'!C100)</f>
        <v/>
      </c>
      <c r="D106" s="26" t="str">
        <f>IF(ISBLANK('Field information 1'!D100),"",'Field information 1'!D100)</f>
        <v/>
      </c>
      <c r="E106" s="26" t="str">
        <f>IF(ISBLANK('Field information 1'!E100),"",'Field information 1'!E100)</f>
        <v/>
      </c>
      <c r="F106" s="221"/>
      <c r="G106" s="172"/>
      <c r="H106" s="172"/>
      <c r="I106" s="222"/>
      <c r="J106" s="222"/>
      <c r="K106" s="172"/>
      <c r="L106" s="336"/>
      <c r="M106" s="336"/>
      <c r="N106" s="336"/>
      <c r="O106" s="336"/>
      <c r="P106" s="336"/>
      <c r="Q106" s="337"/>
    </row>
    <row r="107" spans="2:17" ht="15" x14ac:dyDescent="0.25">
      <c r="B107" s="248" t="str">
        <f>IF(ISBLANK('Field information 1'!B101),"",
IF(ISTEXT('Field information 1'!B101),'Field information 1'!B101, TEXT('Field information 1'!B101,"0")))</f>
        <v/>
      </c>
      <c r="C107" s="8" t="str">
        <f>IF(ISBLANK('Field information 1'!C101),"",'Field information 1'!C101)</f>
        <v/>
      </c>
      <c r="D107" s="26" t="str">
        <f>IF(ISBLANK('Field information 1'!D101),"",'Field information 1'!D101)</f>
        <v/>
      </c>
      <c r="E107" s="26" t="str">
        <f>IF(ISBLANK('Field information 1'!E101),"",'Field information 1'!E101)</f>
        <v/>
      </c>
      <c r="F107" s="221"/>
      <c r="G107" s="172"/>
      <c r="H107" s="172"/>
      <c r="I107" s="222"/>
      <c r="J107" s="222"/>
      <c r="K107" s="172"/>
      <c r="L107" s="336"/>
      <c r="M107" s="336"/>
      <c r="N107" s="336"/>
      <c r="O107" s="336"/>
      <c r="P107" s="336"/>
      <c r="Q107" s="337"/>
    </row>
    <row r="108" spans="2:17" ht="15" x14ac:dyDescent="0.25">
      <c r="B108" s="248" t="str">
        <f>IF(ISBLANK('Field information 1'!B102),"",
IF(ISTEXT('Field information 1'!B102),'Field information 1'!B102, TEXT('Field information 1'!B102,"0")))</f>
        <v/>
      </c>
      <c r="C108" s="8" t="str">
        <f>IF(ISBLANK('Field information 1'!C102),"",'Field information 1'!C102)</f>
        <v/>
      </c>
      <c r="D108" s="26" t="str">
        <f>IF(ISBLANK('Field information 1'!D102),"",'Field information 1'!D102)</f>
        <v/>
      </c>
      <c r="E108" s="26" t="str">
        <f>IF(ISBLANK('Field information 1'!E102),"",'Field information 1'!E102)</f>
        <v/>
      </c>
      <c r="F108" s="221"/>
      <c r="G108" s="172"/>
      <c r="H108" s="172"/>
      <c r="I108" s="222"/>
      <c r="J108" s="222"/>
      <c r="K108" s="172"/>
      <c r="L108" s="336"/>
      <c r="M108" s="336"/>
      <c r="N108" s="336"/>
      <c r="O108" s="336"/>
      <c r="P108" s="336"/>
      <c r="Q108" s="337"/>
    </row>
    <row r="109" spans="2:17" ht="15" x14ac:dyDescent="0.25">
      <c r="B109" s="248" t="str">
        <f>IF(ISBLANK('Field information 1'!B103),"",
IF(ISTEXT('Field information 1'!B103),'Field information 1'!B103, TEXT('Field information 1'!B103,"0")))</f>
        <v/>
      </c>
      <c r="C109" s="8" t="str">
        <f>IF(ISBLANK('Field information 1'!C103),"",'Field information 1'!C103)</f>
        <v/>
      </c>
      <c r="D109" s="26" t="str">
        <f>IF(ISBLANK('Field information 1'!D103),"",'Field information 1'!D103)</f>
        <v/>
      </c>
      <c r="E109" s="26" t="str">
        <f>IF(ISBLANK('Field information 1'!E103),"",'Field information 1'!E103)</f>
        <v/>
      </c>
      <c r="F109" s="221"/>
      <c r="G109" s="172"/>
      <c r="H109" s="172"/>
      <c r="I109" s="222"/>
      <c r="J109" s="222"/>
      <c r="K109" s="172"/>
      <c r="L109" s="336"/>
      <c r="M109" s="336"/>
      <c r="N109" s="336"/>
      <c r="O109" s="336"/>
      <c r="P109" s="336"/>
      <c r="Q109" s="337"/>
    </row>
    <row r="110" spans="2:17" ht="15" x14ac:dyDescent="0.25">
      <c r="B110" s="248" t="str">
        <f>IF(ISBLANK('Field information 1'!B104),"",
IF(ISTEXT('Field information 1'!B104),'Field information 1'!B104, TEXT('Field information 1'!B104,"0")))</f>
        <v/>
      </c>
      <c r="C110" s="8" t="str">
        <f>IF(ISBLANK('Field information 1'!C104),"",'Field information 1'!C104)</f>
        <v/>
      </c>
      <c r="D110" s="26" t="str">
        <f>IF(ISBLANK('Field information 1'!D104),"",'Field information 1'!D104)</f>
        <v/>
      </c>
      <c r="E110" s="26" t="str">
        <f>IF(ISBLANK('Field information 1'!E104),"",'Field information 1'!E104)</f>
        <v/>
      </c>
      <c r="F110" s="221"/>
      <c r="G110" s="172"/>
      <c r="H110" s="172"/>
      <c r="I110" s="222"/>
      <c r="J110" s="222"/>
      <c r="K110" s="172"/>
      <c r="L110" s="336"/>
      <c r="M110" s="336"/>
      <c r="N110" s="336"/>
      <c r="O110" s="336"/>
      <c r="P110" s="336"/>
      <c r="Q110" s="337"/>
    </row>
    <row r="111" spans="2:17" ht="15.75" thickBot="1" x14ac:dyDescent="0.3">
      <c r="B111" s="325" t="str">
        <f>IF(ISBLANK('Field information 1'!B105),"",
IF(ISTEXT('Field information 1'!B105),'Field information 1'!B105, TEXT('Field information 1'!B105,"0")))</f>
        <v/>
      </c>
      <c r="C111" s="326" t="str">
        <f>IF(ISBLANK('Field information 1'!C105),"",'Field information 1'!C105)</f>
        <v/>
      </c>
      <c r="D111" s="327" t="str">
        <f>IF(ISBLANK('Field information 1'!D105),"",'Field information 1'!D105)</f>
        <v/>
      </c>
      <c r="E111" s="327" t="str">
        <f>IF(ISBLANK('Field information 1'!E105),"",'Field information 1'!E105)</f>
        <v/>
      </c>
      <c r="F111" s="328"/>
      <c r="G111" s="329"/>
      <c r="H111" s="329"/>
      <c r="I111" s="330"/>
      <c r="J111" s="330"/>
      <c r="K111" s="329"/>
      <c r="L111" s="338"/>
      <c r="M111" s="338"/>
      <c r="N111" s="338"/>
      <c r="O111" s="338"/>
      <c r="P111" s="338"/>
      <c r="Q111" s="339"/>
    </row>
    <row r="112" spans="2:17" ht="15.75" thickTop="1" x14ac:dyDescent="0.25"/>
  </sheetData>
  <sheetProtection algorithmName="SHA-512" hashValue="IbOL0c0TBasKzB8OubV3uF65pKUoXgYXnVbYr8XJuULTHP5211v4cVhEMiiHUy8stSwNd3s663cW/0HTfIEtCQ==" saltValue="BuT5lNf5Fc0nfbNF+5W48A==" spinCount="100000" sheet="1" selectLockedCells="1"/>
  <mergeCells count="14">
    <mergeCell ref="L6:Q6"/>
    <mergeCell ref="S5:AA5"/>
    <mergeCell ref="L3:M3"/>
    <mergeCell ref="N3:O3"/>
    <mergeCell ref="B1:Q1"/>
    <mergeCell ref="K4:K5"/>
    <mergeCell ref="E4:E5"/>
    <mergeCell ref="C4:C5"/>
    <mergeCell ref="P3:Q3"/>
    <mergeCell ref="D4:D5"/>
    <mergeCell ref="F4:F9"/>
    <mergeCell ref="I4:I9"/>
    <mergeCell ref="J4:J9"/>
    <mergeCell ref="B4:B9"/>
  </mergeCells>
  <phoneticPr fontId="14" type="noConversion"/>
  <conditionalFormatting sqref="F12:F111">
    <cfRule type="expression" dxfId="106" priority="16">
      <formula>B12&lt;&gt;""</formula>
    </cfRule>
  </conditionalFormatting>
  <conditionalFormatting sqref="J12:J111">
    <cfRule type="expression" dxfId="105" priority="15">
      <formula>B12&lt;&gt;""</formula>
    </cfRule>
  </conditionalFormatting>
  <conditionalFormatting sqref="L12:M15 L17:M17 I25:I111 M18:M111 L18:L21 L23:L27 L29:L33 L35:L39 L41:L45 L47:L51 L53:L57 L59:L63 L65:L69 L71:L75 L77:L81 L83:L87 L89:L93 L95:L99 L101:L105 L107:L111">
    <cfRule type="expression" dxfId="104" priority="13">
      <formula>$B12&lt;&gt;""</formula>
    </cfRule>
  </conditionalFormatting>
  <conditionalFormatting sqref="J16">
    <cfRule type="expression" dxfId="103" priority="12">
      <formula>B16&lt;&gt;""</formula>
    </cfRule>
  </conditionalFormatting>
  <conditionalFormatting sqref="L16:M16 L22 L28 L34 L40 L46 L52 L58 L64 L70 L76 L82 L88 L94 L100 L106">
    <cfRule type="expression" dxfId="102" priority="11">
      <formula>$B16&lt;&gt;""</formula>
    </cfRule>
  </conditionalFormatting>
  <conditionalFormatting sqref="O4:O5">
    <cfRule type="expression" dxfId="101" priority="10">
      <formula>OR($O$4&lt;&gt;"", $O$5&lt;&gt;"")</formula>
    </cfRule>
  </conditionalFormatting>
  <conditionalFormatting sqref="N12:O111">
    <cfRule type="expression" dxfId="100" priority="9">
      <formula>AND($B12&lt;&gt;"", OR($O$4&lt;&gt;"", $O$5&lt;&gt;""))</formula>
    </cfRule>
  </conditionalFormatting>
  <conditionalFormatting sqref="Q4:Q5">
    <cfRule type="expression" dxfId="99" priority="8">
      <formula>OR($Q$4&lt;&gt;"", $Q$5&lt;&gt;"")</formula>
    </cfRule>
  </conditionalFormatting>
  <conditionalFormatting sqref="P12:Q111">
    <cfRule type="expression" dxfId="98" priority="6">
      <formula>AND($B12&lt;&gt;"", OR($Q$4&lt;&gt;"", $Q$5&lt;&gt;""))</formula>
    </cfRule>
  </conditionalFormatting>
  <conditionalFormatting sqref="I12:I24">
    <cfRule type="expression" dxfId="97" priority="5">
      <formula>$B12&lt;&gt;""</formula>
    </cfRule>
  </conditionalFormatting>
  <conditionalFormatting sqref="M7:M9">
    <cfRule type="expression" dxfId="96" priority="4">
      <formula>AND($M$7="yes",OR($M$4&lt;&gt;"", $M$5&lt;&gt;""))</formula>
    </cfRule>
  </conditionalFormatting>
  <conditionalFormatting sqref="O7:O9">
    <cfRule type="expression" dxfId="95" priority="2">
      <formula>AND($O$7="yes", OR($O$4&lt;&gt;"", $O$5&lt;&gt;""))</formula>
    </cfRule>
  </conditionalFormatting>
  <conditionalFormatting sqref="Q7:Q9">
    <cfRule type="expression" dxfId="94" priority="1">
      <formula>AND($Q$7="yes", OR($Q$4&lt;&gt;"", $Q$5&lt;&gt;""))</formula>
    </cfRule>
  </conditionalFormatting>
  <dataValidations count="7">
    <dataValidation type="list" allowBlank="1" showInputMessage="1" showErrorMessage="1" sqref="J12:J111" xr:uid="{F727454F-BFD7-4B7F-B43D-D1D80EF4D704}">
      <formula1>"yes,no"</formula1>
    </dataValidation>
    <dataValidation type="list" allowBlank="1" showInputMessage="1" showErrorMessage="1" prompt="if required select yes from the pop down menu" sqref="O7 Q7" xr:uid="{6D51E146-3894-42AB-947A-C0E54519A894}">
      <formula1>"yes"</formula1>
    </dataValidation>
    <dataValidation type="list" allowBlank="1" showInputMessage="1" showErrorMessage="1" prompt="if required select yes from the pop-down menu" sqref="M7" xr:uid="{FD967D0D-675A-43BF-AA3C-BAF964E98232}">
      <formula1>"yes"</formula1>
    </dataValidation>
    <dataValidation allowBlank="1" showErrorMessage="1" sqref="M8 Q8 O8" xr:uid="{860F7748-5F9C-48F3-B9DC-A82BEDA5E150}"/>
    <dataValidation type="whole" allowBlank="1" showInputMessage="1" showErrorMessage="1" prompt="If applicable enter a whole number without %" sqref="Q9 O9 M9" xr:uid="{1F81D190-ADD1-4CFD-8011-8B68494D1D7B}">
      <formula1>1</formula1>
      <formula2>99</formula2>
    </dataValidation>
    <dataValidation type="textLength" operator="lessThanOrEqual" allowBlank="1" showInputMessage="1" showErrorMessage="1" prompt="maximal 8 characters, be aware of unnecessary blanks before and after;_x000a_for non-waste material enter xx" sqref="Q5 M5 O5" xr:uid="{3481E769-E651-4F07-962B-2C98E013172A}">
      <formula1>8</formula1>
    </dataValidation>
    <dataValidation type="custom" allowBlank="1" showInputMessage="1" showErrorMessage="1" error="For sludge and solid waste enter whole number only;  for liquid waste one digit is possible, but you have to ensure spreading is possible with this accuracy." sqref="L12:Q111" xr:uid="{6DA3F64A-AE02-4DBC-BF78-45E07D4B08FF}">
      <formula1>MOD(L12*10,1)=0</formula1>
    </dataValidation>
  </dataValidations>
  <pageMargins left="0.7" right="0.7" top="0.75" bottom="0.75" header="0.3" footer="0.3"/>
  <pageSetup paperSize="0" orientation="portrait" horizontalDpi="0" verticalDpi="0" copies="0"/>
  <extLst>
    <ext xmlns:x14="http://schemas.microsoft.com/office/spreadsheetml/2009/9/main" uri="{CCE6A557-97BC-4b89-ADB6-D9C93CAAB3DF}">
      <x14:dataValidations xmlns:xm="http://schemas.microsoft.com/office/excel/2006/main" count="1">
        <x14:dataValidation type="list" allowBlank="1" showInputMessage="1" showErrorMessage="1" xr:uid="{8B1223DC-25CF-4797-A15C-47F1947AB380}">
          <x14:formula1>
            <xm:f>Calc!$BV$4:$BV$37</xm:f>
          </x14:formula1>
          <xm:sqref>I12:I111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0F91-10FA-449D-9C0D-B2F4B687D7AC}">
  <dimension ref="B1:T159"/>
  <sheetViews>
    <sheetView zoomScale="85" zoomScaleNormal="85" workbookViewId="0">
      <pane xSplit="3" ySplit="8" topLeftCell="D9" activePane="bottomRight" state="frozen"/>
      <selection pane="topRight" activeCell="J32" sqref="J32"/>
      <selection pane="bottomLeft" activeCell="J32" sqref="J32"/>
      <selection pane="bottomRight" activeCell="D18" sqref="D18"/>
    </sheetView>
  </sheetViews>
  <sheetFormatPr defaultRowHeight="14.5" x14ac:dyDescent="0.35"/>
  <cols>
    <col min="1" max="1" width="0.81640625" customWidth="1"/>
    <col min="2" max="2" width="23.54296875" customWidth="1"/>
    <col min="3" max="3" width="18.54296875" bestFit="1" customWidth="1"/>
    <col min="4" max="4" width="12.453125" customWidth="1"/>
    <col min="5" max="5" width="9.54296875" hidden="1" customWidth="1"/>
    <col min="6" max="6" width="9.54296875" customWidth="1"/>
    <col min="7" max="9" width="17.54296875" customWidth="1"/>
    <col min="10" max="10" width="0.453125" customWidth="1"/>
    <col min="11" max="17" width="7.54296875" customWidth="1"/>
  </cols>
  <sheetData>
    <row r="1" spans="2:20" ht="2.5" customHeight="1" x14ac:dyDescent="0.35"/>
    <row r="2" spans="2:20" ht="41.15" customHeight="1" x14ac:dyDescent="0.35">
      <c r="B2" s="436" t="s">
        <v>78</v>
      </c>
      <c r="C2" s="436"/>
      <c r="D2" s="436"/>
      <c r="E2" s="436"/>
      <c r="F2" s="436"/>
      <c r="G2" s="436"/>
      <c r="H2" s="436"/>
      <c r="I2" s="436"/>
      <c r="J2" s="436"/>
      <c r="K2" s="436"/>
      <c r="L2" s="436"/>
      <c r="M2" s="436"/>
      <c r="N2" s="436"/>
      <c r="O2" s="436"/>
      <c r="P2" s="436"/>
      <c r="Q2" s="436"/>
    </row>
    <row r="3" spans="2:20" ht="5.5" customHeight="1" x14ac:dyDescent="0.35">
      <c r="D3" s="5"/>
    </row>
    <row r="4" spans="2:20" s="9" customFormat="1" ht="44.15" customHeight="1" x14ac:dyDescent="0.35">
      <c r="B4" s="154" t="s">
        <v>79</v>
      </c>
      <c r="C4" s="185"/>
      <c r="F4" s="437" t="s">
        <v>80</v>
      </c>
      <c r="G4" s="437"/>
      <c r="H4" s="12" t="s">
        <v>81</v>
      </c>
      <c r="I4" s="186"/>
      <c r="L4" s="61"/>
      <c r="T4" s="5"/>
    </row>
    <row r="5" spans="2:20" ht="4.5" customHeight="1" x14ac:dyDescent="0.35">
      <c r="C5" s="215"/>
    </row>
    <row r="6" spans="2:20" ht="29" x14ac:dyDescent="0.35">
      <c r="D6" s="359" t="s">
        <v>82</v>
      </c>
      <c r="E6" s="359" t="s">
        <v>83</v>
      </c>
      <c r="F6" s="359" t="s">
        <v>84</v>
      </c>
      <c r="G6" s="359" t="s">
        <v>85</v>
      </c>
      <c r="H6" s="359" t="s">
        <v>86</v>
      </c>
      <c r="I6" s="359" t="s">
        <v>87</v>
      </c>
      <c r="J6" s="360"/>
      <c r="K6" s="359" t="s">
        <v>88</v>
      </c>
      <c r="L6" s="359" t="s">
        <v>89</v>
      </c>
      <c r="M6" s="359" t="s">
        <v>90</v>
      </c>
      <c r="N6" s="359" t="s">
        <v>91</v>
      </c>
      <c r="O6" s="359" t="s">
        <v>92</v>
      </c>
      <c r="P6" s="359" t="s">
        <v>93</v>
      </c>
      <c r="Q6" s="359" t="s">
        <v>94</v>
      </c>
    </row>
    <row r="7" spans="2:20" s="153" customFormat="1" ht="29.5" customHeight="1" x14ac:dyDescent="0.35">
      <c r="C7" s="154" t="s">
        <v>95</v>
      </c>
      <c r="D7" s="224"/>
      <c r="E7" s="225"/>
      <c r="F7" s="224"/>
      <c r="G7" s="224"/>
      <c r="H7" s="224"/>
      <c r="I7" s="224"/>
    </row>
    <row r="8" spans="2:20" x14ac:dyDescent="0.35">
      <c r="C8" s="17" t="s">
        <v>96</v>
      </c>
      <c r="D8" s="226"/>
      <c r="E8" s="227" t="s">
        <v>97</v>
      </c>
      <c r="F8" s="228"/>
      <c r="G8" s="228" t="s">
        <v>98</v>
      </c>
      <c r="H8" s="228" t="s">
        <v>98</v>
      </c>
      <c r="I8" s="228" t="s">
        <v>98</v>
      </c>
      <c r="J8" s="7"/>
      <c r="K8" s="7" t="s">
        <v>97</v>
      </c>
      <c r="L8" s="7" t="s">
        <v>97</v>
      </c>
      <c r="M8" s="7" t="s">
        <v>97</v>
      </c>
      <c r="N8" s="7" t="s">
        <v>97</v>
      </c>
      <c r="O8" s="7" t="s">
        <v>97</v>
      </c>
      <c r="P8" s="7" t="s">
        <v>97</v>
      </c>
      <c r="Q8" s="7" t="s">
        <v>97</v>
      </c>
    </row>
    <row r="9" spans="2:20" x14ac:dyDescent="0.35">
      <c r="B9" s="361" t="s">
        <v>48</v>
      </c>
      <c r="C9" s="361" t="s">
        <v>99</v>
      </c>
    </row>
    <row r="10" spans="2:20" x14ac:dyDescent="0.35">
      <c r="B10" s="34" t="str">
        <f ca="1">Calc!AX5</f>
        <v/>
      </c>
      <c r="C10" s="223" t="str">
        <f ca="1">Calc!AZ5</f>
        <v/>
      </c>
      <c r="D10" s="187"/>
      <c r="E10" s="187"/>
      <c r="F10" s="187"/>
      <c r="G10" s="187"/>
      <c r="H10" s="187"/>
      <c r="I10" s="187"/>
      <c r="K10" s="244"/>
      <c r="L10" s="187"/>
      <c r="M10" s="187"/>
      <c r="N10" s="245"/>
      <c r="O10" s="187"/>
      <c r="P10" s="187"/>
      <c r="Q10" s="187"/>
    </row>
    <row r="11" spans="2:20" x14ac:dyDescent="0.35">
      <c r="B11" s="34" t="str">
        <f ca="1">Calc!AX6</f>
        <v/>
      </c>
      <c r="C11" s="223" t="str">
        <f ca="1">Calc!AZ6</f>
        <v/>
      </c>
      <c r="D11" s="187"/>
      <c r="E11" s="187"/>
      <c r="F11" s="187"/>
      <c r="G11" s="187"/>
      <c r="H11" s="187"/>
      <c r="I11" s="187"/>
      <c r="K11" s="244"/>
      <c r="L11" s="187"/>
      <c r="M11" s="187"/>
      <c r="N11" s="245"/>
      <c r="O11" s="187"/>
      <c r="P11" s="187"/>
      <c r="Q11" s="187"/>
    </row>
    <row r="12" spans="2:20" x14ac:dyDescent="0.35">
      <c r="B12" s="34" t="str">
        <f ca="1">Calc!AX7</f>
        <v/>
      </c>
      <c r="C12" s="223" t="str">
        <f ca="1">Calc!AZ7</f>
        <v/>
      </c>
      <c r="D12" s="187"/>
      <c r="E12" s="187"/>
      <c r="F12" s="187"/>
      <c r="G12" s="187"/>
      <c r="H12" s="187"/>
      <c r="I12" s="187"/>
      <c r="K12" s="244"/>
      <c r="L12" s="187"/>
      <c r="M12" s="187"/>
      <c r="N12" s="245"/>
      <c r="O12" s="187"/>
      <c r="P12" s="187"/>
      <c r="Q12" s="187"/>
    </row>
    <row r="13" spans="2:20" x14ac:dyDescent="0.35">
      <c r="B13" s="34" t="str">
        <f ca="1">Calc!AX8</f>
        <v/>
      </c>
      <c r="C13" s="223" t="str">
        <f ca="1">Calc!AZ8</f>
        <v/>
      </c>
      <c r="D13" s="187"/>
      <c r="E13" s="187"/>
      <c r="F13" s="187"/>
      <c r="G13" s="187"/>
      <c r="H13" s="187"/>
      <c r="I13" s="187"/>
      <c r="K13" s="244"/>
      <c r="L13" s="187"/>
      <c r="M13" s="187"/>
      <c r="N13" s="245"/>
      <c r="O13" s="187"/>
      <c r="P13" s="187"/>
      <c r="Q13" s="187"/>
    </row>
    <row r="14" spans="2:20" x14ac:dyDescent="0.35">
      <c r="B14" s="34" t="str">
        <f ca="1">Calc!AX9</f>
        <v/>
      </c>
      <c r="C14" s="223" t="str">
        <f ca="1">Calc!AZ9</f>
        <v/>
      </c>
      <c r="D14" s="187"/>
      <c r="E14" s="187"/>
      <c r="F14" s="187"/>
      <c r="G14" s="187"/>
      <c r="H14" s="187"/>
      <c r="I14" s="187"/>
      <c r="K14" s="244"/>
      <c r="L14" s="187"/>
      <c r="M14" s="187"/>
      <c r="N14" s="245"/>
      <c r="O14" s="187"/>
      <c r="P14" s="187"/>
      <c r="Q14" s="187"/>
    </row>
    <row r="15" spans="2:20" x14ac:dyDescent="0.35">
      <c r="B15" s="34" t="str">
        <f ca="1">Calc!AX10</f>
        <v/>
      </c>
      <c r="C15" s="223" t="str">
        <f ca="1">Calc!AZ10</f>
        <v/>
      </c>
      <c r="D15" s="187"/>
      <c r="E15" s="187"/>
      <c r="F15" s="187"/>
      <c r="G15" s="187"/>
      <c r="H15" s="187"/>
      <c r="I15" s="187"/>
      <c r="K15" s="244"/>
      <c r="L15" s="187"/>
      <c r="M15" s="187"/>
      <c r="N15" s="245"/>
      <c r="O15" s="187"/>
      <c r="P15" s="187"/>
      <c r="Q15" s="187"/>
    </row>
    <row r="16" spans="2:20" x14ac:dyDescent="0.35">
      <c r="B16" s="34" t="str">
        <f ca="1">Calc!AX11</f>
        <v/>
      </c>
      <c r="C16" s="223" t="str">
        <f ca="1">Calc!AZ11</f>
        <v/>
      </c>
      <c r="D16" s="187"/>
      <c r="E16" s="187"/>
      <c r="F16" s="187"/>
      <c r="G16" s="187"/>
      <c r="H16" s="187"/>
      <c r="I16" s="187"/>
      <c r="K16" s="244"/>
      <c r="L16" s="187"/>
      <c r="M16" s="187"/>
      <c r="N16" s="245"/>
      <c r="O16" s="187"/>
      <c r="P16" s="187"/>
      <c r="Q16" s="187"/>
    </row>
    <row r="17" spans="2:17" x14ac:dyDescent="0.35">
      <c r="B17" s="34" t="str">
        <f ca="1">Calc!AX12</f>
        <v/>
      </c>
      <c r="C17" s="223" t="str">
        <f ca="1">Calc!AZ12</f>
        <v/>
      </c>
      <c r="D17" s="187"/>
      <c r="E17" s="187"/>
      <c r="F17" s="187"/>
      <c r="G17" s="187"/>
      <c r="H17" s="187"/>
      <c r="I17" s="187"/>
      <c r="K17" s="244"/>
      <c r="L17" s="187"/>
      <c r="M17" s="187"/>
      <c r="N17" s="245"/>
      <c r="O17" s="187"/>
      <c r="P17" s="187"/>
      <c r="Q17" s="187"/>
    </row>
    <row r="18" spans="2:17" x14ac:dyDescent="0.35">
      <c r="B18" s="34" t="str">
        <f ca="1">Calc!AX13</f>
        <v/>
      </c>
      <c r="C18" s="223" t="str">
        <f ca="1">Calc!AZ13</f>
        <v/>
      </c>
      <c r="D18" s="187"/>
      <c r="E18" s="187"/>
      <c r="F18" s="187"/>
      <c r="G18" s="187"/>
      <c r="H18" s="187"/>
      <c r="I18" s="187"/>
      <c r="K18" s="244"/>
      <c r="L18" s="187"/>
      <c r="M18" s="187"/>
      <c r="N18" s="245"/>
      <c r="O18" s="187"/>
      <c r="P18" s="187"/>
      <c r="Q18" s="187"/>
    </row>
    <row r="19" spans="2:17" x14ac:dyDescent="0.35">
      <c r="B19" s="34" t="str">
        <f ca="1">Calc!AX14</f>
        <v/>
      </c>
      <c r="C19" s="223" t="str">
        <f ca="1">Calc!AZ14</f>
        <v/>
      </c>
      <c r="D19" s="187"/>
      <c r="E19" s="187"/>
      <c r="F19" s="187"/>
      <c r="G19" s="187"/>
      <c r="H19" s="187"/>
      <c r="I19" s="187"/>
      <c r="K19" s="244"/>
      <c r="L19" s="187"/>
      <c r="M19" s="187"/>
      <c r="N19" s="245"/>
      <c r="O19" s="187"/>
      <c r="P19" s="187"/>
      <c r="Q19" s="187"/>
    </row>
    <row r="20" spans="2:17" x14ac:dyDescent="0.35">
      <c r="B20" s="34" t="str">
        <f ca="1">Calc!AX15</f>
        <v/>
      </c>
      <c r="C20" s="223" t="str">
        <f ca="1">Calc!AZ15</f>
        <v/>
      </c>
      <c r="D20" s="187"/>
      <c r="E20" s="187"/>
      <c r="F20" s="187"/>
      <c r="G20" s="187"/>
      <c r="H20" s="187"/>
      <c r="I20" s="187"/>
      <c r="K20" s="244"/>
      <c r="L20" s="187"/>
      <c r="M20" s="187"/>
      <c r="N20" s="245"/>
      <c r="O20" s="187"/>
      <c r="P20" s="187"/>
      <c r="Q20" s="187"/>
    </row>
    <row r="21" spans="2:17" x14ac:dyDescent="0.35">
      <c r="B21" s="34" t="str">
        <f ca="1">Calc!AX16</f>
        <v/>
      </c>
      <c r="C21" s="223" t="str">
        <f ca="1">Calc!AZ16</f>
        <v/>
      </c>
      <c r="D21" s="187"/>
      <c r="E21" s="187"/>
      <c r="F21" s="187"/>
      <c r="G21" s="187"/>
      <c r="H21" s="187"/>
      <c r="I21" s="187"/>
      <c r="K21" s="244"/>
      <c r="L21" s="187"/>
      <c r="M21" s="187"/>
      <c r="N21" s="245"/>
      <c r="O21" s="187"/>
      <c r="P21" s="187"/>
      <c r="Q21" s="187"/>
    </row>
    <row r="22" spans="2:17" x14ac:dyDescent="0.35">
      <c r="B22" s="34" t="str">
        <f ca="1">Calc!AX17</f>
        <v/>
      </c>
      <c r="C22" s="223" t="str">
        <f ca="1">Calc!AZ17</f>
        <v/>
      </c>
      <c r="D22" s="187"/>
      <c r="E22" s="187"/>
      <c r="F22" s="187"/>
      <c r="G22" s="187"/>
      <c r="H22" s="187"/>
      <c r="I22" s="187"/>
      <c r="K22" s="244"/>
      <c r="L22" s="187"/>
      <c r="M22" s="187"/>
      <c r="N22" s="245"/>
      <c r="O22" s="187"/>
      <c r="P22" s="187"/>
      <c r="Q22" s="187"/>
    </row>
    <row r="23" spans="2:17" x14ac:dyDescent="0.35">
      <c r="B23" s="34" t="str">
        <f ca="1">Calc!AX18</f>
        <v/>
      </c>
      <c r="C23" s="223" t="str">
        <f ca="1">Calc!AZ18</f>
        <v/>
      </c>
      <c r="D23" s="187"/>
      <c r="E23" s="187"/>
      <c r="F23" s="187"/>
      <c r="G23" s="187"/>
      <c r="H23" s="187"/>
      <c r="I23" s="187"/>
      <c r="K23" s="244"/>
      <c r="L23" s="187"/>
      <c r="M23" s="187"/>
      <c r="N23" s="245"/>
      <c r="O23" s="187"/>
      <c r="P23" s="187"/>
      <c r="Q23" s="187"/>
    </row>
    <row r="24" spans="2:17" x14ac:dyDescent="0.35">
      <c r="B24" s="34" t="str">
        <f ca="1">Calc!AX19</f>
        <v/>
      </c>
      <c r="C24" s="223" t="str">
        <f ca="1">Calc!AZ19</f>
        <v/>
      </c>
      <c r="D24" s="187"/>
      <c r="E24" s="187"/>
      <c r="F24" s="187"/>
      <c r="G24" s="187"/>
      <c r="H24" s="187"/>
      <c r="I24" s="187"/>
      <c r="K24" s="244"/>
      <c r="L24" s="187"/>
      <c r="M24" s="187"/>
      <c r="N24" s="245"/>
      <c r="O24" s="187"/>
      <c r="P24" s="187"/>
      <c r="Q24" s="187"/>
    </row>
    <row r="25" spans="2:17" x14ac:dyDescent="0.35">
      <c r="B25" s="34" t="str">
        <f ca="1">Calc!AX20</f>
        <v/>
      </c>
      <c r="C25" s="223" t="str">
        <f ca="1">Calc!AZ20</f>
        <v/>
      </c>
      <c r="D25" s="187"/>
      <c r="E25" s="187"/>
      <c r="F25" s="187"/>
      <c r="G25" s="187"/>
      <c r="H25" s="187"/>
      <c r="I25" s="187"/>
      <c r="K25" s="244"/>
      <c r="L25" s="187"/>
      <c r="M25" s="187"/>
      <c r="N25" s="245"/>
      <c r="O25" s="187"/>
      <c r="P25" s="187"/>
      <c r="Q25" s="187"/>
    </row>
    <row r="26" spans="2:17" x14ac:dyDescent="0.35">
      <c r="B26" s="34" t="str">
        <f ca="1">Calc!AX21</f>
        <v/>
      </c>
      <c r="C26" s="223" t="str">
        <f ca="1">Calc!AZ21</f>
        <v/>
      </c>
      <c r="D26" s="187"/>
      <c r="E26" s="187"/>
      <c r="F26" s="187"/>
      <c r="G26" s="187"/>
      <c r="H26" s="187"/>
      <c r="I26" s="187"/>
      <c r="K26" s="244"/>
      <c r="L26" s="187"/>
      <c r="M26" s="187"/>
      <c r="N26" s="245"/>
      <c r="O26" s="187"/>
      <c r="P26" s="187"/>
      <c r="Q26" s="187"/>
    </row>
    <row r="27" spans="2:17" x14ac:dyDescent="0.35">
      <c r="B27" s="34" t="str">
        <f ca="1">Calc!AX22</f>
        <v/>
      </c>
      <c r="C27" s="223" t="str">
        <f ca="1">Calc!AZ22</f>
        <v/>
      </c>
      <c r="D27" s="187"/>
      <c r="E27" s="187"/>
      <c r="F27" s="187"/>
      <c r="G27" s="187"/>
      <c r="H27" s="187"/>
      <c r="I27" s="187"/>
      <c r="K27" s="244"/>
      <c r="L27" s="187"/>
      <c r="M27" s="187"/>
      <c r="N27" s="245"/>
      <c r="O27" s="187"/>
      <c r="P27" s="187"/>
      <c r="Q27" s="187"/>
    </row>
    <row r="28" spans="2:17" x14ac:dyDescent="0.35">
      <c r="B28" s="34" t="str">
        <f ca="1">Calc!AX23</f>
        <v/>
      </c>
      <c r="C28" s="223" t="str">
        <f ca="1">Calc!AZ23</f>
        <v/>
      </c>
      <c r="D28" s="187"/>
      <c r="E28" s="187"/>
      <c r="F28" s="187"/>
      <c r="G28" s="187"/>
      <c r="H28" s="187"/>
      <c r="I28" s="187"/>
      <c r="K28" s="244"/>
      <c r="L28" s="187"/>
      <c r="M28" s="187"/>
      <c r="N28" s="245"/>
      <c r="O28" s="187"/>
      <c r="P28" s="187"/>
      <c r="Q28" s="187"/>
    </row>
    <row r="29" spans="2:17" x14ac:dyDescent="0.35">
      <c r="B29" s="34" t="str">
        <f ca="1">Calc!AX24</f>
        <v/>
      </c>
      <c r="C29" s="223" t="str">
        <f ca="1">Calc!AZ24</f>
        <v/>
      </c>
      <c r="D29" s="187"/>
      <c r="E29" s="187"/>
      <c r="F29" s="187"/>
      <c r="G29" s="187"/>
      <c r="H29" s="187"/>
      <c r="I29" s="187"/>
      <c r="K29" s="244"/>
      <c r="L29" s="187"/>
      <c r="M29" s="187"/>
      <c r="N29" s="245"/>
      <c r="O29" s="187"/>
      <c r="P29" s="187"/>
      <c r="Q29" s="187"/>
    </row>
    <row r="30" spans="2:17" x14ac:dyDescent="0.35">
      <c r="B30" s="34" t="str">
        <f ca="1">Calc!AX25</f>
        <v/>
      </c>
      <c r="C30" s="223" t="str">
        <f ca="1">Calc!AZ25</f>
        <v/>
      </c>
      <c r="D30" s="187"/>
      <c r="E30" s="187"/>
      <c r="F30" s="187"/>
      <c r="G30" s="187"/>
      <c r="H30" s="187"/>
      <c r="I30" s="187"/>
      <c r="K30" s="244"/>
      <c r="L30" s="187"/>
      <c r="M30" s="187"/>
      <c r="N30" s="245"/>
      <c r="O30" s="187"/>
      <c r="P30" s="187"/>
      <c r="Q30" s="187"/>
    </row>
    <row r="31" spans="2:17" x14ac:dyDescent="0.35">
      <c r="B31" s="34" t="str">
        <f ca="1">Calc!AX26</f>
        <v/>
      </c>
      <c r="C31" s="223" t="str">
        <f ca="1">Calc!AZ26</f>
        <v/>
      </c>
      <c r="D31" s="187"/>
      <c r="E31" s="187"/>
      <c r="F31" s="187"/>
      <c r="G31" s="187"/>
      <c r="H31" s="187"/>
      <c r="I31" s="187"/>
      <c r="K31" s="244"/>
      <c r="L31" s="187"/>
      <c r="M31" s="187"/>
      <c r="N31" s="245"/>
      <c r="O31" s="187"/>
      <c r="P31" s="187"/>
      <c r="Q31" s="187"/>
    </row>
    <row r="32" spans="2:17" x14ac:dyDescent="0.35">
      <c r="B32" s="34" t="str">
        <f ca="1">Calc!AX27</f>
        <v/>
      </c>
      <c r="C32" s="223" t="str">
        <f ca="1">Calc!AZ27</f>
        <v/>
      </c>
      <c r="D32" s="187"/>
      <c r="E32" s="187"/>
      <c r="F32" s="187"/>
      <c r="G32" s="187"/>
      <c r="H32" s="187"/>
      <c r="I32" s="187"/>
      <c r="K32" s="244"/>
      <c r="L32" s="187"/>
      <c r="M32" s="187"/>
      <c r="N32" s="245"/>
      <c r="O32" s="187"/>
      <c r="P32" s="187"/>
      <c r="Q32" s="187"/>
    </row>
    <row r="33" spans="2:17" x14ac:dyDescent="0.35">
      <c r="B33" s="34" t="str">
        <f ca="1">Calc!AX28</f>
        <v/>
      </c>
      <c r="C33" s="223" t="str">
        <f ca="1">Calc!AZ28</f>
        <v/>
      </c>
      <c r="D33" s="187"/>
      <c r="E33" s="187"/>
      <c r="F33" s="187"/>
      <c r="G33" s="187"/>
      <c r="H33" s="187"/>
      <c r="I33" s="187"/>
      <c r="K33" s="244"/>
      <c r="L33" s="187"/>
      <c r="M33" s="187"/>
      <c r="N33" s="245"/>
      <c r="O33" s="187"/>
      <c r="P33" s="187"/>
      <c r="Q33" s="187"/>
    </row>
    <row r="34" spans="2:17" x14ac:dyDescent="0.35">
      <c r="B34" s="34" t="str">
        <f ca="1">Calc!AX29</f>
        <v/>
      </c>
      <c r="C34" s="223" t="str">
        <f ca="1">Calc!AZ29</f>
        <v/>
      </c>
      <c r="D34" s="187"/>
      <c r="E34" s="187"/>
      <c r="F34" s="187"/>
      <c r="G34" s="187"/>
      <c r="H34" s="187"/>
      <c r="I34" s="187"/>
      <c r="K34" s="244"/>
      <c r="L34" s="187"/>
      <c r="M34" s="187"/>
      <c r="N34" s="245"/>
      <c r="O34" s="187"/>
      <c r="P34" s="187"/>
      <c r="Q34" s="187"/>
    </row>
    <row r="35" spans="2:17" x14ac:dyDescent="0.35">
      <c r="B35" s="34" t="str">
        <f ca="1">Calc!AX30</f>
        <v/>
      </c>
      <c r="C35" s="223" t="str">
        <f ca="1">Calc!AZ30</f>
        <v/>
      </c>
      <c r="D35" s="187"/>
      <c r="E35" s="187"/>
      <c r="F35" s="187"/>
      <c r="G35" s="187"/>
      <c r="H35" s="187"/>
      <c r="I35" s="187"/>
      <c r="K35" s="244"/>
      <c r="L35" s="187"/>
      <c r="M35" s="187"/>
      <c r="N35" s="245"/>
      <c r="O35" s="187"/>
      <c r="P35" s="187"/>
      <c r="Q35" s="187"/>
    </row>
    <row r="36" spans="2:17" x14ac:dyDescent="0.35">
      <c r="B36" s="34" t="str">
        <f ca="1">Calc!AX31</f>
        <v/>
      </c>
      <c r="C36" s="223" t="str">
        <f ca="1">Calc!AZ31</f>
        <v/>
      </c>
      <c r="D36" s="187"/>
      <c r="E36" s="187"/>
      <c r="F36" s="187"/>
      <c r="G36" s="187"/>
      <c r="H36" s="187"/>
      <c r="I36" s="187"/>
      <c r="K36" s="244"/>
      <c r="L36" s="187"/>
      <c r="M36" s="187"/>
      <c r="N36" s="245"/>
      <c r="O36" s="187"/>
      <c r="P36" s="187"/>
      <c r="Q36" s="187"/>
    </row>
    <row r="37" spans="2:17" x14ac:dyDescent="0.35">
      <c r="B37" s="34" t="str">
        <f ca="1">Calc!AX32</f>
        <v/>
      </c>
      <c r="C37" s="223" t="str">
        <f ca="1">Calc!AZ32</f>
        <v/>
      </c>
      <c r="D37" s="187"/>
      <c r="E37" s="187"/>
      <c r="F37" s="187"/>
      <c r="G37" s="187"/>
      <c r="H37" s="187"/>
      <c r="I37" s="187"/>
      <c r="K37" s="244"/>
      <c r="L37" s="187"/>
      <c r="M37" s="187"/>
      <c r="N37" s="245"/>
      <c r="O37" s="187"/>
      <c r="P37" s="187"/>
      <c r="Q37" s="187"/>
    </row>
    <row r="38" spans="2:17" x14ac:dyDescent="0.35">
      <c r="B38" s="34" t="str">
        <f ca="1">Calc!AX33</f>
        <v/>
      </c>
      <c r="C38" s="223" t="str">
        <f ca="1">Calc!AZ33</f>
        <v/>
      </c>
      <c r="D38" s="187"/>
      <c r="E38" s="187"/>
      <c r="F38" s="187"/>
      <c r="G38" s="187"/>
      <c r="H38" s="187"/>
      <c r="I38" s="187"/>
      <c r="K38" s="244"/>
      <c r="L38" s="187"/>
      <c r="M38" s="187"/>
      <c r="N38" s="245"/>
      <c r="O38" s="187"/>
      <c r="P38" s="187"/>
      <c r="Q38" s="187"/>
    </row>
    <row r="39" spans="2:17" x14ac:dyDescent="0.35">
      <c r="B39" s="34" t="str">
        <f ca="1">Calc!AX34</f>
        <v/>
      </c>
      <c r="C39" s="223" t="str">
        <f ca="1">Calc!AZ34</f>
        <v/>
      </c>
      <c r="D39" s="187"/>
      <c r="E39" s="187"/>
      <c r="F39" s="187"/>
      <c r="G39" s="187"/>
      <c r="H39" s="187"/>
      <c r="I39" s="187"/>
      <c r="K39" s="244"/>
      <c r="L39" s="187"/>
      <c r="M39" s="187"/>
      <c r="N39" s="245"/>
      <c r="O39" s="187"/>
      <c r="P39" s="187"/>
      <c r="Q39" s="187"/>
    </row>
    <row r="40" spans="2:17" x14ac:dyDescent="0.35">
      <c r="B40" s="34" t="str">
        <f ca="1">Calc!AX35</f>
        <v/>
      </c>
      <c r="C40" s="223" t="str">
        <f ca="1">Calc!AZ35</f>
        <v/>
      </c>
      <c r="D40" s="187"/>
      <c r="E40" s="187"/>
      <c r="F40" s="187"/>
      <c r="G40" s="187"/>
      <c r="H40" s="187"/>
      <c r="I40" s="187"/>
      <c r="K40" s="244"/>
      <c r="L40" s="187"/>
      <c r="M40" s="187"/>
      <c r="N40" s="245"/>
      <c r="O40" s="187"/>
      <c r="P40" s="187"/>
      <c r="Q40" s="187"/>
    </row>
    <row r="41" spans="2:17" x14ac:dyDescent="0.35">
      <c r="B41" s="34" t="str">
        <f ca="1">Calc!AX36</f>
        <v/>
      </c>
      <c r="C41" s="223" t="str">
        <f ca="1">Calc!AZ36</f>
        <v/>
      </c>
      <c r="D41" s="187"/>
      <c r="E41" s="187"/>
      <c r="F41" s="187"/>
      <c r="G41" s="187"/>
      <c r="H41" s="187"/>
      <c r="I41" s="187"/>
      <c r="K41" s="244"/>
      <c r="L41" s="187"/>
      <c r="M41" s="187"/>
      <c r="N41" s="245"/>
      <c r="O41" s="187"/>
      <c r="P41" s="187"/>
      <c r="Q41" s="187"/>
    </row>
    <row r="42" spans="2:17" x14ac:dyDescent="0.35">
      <c r="B42" s="34" t="str">
        <f ca="1">Calc!AX37</f>
        <v/>
      </c>
      <c r="C42" s="223" t="str">
        <f ca="1">Calc!AZ37</f>
        <v/>
      </c>
      <c r="D42" s="187"/>
      <c r="E42" s="187"/>
      <c r="F42" s="187"/>
      <c r="G42" s="187"/>
      <c r="H42" s="187"/>
      <c r="I42" s="187"/>
      <c r="K42" s="244"/>
      <c r="L42" s="187"/>
      <c r="M42" s="187"/>
      <c r="N42" s="245"/>
      <c r="O42" s="187"/>
      <c r="P42" s="187"/>
      <c r="Q42" s="187"/>
    </row>
    <row r="43" spans="2:17" x14ac:dyDescent="0.35">
      <c r="B43" s="34" t="str">
        <f ca="1">Calc!AX38</f>
        <v/>
      </c>
      <c r="C43" s="223" t="str">
        <f ca="1">Calc!AZ38</f>
        <v/>
      </c>
      <c r="D43" s="187"/>
      <c r="E43" s="187"/>
      <c r="F43" s="187"/>
      <c r="G43" s="187"/>
      <c r="H43" s="187"/>
      <c r="I43" s="187"/>
      <c r="K43" s="244"/>
      <c r="L43" s="187"/>
      <c r="M43" s="187"/>
      <c r="N43" s="245"/>
      <c r="O43" s="187"/>
      <c r="P43" s="187"/>
      <c r="Q43" s="187"/>
    </row>
    <row r="44" spans="2:17" x14ac:dyDescent="0.35">
      <c r="B44" s="34" t="str">
        <f ca="1">Calc!AX39</f>
        <v/>
      </c>
      <c r="C44" s="223" t="str">
        <f ca="1">Calc!AZ39</f>
        <v/>
      </c>
      <c r="D44" s="187"/>
      <c r="E44" s="187"/>
      <c r="F44" s="187"/>
      <c r="G44" s="187"/>
      <c r="H44" s="187"/>
      <c r="I44" s="187"/>
      <c r="K44" s="244"/>
      <c r="L44" s="187"/>
      <c r="M44" s="187"/>
      <c r="N44" s="245"/>
      <c r="O44" s="187"/>
      <c r="P44" s="187"/>
      <c r="Q44" s="187"/>
    </row>
    <row r="45" spans="2:17" x14ac:dyDescent="0.35">
      <c r="B45" s="34" t="str">
        <f ca="1">Calc!AX40</f>
        <v/>
      </c>
      <c r="C45" s="223" t="str">
        <f ca="1">Calc!AZ40</f>
        <v/>
      </c>
      <c r="D45" s="187"/>
      <c r="E45" s="187"/>
      <c r="F45" s="187"/>
      <c r="G45" s="187"/>
      <c r="H45" s="187"/>
      <c r="I45" s="187"/>
      <c r="K45" s="244"/>
      <c r="L45" s="187"/>
      <c r="M45" s="187"/>
      <c r="N45" s="245"/>
      <c r="O45" s="187"/>
      <c r="P45" s="187"/>
      <c r="Q45" s="187"/>
    </row>
    <row r="46" spans="2:17" x14ac:dyDescent="0.35">
      <c r="B46" s="34" t="str">
        <f ca="1">Calc!AX41</f>
        <v/>
      </c>
      <c r="C46" s="223" t="str">
        <f ca="1">Calc!AZ41</f>
        <v/>
      </c>
      <c r="D46" s="187"/>
      <c r="E46" s="187"/>
      <c r="F46" s="187"/>
      <c r="G46" s="187"/>
      <c r="H46" s="187"/>
      <c r="I46" s="187"/>
      <c r="K46" s="244"/>
      <c r="L46" s="187"/>
      <c r="M46" s="187"/>
      <c r="N46" s="245"/>
      <c r="O46" s="187"/>
      <c r="P46" s="187"/>
      <c r="Q46" s="187"/>
    </row>
    <row r="47" spans="2:17" x14ac:dyDescent="0.35">
      <c r="B47" s="34" t="str">
        <f ca="1">Calc!AX42</f>
        <v/>
      </c>
      <c r="C47" s="223" t="str">
        <f ca="1">Calc!AZ42</f>
        <v/>
      </c>
      <c r="D47" s="187"/>
      <c r="E47" s="187"/>
      <c r="F47" s="187"/>
      <c r="G47" s="187"/>
      <c r="H47" s="187"/>
      <c r="I47" s="187"/>
      <c r="K47" s="244"/>
      <c r="L47" s="187"/>
      <c r="M47" s="187"/>
      <c r="N47" s="245"/>
      <c r="O47" s="187"/>
      <c r="P47" s="187"/>
      <c r="Q47" s="187"/>
    </row>
    <row r="48" spans="2:17" x14ac:dyDescent="0.35">
      <c r="B48" s="34" t="str">
        <f ca="1">Calc!AX43</f>
        <v/>
      </c>
      <c r="C48" s="223" t="str">
        <f ca="1">Calc!AZ43</f>
        <v/>
      </c>
      <c r="D48" s="187"/>
      <c r="E48" s="187"/>
      <c r="F48" s="187"/>
      <c r="G48" s="187"/>
      <c r="H48" s="187"/>
      <c r="I48" s="187"/>
      <c r="K48" s="244"/>
      <c r="L48" s="187"/>
      <c r="M48" s="187"/>
      <c r="N48" s="245"/>
      <c r="O48" s="187"/>
      <c r="P48" s="187"/>
      <c r="Q48" s="187"/>
    </row>
    <row r="49" spans="2:17" x14ac:dyDescent="0.35">
      <c r="B49" s="34" t="str">
        <f ca="1">Calc!AX44</f>
        <v/>
      </c>
      <c r="C49" s="223" t="str">
        <f ca="1">Calc!AZ44</f>
        <v/>
      </c>
      <c r="D49" s="187"/>
      <c r="E49" s="187"/>
      <c r="F49" s="187"/>
      <c r="G49" s="187"/>
      <c r="H49" s="187"/>
      <c r="I49" s="187"/>
      <c r="K49" s="244"/>
      <c r="L49" s="187"/>
      <c r="M49" s="187"/>
      <c r="N49" s="245"/>
      <c r="O49" s="187"/>
      <c r="P49" s="187"/>
      <c r="Q49" s="187"/>
    </row>
    <row r="50" spans="2:17" x14ac:dyDescent="0.35">
      <c r="B50" s="34" t="str">
        <f ca="1">Calc!AX45</f>
        <v/>
      </c>
      <c r="C50" s="223" t="str">
        <f ca="1">Calc!AZ45</f>
        <v/>
      </c>
      <c r="D50" s="187"/>
      <c r="E50" s="187"/>
      <c r="F50" s="187"/>
      <c r="G50" s="187"/>
      <c r="H50" s="187"/>
      <c r="I50" s="187"/>
      <c r="K50" s="244"/>
      <c r="L50" s="187"/>
      <c r="M50" s="187"/>
      <c r="N50" s="245"/>
      <c r="O50" s="187"/>
      <c r="P50" s="187"/>
      <c r="Q50" s="187"/>
    </row>
    <row r="51" spans="2:17" x14ac:dyDescent="0.35">
      <c r="B51" s="34" t="str">
        <f ca="1">Calc!AX46</f>
        <v/>
      </c>
      <c r="C51" s="223" t="str">
        <f ca="1">Calc!AZ46</f>
        <v/>
      </c>
      <c r="D51" s="187"/>
      <c r="E51" s="187"/>
      <c r="F51" s="187"/>
      <c r="G51" s="187"/>
      <c r="H51" s="187"/>
      <c r="I51" s="187"/>
      <c r="K51" s="244"/>
      <c r="L51" s="187"/>
      <c r="M51" s="187"/>
      <c r="N51" s="245"/>
      <c r="O51" s="187"/>
      <c r="P51" s="187"/>
      <c r="Q51" s="187"/>
    </row>
    <row r="52" spans="2:17" x14ac:dyDescent="0.35">
      <c r="B52" s="34" t="str">
        <f ca="1">Calc!AX47</f>
        <v/>
      </c>
      <c r="C52" s="223" t="str">
        <f ca="1">Calc!AZ47</f>
        <v/>
      </c>
      <c r="D52" s="187"/>
      <c r="E52" s="187"/>
      <c r="F52" s="187"/>
      <c r="G52" s="187"/>
      <c r="H52" s="187"/>
      <c r="I52" s="187"/>
      <c r="K52" s="244"/>
      <c r="L52" s="187"/>
      <c r="M52" s="187"/>
      <c r="N52" s="245"/>
      <c r="O52" s="187"/>
      <c r="P52" s="187"/>
      <c r="Q52" s="187"/>
    </row>
    <row r="53" spans="2:17" ht="15" x14ac:dyDescent="0.25">
      <c r="B53" s="34" t="str">
        <f ca="1">Calc!AX48</f>
        <v/>
      </c>
      <c r="C53" s="223" t="str">
        <f ca="1">Calc!AZ48</f>
        <v/>
      </c>
      <c r="D53" s="187"/>
      <c r="E53" s="187"/>
      <c r="F53" s="187"/>
      <c r="G53" s="187"/>
      <c r="H53" s="187"/>
      <c r="I53" s="187"/>
      <c r="K53" s="244"/>
      <c r="L53" s="187"/>
      <c r="M53" s="187"/>
      <c r="N53" s="245"/>
      <c r="O53" s="187"/>
      <c r="P53" s="187"/>
      <c r="Q53" s="187"/>
    </row>
    <row r="54" spans="2:17" ht="15" x14ac:dyDescent="0.25">
      <c r="B54" s="34" t="str">
        <f ca="1">Calc!AX49</f>
        <v/>
      </c>
      <c r="C54" s="223" t="str">
        <f ca="1">Calc!AZ49</f>
        <v/>
      </c>
      <c r="D54" s="187"/>
      <c r="E54" s="187"/>
      <c r="F54" s="187"/>
      <c r="G54" s="187"/>
      <c r="H54" s="187"/>
      <c r="I54" s="187"/>
      <c r="K54" s="244"/>
      <c r="L54" s="187"/>
      <c r="M54" s="187"/>
      <c r="N54" s="245"/>
      <c r="O54" s="187"/>
      <c r="P54" s="187"/>
      <c r="Q54" s="187"/>
    </row>
    <row r="55" spans="2:17" ht="15" x14ac:dyDescent="0.25">
      <c r="B55" s="34" t="str">
        <f ca="1">Calc!AX50</f>
        <v/>
      </c>
      <c r="C55" s="223" t="str">
        <f ca="1">Calc!AZ50</f>
        <v/>
      </c>
      <c r="D55" s="187"/>
      <c r="E55" s="187"/>
      <c r="F55" s="187"/>
      <c r="G55" s="187"/>
      <c r="H55" s="187"/>
      <c r="I55" s="187"/>
      <c r="K55" s="244"/>
      <c r="L55" s="187"/>
      <c r="M55" s="187"/>
      <c r="N55" s="245"/>
      <c r="O55" s="187"/>
      <c r="P55" s="187"/>
      <c r="Q55" s="187"/>
    </row>
    <row r="56" spans="2:17" ht="15" x14ac:dyDescent="0.25">
      <c r="B56" s="34" t="str">
        <f ca="1">Calc!AX51</f>
        <v/>
      </c>
      <c r="C56" s="223" t="str">
        <f ca="1">Calc!AZ51</f>
        <v/>
      </c>
      <c r="D56" s="187"/>
      <c r="E56" s="187"/>
      <c r="F56" s="187"/>
      <c r="G56" s="187"/>
      <c r="H56" s="187"/>
      <c r="I56" s="187"/>
      <c r="K56" s="244"/>
      <c r="L56" s="187"/>
      <c r="M56" s="187"/>
      <c r="N56" s="245"/>
      <c r="O56" s="187"/>
      <c r="P56" s="187"/>
      <c r="Q56" s="187"/>
    </row>
    <row r="57" spans="2:17" ht="15" x14ac:dyDescent="0.25">
      <c r="B57" s="34" t="str">
        <f ca="1">Calc!AX52</f>
        <v/>
      </c>
      <c r="C57" s="223" t="str">
        <f ca="1">Calc!AZ52</f>
        <v/>
      </c>
      <c r="D57" s="187"/>
      <c r="E57" s="187"/>
      <c r="F57" s="187"/>
      <c r="G57" s="187"/>
      <c r="H57" s="187"/>
      <c r="I57" s="187"/>
      <c r="K57" s="244"/>
      <c r="L57" s="187"/>
      <c r="M57" s="187"/>
      <c r="N57" s="245"/>
      <c r="O57" s="187"/>
      <c r="P57" s="187"/>
      <c r="Q57" s="187"/>
    </row>
    <row r="58" spans="2:17" ht="15" x14ac:dyDescent="0.25">
      <c r="B58" s="34" t="str">
        <f ca="1">Calc!AX53</f>
        <v/>
      </c>
      <c r="C58" s="223" t="str">
        <f ca="1">Calc!AZ53</f>
        <v/>
      </c>
      <c r="D58" s="187"/>
      <c r="E58" s="187"/>
      <c r="F58" s="187"/>
      <c r="G58" s="187"/>
      <c r="H58" s="187"/>
      <c r="I58" s="187"/>
      <c r="K58" s="244"/>
      <c r="L58" s="187"/>
      <c r="M58" s="187"/>
      <c r="N58" s="245"/>
      <c r="O58" s="187"/>
      <c r="P58" s="187"/>
      <c r="Q58" s="187"/>
    </row>
    <row r="59" spans="2:17" ht="15" x14ac:dyDescent="0.25">
      <c r="B59" s="34" t="str">
        <f ca="1">Calc!AX54</f>
        <v/>
      </c>
      <c r="C59" s="223" t="str">
        <f ca="1">Calc!AZ54</f>
        <v/>
      </c>
      <c r="D59" s="187"/>
      <c r="E59" s="187"/>
      <c r="F59" s="187"/>
      <c r="G59" s="187"/>
      <c r="H59" s="187"/>
      <c r="I59" s="187"/>
      <c r="K59" s="244"/>
      <c r="L59" s="187"/>
      <c r="M59" s="187"/>
      <c r="N59" s="245"/>
      <c r="O59" s="187"/>
      <c r="P59" s="187"/>
      <c r="Q59" s="187"/>
    </row>
    <row r="60" spans="2:17" ht="15" x14ac:dyDescent="0.25">
      <c r="B60" s="34" t="str">
        <f ca="1">Calc!AX55</f>
        <v/>
      </c>
      <c r="C60" s="223" t="str">
        <f ca="1">Calc!AZ55</f>
        <v/>
      </c>
      <c r="D60" s="187"/>
      <c r="E60" s="187"/>
      <c r="F60" s="187"/>
      <c r="G60" s="187"/>
      <c r="H60" s="187"/>
      <c r="I60" s="187"/>
      <c r="K60" s="244"/>
      <c r="L60" s="187"/>
      <c r="M60" s="187"/>
      <c r="N60" s="245"/>
      <c r="O60" s="187"/>
      <c r="P60" s="187"/>
      <c r="Q60" s="187"/>
    </row>
    <row r="61" spans="2:17" ht="15" x14ac:dyDescent="0.25">
      <c r="B61" s="34" t="str">
        <f ca="1">Calc!AX56</f>
        <v/>
      </c>
      <c r="C61" s="223" t="str">
        <f ca="1">Calc!AZ56</f>
        <v/>
      </c>
      <c r="D61" s="187"/>
      <c r="E61" s="187"/>
      <c r="F61" s="187"/>
      <c r="G61" s="187"/>
      <c r="H61" s="187"/>
      <c r="I61" s="187"/>
      <c r="K61" s="244"/>
      <c r="L61" s="187"/>
      <c r="M61" s="187"/>
      <c r="N61" s="245"/>
      <c r="O61" s="187"/>
      <c r="P61" s="187"/>
      <c r="Q61" s="187"/>
    </row>
    <row r="62" spans="2:17" ht="15" x14ac:dyDescent="0.25">
      <c r="B62" s="34" t="str">
        <f ca="1">Calc!AX57</f>
        <v/>
      </c>
      <c r="C62" s="223" t="str">
        <f ca="1">Calc!AZ57</f>
        <v/>
      </c>
      <c r="D62" s="187"/>
      <c r="E62" s="187"/>
      <c r="F62" s="187"/>
      <c r="G62" s="187"/>
      <c r="H62" s="187"/>
      <c r="I62" s="187"/>
      <c r="K62" s="244"/>
      <c r="L62" s="187"/>
      <c r="M62" s="187"/>
      <c r="N62" s="245"/>
      <c r="O62" s="187"/>
      <c r="P62" s="187"/>
      <c r="Q62" s="187"/>
    </row>
    <row r="63" spans="2:17" ht="15" x14ac:dyDescent="0.25">
      <c r="B63" s="34" t="str">
        <f ca="1">Calc!AX58</f>
        <v/>
      </c>
      <c r="C63" s="223" t="str">
        <f ca="1">Calc!AZ58</f>
        <v/>
      </c>
      <c r="D63" s="187"/>
      <c r="E63" s="187"/>
      <c r="F63" s="187"/>
      <c r="G63" s="187"/>
      <c r="H63" s="187"/>
      <c r="I63" s="187"/>
      <c r="K63" s="244"/>
      <c r="L63" s="187"/>
      <c r="M63" s="187"/>
      <c r="N63" s="245"/>
      <c r="O63" s="187"/>
      <c r="P63" s="187"/>
      <c r="Q63" s="187"/>
    </row>
    <row r="64" spans="2:17" ht="15" x14ac:dyDescent="0.25">
      <c r="B64" s="34" t="str">
        <f ca="1">Calc!AX59</f>
        <v/>
      </c>
      <c r="C64" s="223" t="str">
        <f ca="1">Calc!AZ59</f>
        <v/>
      </c>
      <c r="D64" s="187"/>
      <c r="E64" s="187"/>
      <c r="F64" s="187"/>
      <c r="G64" s="187"/>
      <c r="H64" s="187"/>
      <c r="I64" s="187"/>
      <c r="K64" s="244"/>
      <c r="L64" s="187"/>
      <c r="M64" s="187"/>
      <c r="N64" s="245"/>
      <c r="O64" s="187"/>
      <c r="P64" s="187"/>
      <c r="Q64" s="187"/>
    </row>
    <row r="65" spans="2:17" ht="15" x14ac:dyDescent="0.25">
      <c r="B65" s="34" t="str">
        <f ca="1">Calc!AX60</f>
        <v/>
      </c>
      <c r="C65" s="223" t="str">
        <f ca="1">Calc!AZ60</f>
        <v/>
      </c>
      <c r="D65" s="187"/>
      <c r="E65" s="187"/>
      <c r="F65" s="187"/>
      <c r="G65" s="187"/>
      <c r="H65" s="187"/>
      <c r="I65" s="187"/>
      <c r="K65" s="244"/>
      <c r="L65" s="187"/>
      <c r="M65" s="187"/>
      <c r="N65" s="245"/>
      <c r="O65" s="187"/>
      <c r="P65" s="187"/>
      <c r="Q65" s="187"/>
    </row>
    <row r="66" spans="2:17" ht="15" x14ac:dyDescent="0.25">
      <c r="B66" s="34" t="str">
        <f ca="1">Calc!AX61</f>
        <v/>
      </c>
      <c r="C66" s="223" t="str">
        <f ca="1">Calc!AZ61</f>
        <v/>
      </c>
      <c r="D66" s="187"/>
      <c r="E66" s="187"/>
      <c r="F66" s="187"/>
      <c r="G66" s="187"/>
      <c r="H66" s="187"/>
      <c r="I66" s="187"/>
      <c r="K66" s="244"/>
      <c r="L66" s="187"/>
      <c r="M66" s="187"/>
      <c r="N66" s="245"/>
      <c r="O66" s="187"/>
      <c r="P66" s="187"/>
      <c r="Q66" s="187"/>
    </row>
    <row r="67" spans="2:17" ht="15" x14ac:dyDescent="0.25">
      <c r="B67" s="34" t="str">
        <f ca="1">Calc!AX62</f>
        <v/>
      </c>
      <c r="C67" s="223" t="str">
        <f ca="1">Calc!AZ62</f>
        <v/>
      </c>
      <c r="D67" s="187"/>
      <c r="E67" s="187"/>
      <c r="F67" s="187"/>
      <c r="G67" s="187"/>
      <c r="H67" s="187"/>
      <c r="I67" s="187"/>
      <c r="K67" s="244"/>
      <c r="L67" s="187"/>
      <c r="M67" s="187"/>
      <c r="N67" s="245"/>
      <c r="O67" s="187"/>
      <c r="P67" s="187"/>
      <c r="Q67" s="187"/>
    </row>
    <row r="68" spans="2:17" ht="15" x14ac:dyDescent="0.25">
      <c r="B68" s="34" t="str">
        <f ca="1">Calc!AX63</f>
        <v/>
      </c>
      <c r="C68" s="223" t="str">
        <f ca="1">Calc!AZ63</f>
        <v/>
      </c>
      <c r="D68" s="187"/>
      <c r="E68" s="187"/>
      <c r="F68" s="187"/>
      <c r="G68" s="187"/>
      <c r="H68" s="187"/>
      <c r="I68" s="187"/>
      <c r="K68" s="244"/>
      <c r="L68" s="187"/>
      <c r="M68" s="187"/>
      <c r="N68" s="245"/>
      <c r="O68" s="187"/>
      <c r="P68" s="187"/>
      <c r="Q68" s="187"/>
    </row>
    <row r="69" spans="2:17" ht="15" x14ac:dyDescent="0.25">
      <c r="B69" s="34" t="str">
        <f ca="1">Calc!AX64</f>
        <v/>
      </c>
      <c r="C69" s="223" t="str">
        <f ca="1">Calc!AZ64</f>
        <v/>
      </c>
      <c r="D69" s="187"/>
      <c r="E69" s="187"/>
      <c r="F69" s="187"/>
      <c r="G69" s="187"/>
      <c r="H69" s="187"/>
      <c r="I69" s="187"/>
      <c r="K69" s="244"/>
      <c r="L69" s="187"/>
      <c r="M69" s="187"/>
      <c r="N69" s="245"/>
      <c r="O69" s="187"/>
      <c r="P69" s="187"/>
      <c r="Q69" s="187"/>
    </row>
    <row r="70" spans="2:17" ht="15" x14ac:dyDescent="0.25">
      <c r="B70" s="34" t="str">
        <f ca="1">Calc!AX65</f>
        <v/>
      </c>
      <c r="C70" s="223" t="str">
        <f ca="1">Calc!AZ65</f>
        <v/>
      </c>
      <c r="D70" s="187"/>
      <c r="E70" s="187"/>
      <c r="F70" s="187"/>
      <c r="G70" s="187"/>
      <c r="H70" s="187"/>
      <c r="I70" s="187"/>
      <c r="K70" s="244"/>
      <c r="L70" s="187"/>
      <c r="M70" s="187"/>
      <c r="N70" s="245"/>
      <c r="O70" s="187"/>
      <c r="P70" s="187"/>
      <c r="Q70" s="187"/>
    </row>
    <row r="71" spans="2:17" ht="15" x14ac:dyDescent="0.25">
      <c r="B71" s="34" t="str">
        <f ca="1">Calc!AX66</f>
        <v/>
      </c>
      <c r="C71" s="223" t="str">
        <f ca="1">Calc!AZ66</f>
        <v/>
      </c>
      <c r="D71" s="187"/>
      <c r="E71" s="187"/>
      <c r="F71" s="187"/>
      <c r="G71" s="187"/>
      <c r="H71" s="187"/>
      <c r="I71" s="187"/>
      <c r="K71" s="244"/>
      <c r="L71" s="187"/>
      <c r="M71" s="187"/>
      <c r="N71" s="245"/>
      <c r="O71" s="187"/>
      <c r="P71" s="187"/>
      <c r="Q71" s="187"/>
    </row>
    <row r="72" spans="2:17" ht="15" x14ac:dyDescent="0.25">
      <c r="B72" s="34" t="str">
        <f ca="1">Calc!AX67</f>
        <v/>
      </c>
      <c r="C72" s="223" t="str">
        <f ca="1">Calc!AZ67</f>
        <v/>
      </c>
      <c r="D72" s="187"/>
      <c r="E72" s="187"/>
      <c r="F72" s="187"/>
      <c r="G72" s="187"/>
      <c r="H72" s="187"/>
      <c r="I72" s="187"/>
      <c r="K72" s="244"/>
      <c r="L72" s="187"/>
      <c r="M72" s="187"/>
      <c r="N72" s="245"/>
      <c r="O72" s="187"/>
      <c r="P72" s="187"/>
      <c r="Q72" s="187"/>
    </row>
    <row r="73" spans="2:17" ht="15" x14ac:dyDescent="0.25">
      <c r="B73" s="34" t="str">
        <f ca="1">Calc!AX68</f>
        <v/>
      </c>
      <c r="C73" s="223" t="str">
        <f ca="1">Calc!AZ68</f>
        <v/>
      </c>
      <c r="D73" s="187"/>
      <c r="E73" s="187"/>
      <c r="F73" s="187"/>
      <c r="G73" s="187"/>
      <c r="H73" s="187"/>
      <c r="I73" s="187"/>
      <c r="K73" s="244"/>
      <c r="L73" s="187"/>
      <c r="M73" s="187"/>
      <c r="N73" s="245"/>
      <c r="O73" s="187"/>
      <c r="P73" s="187"/>
      <c r="Q73" s="187"/>
    </row>
    <row r="74" spans="2:17" ht="15" x14ac:dyDescent="0.25">
      <c r="B74" s="34" t="str">
        <f ca="1">Calc!AX69</f>
        <v/>
      </c>
      <c r="C74" s="223" t="str">
        <f ca="1">Calc!AZ69</f>
        <v/>
      </c>
      <c r="D74" s="187"/>
      <c r="E74" s="187"/>
      <c r="F74" s="187"/>
      <c r="G74" s="187"/>
      <c r="H74" s="187"/>
      <c r="I74" s="187"/>
      <c r="K74" s="244"/>
      <c r="L74" s="187"/>
      <c r="M74" s="187"/>
      <c r="N74" s="245"/>
      <c r="O74" s="187"/>
      <c r="P74" s="187"/>
      <c r="Q74" s="187"/>
    </row>
    <row r="75" spans="2:17" ht="15" x14ac:dyDescent="0.25">
      <c r="B75" s="34" t="str">
        <f ca="1">Calc!AX70</f>
        <v/>
      </c>
      <c r="C75" s="223" t="str">
        <f ca="1">Calc!AZ70</f>
        <v/>
      </c>
      <c r="D75" s="187"/>
      <c r="E75" s="187"/>
      <c r="F75" s="187"/>
      <c r="G75" s="187"/>
      <c r="H75" s="187"/>
      <c r="I75" s="187"/>
      <c r="K75" s="244"/>
      <c r="L75" s="187"/>
      <c r="M75" s="187"/>
      <c r="N75" s="245"/>
      <c r="O75" s="187"/>
      <c r="P75" s="187"/>
      <c r="Q75" s="187"/>
    </row>
    <row r="76" spans="2:17" ht="15" x14ac:dyDescent="0.25">
      <c r="B76" s="34" t="str">
        <f ca="1">Calc!AX71</f>
        <v/>
      </c>
      <c r="C76" s="223" t="str">
        <f ca="1">Calc!AZ71</f>
        <v/>
      </c>
      <c r="D76" s="187"/>
      <c r="E76" s="187"/>
      <c r="F76" s="187"/>
      <c r="G76" s="187"/>
      <c r="H76" s="187"/>
      <c r="I76" s="187"/>
      <c r="K76" s="244"/>
      <c r="L76" s="187"/>
      <c r="M76" s="187"/>
      <c r="N76" s="245"/>
      <c r="O76" s="187"/>
      <c r="P76" s="187"/>
      <c r="Q76" s="187"/>
    </row>
    <row r="77" spans="2:17" ht="15" x14ac:dyDescent="0.25">
      <c r="B77" s="34" t="str">
        <f ca="1">Calc!AX72</f>
        <v/>
      </c>
      <c r="C77" s="223" t="str">
        <f ca="1">Calc!AZ72</f>
        <v/>
      </c>
      <c r="D77" s="187"/>
      <c r="E77" s="187"/>
      <c r="F77" s="187"/>
      <c r="G77" s="187"/>
      <c r="H77" s="187"/>
      <c r="I77" s="187"/>
      <c r="K77" s="244"/>
      <c r="L77" s="187"/>
      <c r="M77" s="187"/>
      <c r="N77" s="245"/>
      <c r="O77" s="187"/>
      <c r="P77" s="187"/>
      <c r="Q77" s="187"/>
    </row>
    <row r="78" spans="2:17" ht="15" x14ac:dyDescent="0.25">
      <c r="B78" s="34" t="str">
        <f ca="1">Calc!AX73</f>
        <v/>
      </c>
      <c r="C78" s="223" t="str">
        <f ca="1">Calc!AZ73</f>
        <v/>
      </c>
      <c r="D78" s="187"/>
      <c r="E78" s="187"/>
      <c r="F78" s="187"/>
      <c r="G78" s="187"/>
      <c r="H78" s="187"/>
      <c r="I78" s="187"/>
      <c r="K78" s="244"/>
      <c r="L78" s="187"/>
      <c r="M78" s="187"/>
      <c r="N78" s="245"/>
      <c r="O78" s="187"/>
      <c r="P78" s="187"/>
      <c r="Q78" s="187"/>
    </row>
    <row r="79" spans="2:17" ht="15" x14ac:dyDescent="0.25">
      <c r="B79" s="34" t="str">
        <f ca="1">Calc!AX74</f>
        <v/>
      </c>
      <c r="C79" s="223" t="str">
        <f ca="1">Calc!AZ74</f>
        <v/>
      </c>
      <c r="D79" s="187"/>
      <c r="E79" s="187"/>
      <c r="F79" s="187"/>
      <c r="G79" s="187"/>
      <c r="H79" s="187"/>
      <c r="I79" s="187"/>
      <c r="K79" s="244"/>
      <c r="L79" s="187"/>
      <c r="M79" s="187"/>
      <c r="N79" s="245"/>
      <c r="O79" s="187"/>
      <c r="P79" s="187"/>
      <c r="Q79" s="187"/>
    </row>
    <row r="80" spans="2:17" ht="15" x14ac:dyDescent="0.25">
      <c r="B80" s="34" t="str">
        <f ca="1">Calc!AX75</f>
        <v/>
      </c>
      <c r="C80" s="223" t="str">
        <f ca="1">Calc!AZ75</f>
        <v/>
      </c>
      <c r="D80" s="187"/>
      <c r="E80" s="187"/>
      <c r="F80" s="187"/>
      <c r="G80" s="187"/>
      <c r="H80" s="187"/>
      <c r="I80" s="187"/>
      <c r="K80" s="244"/>
      <c r="L80" s="187"/>
      <c r="M80" s="187"/>
      <c r="N80" s="245"/>
      <c r="O80" s="187"/>
      <c r="P80" s="187"/>
      <c r="Q80" s="187"/>
    </row>
    <row r="81" spans="2:17" ht="15" x14ac:dyDescent="0.25">
      <c r="B81" s="34" t="str">
        <f ca="1">Calc!AX76</f>
        <v/>
      </c>
      <c r="C81" s="223" t="str">
        <f ca="1">Calc!AZ76</f>
        <v/>
      </c>
      <c r="D81" s="187"/>
      <c r="E81" s="187"/>
      <c r="F81" s="187"/>
      <c r="G81" s="187"/>
      <c r="H81" s="187"/>
      <c r="I81" s="187"/>
      <c r="K81" s="244"/>
      <c r="L81" s="187"/>
      <c r="M81" s="187"/>
      <c r="N81" s="245"/>
      <c r="O81" s="187"/>
      <c r="P81" s="187"/>
      <c r="Q81" s="187"/>
    </row>
    <row r="82" spans="2:17" ht="15" x14ac:dyDescent="0.25">
      <c r="B82" s="34" t="str">
        <f ca="1">Calc!AX77</f>
        <v/>
      </c>
      <c r="C82" s="223" t="str">
        <f ca="1">Calc!AZ77</f>
        <v/>
      </c>
      <c r="D82" s="187"/>
      <c r="E82" s="187"/>
      <c r="F82" s="187"/>
      <c r="G82" s="187"/>
      <c r="H82" s="187"/>
      <c r="I82" s="187"/>
      <c r="K82" s="244"/>
      <c r="L82" s="187"/>
      <c r="M82" s="187"/>
      <c r="N82" s="245"/>
      <c r="O82" s="187"/>
      <c r="P82" s="187"/>
      <c r="Q82" s="187"/>
    </row>
    <row r="83" spans="2:17" ht="15" x14ac:dyDescent="0.25">
      <c r="B83" s="34" t="str">
        <f ca="1">Calc!AX78</f>
        <v/>
      </c>
      <c r="C83" s="223" t="str">
        <f ca="1">Calc!AZ78</f>
        <v/>
      </c>
      <c r="D83" s="187"/>
      <c r="E83" s="187"/>
      <c r="F83" s="187"/>
      <c r="G83" s="187"/>
      <c r="H83" s="187"/>
      <c r="I83" s="187"/>
      <c r="K83" s="244"/>
      <c r="L83" s="187"/>
      <c r="M83" s="187"/>
      <c r="N83" s="245"/>
      <c r="O83" s="187"/>
      <c r="P83" s="187"/>
      <c r="Q83" s="187"/>
    </row>
    <row r="84" spans="2:17" ht="15" x14ac:dyDescent="0.25">
      <c r="B84" s="34" t="str">
        <f ca="1">Calc!AX79</f>
        <v/>
      </c>
      <c r="C84" s="223" t="str">
        <f ca="1">Calc!AZ79</f>
        <v/>
      </c>
      <c r="D84" s="187"/>
      <c r="E84" s="187"/>
      <c r="F84" s="187"/>
      <c r="G84" s="187"/>
      <c r="H84" s="187"/>
      <c r="I84" s="187"/>
      <c r="K84" s="244"/>
      <c r="L84" s="187"/>
      <c r="M84" s="187"/>
      <c r="N84" s="245"/>
      <c r="O84" s="187"/>
      <c r="P84" s="187"/>
      <c r="Q84" s="187"/>
    </row>
    <row r="85" spans="2:17" ht="15" x14ac:dyDescent="0.25">
      <c r="B85" s="34" t="str">
        <f ca="1">Calc!AX80</f>
        <v/>
      </c>
      <c r="C85" s="223" t="str">
        <f ca="1">Calc!AZ80</f>
        <v/>
      </c>
      <c r="D85" s="187"/>
      <c r="E85" s="187"/>
      <c r="F85" s="187"/>
      <c r="G85" s="187"/>
      <c r="H85" s="187"/>
      <c r="I85" s="187"/>
      <c r="K85" s="244"/>
      <c r="L85" s="187"/>
      <c r="M85" s="187"/>
      <c r="N85" s="245"/>
      <c r="O85" s="187"/>
      <c r="P85" s="187"/>
      <c r="Q85" s="187"/>
    </row>
    <row r="86" spans="2:17" ht="15" x14ac:dyDescent="0.25">
      <c r="B86" s="34" t="str">
        <f ca="1">Calc!AX81</f>
        <v/>
      </c>
      <c r="C86" s="223" t="str">
        <f ca="1">Calc!AZ81</f>
        <v/>
      </c>
      <c r="D86" s="187"/>
      <c r="E86" s="187"/>
      <c r="F86" s="187"/>
      <c r="G86" s="187"/>
      <c r="H86" s="187"/>
      <c r="I86" s="187"/>
      <c r="K86" s="244"/>
      <c r="L86" s="187"/>
      <c r="M86" s="187"/>
      <c r="N86" s="245"/>
      <c r="O86" s="187"/>
      <c r="P86" s="187"/>
      <c r="Q86" s="187"/>
    </row>
    <row r="87" spans="2:17" ht="15" x14ac:dyDescent="0.25">
      <c r="B87" s="34" t="str">
        <f ca="1">Calc!AX82</f>
        <v/>
      </c>
      <c r="C87" s="223" t="str">
        <f ca="1">Calc!AZ82</f>
        <v/>
      </c>
      <c r="D87" s="187"/>
      <c r="E87" s="187"/>
      <c r="F87" s="187"/>
      <c r="G87" s="187"/>
      <c r="H87" s="187"/>
      <c r="I87" s="187"/>
      <c r="K87" s="244"/>
      <c r="L87" s="187"/>
      <c r="M87" s="187"/>
      <c r="N87" s="245"/>
      <c r="O87" s="187"/>
      <c r="P87" s="187"/>
      <c r="Q87" s="187"/>
    </row>
    <row r="88" spans="2:17" ht="15" x14ac:dyDescent="0.25">
      <c r="B88" s="34" t="str">
        <f ca="1">Calc!AX83</f>
        <v/>
      </c>
      <c r="C88" s="223" t="str">
        <f ca="1">Calc!AZ83</f>
        <v/>
      </c>
      <c r="D88" s="187"/>
      <c r="E88" s="187"/>
      <c r="F88" s="187"/>
      <c r="G88" s="187"/>
      <c r="H88" s="187"/>
      <c r="I88" s="187"/>
      <c r="K88" s="244"/>
      <c r="L88" s="187"/>
      <c r="M88" s="187"/>
      <c r="N88" s="245"/>
      <c r="O88" s="187"/>
      <c r="P88" s="187"/>
      <c r="Q88" s="187"/>
    </row>
    <row r="89" spans="2:17" ht="15" x14ac:dyDescent="0.25">
      <c r="B89" s="34" t="str">
        <f ca="1">Calc!AX84</f>
        <v/>
      </c>
      <c r="C89" s="223" t="str">
        <f ca="1">Calc!AZ84</f>
        <v/>
      </c>
      <c r="D89" s="187"/>
      <c r="E89" s="187"/>
      <c r="F89" s="187"/>
      <c r="G89" s="187"/>
      <c r="H89" s="187"/>
      <c r="I89" s="187"/>
      <c r="K89" s="244"/>
      <c r="L89" s="187"/>
      <c r="M89" s="187"/>
      <c r="N89" s="245"/>
      <c r="O89" s="187"/>
      <c r="P89" s="187"/>
      <c r="Q89" s="187"/>
    </row>
    <row r="90" spans="2:17" ht="15" x14ac:dyDescent="0.25">
      <c r="B90" s="34" t="str">
        <f ca="1">Calc!AX85</f>
        <v/>
      </c>
      <c r="C90" s="223" t="str">
        <f ca="1">Calc!AZ85</f>
        <v/>
      </c>
      <c r="D90" s="187"/>
      <c r="E90" s="187"/>
      <c r="F90" s="187"/>
      <c r="G90" s="187"/>
      <c r="H90" s="187"/>
      <c r="I90" s="187"/>
      <c r="K90" s="244"/>
      <c r="L90" s="187"/>
      <c r="M90" s="187"/>
      <c r="N90" s="245"/>
      <c r="O90" s="187"/>
      <c r="P90" s="187"/>
      <c r="Q90" s="187"/>
    </row>
    <row r="91" spans="2:17" ht="15" x14ac:dyDescent="0.25">
      <c r="B91" s="34" t="str">
        <f ca="1">Calc!AX86</f>
        <v/>
      </c>
      <c r="C91" s="223" t="str">
        <f ca="1">Calc!AZ86</f>
        <v/>
      </c>
      <c r="D91" s="187"/>
      <c r="E91" s="187"/>
      <c r="F91" s="187"/>
      <c r="G91" s="187"/>
      <c r="H91" s="187"/>
      <c r="I91" s="187"/>
      <c r="K91" s="244"/>
      <c r="L91" s="187"/>
      <c r="M91" s="187"/>
      <c r="N91" s="245"/>
      <c r="O91" s="187"/>
      <c r="P91" s="187"/>
      <c r="Q91" s="187"/>
    </row>
    <row r="92" spans="2:17" ht="15" x14ac:dyDescent="0.25">
      <c r="B92" s="34" t="str">
        <f ca="1">Calc!AX87</f>
        <v/>
      </c>
      <c r="C92" s="223" t="str">
        <f ca="1">Calc!AZ87</f>
        <v/>
      </c>
      <c r="D92" s="187"/>
      <c r="E92" s="187"/>
      <c r="F92" s="187"/>
      <c r="G92" s="187"/>
      <c r="H92" s="187"/>
      <c r="I92" s="187"/>
      <c r="K92" s="244"/>
      <c r="L92" s="187"/>
      <c r="M92" s="187"/>
      <c r="N92" s="245"/>
      <c r="O92" s="187"/>
      <c r="P92" s="187"/>
      <c r="Q92" s="187"/>
    </row>
    <row r="93" spans="2:17" ht="15" x14ac:dyDescent="0.25">
      <c r="B93" s="34" t="str">
        <f ca="1">Calc!AX88</f>
        <v/>
      </c>
      <c r="C93" s="223" t="str">
        <f ca="1">Calc!AZ88</f>
        <v/>
      </c>
      <c r="D93" s="187"/>
      <c r="E93" s="187"/>
      <c r="F93" s="187"/>
      <c r="G93" s="187"/>
      <c r="H93" s="187"/>
      <c r="I93" s="187"/>
      <c r="K93" s="244"/>
      <c r="L93" s="187"/>
      <c r="M93" s="187"/>
      <c r="N93" s="245"/>
      <c r="O93" s="187"/>
      <c r="P93" s="187"/>
      <c r="Q93" s="187"/>
    </row>
    <row r="94" spans="2:17" ht="15" x14ac:dyDescent="0.25">
      <c r="B94" s="34" t="str">
        <f ca="1">Calc!AX89</f>
        <v/>
      </c>
      <c r="C94" s="223" t="str">
        <f ca="1">Calc!AZ89</f>
        <v/>
      </c>
      <c r="D94" s="187"/>
      <c r="E94" s="187"/>
      <c r="F94" s="187"/>
      <c r="G94" s="187"/>
      <c r="H94" s="187"/>
      <c r="I94" s="187"/>
      <c r="K94" s="244"/>
      <c r="L94" s="187"/>
      <c r="M94" s="187"/>
      <c r="N94" s="245"/>
      <c r="O94" s="187"/>
      <c r="P94" s="187"/>
      <c r="Q94" s="187"/>
    </row>
    <row r="95" spans="2:17" ht="15" x14ac:dyDescent="0.25">
      <c r="B95" s="34" t="str">
        <f ca="1">Calc!AX90</f>
        <v/>
      </c>
      <c r="C95" s="223" t="str">
        <f ca="1">Calc!AZ90</f>
        <v/>
      </c>
      <c r="D95" s="187"/>
      <c r="E95" s="187"/>
      <c r="F95" s="187"/>
      <c r="G95" s="187"/>
      <c r="H95" s="187"/>
      <c r="I95" s="187"/>
      <c r="K95" s="244"/>
      <c r="L95" s="187"/>
      <c r="M95" s="187"/>
      <c r="N95" s="245"/>
      <c r="O95" s="187"/>
      <c r="P95" s="187"/>
      <c r="Q95" s="187"/>
    </row>
    <row r="96" spans="2:17" ht="15" x14ac:dyDescent="0.25">
      <c r="B96" s="34" t="str">
        <f ca="1">Calc!AX91</f>
        <v/>
      </c>
      <c r="C96" s="223" t="str">
        <f ca="1">Calc!AZ91</f>
        <v/>
      </c>
      <c r="D96" s="187"/>
      <c r="E96" s="187"/>
      <c r="F96" s="187"/>
      <c r="G96" s="187"/>
      <c r="H96" s="187"/>
      <c r="I96" s="187"/>
      <c r="K96" s="244"/>
      <c r="L96" s="187"/>
      <c r="M96" s="187"/>
      <c r="N96" s="245"/>
      <c r="O96" s="187"/>
      <c r="P96" s="187"/>
      <c r="Q96" s="187"/>
    </row>
    <row r="97" spans="2:17" ht="15" x14ac:dyDescent="0.25">
      <c r="B97" s="34" t="str">
        <f ca="1">Calc!AX92</f>
        <v/>
      </c>
      <c r="C97" s="223" t="str">
        <f ca="1">Calc!AZ92</f>
        <v/>
      </c>
      <c r="D97" s="187"/>
      <c r="E97" s="187"/>
      <c r="F97" s="187"/>
      <c r="G97" s="187"/>
      <c r="H97" s="187"/>
      <c r="I97" s="187"/>
      <c r="K97" s="244"/>
      <c r="L97" s="187"/>
      <c r="M97" s="187"/>
      <c r="N97" s="245"/>
      <c r="O97" s="187"/>
      <c r="P97" s="187"/>
      <c r="Q97" s="187"/>
    </row>
    <row r="98" spans="2:17" ht="15" x14ac:dyDescent="0.25">
      <c r="B98" s="34" t="str">
        <f ca="1">Calc!AX93</f>
        <v/>
      </c>
      <c r="C98" s="223" t="str">
        <f ca="1">Calc!AZ93</f>
        <v/>
      </c>
      <c r="D98" s="187"/>
      <c r="E98" s="187"/>
      <c r="F98" s="187"/>
      <c r="G98" s="187"/>
      <c r="H98" s="187"/>
      <c r="I98" s="187"/>
      <c r="K98" s="244"/>
      <c r="L98" s="187"/>
      <c r="M98" s="187"/>
      <c r="N98" s="245"/>
      <c r="O98" s="187"/>
      <c r="P98" s="187"/>
      <c r="Q98" s="187"/>
    </row>
    <row r="99" spans="2:17" ht="15" x14ac:dyDescent="0.25">
      <c r="B99" s="34" t="str">
        <f ca="1">Calc!AX94</f>
        <v/>
      </c>
      <c r="C99" s="223" t="str">
        <f ca="1">Calc!AZ94</f>
        <v/>
      </c>
      <c r="D99" s="187"/>
      <c r="E99" s="187"/>
      <c r="F99" s="187"/>
      <c r="G99" s="187"/>
      <c r="H99" s="187"/>
      <c r="I99" s="187"/>
      <c r="K99" s="244"/>
      <c r="L99" s="187"/>
      <c r="M99" s="187"/>
      <c r="N99" s="245"/>
      <c r="O99" s="187"/>
      <c r="P99" s="187"/>
      <c r="Q99" s="187"/>
    </row>
    <row r="100" spans="2:17" ht="15" x14ac:dyDescent="0.25">
      <c r="B100" s="34" t="str">
        <f ca="1">Calc!AX95</f>
        <v/>
      </c>
      <c r="C100" s="223" t="str">
        <f ca="1">Calc!AZ95</f>
        <v/>
      </c>
      <c r="D100" s="187"/>
      <c r="E100" s="187"/>
      <c r="F100" s="187"/>
      <c r="G100" s="187"/>
      <c r="H100" s="187"/>
      <c r="I100" s="187"/>
      <c r="K100" s="244"/>
      <c r="L100" s="187"/>
      <c r="M100" s="187"/>
      <c r="N100" s="245"/>
      <c r="O100" s="187"/>
      <c r="P100" s="187"/>
      <c r="Q100" s="187"/>
    </row>
    <row r="101" spans="2:17" ht="15" x14ac:dyDescent="0.25">
      <c r="B101" s="34" t="str">
        <f ca="1">Calc!AX96</f>
        <v/>
      </c>
      <c r="C101" s="223" t="str">
        <f ca="1">Calc!AZ96</f>
        <v/>
      </c>
      <c r="D101" s="187"/>
      <c r="E101" s="187"/>
      <c r="F101" s="187"/>
      <c r="G101" s="187"/>
      <c r="H101" s="187"/>
      <c r="I101" s="187"/>
      <c r="K101" s="244"/>
      <c r="L101" s="187"/>
      <c r="M101" s="187"/>
      <c r="N101" s="245"/>
      <c r="O101" s="187"/>
      <c r="P101" s="187"/>
      <c r="Q101" s="187"/>
    </row>
    <row r="102" spans="2:17" ht="15" x14ac:dyDescent="0.25">
      <c r="B102" s="34" t="str">
        <f ca="1">Calc!AX97</f>
        <v/>
      </c>
      <c r="C102" s="223" t="str">
        <f ca="1">Calc!AZ97</f>
        <v/>
      </c>
      <c r="D102" s="187"/>
      <c r="E102" s="187"/>
      <c r="F102" s="187"/>
      <c r="G102" s="187"/>
      <c r="H102" s="187"/>
      <c r="I102" s="187"/>
      <c r="K102" s="244"/>
      <c r="L102" s="187"/>
      <c r="M102" s="187"/>
      <c r="N102" s="245"/>
      <c r="O102" s="187"/>
      <c r="P102" s="187"/>
      <c r="Q102" s="187"/>
    </row>
    <row r="103" spans="2:17" ht="15" x14ac:dyDescent="0.25">
      <c r="B103" s="34" t="str">
        <f ca="1">Calc!AX98</f>
        <v/>
      </c>
      <c r="C103" s="223" t="str">
        <f ca="1">Calc!AZ98</f>
        <v/>
      </c>
      <c r="D103" s="187"/>
      <c r="E103" s="187"/>
      <c r="F103" s="187"/>
      <c r="G103" s="187"/>
      <c r="H103" s="187"/>
      <c r="I103" s="187"/>
      <c r="K103" s="244"/>
      <c r="L103" s="187"/>
      <c r="M103" s="187"/>
      <c r="N103" s="245"/>
      <c r="O103" s="187"/>
      <c r="P103" s="187"/>
      <c r="Q103" s="187"/>
    </row>
    <row r="104" spans="2:17" ht="15" x14ac:dyDescent="0.25">
      <c r="B104" s="34" t="str">
        <f ca="1">Calc!AX99</f>
        <v/>
      </c>
      <c r="C104" s="223" t="str">
        <f ca="1">Calc!AZ99</f>
        <v/>
      </c>
      <c r="D104" s="187"/>
      <c r="E104" s="187"/>
      <c r="F104" s="187"/>
      <c r="G104" s="187"/>
      <c r="H104" s="187"/>
      <c r="I104" s="187"/>
      <c r="K104" s="244"/>
      <c r="L104" s="187"/>
      <c r="M104" s="187"/>
      <c r="N104" s="245"/>
      <c r="O104" s="187"/>
      <c r="P104" s="187"/>
      <c r="Q104" s="187"/>
    </row>
    <row r="105" spans="2:17" ht="15" x14ac:dyDescent="0.25">
      <c r="B105" s="34" t="str">
        <f ca="1">Calc!AX100</f>
        <v/>
      </c>
      <c r="C105" s="223" t="str">
        <f ca="1">Calc!AZ100</f>
        <v/>
      </c>
      <c r="D105" s="187"/>
      <c r="E105" s="187"/>
      <c r="F105" s="187"/>
      <c r="G105" s="187"/>
      <c r="H105" s="187"/>
      <c r="I105" s="187"/>
      <c r="K105" s="244"/>
      <c r="L105" s="187"/>
      <c r="M105" s="187"/>
      <c r="N105" s="245"/>
      <c r="O105" s="187"/>
      <c r="P105" s="187"/>
      <c r="Q105" s="187"/>
    </row>
    <row r="106" spans="2:17" ht="15" x14ac:dyDescent="0.25">
      <c r="B106" s="34" t="str">
        <f ca="1">Calc!AX101</f>
        <v/>
      </c>
      <c r="C106" s="223" t="str">
        <f ca="1">Calc!AZ101</f>
        <v/>
      </c>
      <c r="D106" s="187"/>
      <c r="E106" s="187"/>
      <c r="F106" s="187"/>
      <c r="G106" s="187"/>
      <c r="H106" s="187"/>
      <c r="I106" s="187"/>
      <c r="K106" s="244"/>
      <c r="L106" s="187"/>
      <c r="M106" s="187"/>
      <c r="N106" s="245"/>
      <c r="O106" s="187"/>
      <c r="P106" s="187"/>
      <c r="Q106" s="187"/>
    </row>
    <row r="107" spans="2:17" ht="15" x14ac:dyDescent="0.25">
      <c r="B107" s="34" t="str">
        <f ca="1">Calc!AX102</f>
        <v/>
      </c>
      <c r="C107" s="223" t="str">
        <f ca="1">Calc!AZ102</f>
        <v/>
      </c>
      <c r="D107" s="187"/>
      <c r="E107" s="187"/>
      <c r="F107" s="187"/>
      <c r="G107" s="187"/>
      <c r="H107" s="187"/>
      <c r="I107" s="187"/>
      <c r="K107" s="244"/>
      <c r="L107" s="187"/>
      <c r="M107" s="187"/>
      <c r="N107" s="245"/>
      <c r="O107" s="187"/>
      <c r="P107" s="187"/>
      <c r="Q107" s="187"/>
    </row>
    <row r="108" spans="2:17" ht="15" x14ac:dyDescent="0.25">
      <c r="B108" s="34" t="str">
        <f ca="1">Calc!AX103</f>
        <v/>
      </c>
      <c r="C108" s="223" t="str">
        <f ca="1">Calc!AZ103</f>
        <v/>
      </c>
      <c r="D108" s="187"/>
      <c r="E108" s="187"/>
      <c r="F108" s="187"/>
      <c r="G108" s="187"/>
      <c r="H108" s="187"/>
      <c r="I108" s="187"/>
      <c r="K108" s="244"/>
      <c r="L108" s="187"/>
      <c r="M108" s="187"/>
      <c r="N108" s="245"/>
      <c r="O108" s="187"/>
      <c r="P108" s="187"/>
      <c r="Q108" s="187"/>
    </row>
    <row r="109" spans="2:17" ht="15" x14ac:dyDescent="0.25">
      <c r="B109" s="34" t="str">
        <f ca="1">Calc!AX104</f>
        <v/>
      </c>
      <c r="C109" s="223" t="str">
        <f ca="1">Calc!AZ104</f>
        <v/>
      </c>
      <c r="D109" s="187"/>
      <c r="E109" s="187"/>
      <c r="F109" s="187"/>
      <c r="G109" s="187"/>
      <c r="H109" s="187"/>
      <c r="I109" s="187"/>
      <c r="K109" s="244"/>
      <c r="L109" s="187"/>
      <c r="M109" s="187"/>
      <c r="N109" s="245"/>
      <c r="O109" s="187"/>
      <c r="P109" s="187"/>
      <c r="Q109" s="187"/>
    </row>
    <row r="110" spans="2:17" ht="15" x14ac:dyDescent="0.25">
      <c r="B110" s="34" t="str">
        <f ca="1">Calc!AX105</f>
        <v/>
      </c>
      <c r="C110" s="223" t="str">
        <f ca="1">Calc!AZ105</f>
        <v/>
      </c>
      <c r="D110" s="187"/>
      <c r="E110" s="187"/>
      <c r="F110" s="187"/>
      <c r="G110" s="187"/>
      <c r="H110" s="187"/>
      <c r="I110" s="187"/>
      <c r="K110" s="244"/>
      <c r="L110" s="187"/>
      <c r="M110" s="187"/>
      <c r="N110" s="245"/>
      <c r="O110" s="187"/>
      <c r="P110" s="187"/>
      <c r="Q110" s="187"/>
    </row>
    <row r="111" spans="2:17" ht="15" x14ac:dyDescent="0.25">
      <c r="B111" s="34" t="str">
        <f ca="1">Calc!AX106</f>
        <v/>
      </c>
      <c r="C111" s="223" t="str">
        <f ca="1">Calc!AZ106</f>
        <v/>
      </c>
      <c r="D111" s="187"/>
      <c r="E111" s="187"/>
      <c r="F111" s="187"/>
      <c r="G111" s="187"/>
      <c r="H111" s="187"/>
      <c r="I111" s="187"/>
      <c r="K111" s="244"/>
      <c r="L111" s="187"/>
      <c r="M111" s="187"/>
      <c r="N111" s="245"/>
      <c r="O111" s="187"/>
      <c r="P111" s="187"/>
      <c r="Q111" s="187"/>
    </row>
    <row r="112" spans="2:17" ht="15" x14ac:dyDescent="0.25">
      <c r="B112" s="34" t="str">
        <f ca="1">Calc!AX107</f>
        <v/>
      </c>
      <c r="C112" s="223" t="str">
        <f ca="1">Calc!AZ107</f>
        <v/>
      </c>
      <c r="D112" s="187"/>
      <c r="E112" s="187"/>
      <c r="F112" s="187"/>
      <c r="G112" s="187"/>
      <c r="H112" s="187"/>
      <c r="I112" s="187"/>
      <c r="K112" s="244"/>
      <c r="L112" s="187"/>
      <c r="M112" s="187"/>
      <c r="N112" s="245"/>
      <c r="O112" s="187"/>
      <c r="P112" s="187"/>
      <c r="Q112" s="187"/>
    </row>
    <row r="113" spans="2:17" ht="15" x14ac:dyDescent="0.25">
      <c r="B113" s="34" t="str">
        <f ca="1">Calc!AX108</f>
        <v/>
      </c>
      <c r="C113" s="223" t="str">
        <f ca="1">Calc!AZ108</f>
        <v/>
      </c>
      <c r="D113" s="187"/>
      <c r="E113" s="187"/>
      <c r="F113" s="187"/>
      <c r="G113" s="187"/>
      <c r="H113" s="187"/>
      <c r="I113" s="187"/>
      <c r="K113" s="244"/>
      <c r="L113" s="187"/>
      <c r="M113" s="187"/>
      <c r="N113" s="245"/>
      <c r="O113" s="187"/>
      <c r="P113" s="187"/>
      <c r="Q113" s="187"/>
    </row>
    <row r="114" spans="2:17" ht="15" x14ac:dyDescent="0.25">
      <c r="B114" s="34" t="str">
        <f ca="1">Calc!AX109</f>
        <v/>
      </c>
      <c r="C114" s="223" t="str">
        <f ca="1">Calc!AZ109</f>
        <v/>
      </c>
      <c r="D114" s="187"/>
      <c r="E114" s="187"/>
      <c r="F114" s="187"/>
      <c r="G114" s="187"/>
      <c r="H114" s="187"/>
      <c r="I114" s="187"/>
      <c r="K114" s="244"/>
      <c r="L114" s="187"/>
      <c r="M114" s="187"/>
      <c r="N114" s="245"/>
      <c r="O114" s="187"/>
      <c r="P114" s="187"/>
      <c r="Q114" s="187"/>
    </row>
    <row r="115" spans="2:17" ht="15" x14ac:dyDescent="0.25">
      <c r="B115" s="34" t="str">
        <f ca="1">Calc!AX110</f>
        <v/>
      </c>
      <c r="C115" s="223" t="str">
        <f ca="1">Calc!AZ110</f>
        <v/>
      </c>
      <c r="D115" s="187"/>
      <c r="E115" s="187"/>
      <c r="F115" s="187"/>
      <c r="G115" s="187"/>
      <c r="H115" s="187"/>
      <c r="I115" s="187"/>
      <c r="K115" s="244"/>
      <c r="L115" s="187"/>
      <c r="M115" s="187"/>
      <c r="N115" s="245"/>
      <c r="O115" s="187"/>
      <c r="P115" s="187"/>
      <c r="Q115" s="187"/>
    </row>
    <row r="116" spans="2:17" ht="15" x14ac:dyDescent="0.25">
      <c r="B116" s="34" t="str">
        <f ca="1">Calc!AX111</f>
        <v/>
      </c>
      <c r="C116" s="223" t="str">
        <f ca="1">Calc!AZ111</f>
        <v/>
      </c>
      <c r="D116" s="187"/>
      <c r="E116" s="187"/>
      <c r="F116" s="187"/>
      <c r="G116" s="187"/>
      <c r="H116" s="187"/>
      <c r="I116" s="187"/>
      <c r="K116" s="244"/>
      <c r="L116" s="187"/>
      <c r="M116" s="187"/>
      <c r="N116" s="245"/>
      <c r="O116" s="187"/>
      <c r="P116" s="187"/>
      <c r="Q116" s="187"/>
    </row>
    <row r="117" spans="2:17" ht="15" x14ac:dyDescent="0.25">
      <c r="B117" s="34" t="str">
        <f ca="1">Calc!AX112</f>
        <v/>
      </c>
      <c r="C117" s="223" t="str">
        <f ca="1">Calc!AZ112</f>
        <v/>
      </c>
      <c r="D117" s="187"/>
      <c r="E117" s="187"/>
      <c r="F117" s="187"/>
      <c r="G117" s="187"/>
      <c r="H117" s="187"/>
      <c r="I117" s="187"/>
      <c r="K117" s="244"/>
      <c r="L117" s="187"/>
      <c r="M117" s="187"/>
      <c r="N117" s="245"/>
      <c r="O117" s="187"/>
      <c r="P117" s="187"/>
      <c r="Q117" s="187"/>
    </row>
    <row r="118" spans="2:17" ht="15" x14ac:dyDescent="0.25">
      <c r="B118" s="34" t="str">
        <f ca="1">Calc!AX113</f>
        <v/>
      </c>
      <c r="C118" s="223" t="str">
        <f ca="1">Calc!AZ113</f>
        <v/>
      </c>
      <c r="D118" s="187"/>
      <c r="E118" s="187"/>
      <c r="F118" s="187"/>
      <c r="G118" s="187"/>
      <c r="H118" s="187"/>
      <c r="I118" s="187"/>
      <c r="K118" s="244"/>
      <c r="L118" s="187"/>
      <c r="M118" s="187"/>
      <c r="N118" s="245"/>
      <c r="O118" s="187"/>
      <c r="P118" s="187"/>
      <c r="Q118" s="187"/>
    </row>
    <row r="119" spans="2:17" ht="15" x14ac:dyDescent="0.25">
      <c r="B119" s="34" t="str">
        <f ca="1">Calc!AX114</f>
        <v/>
      </c>
      <c r="C119" s="223" t="str">
        <f ca="1">Calc!AZ114</f>
        <v/>
      </c>
      <c r="D119" s="187"/>
      <c r="E119" s="187"/>
      <c r="F119" s="187"/>
      <c r="G119" s="187"/>
      <c r="H119" s="187"/>
      <c r="I119" s="187"/>
      <c r="K119" s="244"/>
      <c r="L119" s="187"/>
      <c r="M119" s="187"/>
      <c r="N119" s="245"/>
      <c r="O119" s="187"/>
      <c r="P119" s="187"/>
      <c r="Q119" s="187"/>
    </row>
    <row r="120" spans="2:17" ht="15" x14ac:dyDescent="0.25">
      <c r="B120" s="34" t="str">
        <f ca="1">Calc!AX115</f>
        <v/>
      </c>
      <c r="C120" s="223" t="str">
        <f ca="1">Calc!AZ115</f>
        <v/>
      </c>
      <c r="D120" s="187"/>
      <c r="E120" s="187"/>
      <c r="F120" s="187"/>
      <c r="G120" s="187"/>
      <c r="H120" s="187"/>
      <c r="I120" s="187"/>
      <c r="K120" s="244"/>
      <c r="L120" s="187"/>
      <c r="M120" s="187"/>
      <c r="N120" s="245"/>
      <c r="O120" s="187"/>
      <c r="P120" s="187"/>
      <c r="Q120" s="187"/>
    </row>
    <row r="121" spans="2:17" ht="15" x14ac:dyDescent="0.25">
      <c r="B121" s="34" t="str">
        <f ca="1">Calc!AX116</f>
        <v/>
      </c>
      <c r="C121" s="223" t="str">
        <f ca="1">Calc!AZ116</f>
        <v/>
      </c>
      <c r="D121" s="187"/>
      <c r="E121" s="187"/>
      <c r="F121" s="187"/>
      <c r="G121" s="187"/>
      <c r="H121" s="187"/>
      <c r="I121" s="187"/>
      <c r="K121" s="244"/>
      <c r="L121" s="187"/>
      <c r="M121" s="187"/>
      <c r="N121" s="245"/>
      <c r="O121" s="187"/>
      <c r="P121" s="187"/>
      <c r="Q121" s="187"/>
    </row>
    <row r="122" spans="2:17" ht="15" x14ac:dyDescent="0.25">
      <c r="B122" s="34" t="str">
        <f ca="1">Calc!AX117</f>
        <v/>
      </c>
      <c r="C122" s="223" t="str">
        <f ca="1">Calc!AZ117</f>
        <v/>
      </c>
      <c r="D122" s="187"/>
      <c r="E122" s="187"/>
      <c r="F122" s="187"/>
      <c r="G122" s="187"/>
      <c r="H122" s="187"/>
      <c r="I122" s="187"/>
      <c r="K122" s="244"/>
      <c r="L122" s="187"/>
      <c r="M122" s="187"/>
      <c r="N122" s="245"/>
      <c r="O122" s="187"/>
      <c r="P122" s="187"/>
      <c r="Q122" s="187"/>
    </row>
    <row r="123" spans="2:17" ht="15" x14ac:dyDescent="0.25">
      <c r="B123" s="34" t="str">
        <f ca="1">Calc!AX118</f>
        <v/>
      </c>
      <c r="C123" s="223" t="str">
        <f ca="1">Calc!AZ118</f>
        <v/>
      </c>
      <c r="D123" s="187"/>
      <c r="E123" s="187"/>
      <c r="F123" s="187"/>
      <c r="G123" s="187"/>
      <c r="H123" s="187"/>
      <c r="I123" s="187"/>
      <c r="K123" s="244"/>
      <c r="L123" s="187"/>
      <c r="M123" s="187"/>
      <c r="N123" s="245"/>
      <c r="O123" s="187"/>
      <c r="P123" s="187"/>
      <c r="Q123" s="187"/>
    </row>
    <row r="124" spans="2:17" ht="15" x14ac:dyDescent="0.25">
      <c r="B124" s="34" t="str">
        <f ca="1">Calc!AX119</f>
        <v/>
      </c>
      <c r="C124" s="223" t="str">
        <f ca="1">Calc!AZ119</f>
        <v/>
      </c>
      <c r="D124" s="187"/>
      <c r="E124" s="187"/>
      <c r="F124" s="187"/>
      <c r="G124" s="187"/>
      <c r="H124" s="187"/>
      <c r="I124" s="187"/>
      <c r="K124" s="244"/>
      <c r="L124" s="187"/>
      <c r="M124" s="187"/>
      <c r="N124" s="245"/>
      <c r="O124" s="187"/>
      <c r="P124" s="187"/>
      <c r="Q124" s="187"/>
    </row>
    <row r="125" spans="2:17" ht="15" x14ac:dyDescent="0.25">
      <c r="B125" s="34" t="str">
        <f ca="1">Calc!AX120</f>
        <v/>
      </c>
      <c r="C125" s="223" t="str">
        <f ca="1">Calc!AZ120</f>
        <v/>
      </c>
      <c r="D125" s="187"/>
      <c r="E125" s="187"/>
      <c r="F125" s="187"/>
      <c r="G125" s="187"/>
      <c r="H125" s="187"/>
      <c r="I125" s="187"/>
      <c r="K125" s="244"/>
      <c r="L125" s="187"/>
      <c r="M125" s="187"/>
      <c r="N125" s="245"/>
      <c r="O125" s="187"/>
      <c r="P125" s="187"/>
      <c r="Q125" s="187"/>
    </row>
    <row r="126" spans="2:17" ht="15" x14ac:dyDescent="0.25">
      <c r="B126" s="34" t="str">
        <f ca="1">Calc!AX121</f>
        <v/>
      </c>
      <c r="C126" s="223" t="str">
        <f ca="1">Calc!AZ121</f>
        <v/>
      </c>
      <c r="D126" s="187"/>
      <c r="E126" s="187"/>
      <c r="F126" s="187"/>
      <c r="G126" s="187"/>
      <c r="H126" s="187"/>
      <c r="I126" s="187"/>
      <c r="K126" s="244"/>
      <c r="L126" s="187"/>
      <c r="M126" s="187"/>
      <c r="N126" s="245"/>
      <c r="O126" s="187"/>
      <c r="P126" s="187"/>
      <c r="Q126" s="187"/>
    </row>
    <row r="127" spans="2:17" ht="15" x14ac:dyDescent="0.25">
      <c r="B127" s="34" t="str">
        <f ca="1">Calc!AX122</f>
        <v/>
      </c>
      <c r="C127" s="223" t="str">
        <f ca="1">Calc!AZ122</f>
        <v/>
      </c>
      <c r="D127" s="187"/>
      <c r="E127" s="187"/>
      <c r="F127" s="187"/>
      <c r="G127" s="187"/>
      <c r="H127" s="187"/>
      <c r="I127" s="187"/>
      <c r="K127" s="244"/>
      <c r="L127" s="187"/>
      <c r="M127" s="187"/>
      <c r="N127" s="245"/>
      <c r="O127" s="187"/>
      <c r="P127" s="187"/>
      <c r="Q127" s="187"/>
    </row>
    <row r="128" spans="2:17" ht="15" x14ac:dyDescent="0.25">
      <c r="B128" s="34" t="str">
        <f ca="1">Calc!AX123</f>
        <v/>
      </c>
      <c r="C128" s="223" t="str">
        <f ca="1">Calc!AZ123</f>
        <v/>
      </c>
      <c r="D128" s="187"/>
      <c r="E128" s="187"/>
      <c r="F128" s="187"/>
      <c r="G128" s="187"/>
      <c r="H128" s="187"/>
      <c r="I128" s="187"/>
      <c r="K128" s="244"/>
      <c r="L128" s="187"/>
      <c r="M128" s="187"/>
      <c r="N128" s="245"/>
      <c r="O128" s="187"/>
      <c r="P128" s="187"/>
      <c r="Q128" s="187"/>
    </row>
    <row r="129" spans="2:17" ht="15" x14ac:dyDescent="0.25">
      <c r="B129" s="34" t="str">
        <f ca="1">Calc!AX124</f>
        <v/>
      </c>
      <c r="C129" s="223" t="str">
        <f ca="1">Calc!AZ124</f>
        <v/>
      </c>
      <c r="D129" s="187"/>
      <c r="E129" s="187"/>
      <c r="F129" s="187"/>
      <c r="G129" s="187"/>
      <c r="H129" s="187"/>
      <c r="I129" s="187"/>
      <c r="K129" s="244"/>
      <c r="L129" s="187"/>
      <c r="M129" s="187"/>
      <c r="N129" s="245"/>
      <c r="O129" s="187"/>
      <c r="P129" s="187"/>
      <c r="Q129" s="187"/>
    </row>
    <row r="130" spans="2:17" ht="15" x14ac:dyDescent="0.25">
      <c r="B130" s="34" t="str">
        <f ca="1">Calc!AX125</f>
        <v/>
      </c>
      <c r="C130" s="223" t="str">
        <f ca="1">Calc!AZ125</f>
        <v/>
      </c>
      <c r="D130" s="187"/>
      <c r="E130" s="187"/>
      <c r="F130" s="187"/>
      <c r="G130" s="187"/>
      <c r="H130" s="187"/>
      <c r="I130" s="187"/>
      <c r="K130" s="244"/>
      <c r="L130" s="187"/>
      <c r="M130" s="187"/>
      <c r="N130" s="245"/>
      <c r="O130" s="187"/>
      <c r="P130" s="187"/>
      <c r="Q130" s="187"/>
    </row>
    <row r="131" spans="2:17" ht="15" x14ac:dyDescent="0.25">
      <c r="B131" s="34" t="str">
        <f ca="1">Calc!AX126</f>
        <v/>
      </c>
      <c r="C131" s="223" t="str">
        <f ca="1">Calc!AZ126</f>
        <v/>
      </c>
      <c r="D131" s="187"/>
      <c r="E131" s="187"/>
      <c r="F131" s="187"/>
      <c r="G131" s="187"/>
      <c r="H131" s="187"/>
      <c r="I131" s="187"/>
      <c r="K131" s="244"/>
      <c r="L131" s="187"/>
      <c r="M131" s="187"/>
      <c r="N131" s="245"/>
      <c r="O131" s="187"/>
      <c r="P131" s="187"/>
      <c r="Q131" s="187"/>
    </row>
    <row r="132" spans="2:17" ht="15" x14ac:dyDescent="0.25">
      <c r="B132" s="34" t="str">
        <f ca="1">Calc!AX127</f>
        <v/>
      </c>
      <c r="C132" s="223" t="str">
        <f ca="1">Calc!AZ127</f>
        <v/>
      </c>
      <c r="D132" s="187"/>
      <c r="E132" s="187"/>
      <c r="F132" s="187"/>
      <c r="G132" s="187"/>
      <c r="H132" s="187"/>
      <c r="I132" s="187"/>
      <c r="K132" s="244"/>
      <c r="L132" s="187"/>
      <c r="M132" s="187"/>
      <c r="N132" s="245"/>
      <c r="O132" s="187"/>
      <c r="P132" s="187"/>
      <c r="Q132" s="187"/>
    </row>
    <row r="133" spans="2:17" ht="15" x14ac:dyDescent="0.25">
      <c r="B133" s="34" t="str">
        <f ca="1">Calc!AX128</f>
        <v/>
      </c>
      <c r="C133" s="223" t="str">
        <f ca="1">Calc!AZ128</f>
        <v/>
      </c>
      <c r="D133" s="187"/>
      <c r="E133" s="187"/>
      <c r="F133" s="187"/>
      <c r="G133" s="187"/>
      <c r="H133" s="187"/>
      <c r="I133" s="187"/>
      <c r="K133" s="244"/>
      <c r="L133" s="187"/>
      <c r="M133" s="187"/>
      <c r="N133" s="245"/>
      <c r="O133" s="187"/>
      <c r="P133" s="187"/>
      <c r="Q133" s="187"/>
    </row>
    <row r="134" spans="2:17" ht="15" x14ac:dyDescent="0.25">
      <c r="B134" s="34" t="str">
        <f ca="1">Calc!AX129</f>
        <v/>
      </c>
      <c r="C134" s="223" t="str">
        <f ca="1">Calc!AZ129</f>
        <v/>
      </c>
      <c r="D134" s="187"/>
      <c r="E134" s="187"/>
      <c r="F134" s="187"/>
      <c r="G134" s="187"/>
      <c r="H134" s="187"/>
      <c r="I134" s="187"/>
      <c r="K134" s="244"/>
      <c r="L134" s="187"/>
      <c r="M134" s="187"/>
      <c r="N134" s="245"/>
      <c r="O134" s="187"/>
      <c r="P134" s="187"/>
      <c r="Q134" s="187"/>
    </row>
    <row r="135" spans="2:17" ht="15" x14ac:dyDescent="0.25">
      <c r="B135" s="34" t="str">
        <f ca="1">Calc!AX130</f>
        <v/>
      </c>
      <c r="C135" s="223" t="str">
        <f ca="1">Calc!AZ130</f>
        <v/>
      </c>
      <c r="D135" s="187"/>
      <c r="E135" s="187"/>
      <c r="F135" s="187"/>
      <c r="G135" s="187"/>
      <c r="H135" s="187"/>
      <c r="I135" s="187"/>
      <c r="K135" s="244"/>
      <c r="L135" s="187"/>
      <c r="M135" s="187"/>
      <c r="N135" s="245"/>
      <c r="O135" s="187"/>
      <c r="P135" s="187"/>
      <c r="Q135" s="187"/>
    </row>
    <row r="136" spans="2:17" ht="15" x14ac:dyDescent="0.25">
      <c r="B136" s="34" t="str">
        <f ca="1">Calc!AX131</f>
        <v/>
      </c>
      <c r="C136" s="223" t="str">
        <f ca="1">Calc!AZ131</f>
        <v/>
      </c>
      <c r="D136" s="187"/>
      <c r="E136" s="187"/>
      <c r="F136" s="187"/>
      <c r="G136" s="187"/>
      <c r="H136" s="187"/>
      <c r="I136" s="187"/>
      <c r="K136" s="244"/>
      <c r="L136" s="187"/>
      <c r="M136" s="187"/>
      <c r="N136" s="245"/>
      <c r="O136" s="187"/>
      <c r="P136" s="187"/>
      <c r="Q136" s="187"/>
    </row>
    <row r="137" spans="2:17" ht="15" x14ac:dyDescent="0.25">
      <c r="B137" s="34" t="str">
        <f ca="1">Calc!AX132</f>
        <v/>
      </c>
      <c r="C137" s="223" t="str">
        <f ca="1">Calc!AZ132</f>
        <v/>
      </c>
      <c r="D137" s="187"/>
      <c r="E137" s="187"/>
      <c r="F137" s="187"/>
      <c r="G137" s="187"/>
      <c r="H137" s="187"/>
      <c r="I137" s="187"/>
      <c r="K137" s="244"/>
      <c r="L137" s="187"/>
      <c r="M137" s="187"/>
      <c r="N137" s="245"/>
      <c r="O137" s="187"/>
      <c r="P137" s="187"/>
      <c r="Q137" s="187"/>
    </row>
    <row r="138" spans="2:17" ht="15" x14ac:dyDescent="0.25">
      <c r="B138" s="34" t="str">
        <f ca="1">Calc!AX133</f>
        <v/>
      </c>
      <c r="C138" s="223" t="str">
        <f ca="1">Calc!AZ133</f>
        <v/>
      </c>
      <c r="D138" s="187"/>
      <c r="E138" s="187"/>
      <c r="F138" s="187"/>
      <c r="G138" s="187"/>
      <c r="H138" s="187"/>
      <c r="I138" s="187"/>
      <c r="K138" s="244"/>
      <c r="L138" s="187"/>
      <c r="M138" s="187"/>
      <c r="N138" s="245"/>
      <c r="O138" s="187"/>
      <c r="P138" s="187"/>
      <c r="Q138" s="187"/>
    </row>
    <row r="139" spans="2:17" ht="15" x14ac:dyDescent="0.25">
      <c r="B139" s="34" t="str">
        <f ca="1">Calc!AX134</f>
        <v/>
      </c>
      <c r="C139" s="223" t="str">
        <f ca="1">Calc!AZ134</f>
        <v/>
      </c>
      <c r="D139" s="187"/>
      <c r="E139" s="187"/>
      <c r="F139" s="187"/>
      <c r="G139" s="187"/>
      <c r="H139" s="187"/>
      <c r="I139" s="187"/>
      <c r="K139" s="244"/>
      <c r="L139" s="187"/>
      <c r="M139" s="187"/>
      <c r="N139" s="245"/>
      <c r="O139" s="187"/>
      <c r="P139" s="187"/>
      <c r="Q139" s="187"/>
    </row>
    <row r="140" spans="2:17" ht="15" x14ac:dyDescent="0.25">
      <c r="B140" s="34" t="str">
        <f ca="1">Calc!AX135</f>
        <v/>
      </c>
      <c r="C140" s="223" t="str">
        <f ca="1">Calc!AZ135</f>
        <v/>
      </c>
      <c r="D140" s="187"/>
      <c r="E140" s="187"/>
      <c r="F140" s="187"/>
      <c r="G140" s="187"/>
      <c r="H140" s="187"/>
      <c r="I140" s="187"/>
      <c r="K140" s="244"/>
      <c r="L140" s="187"/>
      <c r="M140" s="187"/>
      <c r="N140" s="245"/>
      <c r="O140" s="187"/>
      <c r="P140" s="187"/>
      <c r="Q140" s="187"/>
    </row>
    <row r="141" spans="2:17" ht="15" x14ac:dyDescent="0.25">
      <c r="B141" s="34" t="str">
        <f ca="1">Calc!AX136</f>
        <v/>
      </c>
      <c r="C141" s="223" t="str">
        <f ca="1">Calc!AZ136</f>
        <v/>
      </c>
      <c r="D141" s="187"/>
      <c r="E141" s="187"/>
      <c r="F141" s="187"/>
      <c r="G141" s="187"/>
      <c r="H141" s="187"/>
      <c r="I141" s="187"/>
      <c r="K141" s="244"/>
      <c r="L141" s="187"/>
      <c r="M141" s="187"/>
      <c r="N141" s="245"/>
      <c r="O141" s="187"/>
      <c r="P141" s="187"/>
      <c r="Q141" s="187"/>
    </row>
    <row r="142" spans="2:17" ht="15" x14ac:dyDescent="0.25">
      <c r="B142" s="34" t="str">
        <f ca="1">Calc!AX137</f>
        <v/>
      </c>
      <c r="C142" s="223" t="str">
        <f ca="1">Calc!AZ137</f>
        <v/>
      </c>
      <c r="D142" s="187"/>
      <c r="E142" s="187"/>
      <c r="F142" s="187"/>
      <c r="G142" s="187"/>
      <c r="H142" s="187"/>
      <c r="I142" s="187"/>
      <c r="K142" s="244"/>
      <c r="L142" s="187"/>
      <c r="M142" s="187"/>
      <c r="N142" s="245"/>
      <c r="O142" s="187"/>
      <c r="P142" s="187"/>
      <c r="Q142" s="187"/>
    </row>
    <row r="143" spans="2:17" ht="15" x14ac:dyDescent="0.25">
      <c r="B143" s="34" t="str">
        <f ca="1">Calc!AX138</f>
        <v/>
      </c>
      <c r="C143" s="223" t="str">
        <f ca="1">Calc!AZ138</f>
        <v/>
      </c>
      <c r="D143" s="187"/>
      <c r="E143" s="187"/>
      <c r="F143" s="187"/>
      <c r="G143" s="187"/>
      <c r="H143" s="187"/>
      <c r="I143" s="187"/>
      <c r="K143" s="244"/>
      <c r="L143" s="187"/>
      <c r="M143" s="187"/>
      <c r="N143" s="245"/>
      <c r="O143" s="187"/>
      <c r="P143" s="187"/>
      <c r="Q143" s="187"/>
    </row>
    <row r="144" spans="2:17" ht="15" x14ac:dyDescent="0.25">
      <c r="B144" s="34" t="str">
        <f ca="1">Calc!AX139</f>
        <v/>
      </c>
      <c r="C144" s="223" t="str">
        <f ca="1">Calc!AZ139</f>
        <v/>
      </c>
      <c r="D144" s="187"/>
      <c r="E144" s="187"/>
      <c r="F144" s="187"/>
      <c r="G144" s="187"/>
      <c r="H144" s="187"/>
      <c r="I144" s="187"/>
      <c r="K144" s="244"/>
      <c r="L144" s="187"/>
      <c r="M144" s="187"/>
      <c r="N144" s="245"/>
      <c r="O144" s="187"/>
      <c r="P144" s="187"/>
      <c r="Q144" s="187"/>
    </row>
    <row r="145" spans="2:17" ht="15" x14ac:dyDescent="0.25">
      <c r="B145" s="34" t="str">
        <f ca="1">Calc!AX140</f>
        <v/>
      </c>
      <c r="C145" s="223" t="str">
        <f ca="1">Calc!AZ140</f>
        <v/>
      </c>
      <c r="D145" s="187"/>
      <c r="E145" s="187"/>
      <c r="F145" s="187"/>
      <c r="G145" s="187"/>
      <c r="H145" s="187"/>
      <c r="I145" s="187"/>
      <c r="K145" s="244"/>
      <c r="L145" s="187"/>
      <c r="M145" s="187"/>
      <c r="N145" s="245"/>
      <c r="O145" s="187"/>
      <c r="P145" s="187"/>
      <c r="Q145" s="187"/>
    </row>
    <row r="146" spans="2:17" ht="15" x14ac:dyDescent="0.25">
      <c r="B146" s="34" t="str">
        <f ca="1">Calc!AX141</f>
        <v/>
      </c>
      <c r="C146" s="223" t="str">
        <f ca="1">Calc!AZ141</f>
        <v/>
      </c>
      <c r="D146" s="187"/>
      <c r="E146" s="187"/>
      <c r="F146" s="187"/>
      <c r="G146" s="187"/>
      <c r="H146" s="187"/>
      <c r="I146" s="187"/>
      <c r="K146" s="244"/>
      <c r="L146" s="187"/>
      <c r="M146" s="187"/>
      <c r="N146" s="245"/>
      <c r="O146" s="187"/>
      <c r="P146" s="187"/>
      <c r="Q146" s="187"/>
    </row>
    <row r="147" spans="2:17" ht="15" x14ac:dyDescent="0.25">
      <c r="B147" s="34" t="str">
        <f ca="1">Calc!AX142</f>
        <v/>
      </c>
      <c r="C147" s="223" t="str">
        <f ca="1">Calc!AZ142</f>
        <v/>
      </c>
      <c r="D147" s="187"/>
      <c r="E147" s="187"/>
      <c r="F147" s="187"/>
      <c r="G147" s="187"/>
      <c r="H147" s="187"/>
      <c r="I147" s="187"/>
      <c r="K147" s="244"/>
      <c r="L147" s="187"/>
      <c r="M147" s="187"/>
      <c r="N147" s="245"/>
      <c r="O147" s="187"/>
      <c r="P147" s="187"/>
      <c r="Q147" s="187"/>
    </row>
    <row r="148" spans="2:17" ht="15" x14ac:dyDescent="0.25">
      <c r="B148" s="34" t="str">
        <f ca="1">Calc!AX143</f>
        <v/>
      </c>
      <c r="C148" s="223" t="str">
        <f ca="1">Calc!AZ143</f>
        <v/>
      </c>
      <c r="D148" s="187"/>
      <c r="E148" s="187"/>
      <c r="F148" s="187"/>
      <c r="G148" s="187"/>
      <c r="H148" s="187"/>
      <c r="I148" s="187"/>
      <c r="K148" s="244"/>
      <c r="L148" s="187"/>
      <c r="M148" s="187"/>
      <c r="N148" s="245"/>
      <c r="O148" s="187"/>
      <c r="P148" s="187"/>
      <c r="Q148" s="187"/>
    </row>
    <row r="149" spans="2:17" ht="15" x14ac:dyDescent="0.25">
      <c r="B149" s="34" t="str">
        <f ca="1">Calc!AX144</f>
        <v/>
      </c>
      <c r="C149" s="223" t="str">
        <f ca="1">Calc!AZ144</f>
        <v/>
      </c>
      <c r="D149" s="187"/>
      <c r="E149" s="187"/>
      <c r="F149" s="187"/>
      <c r="G149" s="187"/>
      <c r="H149" s="187"/>
      <c r="I149" s="187"/>
      <c r="K149" s="244"/>
      <c r="L149" s="187"/>
      <c r="M149" s="187"/>
      <c r="N149" s="245"/>
      <c r="O149" s="187"/>
      <c r="P149" s="187"/>
      <c r="Q149" s="187"/>
    </row>
    <row r="150" spans="2:17" ht="15" x14ac:dyDescent="0.25">
      <c r="B150" s="34" t="str">
        <f ca="1">Calc!AX145</f>
        <v/>
      </c>
      <c r="C150" s="223" t="str">
        <f ca="1">Calc!AZ145</f>
        <v/>
      </c>
      <c r="D150" s="187"/>
      <c r="E150" s="187"/>
      <c r="F150" s="187"/>
      <c r="G150" s="187"/>
      <c r="H150" s="187"/>
      <c r="I150" s="187"/>
      <c r="K150" s="244"/>
      <c r="L150" s="187"/>
      <c r="M150" s="187"/>
      <c r="N150" s="245"/>
      <c r="O150" s="187"/>
      <c r="P150" s="187"/>
      <c r="Q150" s="187"/>
    </row>
    <row r="151" spans="2:17" ht="15" x14ac:dyDescent="0.25">
      <c r="B151" s="34" t="str">
        <f ca="1">Calc!AX146</f>
        <v/>
      </c>
      <c r="C151" s="223" t="str">
        <f ca="1">Calc!AZ146</f>
        <v/>
      </c>
      <c r="D151" s="187"/>
      <c r="E151" s="187"/>
      <c r="F151" s="187"/>
      <c r="G151" s="187"/>
      <c r="H151" s="187"/>
      <c r="I151" s="187"/>
      <c r="K151" s="244"/>
      <c r="L151" s="187"/>
      <c r="M151" s="187"/>
      <c r="N151" s="245"/>
      <c r="O151" s="187"/>
      <c r="P151" s="187"/>
      <c r="Q151" s="187"/>
    </row>
    <row r="152" spans="2:17" ht="15" x14ac:dyDescent="0.25">
      <c r="B152" s="34" t="str">
        <f ca="1">Calc!AX147</f>
        <v/>
      </c>
      <c r="C152" s="223" t="str">
        <f ca="1">Calc!AZ147</f>
        <v/>
      </c>
      <c r="D152" s="187"/>
      <c r="E152" s="187"/>
      <c r="F152" s="187"/>
      <c r="G152" s="187"/>
      <c r="H152" s="187"/>
      <c r="I152" s="187"/>
      <c r="K152" s="244"/>
      <c r="L152" s="187"/>
      <c r="M152" s="187"/>
      <c r="N152" s="245"/>
      <c r="O152" s="187"/>
      <c r="P152" s="187"/>
      <c r="Q152" s="187"/>
    </row>
    <row r="153" spans="2:17" ht="15" x14ac:dyDescent="0.25">
      <c r="B153" s="34" t="str">
        <f ca="1">Calc!AX148</f>
        <v/>
      </c>
      <c r="C153" s="223" t="str">
        <f ca="1">Calc!AZ148</f>
        <v/>
      </c>
      <c r="D153" s="187"/>
      <c r="E153" s="187"/>
      <c r="F153" s="187"/>
      <c r="G153" s="187"/>
      <c r="H153" s="187"/>
      <c r="I153" s="187"/>
      <c r="K153" s="244"/>
      <c r="L153" s="187"/>
      <c r="M153" s="187"/>
      <c r="N153" s="245"/>
      <c r="O153" s="187"/>
      <c r="P153" s="187"/>
      <c r="Q153" s="187"/>
    </row>
    <row r="154" spans="2:17" ht="15" x14ac:dyDescent="0.25">
      <c r="B154" s="34" t="str">
        <f ca="1">Calc!AX149</f>
        <v/>
      </c>
      <c r="C154" s="223" t="str">
        <f ca="1">Calc!AZ149</f>
        <v/>
      </c>
      <c r="D154" s="187"/>
      <c r="E154" s="187"/>
      <c r="F154" s="187"/>
      <c r="G154" s="187"/>
      <c r="H154" s="187"/>
      <c r="I154" s="187"/>
      <c r="K154" s="244"/>
      <c r="L154" s="187"/>
      <c r="M154" s="187"/>
      <c r="N154" s="245"/>
      <c r="O154" s="187"/>
      <c r="P154" s="187"/>
      <c r="Q154" s="187"/>
    </row>
    <row r="155" spans="2:17" ht="15" x14ac:dyDescent="0.25">
      <c r="B155" s="34" t="str">
        <f ca="1">Calc!AX150</f>
        <v/>
      </c>
      <c r="C155" s="223" t="str">
        <f ca="1">Calc!AZ150</f>
        <v/>
      </c>
      <c r="D155" s="187"/>
      <c r="E155" s="187"/>
      <c r="F155" s="187"/>
      <c r="G155" s="187"/>
      <c r="H155" s="187"/>
      <c r="I155" s="187"/>
      <c r="K155" s="244"/>
      <c r="L155" s="187"/>
      <c r="M155" s="187"/>
      <c r="N155" s="245"/>
      <c r="O155" s="187"/>
      <c r="P155" s="187"/>
      <c r="Q155" s="187"/>
    </row>
    <row r="156" spans="2:17" ht="15" x14ac:dyDescent="0.25">
      <c r="B156" s="34" t="str">
        <f ca="1">Calc!AX151</f>
        <v/>
      </c>
      <c r="C156" s="223" t="str">
        <f ca="1">Calc!AZ151</f>
        <v/>
      </c>
      <c r="D156" s="187"/>
      <c r="E156" s="187"/>
      <c r="F156" s="187"/>
      <c r="G156" s="187"/>
      <c r="H156" s="187"/>
      <c r="I156" s="187"/>
      <c r="K156" s="244"/>
      <c r="L156" s="187"/>
      <c r="M156" s="187"/>
      <c r="N156" s="245"/>
      <c r="O156" s="187"/>
      <c r="P156" s="187"/>
      <c r="Q156" s="187"/>
    </row>
    <row r="157" spans="2:17" ht="15" x14ac:dyDescent="0.25">
      <c r="B157" s="34" t="str">
        <f ca="1">Calc!AX152</f>
        <v/>
      </c>
      <c r="C157" s="223" t="str">
        <f ca="1">Calc!AZ152</f>
        <v/>
      </c>
      <c r="D157" s="187"/>
      <c r="E157" s="187"/>
      <c r="F157" s="187"/>
      <c r="G157" s="187"/>
      <c r="H157" s="187"/>
      <c r="I157" s="187"/>
      <c r="K157" s="244"/>
      <c r="L157" s="187"/>
      <c r="M157" s="187"/>
      <c r="N157" s="245"/>
      <c r="O157" s="187"/>
      <c r="P157" s="187"/>
      <c r="Q157" s="187"/>
    </row>
    <row r="158" spans="2:17" ht="15" x14ac:dyDescent="0.25">
      <c r="B158" s="34" t="str">
        <f ca="1">Calc!AX153</f>
        <v/>
      </c>
      <c r="C158" s="223" t="str">
        <f ca="1">Calc!AZ153</f>
        <v/>
      </c>
      <c r="D158" s="187"/>
      <c r="E158" s="187"/>
      <c r="F158" s="187"/>
      <c r="G158" s="187"/>
      <c r="H158" s="187"/>
      <c r="I158" s="187"/>
      <c r="K158" s="244"/>
      <c r="L158" s="187"/>
      <c r="M158" s="187"/>
      <c r="N158" s="245"/>
      <c r="O158" s="187"/>
      <c r="P158" s="187"/>
      <c r="Q158" s="187"/>
    </row>
    <row r="159" spans="2:17" ht="15" x14ac:dyDescent="0.25">
      <c r="B159" s="34" t="str">
        <f ca="1">Calc!AX154</f>
        <v/>
      </c>
      <c r="C159" s="223" t="str">
        <f ca="1">Calc!AZ154</f>
        <v/>
      </c>
      <c r="D159" s="187"/>
      <c r="E159" s="187"/>
      <c r="F159" s="187"/>
      <c r="G159" s="187"/>
      <c r="H159" s="187"/>
      <c r="I159" s="187"/>
      <c r="K159" s="244"/>
      <c r="L159" s="187"/>
      <c r="M159" s="187"/>
      <c r="N159" s="245"/>
      <c r="O159" s="187"/>
      <c r="P159" s="187"/>
      <c r="Q159" s="187"/>
    </row>
  </sheetData>
  <sheetProtection algorithmName="SHA-512" hashValue="Qk7h7TKuiieB5wmeMBaWf00R5CgQ7R2P98r7/jM23fqYDgXWZaYqxiFGFquTtqQP9PIiHYNFNBLuAglsDZH1fw==" saltValue="eMpKFtRxRmZ2F07PfDuhJw==" spinCount="100000" sheet="1" selectLockedCells="1"/>
  <mergeCells count="2">
    <mergeCell ref="B2:Q2"/>
    <mergeCell ref="F4:G4"/>
  </mergeCells>
  <conditionalFormatting sqref="D10:D159">
    <cfRule type="expression" dxfId="93" priority="3">
      <formula>$B10&lt;&gt;""</formula>
    </cfRule>
  </conditionalFormatting>
  <conditionalFormatting sqref="F10:I159">
    <cfRule type="expression" dxfId="92" priority="2">
      <formula>$B10&lt;&gt;""</formula>
    </cfRule>
  </conditionalFormatting>
  <conditionalFormatting sqref="K10:Q159">
    <cfRule type="expression" dxfId="91" priority="1">
      <formula>$B10&lt;&gt;""</formula>
    </cfRule>
  </conditionalFormatting>
  <dataValidations count="6">
    <dataValidation type="list" allowBlank="1" showInputMessage="1" showErrorMessage="1" sqref="G7" xr:uid="{01FE70A5-2F11-43DE-82D4-F839BDDCE73C}">
      <formula1>"modified Morgan (SAC),Olsen (ADAS)"</formula1>
    </dataValidation>
    <dataValidation type="list" allowBlank="1" showInputMessage="1" showErrorMessage="1" sqref="H7:I7" xr:uid="{9B7C2CED-9989-4EFD-A4BA-8893688EE156}">
      <formula1>"modified Morgan (SAC),ammonium nitrate (ADAS)"</formula1>
    </dataValidation>
    <dataValidation type="list" allowBlank="1" showInputMessage="1" showErrorMessage="1" sqref="D7" xr:uid="{D51506BA-F6CD-48F3-B511-B2D91CF52A60}">
      <formula1>"LOI,Dumas"</formula1>
    </dataValidation>
    <dataValidation type="list" allowBlank="1" showInputMessage="1" showErrorMessage="1" sqref="D8:E8" xr:uid="{A407A4C1-02D8-417D-9600-02995D368CBD}">
      <formula1>"%,mg/kg"</formula1>
    </dataValidation>
    <dataValidation type="list" allowBlank="1" showInputMessage="1" showErrorMessage="1" sqref="F7" xr:uid="{AF87BD7A-5A2C-4ECC-9239-C8720B477B08}">
      <formula1>"pH(H2O),pH(CaCl2),pH(KCl)"</formula1>
    </dataValidation>
    <dataValidation type="date" operator="notEqual" allowBlank="1" showInputMessage="1" showErrorMessage="1" sqref="I4 C4" xr:uid="{BDBF27BC-6F25-40DA-A767-7FE7239512BF}">
      <formula1>1</formula1>
    </dataValidation>
  </dataValidations>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E0AC-9663-46D8-9112-5486254C0DA7}">
  <dimension ref="A1:W107"/>
  <sheetViews>
    <sheetView zoomScaleNormal="100" workbookViewId="0">
      <selection activeCell="D7" sqref="D7"/>
    </sheetView>
  </sheetViews>
  <sheetFormatPr defaultColWidth="8.7265625" defaultRowHeight="14.5" x14ac:dyDescent="0.35"/>
  <cols>
    <col min="1" max="1" width="1.54296875" customWidth="1"/>
    <col min="2" max="2" width="22.453125" customWidth="1"/>
    <col min="3" max="3" width="23.54296875" customWidth="1"/>
    <col min="4" max="8" width="13.1796875" customWidth="1"/>
    <col min="9" max="9" width="6.54296875" customWidth="1"/>
    <col min="10" max="10" width="26.26953125" customWidth="1"/>
    <col min="11" max="15" width="10.1796875" customWidth="1"/>
    <col min="16" max="16" width="9.1796875" customWidth="1"/>
    <col min="17" max="18" width="10.1796875" customWidth="1"/>
    <col min="19" max="19" width="12.453125" customWidth="1"/>
    <col min="53" max="53" width="19.26953125" customWidth="1"/>
    <col min="54" max="54" width="2.1796875" customWidth="1"/>
    <col min="55" max="55" width="26.7265625" customWidth="1"/>
  </cols>
  <sheetData>
    <row r="1" spans="2:23" ht="6" customHeight="1" x14ac:dyDescent="0.35"/>
    <row r="2" spans="2:23" ht="29.15" customHeight="1" x14ac:dyDescent="0.35">
      <c r="B2" s="438" t="str">
        <f>IF(ISBLANK('Field information 2'!M4),"WASTE MATERIAL 1","Waste material 1 - "&amp;'Field information 2'!M4)</f>
        <v>WASTE MATERIAL 1</v>
      </c>
      <c r="C2" s="438"/>
      <c r="D2" s="438"/>
      <c r="E2" s="438"/>
      <c r="F2" s="438"/>
      <c r="G2" s="438"/>
      <c r="H2" s="438"/>
      <c r="I2" s="438"/>
      <c r="J2" s="438"/>
      <c r="K2" s="438"/>
      <c r="L2" s="438"/>
      <c r="M2" s="438"/>
      <c r="N2" s="438"/>
      <c r="O2" s="438"/>
      <c r="P2" s="438"/>
      <c r="Q2" s="438"/>
      <c r="R2" s="438"/>
      <c r="S2" s="438"/>
      <c r="U2" s="61"/>
    </row>
    <row r="3" spans="2:23" ht="11.15" customHeight="1" x14ac:dyDescent="0.35">
      <c r="B3" s="364"/>
      <c r="C3" s="364"/>
      <c r="D3" s="364"/>
      <c r="E3" s="364"/>
      <c r="F3" s="364"/>
      <c r="G3" s="364"/>
      <c r="H3" s="364"/>
      <c r="I3" s="364"/>
      <c r="J3" s="364"/>
      <c r="K3" s="364"/>
      <c r="L3" s="364"/>
      <c r="M3" s="364"/>
      <c r="N3" s="364"/>
    </row>
    <row r="4" spans="2:23" ht="29.15" customHeight="1" x14ac:dyDescent="0.35">
      <c r="B4" s="364"/>
      <c r="C4" s="438" t="s">
        <v>100</v>
      </c>
      <c r="D4" s="438"/>
      <c r="E4" s="438"/>
      <c r="F4" s="438"/>
      <c r="G4" s="438"/>
      <c r="H4" s="438"/>
      <c r="I4" s="365"/>
      <c r="J4" s="438" t="s">
        <v>101</v>
      </c>
      <c r="K4" s="438"/>
      <c r="L4" s="438"/>
      <c r="M4" s="438"/>
      <c r="N4" s="438"/>
      <c r="O4" s="438"/>
      <c r="P4" s="438"/>
      <c r="Q4" s="438"/>
      <c r="R4" s="438"/>
      <c r="S4" s="438"/>
      <c r="U4" s="5"/>
    </row>
    <row r="5" spans="2:23" x14ac:dyDescent="0.35">
      <c r="C5" s="5"/>
      <c r="D5" s="15"/>
      <c r="P5" s="35"/>
      <c r="Q5" s="35"/>
    </row>
    <row r="6" spans="2:23" ht="15.5" x14ac:dyDescent="0.35">
      <c r="B6" s="9"/>
      <c r="C6" s="229" t="s">
        <v>102</v>
      </c>
      <c r="D6">
        <v>1</v>
      </c>
      <c r="E6">
        <v>2</v>
      </c>
      <c r="F6">
        <v>3</v>
      </c>
      <c r="G6">
        <v>4</v>
      </c>
      <c r="H6">
        <v>5</v>
      </c>
      <c r="J6" s="5"/>
      <c r="K6">
        <f>D6</f>
        <v>1</v>
      </c>
      <c r="L6">
        <f>E6</f>
        <v>2</v>
      </c>
      <c r="M6">
        <f>F6</f>
        <v>3</v>
      </c>
      <c r="N6">
        <f>G6</f>
        <v>4</v>
      </c>
      <c r="O6">
        <f>H6</f>
        <v>5</v>
      </c>
      <c r="P6" s="39" t="s">
        <v>103</v>
      </c>
      <c r="Q6" s="39" t="s">
        <v>104</v>
      </c>
      <c r="R6" s="39" t="s">
        <v>105</v>
      </c>
      <c r="S6" s="39" t="s">
        <v>106</v>
      </c>
      <c r="V6" s="310"/>
    </row>
    <row r="7" spans="2:23" s="12" customFormat="1" x14ac:dyDescent="0.25">
      <c r="B7" s="18" t="s">
        <v>107</v>
      </c>
      <c r="C7" s="230"/>
      <c r="D7" s="252"/>
      <c r="E7" s="252"/>
      <c r="F7" s="252"/>
      <c r="G7" s="173"/>
      <c r="H7" s="173"/>
      <c r="I7" s="16"/>
      <c r="J7" s="12" t="s">
        <v>107</v>
      </c>
      <c r="K7" s="32" t="str">
        <f>IF(ISBLANK(D7),"",D7)</f>
        <v/>
      </c>
      <c r="L7" s="32" t="str">
        <f t="shared" ref="L7:O7" si="0">IF(ISBLANK(E7),"",E7)</f>
        <v/>
      </c>
      <c r="M7" s="32" t="str">
        <f t="shared" si="0"/>
        <v/>
      </c>
      <c r="N7" s="32" t="str">
        <f t="shared" si="0"/>
        <v/>
      </c>
      <c r="O7" s="32" t="str">
        <f t="shared" si="0"/>
        <v/>
      </c>
    </row>
    <row r="8" spans="2:23" x14ac:dyDescent="0.35">
      <c r="B8" t="s">
        <v>108</v>
      </c>
      <c r="C8" s="231" t="s">
        <v>109</v>
      </c>
      <c r="D8" s="253"/>
      <c r="E8" s="253"/>
      <c r="F8" s="253"/>
      <c r="G8" s="206"/>
      <c r="H8" s="206"/>
      <c r="I8" s="16"/>
      <c r="J8" t="s">
        <v>110</v>
      </c>
      <c r="K8" s="31" t="str">
        <f>IF(OR(ISBLANK(D8),ISTEXT(D8)),"",D8)</f>
        <v/>
      </c>
      <c r="L8" s="31" t="str">
        <f t="shared" ref="L8:O9" si="1">IF(OR(ISBLANK(E8),ISTEXT(E8)),"",E8)</f>
        <v/>
      </c>
      <c r="M8" s="31" t="str">
        <f t="shared" si="1"/>
        <v/>
      </c>
      <c r="N8" s="31" t="str">
        <f t="shared" si="1"/>
        <v/>
      </c>
      <c r="O8" s="31" t="str">
        <f t="shared" si="1"/>
        <v/>
      </c>
      <c r="P8" s="57" t="str">
        <f>IF(AND(K8&lt;&gt;"",L8&lt;&gt;"",M8&lt;&gt;""), AVERAGE(K8:O8),"data missing")</f>
        <v>data missing</v>
      </c>
      <c r="Q8" s="41" t="str">
        <f>IF('Field information 2'!M$5="","",
IF(AND(K8&lt;&gt;"",K8&lt;&gt;"DM missing",L8&lt;&gt;"",L8&lt;&gt;"DM missing",M8&lt;&gt;"",M8&lt;&gt;"DM missing"), MIN(K8:O8), "data missing"))</f>
        <v/>
      </c>
      <c r="R8" s="41" t="str">
        <f>IF('Field information 2'!M$5="","",
IF(AND(K8&lt;&gt;"",K8&lt;&gt;"DM missing",L8&lt;&gt;"",L8&lt;&gt;"DM missing",M8&lt;&gt;"",M8&lt;&gt;"DM missing"), MAX(K8:O8), "data missing"))</f>
        <v/>
      </c>
      <c r="S8" s="40" t="str">
        <f>IF('Field information 2'!M$5="","",
IF(AND(K8&lt;&gt;"",K8&lt;&gt;"DM missing",L8&lt;&gt;"",L8&lt;&gt;"DM missing",M8&lt;&gt;"",M8&lt;&gt;"DM missing"), _xlfn.PERCENTILE.INC(K8:O8,0.85), "data missing"))</f>
        <v/>
      </c>
      <c r="T8" s="45"/>
    </row>
    <row r="9" spans="2:23" x14ac:dyDescent="0.35">
      <c r="B9" t="s">
        <v>84</v>
      </c>
      <c r="C9" s="231"/>
      <c r="D9" s="254"/>
      <c r="E9" s="254"/>
      <c r="F9" s="254"/>
      <c r="G9" s="207"/>
      <c r="H9" s="207"/>
      <c r="I9" s="16"/>
      <c r="J9" t="s">
        <v>84</v>
      </c>
      <c r="K9" s="31" t="str">
        <f>IF(OR(ISBLANK(D9),ISTEXT(D9)),"",D9)</f>
        <v/>
      </c>
      <c r="L9" s="31" t="str">
        <f t="shared" si="1"/>
        <v/>
      </c>
      <c r="M9" s="31" t="str">
        <f t="shared" si="1"/>
        <v/>
      </c>
      <c r="N9" s="31" t="str">
        <f t="shared" si="1"/>
        <v/>
      </c>
      <c r="O9" s="31" t="str">
        <f t="shared" si="1"/>
        <v/>
      </c>
      <c r="P9" s="40" t="str">
        <f>IF(AND( 'Field information 2'!$M$5="xx",OR(K9="",L9="",M9="")),"n/a",
IF(AND(K9&lt;&gt;"",K9&lt;&gt;"DM missing",L9&lt;&gt;"",L9&lt;&gt;"DM missing",M9&lt;&gt;"",M9&lt;&gt;"DM missing"), AVERAGE(K9:O9), "data missing"))</f>
        <v>data missing</v>
      </c>
      <c r="Q9" s="40" t="str">
        <f>IF(AND('Field information 2'!$M$5="xx",OR(K9="",L9="",M9="")),"n/a",
IF(AND(K9&lt;&gt;"",K9&lt;&gt;"DM missing",L9&lt;&gt;"",L9&lt;&gt;"DM missing",M9&lt;&gt;"",M9&lt;&gt;"DM missing"),MIN(K9:O9),"data missing"))</f>
        <v>data missing</v>
      </c>
      <c r="R9" s="40" t="str">
        <f>IF(AND('Field information 2'!$M$5="xx",OR(K9="",L9="",M9="")),"n/a",
IF(AND(K9&lt;&gt;"",K9&lt;&gt;"DM missing",L9&lt;&gt;"",L9&lt;&gt;"DM missing",M9&lt;&gt;"",M9&lt;&gt;"DM missing"),MAX(K9:O9),"data missing"))</f>
        <v>data missing</v>
      </c>
      <c r="S9" s="40" t="str">
        <f>IF(AND( 'Field information 2'!$M$5="xx",OR(K9="",L9="",M9="")),"n/a",
IF(AND(K9&lt;&gt;"",K9&lt;&gt;"DM missing",L9&lt;&gt;"",L9&lt;&gt;"DM missing",M9&lt;&gt;"",M9&lt;&gt;"DM missing"), _xlfn.PERCENTILE.INC(K9:O9,0.85), "data missing"))</f>
        <v>data missing</v>
      </c>
    </row>
    <row r="10" spans="2:23" ht="16.5" x14ac:dyDescent="0.35">
      <c r="B10" s="9" t="s">
        <v>111</v>
      </c>
      <c r="C10" s="232"/>
      <c r="D10" s="255"/>
      <c r="E10" s="255"/>
      <c r="F10" s="255"/>
      <c r="G10" s="174"/>
      <c r="H10" s="174"/>
      <c r="I10" s="16"/>
      <c r="J10" t="s">
        <v>112</v>
      </c>
      <c r="K10" s="37" t="str">
        <f>IF(OR(ISBLANK($C10),ISBLANK(D10),ISTEXT(D10)),"",
IF(AND(ISBLANK(D$8),RIGHT($C10,8)="(dry wt)"),"DM missing",
IF(RIGHT($C10,8)="(dry wt)",
IF(ISTEXT(D8),"",
IF($C10="% OM (dry wt)",D10*10*(D$8/100),
IF($C10="mg/kg OM (dry wt)",D10/1000*(D$8/100),
IF($C10="kg/t OM (dry wt)",D10*(D$8/100),
IF($C10="% ash (dry wt)",(100-D10)*10*(D$8/100),
IF($C10="mg/kg ash (dry wt)",(1000000-D10)/1000*(D$8/100),
IF($C10="% C (dry wt)",D10*1.72*10*(D$8/100),
IF($C10="mg/kg C (dry wt)",D10*1.72/1000*(D$8/100),D10*1.72*(D$8/100))))))))),
IF(RIGHT($C10,4)="(fw)",
IF($C10="% OM (fw)",D10*10,
IF($C10="mg/kg OM (fw)",D10/1000,
IF($C10="kg/t OM (fw)",D10,
IF($C10="% C (fw)",D10*1.72*10,
IF($C10="mg/kg C (fw)",D10*1.72/1000,
IF($C10="kg/t C (fw)",D10*1.72,
IF(ISTEXT(D8),"",
IF($C10="% ash (fw)",(100-(100-D8)-D10)*10,1000000-((100-D8)*10000)-D10)/1000)))))))))))</f>
        <v/>
      </c>
      <c r="L10" s="37" t="str">
        <f t="shared" ref="L10:O10" si="2">IF(OR(ISBLANK($C10),ISBLANK(E10),ISTEXT(E10)),"",
IF(AND(ISBLANK(E$8),RIGHT($C10,8)="(dry wt)"),"DM missing",
IF(RIGHT($C10,8)="(dry wt)",
IF(ISTEXT(E8),"",
IF($C10="% OM (dry wt)",E10*10*(E$8/100),
IF($C10="mg/kg OM (dry wt)",E10/1000*(E$8/100),
IF($C10="kg/t OM (dry wt)",E10*(E$8/100),
IF($C10="% ash (dry wt)",(100-E10)*10*(E$8/100),
IF($C10="mg/kg ash (dry wt)",(1000000-E10)/1000*(E$8/100),
IF($C10="% C (dry wt)",E10*1.72*10*(E$8/100),
IF($C10="mg/kg C (dry wt)",E10*1.72/1000*(E$8/100),E10*1.72*(E$8/100))))))))),
IF(RIGHT($C10,4)="(fw)",
IF($C10="% OM (fw)",E10*10,
IF($C10="mg/kg OM (fw)",E10/1000,
IF($C10="kg/t OM (fw)",E10,
IF($C10="% C (fw)",E10*1.72*10,
IF($C10="mg/kg C (fw)",E10*1.72/1000,
IF($C10="kg/t C (fw)",E10*1.72,
IF(ISTEXT(E8),"",
IF($C10="% ash (fw)",(100-(100-E8)-E10)*10,1000000-((100-E8)*10000)-E10)/1000)))))))))))</f>
        <v/>
      </c>
      <c r="M10" s="37" t="str">
        <f t="shared" si="2"/>
        <v/>
      </c>
      <c r="N10" s="37" t="str">
        <f t="shared" si="2"/>
        <v/>
      </c>
      <c r="O10" s="37" t="str">
        <f t="shared" si="2"/>
        <v/>
      </c>
      <c r="P10" s="57" t="str">
        <f>IF(AND( 'Field information 2'!$M$5="xx",OR(K10="",L10="",M10="")),0,
IF(AND(K10&lt;&gt;"",K10&lt;&gt;"DM missing",L10&lt;&gt;"",L10&lt;&gt;"DM missing",M10&lt;&gt;"",M10&lt;&gt;"DM missing"), AVERAGE(K10:O10), "data missing"))</f>
        <v>data missing</v>
      </c>
      <c r="Q10" s="40" t="str">
        <f>IF(AND('Field information 2'!$M$5="xx",OR(K10="",L10="",M10="")),0,
IF(AND(K10&lt;&gt;"",K10&lt;&gt;"DM missing",L10&lt;&gt;"",L10&lt;&gt;"DM missing",M10&lt;&gt;"",M10&lt;&gt;"DM missing"),MIN(K10:O10),"data missing"))</f>
        <v>data missing</v>
      </c>
      <c r="R10" s="41" t="str">
        <f>IF(AND('Field information 2'!$M$5="xx",OR(K10="",L10="",M10="")),0,
IF(AND(K10&lt;&gt;"",K10&lt;&gt;"DM missing",L10&lt;&gt;"",L10&lt;&gt;"DM missing",M10&lt;&gt;"",M10&lt;&gt;"DM missing"),MAX(K10:O10),"data missing"))</f>
        <v>data missing</v>
      </c>
      <c r="S10" s="40" t="str">
        <f>IF(AND( 'Field information 2'!$M$5="xx",OR(K10="",L10="",M10="")),0,
IF(AND(K10&lt;&gt;"",K10&lt;&gt;"DM missing",L10&lt;&gt;"",L10&lt;&gt;"DM missing",M10&lt;&gt;"",M10&lt;&gt;"DM missing"), _xlfn.PERCENTILE.INC(K10:O10,0.85), "data missing"))</f>
        <v>data missing</v>
      </c>
      <c r="T10" s="5"/>
      <c r="W10" s="5"/>
    </row>
    <row r="11" spans="2:23" ht="4.5" customHeight="1" x14ac:dyDescent="0.35">
      <c r="C11" s="233"/>
      <c r="D11" s="24"/>
      <c r="E11" s="24"/>
      <c r="F11" s="24"/>
      <c r="G11" s="24"/>
      <c r="H11" s="24"/>
      <c r="I11" s="19"/>
      <c r="K11" s="24"/>
      <c r="L11" s="24"/>
      <c r="M11" s="24"/>
      <c r="N11" s="24"/>
      <c r="O11" s="24"/>
      <c r="Q11" s="59"/>
      <c r="S11" s="59"/>
    </row>
    <row r="12" spans="2:23" ht="16.5" x14ac:dyDescent="0.35">
      <c r="B12" t="s">
        <v>113</v>
      </c>
      <c r="C12" s="232"/>
      <c r="D12" s="255"/>
      <c r="E12" s="255"/>
      <c r="F12" s="255"/>
      <c r="G12" s="174"/>
      <c r="H12" s="174"/>
      <c r="I12" s="16"/>
      <c r="J12" t="s">
        <v>114</v>
      </c>
      <c r="K12" s="37" t="str">
        <f>IF(OR(ISBLANK($C12),ISBLANK(D12),ISTEXT(D12)),"",
IF(AND(OR(ISBLANK(D$8),ISTEXT(D8)),RIGHT($C12,8)="(dry wt)"),"DM missing",
IF($C12="% (dry wt)", D12*10*(D$8/100),
IF($C12="mg/kg (dry wt)", D12/1000*(D$8/100),
IF($C12="kg/t (dry wt)", D12*(D$8/100),
IF($C12="% (fw)", D12*10,
IF(OR($C12="mg/kg (fw)", $C12="mg/l (fw)"), D12 /1000,D12)))))))</f>
        <v/>
      </c>
      <c r="L12" s="37" t="str">
        <f t="shared" ref="L12:O12" si="3">IF(OR(ISBLANK($C12),ISBLANK(E12),ISTEXT(E12)),"",
IF(AND(OR(ISBLANK(E$8),ISTEXT(E8)),RIGHT($C12,8)="(dry wt)"),"DM missing",
IF($C12="% (dry wt)", E12*10*(E$8/100),
IF($C12="mg/kg (dry wt)", E12/1000*(E$8/100),
IF($C12="kg/t (dry wt)", E12*(E$8/100),
IF($C12="% (fw)", E12*10,
IF(OR($C12="mg/kg (fw)", $C12="mg/l (fw)"), E12 /1000,E12)))))))</f>
        <v/>
      </c>
      <c r="M12" s="37" t="str">
        <f t="shared" si="3"/>
        <v/>
      </c>
      <c r="N12" s="37" t="str">
        <f t="shared" si="3"/>
        <v/>
      </c>
      <c r="O12" s="37" t="str">
        <f t="shared" si="3"/>
        <v/>
      </c>
      <c r="P12" s="42" t="str">
        <f>IF(AND(K12&lt;&gt;"",K12&lt;&gt;"DM missing",L12&lt;&gt;"",L12&lt;&gt;"DM missing",M12&lt;&gt;"",M12&lt;&gt;"DM missing"), AVERAGE(K12:O12), "data missing")</f>
        <v>data missing</v>
      </c>
      <c r="Q12" s="42" t="str">
        <f>IF(AND(K12&lt;&gt;"",K12&lt;&gt;"DM missing",L12&lt;&gt;"",L12&lt;&gt;"DM missing",M12&lt;&gt;"",M12&lt;&gt;"DM missing"), MIN(K12:O12), "data missing")</f>
        <v>data missing</v>
      </c>
      <c r="R12" s="42" t="str">
        <f>IF(AND(K12&lt;&gt;"",K12&lt;&gt;"DM missing",L12&lt;&gt;"",L12&lt;&gt;"DM missing",M12&lt;&gt;"",M12&lt;&gt;"DM missing"), MAX(K12:O12), "data missing")</f>
        <v>data missing</v>
      </c>
      <c r="S12" s="58" t="str">
        <f>IF(AND(K12&lt;&gt;"",K12&lt;&gt;"DM missing",L12&lt;&gt;"",L12&lt;&gt;"DM missing",M12&lt;&gt;"",M12&lt;&gt;"DM missing"), _xlfn.PERCENTILE.INC(K12:O12,0.85), "data missing")</f>
        <v>data missing</v>
      </c>
      <c r="T12" s="45"/>
      <c r="V12" s="311"/>
    </row>
    <row r="13" spans="2:23" ht="17.5" x14ac:dyDescent="0.45">
      <c r="B13" t="s">
        <v>115</v>
      </c>
      <c r="C13" s="232"/>
      <c r="D13" s="256"/>
      <c r="E13" s="257"/>
      <c r="F13" s="256"/>
      <c r="G13" s="175"/>
      <c r="H13" s="175"/>
      <c r="I13" s="16"/>
      <c r="J13" t="s">
        <v>116</v>
      </c>
      <c r="K13" s="37" t="str">
        <f>IF(OR(ISBLANK($C13),ISBLANK(D13),ISTEXT(D13)),"",
IF(AND(OR(ISBLANK(D$8),ISTEXT(D8)), RIGHT($C13,8)="(dry wt)"),"DM missing",
IF(RIGHT($C13,8)="(dry wt)",
IF($C13="% NH4-N (dry wt)",D13*10*(D$8/100),
IF($C13="mg/kg NH4-N (dry wt)",D13/1000*(D$8/100),
IF($C13="kg/t NH4-N(dry wt)",D13*(D$8/100),
IF($C13="% NH4 (dry wt)",D13*0.778*10*(D$8/100),
IF($C13="mg/kg NH4 (dry wt)",D13*0.778/1000*(D$8/100),D13*0.778*(D$8/100)))))),
IF(RIGHT($C13,4)="(fw)",
IF($C13="% NH4-N (fw)",D13*10,
IF(OR($C13="mg/kg NH4-N (fw)",$C13="mg/l NH4-N (fw)"),D13/1000,
IF($C13="kg/t NH4-N(fw)",D13,
IF($C13="% NH4 (fw)",D13*0.778*10,
IF(OR($C13="mg/kg NH4 (fw)",$C13="mg/l NH4 (fw)"),D13*0.778/1000,D13*0.778)))))))))</f>
        <v/>
      </c>
      <c r="L13" s="37" t="str">
        <f t="shared" ref="L13:O13" si="4">IF(OR(ISBLANK($C13),ISBLANK(E13),ISTEXT(E13)),"",
IF(AND(OR(ISBLANK(E$8),ISTEXT(E8)), RIGHT($C13,8)="(dry wt)"),"DM missing",
IF(RIGHT($C13,8)="(dry wt)",
IF($C13="% NH4-N (dry wt)",E13*10*(E$8/100),
IF($C13="mg/kg NH4-N (dry wt)",E13/1000*(E$8/100),
IF($C13="kg/t NH4-N(dry wt)",E13*(E$8/100),
IF($C13="% NH4 (dry wt)",E13*0.778*10*(E$8/100),
IF($C13="mg/kg NH4 (dry wt)",E13*0.778/1000*(E$8/100),E13*0.778*(E$8/100)))))),
IF(RIGHT($C13,4)="(fw)",
IF($C13="% NH4-N (fw)",E13*10,
IF(OR($C13="mg/kg NH4-N (fw)",$C13="mg/l NH4-N (fw)"),E13/1000,
IF($C13="kg/t NH4-N(fw)",E13,
IF($C13="% NH4 (fw)",E13*0.778*10,
IF(OR($C13="mg/kg NH4 (fw)",$C13="mg/l NH4 (fw)"),E13*0.778/1000,E13*0.778)))))))))</f>
        <v/>
      </c>
      <c r="M13" s="37" t="str">
        <f t="shared" si="4"/>
        <v/>
      </c>
      <c r="N13" s="37" t="str">
        <f t="shared" si="4"/>
        <v/>
      </c>
      <c r="O13" s="37" t="str">
        <f t="shared" si="4"/>
        <v/>
      </c>
      <c r="P13"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1304"),OR(K13="",L13="",M13="")),"",
IF(AND(K13&lt;&gt;"",K13&lt;&gt;"DM missing",L13&lt;&gt;"",L13&lt;&gt;"DM missing",M13&lt;&gt;"",M13&lt;&gt;"DM missing"), AVERAGE(K13:O13), "data missing"))</f>
        <v>data missing</v>
      </c>
      <c r="Q13"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1304"),OR(K13="",L13="",M13="")),"",
IF(AND(K13&lt;&gt;"",K13&lt;&gt;"DM missing",L13&lt;&gt;"",L13&lt;&gt;"DM missing",M13&lt;&gt;"",M13&lt;&gt;"DM missing"), MIN(K13:O13), "data missing"))</f>
        <v>data missing</v>
      </c>
      <c r="R13"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1304"),OR(K13="",L13="",M13="")),"",
IF(AND(K13&lt;&gt;"",K13&lt;&gt;"DM missing",L13&lt;&gt;"",L13&lt;&gt;"DM missing",M13&lt;&gt;"",M13&lt;&gt;"DM missing"), MAX(K13:O13), "data missing"))</f>
        <v>data missing</v>
      </c>
      <c r="S13" s="58"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1304"),OR(K13="",L13="",M13="")),"",
IF(AND(K13&lt;&gt;"",K13&lt;&gt;"DM missing",L13&lt;&gt;"",L13&lt;&gt;"DM missing",M13&lt;&gt;"",M13&lt;&gt;"DM missing"), _xlfn.PERCENTILE.INC(K13:O13,0.85), "data missing"))</f>
        <v>data missing</v>
      </c>
      <c r="T13" s="45"/>
    </row>
    <row r="14" spans="2:23" ht="17.5" x14ac:dyDescent="0.45">
      <c r="B14" t="s">
        <v>117</v>
      </c>
      <c r="C14" s="234"/>
      <c r="D14" s="174"/>
      <c r="E14" s="174"/>
      <c r="F14" s="174"/>
      <c r="G14" s="174"/>
      <c r="H14" s="174"/>
      <c r="I14" s="16"/>
      <c r="J14" t="s">
        <v>118</v>
      </c>
      <c r="K14" s="37" t="str">
        <f>IF(OR(ISBLANK($C14),ISBLANK(D14),ISTEXT(D14)),"",
IF(AND(OR(ISBLANK(D$8),ISTEXT(D8)), RIGHT($C14,8)="(dry wt)"),"DM missing",
IF(RIGHT($C14,8)="(dry wt)",
IF($C14="% NO3-N (dry wt)",D14*10*(D$8/100),
IF($C14="mg/kg NO3-N (dry wt)",D14/1000*(D$8/100),
IF($C14="kg/t NO3-N(dry wt)",D14*(D$8/100),
IF($C14="% NO3 (dry wt)",D14*0.2258*10*(D$8/100),
IF($C14="mg/kg NO3 (dry wt)", D14*0.2258/1000*(D$8/100), D14*0.2258*(D$8/100)))))),
IF(RIGHT($C14,4)="(fw)",
IF($C14="% NO3-N (fw)",D14*10,
IF(OR($C14="mg/kg NO3-N (fw)",$C14="mg/l NO3-N (fw)"),D14/1000,
IF($C14="kg/t NO3-N(fw)",D14,
IF($C14="% NO3 (fw)",D14*0.2258*10,
IF(OR($C14="mg/kg NO3 (fw)",$C14="mg/l NO3 (fw)"),D14*0.2258/1000,D14*0.2258)))))))))</f>
        <v/>
      </c>
      <c r="L14" s="37" t="str">
        <f t="shared" ref="L14:O14" si="5">IF(OR(ISBLANK($C14),ISBLANK(E14),ISTEXT(E14)),"",
IF(AND(OR(ISBLANK(E$8),ISTEXT(E8)), RIGHT($C14,8)="(dry wt)"),"DM missing",
IF(RIGHT($C14,8)="(dry wt)",
IF($C14="% NO3-N (dry wt)",E14*10*(E$8/100),
IF($C14="mg/kg NO3-N (dry wt)",E14/1000*(E$8/100),
IF($C14="kg/t NO3-N(dry wt)",E14*(E$8/100),
IF($C14="% NO3 (dry wt)",E14*0.2258*10*(E$8/100),
IF($C14="mg/kg NO3 (dry wt)", E14*0.2258/1000*(E$8/100), E14*0.2258*(E$8/100)))))),
IF(RIGHT($C14,4)="(fw)",
IF($C14="% NO3-N (fw)",E14*10,
IF(OR($C14="mg/kg NO3-N (fw)",$C14="mg/l NO3-N (fw)"),E14/1000,
IF($C14="kg/t NO3-N(fw)",E14,
IF($C14="% NO3 (fw)",E14*0.2258*10,
IF(OR($C14="mg/kg NO3 (fw)",$C14="mg/l NO3 (fw)"),E14*0.2258/1000,E14*0.2258)))))))))</f>
        <v/>
      </c>
      <c r="M14" s="37" t="str">
        <f t="shared" si="5"/>
        <v/>
      </c>
      <c r="N14" s="37" t="str">
        <f t="shared" si="5"/>
        <v/>
      </c>
      <c r="O14" s="37" t="str">
        <f t="shared" si="5"/>
        <v/>
      </c>
      <c r="P14" s="42" t="str">
        <f>IF(AND(K14&lt;&gt;"",K14&lt;&gt;"DM missing",L14&lt;&gt;"",L14&lt;&gt;"DM missing",M14&lt;&gt;"",M14&lt;&gt;"DM missing"), AVERAGE(K14:O14), "")</f>
        <v/>
      </c>
      <c r="Q14" s="42" t="str">
        <f>IF(AND(K14&lt;&gt;"",K14&lt;&gt;"DM missing",L14&lt;&gt;"",L14&lt;&gt;"DM missing",M14&lt;&gt;"",M14&lt;&gt;"DM missing"), MIN(K14:O14), "")</f>
        <v/>
      </c>
      <c r="R14" s="42" t="str">
        <f>IF(AND(K14&lt;&gt;"",K14&lt;&gt;"DM missing",L14&lt;&gt;"",L14&lt;&gt;"DM missing",M14&lt;&gt;"",M14&lt;&gt;"DM missing"), MAX(K14:O14), "")</f>
        <v/>
      </c>
      <c r="S14" s="58" t="str">
        <f>IF(AND(K14&lt;&gt;"",K14&lt;&gt;"DM missing",L14&lt;&gt;"",L14&lt;&gt;"DM missing",M14&lt;&gt;"",M14&lt;&gt;"DM missing"), _xlfn.PERCENTILE.INC(K14:O14,0.85), "")</f>
        <v/>
      </c>
    </row>
    <row r="15" spans="2:23" ht="17.5" customHeight="1" x14ac:dyDescent="0.35">
      <c r="C15" s="233"/>
      <c r="D15" s="21"/>
      <c r="E15" s="21"/>
      <c r="F15" s="21"/>
      <c r="G15" s="21"/>
      <c r="H15" s="21"/>
      <c r="I15" s="16"/>
      <c r="J15" t="s">
        <v>119</v>
      </c>
      <c r="K15" s="316" t="str">
        <f>IF(OR(K12="",K13=""),"",
IF(K14="",K13/K12*100,(K13+K14)/K12*100))</f>
        <v/>
      </c>
      <c r="L15" s="316" t="str">
        <f t="shared" ref="L15:O15" si="6">IF(OR(L12="",L13=""),"",
IF(L14="",L13/L12*100,(L13+L14)/L12*100))</f>
        <v/>
      </c>
      <c r="M15" s="316" t="str">
        <f t="shared" si="6"/>
        <v/>
      </c>
      <c r="N15" s="316" t="str">
        <f t="shared" si="6"/>
        <v/>
      </c>
      <c r="O15" s="316" t="str">
        <f t="shared" si="6"/>
        <v/>
      </c>
      <c r="P15"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1304"),OR(K15="",L15="",M15="")),"",
IF(AND(K15&lt;&gt;"",L15&lt;&gt;"",M15&lt;&gt;""),AVERAGE(K15:O15),"data missing"))</f>
        <v>data missing</v>
      </c>
      <c r="Q15"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1304"),OR(K15="",L15="",M15="")),"",
IF(AND(K15&lt;&gt;"",L15&lt;&gt;"",M15&lt;&gt;""), MIN(K15:O15),"data missing"))</f>
        <v>data missing</v>
      </c>
      <c r="R15" s="42"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1304"),OR(K15="",L15="",M15="")),"",
IF(AND(K15&lt;&gt;"",L15&lt;&gt;"",M15&lt;&gt;""), MAX(K15:O15),"data missing"))</f>
        <v>data missing</v>
      </c>
      <c r="S15" s="58" t="str">
        <f>IF(AND(OR('Field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1304"),OR(K15="",L15="",M15="")),"",
IF(AND(K15&lt;&gt;"",L15&lt;&gt;"",M15&lt;&gt;""), _xlfn.PERCENTILE.INC(K15:O15,0.85),"data missing"))</f>
        <v>data missing</v>
      </c>
    </row>
    <row r="16" spans="2:23" ht="4.5" customHeight="1" x14ac:dyDescent="0.35">
      <c r="C16" s="233"/>
      <c r="D16" s="14"/>
      <c r="E16" s="14"/>
      <c r="F16" s="14"/>
      <c r="G16" s="14"/>
      <c r="H16" s="14"/>
      <c r="K16" s="14"/>
      <c r="L16" s="14"/>
      <c r="M16" s="14"/>
      <c r="N16" s="14"/>
      <c r="O16" s="14"/>
      <c r="Q16" s="59"/>
      <c r="S16" s="250"/>
    </row>
    <row r="17" spans="2:19" ht="17.5" x14ac:dyDescent="0.45">
      <c r="B17" t="s">
        <v>120</v>
      </c>
      <c r="C17" s="232"/>
      <c r="D17" s="255"/>
      <c r="E17" s="255"/>
      <c r="F17" s="255"/>
      <c r="G17" s="174"/>
      <c r="H17" s="174"/>
      <c r="I17" s="16"/>
      <c r="J17" t="s">
        <v>121</v>
      </c>
      <c r="K17" s="37" t="str">
        <f>IF(OR(ISBLANK($C17),ISBLANK(D17),ISTEXT(D17)),"",
IF(AND(OR(ISBLANK(D$8),ISTEXT(D8)), RIGHT($C17,8)="(dry wt)"),"DM missing",
IF(RIGHT($C17,8)="(dry wt)",
IF($C17="% P2O5 (dry wt)",D17*10*(D$8/100),
IF($C17="mg/kg P2O5 (dry wt)",D17/1000*(D$8/100),
IF($C17="kg/t P2O5(dry wt)",D17*(D$8/100),
IF($C17="% P (dry wt)",D17*2.2914*10*(D$8/100),
IF($C17="mg/kg P (dry wt)", D17*2.2914/1000*(D$8/100), D17*2.2914*(D$8/100)))))),
IF(RIGHT($C17,4)="(fw)",
IF($C17="% P2O5 (fw)",D17*10,
IF(OR($C17="mg/kg P2O5 (fw)",$C17="mg/l P2O5 (fw)"),D17/1000,
IF($C17="kg/t P2O5(fw)",D17,
IF($C17="% P (fw)",D17*2.2914*10,
IF(OR($C17="mg/kg P (fw)",$C17="mg/l P (fw)"),D17*2.2914/1000,D17*2.2914)))))))))</f>
        <v/>
      </c>
      <c r="L17" s="37" t="str">
        <f t="shared" ref="L17:O17" si="7">IF(OR(ISBLANK($C17),ISBLANK(E17),ISTEXT(E17)),"",
IF(AND(OR(ISBLANK(E$8),ISTEXT(E8)), RIGHT($C17,8)="(dry wt)"),"DM missing",
IF(RIGHT($C17,8)="(dry wt)",
IF($C17="% P2O5 (dry wt)",E17*10*(E$8/100),
IF($C17="mg/kg P2O5 (dry wt)",E17/1000*(E$8/100),
IF($C17="kg/t P2O5(dry wt)",E17*(E$8/100),
IF($C17="% P (dry wt)",E17*2.2914*10*(E$8/100),
IF($C17="mg/kg P (dry wt)", E17*2.2914/1000*(E$8/100), E17*2.2914*(E$8/100)))))),
IF(RIGHT($C17,4)="(fw)",
IF($C17="% P2O5 (fw)",E17*10,
IF(OR($C17="mg/kg P2O5 (fw)",$C17="mg/l P2O5 (fw)"),E17/1000,
IF($C17="kg/t P2O5(fw)",E17,
IF($C17="% P (fw)",E17*2.2914*10,
IF(OR($C17="mg/kg P (fw)",$C17="mg/l P (fw)"),E17*2.2914/1000,E17*2.2914)))))))))</f>
        <v/>
      </c>
      <c r="M17" s="37" t="str">
        <f t="shared" si="7"/>
        <v/>
      </c>
      <c r="N17" s="37" t="str">
        <f t="shared" si="7"/>
        <v/>
      </c>
      <c r="O17" s="37" t="str">
        <f t="shared" si="7"/>
        <v/>
      </c>
      <c r="P17" s="42" t="str">
        <f>IF(AND(K17&lt;&gt;"",K17&lt;&gt;"DM missing",L17&lt;&gt;"",L17&lt;&gt;"DM missing",M17&lt;&gt;"",M17&lt;&gt;"DM missing"), AVERAGE(K17:O17), "data missing")</f>
        <v>data missing</v>
      </c>
      <c r="Q17" s="42" t="str">
        <f>IF(AND(K17&lt;&gt;"",K17&lt;&gt;"DM missing",L17&lt;&gt;"",L17&lt;&gt;"DM missing",M17&lt;&gt;"",M17&lt;&gt;"DM missing"), MIN(K17:O17), "data missing")</f>
        <v>data missing</v>
      </c>
      <c r="R17" s="42" t="str">
        <f>IF(AND(K17&lt;&gt;"",K17&lt;&gt;"DM missing",L17&lt;&gt;"",L17&lt;&gt;"DM missing",M17&lt;&gt;"",M17&lt;&gt;"DM missing"), MAX(K17:O17), "data missing")</f>
        <v>data missing</v>
      </c>
      <c r="S17" s="58" t="str">
        <f>IF(AND(K17&lt;&gt;"",K17&lt;&gt;"DM missing",L17&lt;&gt;"",L17&lt;&gt;"DM missing",M17&lt;&gt;"",M17&lt;&gt;"DM missing"), _xlfn.PERCENTILE.INC(K17:O17,0.85), "data missing")</f>
        <v>data missing</v>
      </c>
    </row>
    <row r="18" spans="2:19" ht="6" customHeight="1" x14ac:dyDescent="0.35">
      <c r="C18" s="233"/>
      <c r="D18" s="21"/>
      <c r="E18" s="21"/>
      <c r="F18" s="22"/>
      <c r="G18" s="22"/>
      <c r="H18" s="23"/>
      <c r="I18" s="16"/>
      <c r="K18" s="312"/>
      <c r="L18" s="312"/>
      <c r="M18" s="312"/>
      <c r="N18" s="312"/>
      <c r="O18" s="312"/>
      <c r="P18" s="313"/>
      <c r="Q18" s="314"/>
      <c r="R18" s="313"/>
      <c r="S18" s="315"/>
    </row>
    <row r="19" spans="2:19" ht="17.5" x14ac:dyDescent="0.45">
      <c r="B19" t="s">
        <v>122</v>
      </c>
      <c r="C19" s="232"/>
      <c r="D19" s="255"/>
      <c r="E19" s="258"/>
      <c r="F19" s="255"/>
      <c r="G19" s="174"/>
      <c r="H19" s="174"/>
      <c r="I19" s="16"/>
      <c r="J19" t="s">
        <v>123</v>
      </c>
      <c r="K19" s="37" t="str">
        <f>IF(OR(ISBLANK($C19),ISBLANK(D19),ISTEXT(D19)),"",
IF(AND(OR(ISBLANK(D$8),ISTEXT(D8)), RIGHT($C19,8)="(dry wt)"),"DM missing",
IF(RIGHT($C19,8)="(dry wt)",
IF($C19="% K2O (dry wt)",D19*10*(D$8/100),
IF($C19="mg/kg K2O (dry wt)",D19/1000*(D$8/100),
IF($C19="kg/t K2O(dry wt)",D19*(D$8/100),
IF($C19="% K (dry wt)",D19*1.2046*10*(D$8/100),
IF($C19="mg/kg K (dry wt)", D19*1.2046/1000*(D$8/100), D19*1.2046*(D$8/100)))))),
IF(RIGHT($C19,4)="(fw)",
IF($C19="% K2O (fw)",D19*10,
IF(OR($C19="mg/kg K2O (fw)",$C19="mg/l K2O (fw)"),D19/1000,
IF($C19="kg/t K2O(fw)",D19,
IF($C19="% K (fw)",D19*1.2046*10,
IF(OR($C19="mg/kg K (fw)",$C19="mg/l K (fw)"),D19*1.2046/1000,D19*1.2046)))))))))</f>
        <v/>
      </c>
      <c r="L19" s="37" t="str">
        <f t="shared" ref="L19:O19" si="8">IF(OR(ISBLANK($C19),ISBLANK(E19),ISTEXT(E19)),"",
IF(AND(OR(ISBLANK(E$8),ISTEXT(E8)), RIGHT($C19,8)="(dry wt)"),"DM missing",
IF(RIGHT($C19,8)="(dry wt)",
IF($C19="% K2O (dry wt)",E19*10*(E$8/100),
IF($C19="mg/kg K2O (dry wt)",E19/1000*(E$8/100),
IF($C19="kg/t K2O(dry wt)",E19*(E$8/100),
IF($C19="% K (dry wt)",E19*1.2046*10*(E$8/100),
IF($C19="mg/kg K (dry wt)", E19*1.2046/1000*(E$8/100), E19*1.2046*(E$8/100)))))),
IF(RIGHT($C19,4)="(fw)",
IF($C19="% K2O (fw)",E19*10,
IF(OR($C19="mg/kg K2O (fw)",$C19="mg/l K2O (fw)"),E19/1000,
IF($C19="kg/t K2O(fw)",E19,
IF($C19="% K (fw)",E19*1.2046*10,
IF(OR($C19="mg/kg K (fw)",$C19="mg/l K (fw)"),E19*1.2046/1000,E19*1.2046)))))))))</f>
        <v/>
      </c>
      <c r="M19" s="37" t="str">
        <f t="shared" si="8"/>
        <v/>
      </c>
      <c r="N19" s="37" t="str">
        <f t="shared" si="8"/>
        <v/>
      </c>
      <c r="O19" s="37" t="str">
        <f t="shared" si="8"/>
        <v/>
      </c>
      <c r="P19" s="42" t="str">
        <f>IF(AND(K19&lt;&gt;"",K19&lt;&gt;"DM missing",L19&lt;&gt;"",L19&lt;&gt;"DM missing",M19&lt;&gt;"",M19&lt;&gt;"DM missing"), AVERAGE(K19:O19), "data missing")</f>
        <v>data missing</v>
      </c>
      <c r="Q19" s="42" t="str">
        <f>IF(AND(K19&lt;&gt;"",K19&lt;&gt;"DM missing",L19&lt;&gt;"",L19&lt;&gt;"DM missing",M19&lt;&gt;"",M19&lt;&gt;"DM missing"), MIN(K19:O19), "data missing")</f>
        <v>data missing</v>
      </c>
      <c r="R19" s="42" t="str">
        <f>IF(AND(K19&lt;&gt;"",K19&lt;&gt;"DM missing",L19&lt;&gt;"",L19&lt;&gt;"DM missing",M19&lt;&gt;"",M19&lt;&gt;"DM missing"), MAX(K19:O19), "data missing")</f>
        <v>data missing</v>
      </c>
      <c r="S19" s="58" t="str">
        <f>IF(AND(K19&lt;&gt;"",K19&lt;&gt;"DM missing",L19&lt;&gt;"",L19&lt;&gt;"DM missing",M19&lt;&gt;"",M19&lt;&gt;"DM missing"), _xlfn.PERCENTILE.INC(K19:O19,0.85), "data missing")</f>
        <v>data missing</v>
      </c>
    </row>
    <row r="20" spans="2:19" ht="6" customHeight="1" x14ac:dyDescent="0.35">
      <c r="C20" s="233"/>
      <c r="D20" s="21"/>
      <c r="E20" s="21"/>
      <c r="F20" s="22"/>
      <c r="G20" s="22"/>
      <c r="H20" s="23"/>
      <c r="I20" s="16"/>
      <c r="K20" s="312"/>
      <c r="L20" s="312"/>
      <c r="M20" s="312"/>
      <c r="N20" s="312"/>
      <c r="O20" s="312"/>
      <c r="P20" s="313"/>
      <c r="Q20" s="314"/>
      <c r="R20" s="313"/>
      <c r="S20" s="315"/>
    </row>
    <row r="21" spans="2:19" ht="16.5" x14ac:dyDescent="0.35">
      <c r="B21" t="s">
        <v>124</v>
      </c>
      <c r="C21" s="235"/>
      <c r="D21" s="255"/>
      <c r="E21" s="258"/>
      <c r="F21" s="255"/>
      <c r="G21" s="174"/>
      <c r="H21" s="174"/>
      <c r="I21" s="16"/>
      <c r="J21" t="s">
        <v>125</v>
      </c>
      <c r="K21" s="37" t="str">
        <f>IF(OR(ISBLANK($C21),ISBLANK(D21),ISTEXT(D21)),"",
IF(AND(OR(ISBLANK(D$8),ISTEXT(D8)), RIGHT($C21,8)="(dry wt)"),"DM missing",
IF(RIGHT($C21,8)="(dry wt)",
IF($C21="% MgO (dry wt)",D21*10*(D$8/100),
IF($C21="mg/kg MgO (dry wt)",D21/1000*(D$8/100),
IF($C21="kg/t MgO(dry wt)",D21*(D$8/100),
IF($C21="% Mg (dry wt)",D21*1.6583*10*(D$8/100),
IF($C21="mg/kg Mg (dry wt)", D21*1.6583/1000*(D$8/100), D21*1.6583*(D$8/100)))))),
IF(RIGHT($C21,4)="(fw)",
IF($C21="% MgO (fw)",D21*10,
IF(OR($C21="mg/kg MgO (fw)",$C21="mg/l MgO (fw)"),D21/1000,
IF($C21="kg/t MgO(fw)",D21,
IF($C21="% Mg (fw)",D21*1.6583*10,
IF(OR($C21="mg/kg Mg (fw)",$C21="mg/l Mg (fw)"), D21*1.6583/1000, D21*1.6583)))))))))</f>
        <v/>
      </c>
      <c r="L21" s="37" t="str">
        <f t="shared" ref="L21:O21" si="9">IF(OR(ISBLANK($C21),ISBLANK(E21),ISTEXT(E21)),"",
IF(AND(OR(ISBLANK(E$8),ISTEXT(E8)), RIGHT($C21,8)="(dry wt)"),"DM missing",
IF(RIGHT($C21,8)="(dry wt)",
IF($C21="% MgO (dry wt)",E21*10*(E$8/100),
IF($C21="mg/kg MgO (dry wt)",E21/1000*(E$8/100),
IF($C21="kg/t MgO(dry wt)",E21*(E$8/100),
IF($C21="% Mg (dry wt)",E21*1.6583*10*(E$8/100),
IF($C21="mg/kg Mg (dry wt)", E21*1.6583/1000*(E$8/100), E21*1.6583*(E$8/100)))))),
IF(RIGHT($C21,4)="(fw)",
IF($C21="% MgO (fw)",E21*10,
IF(OR($C21="mg/kg MgO (fw)",$C21="mg/l MgO (fw)"),E21/1000,
IF($C21="kg/t MgO(fw)",E21,
IF($C21="% Mg (fw)",E21*1.6583*10,
IF(OR($C21="mg/kg Mg (fw)",$C21="mg/l Mg (fw)"), E21*1.6583/1000, E21*1.6583)))))))))</f>
        <v/>
      </c>
      <c r="M21" s="37" t="str">
        <f t="shared" si="9"/>
        <v/>
      </c>
      <c r="N21" s="37" t="str">
        <f t="shared" si="9"/>
        <v/>
      </c>
      <c r="O21" s="37" t="str">
        <f t="shared" si="9"/>
        <v/>
      </c>
      <c r="P21" s="42" t="str">
        <f>IF(AND( 'Field information 2'!$M$5="xx",OR(K21="",L21="",M21="")),0,
IF(AND(K21&lt;&gt;"",K21&lt;&gt;"DM missing",L21&lt;&gt;"",L21&lt;&gt;"DM missing",M21&lt;&gt;"",M21&lt;&gt;"DM missing"), AVERAGE(K21:O21), "data missing"))</f>
        <v>data missing</v>
      </c>
      <c r="Q21" s="42" t="str">
        <f>IF(AND( 'Field information 2'!$M$5="xx",OR(K21="",L21="",M21="")),0,
IF(AND(K21&lt;&gt;"",K21&lt;&gt;"DM missing",L21&lt;&gt;"",L21&lt;&gt;"DM missing",M21&lt;&gt;"",M21&lt;&gt;"DM missing"), MIN(K21:O21), "data missing"))</f>
        <v>data missing</v>
      </c>
      <c r="R21" s="42" t="str">
        <f>IF(AND( 'Field information 2'!$M$5="xx",OR(K21="",L21="",M21="")),0,
IF(AND(K21&lt;&gt;"",K21&lt;&gt;"DM missing",L21&lt;&gt;"",L21&lt;&gt;"DM missing",M21&lt;&gt;"",M21&lt;&gt;"DM missing"), MAX(K21:O21), "data missing"))</f>
        <v>data missing</v>
      </c>
      <c r="S21" s="58" t="str">
        <f>IF(AND( 'Field information 2'!$M$5="xx",OR(K21="",L21="",M21="")),0,
IF(AND(K21&lt;&gt;"",K21&lt;&gt;"DM missing",L21&lt;&gt;"",L21&lt;&gt;"DM missing",M21&lt;&gt;"",M21&lt;&gt;"DM missing"), _xlfn.PERCENTILE.INC(K21:O21,0.85), "data missing"))</f>
        <v>data missing</v>
      </c>
    </row>
    <row r="22" spans="2:19" ht="4.5" customHeight="1" x14ac:dyDescent="0.35">
      <c r="C22" s="233"/>
      <c r="D22" s="21"/>
      <c r="E22" s="21"/>
      <c r="F22" s="21"/>
      <c r="G22" s="21"/>
      <c r="H22" s="21"/>
      <c r="I22" s="16"/>
      <c r="K22" s="312"/>
      <c r="L22" s="312"/>
      <c r="M22" s="312"/>
      <c r="N22" s="312"/>
      <c r="O22" s="312"/>
      <c r="P22" s="313"/>
      <c r="Q22" s="314"/>
      <c r="R22" s="313"/>
      <c r="S22" s="315"/>
    </row>
    <row r="23" spans="2:19" ht="17.5" x14ac:dyDescent="0.45">
      <c r="B23" s="15" t="s">
        <v>126</v>
      </c>
      <c r="C23" s="234"/>
      <c r="D23" s="174"/>
      <c r="E23" s="174"/>
      <c r="F23" s="174"/>
      <c r="G23" s="174"/>
      <c r="H23" s="174"/>
      <c r="I23" s="16"/>
      <c r="J23" t="s">
        <v>127</v>
      </c>
      <c r="K23" s="37" t="str">
        <f>IF(OR(ISBLANK($C23),ISBLANK(D23)),"",
IF(AND(OR(ISBLANK(D$8),ISTEXT(D8)), RIGHT($C23,8)="(dry wt)"),"DM missing",
IF(RIGHT($C23,8)="(dry wt)",
IF($C23="% SO3 (dry wt)",D23*10*(D$8/100),
IF($C23="mg/kg SO3 (dry wt)",D23/1000*(D$8/100),
IF($C23="kg/t SO3(dry wt)",D23*(D$8/100),
IF($C23="% S (dry wt)",D23*2.4972*10*(D$8/100),
IF($C23="mg/kg S (dry wt)", D23*2.4972/1000*(D$8/100), D23*2.4972*(D$8/100)))))),
IF(RIGHT($C23,4)="(fw)",
IF($C23="% SO3 (fw)",D23*10,
IF(OR($C23="mg/kg SO3 (fw)",$C23="mg/l SO3 (fw)"),D23/1000,
IF($C23="kg/t SO3(fw)",D23,
IF($C23="% S (fw)",D23*2.4972*10,
IF(OR($C23="mg/kg S (fw)",$C23="mg/l S (fw)"),D23*2.4972/1000,D23*2.4972)))))))))</f>
        <v/>
      </c>
      <c r="L23" s="37" t="str">
        <f t="shared" ref="L23:O23" si="10">IF(OR(ISBLANK($C23),ISBLANK(E23)),"",
IF(AND(OR(ISBLANK(E$8),ISTEXT(E8)), RIGHT($C23,8)="(dry wt)"),"DM missing",
IF(RIGHT($C23,8)="(dry wt)",
IF($C23="% SO3 (dry wt)",E23*10*(E$8/100),
IF($C23="mg/kg SO3 (dry wt)",E23/1000*(E$8/100),
IF($C23="kg/t SO3(dry wt)",E23*(E$8/100),
IF($C23="% S (dry wt)",E23*2.4972*10*(E$8/100),
IF($C23="mg/kg S (dry wt)", E23*2.4972/1000*(E$8/100), E23*2.4972*(E$8/100)))))),
IF(RIGHT($C23,4)="(fw)",
IF($C23="% SO3 (fw)",E23*10,
IF(OR($C23="mg/kg SO3 (fw)",$C23="mg/l SO3 (fw)"),E23/1000,
IF($C23="kg/t SO3(fw)",E23,
IF($C23="% S (fw)",E23*2.4972*10,
IF(OR($C23="mg/kg S (fw)",$C23="mg/l S (fw)"),E23*2.4972/1000,E23*2.4972)))))))))</f>
        <v/>
      </c>
      <c r="M23" s="37" t="str">
        <f t="shared" si="10"/>
        <v/>
      </c>
      <c r="N23" s="37" t="str">
        <f t="shared" si="10"/>
        <v/>
      </c>
      <c r="O23" s="37" t="str">
        <f t="shared" si="10"/>
        <v/>
      </c>
      <c r="P23" s="42" t="str">
        <f>IF(AND(K23&lt;&gt;"",K23&lt;&gt;"DM missing",L23&lt;&gt;"",L23&lt;&gt;"DM missing",M23&lt;&gt;"",M23&lt;&gt;"DM missing"), AVERAGE(K23:O23), "")</f>
        <v/>
      </c>
      <c r="Q23" s="42" t="str">
        <f>IF(AND(K23&lt;&gt;"",K23&lt;&gt;"DM missing",L23&lt;&gt;"",L23&lt;&gt;"DM missing",M23&lt;&gt;"",M23&lt;&gt;"DM missing"), MIN(K23:O23), "")</f>
        <v/>
      </c>
      <c r="R23" s="42" t="str">
        <f>IF(AND(K23&lt;&gt;"",K23&lt;&gt;"DM missing",L23&lt;&gt;"",L23&lt;&gt;"DM missing",M23&lt;&gt;"",M23&lt;&gt;"DM missing"), MAX(K23:O23), "")</f>
        <v/>
      </c>
      <c r="S23" s="58" t="str">
        <f>IF(AND(K23&lt;&gt;"",K23&lt;&gt;"DM missing",L23&lt;&gt;"",L23&lt;&gt;"DM missing",M23&lt;&gt;"",M23&lt;&gt;"DM missing"), _xlfn.PERCENTILE.INC(K23:O23,0.85), "")</f>
        <v/>
      </c>
    </row>
    <row r="24" spans="2:19" ht="5.5" customHeight="1" x14ac:dyDescent="0.35">
      <c r="C24" s="233"/>
      <c r="D24" s="21"/>
      <c r="E24" s="21"/>
      <c r="F24" s="22"/>
      <c r="G24" s="22"/>
      <c r="H24" s="23"/>
      <c r="I24" s="16"/>
      <c r="K24" s="30"/>
      <c r="L24" s="21"/>
      <c r="M24" s="21"/>
      <c r="N24" s="21"/>
      <c r="O24" s="21"/>
      <c r="Q24" s="59"/>
      <c r="S24" s="250"/>
    </row>
    <row r="25" spans="2:19" ht="16.5" x14ac:dyDescent="0.35">
      <c r="B25" t="s">
        <v>128</v>
      </c>
      <c r="C25" s="232"/>
      <c r="D25" s="288"/>
      <c r="E25" s="289"/>
      <c r="F25" s="288"/>
      <c r="G25" s="174"/>
      <c r="H25" s="174"/>
      <c r="I25" s="16"/>
      <c r="J25" t="s">
        <v>129</v>
      </c>
      <c r="K25" s="36" t="str">
        <f>IF(OR(ISBLANK($C25),ISBLANK(D25),ISTEXT(D25)),"",
IF(AND(OR(ISBLANK(D$8),ISTEXT(D$8)), $C25="mg/kg (dry wt)"),"DM missing",
IF($C25="mg/kg (dry wt)", D25/1000*(D$8/100), D25/1000)))</f>
        <v/>
      </c>
      <c r="L25" s="36" t="str">
        <f t="shared" ref="L25:O25" si="11">IF(OR(ISBLANK($C25),ISBLANK(E25),ISTEXT(E25)),"",
IF(AND(OR(ISBLANK(E$8),ISTEXT(E$8)), $C25="mg/kg (dry wt)"),"DM missing",
IF($C25="mg/kg (dry wt)", E25/1000*(E$8/100), E25/1000)))</f>
        <v/>
      </c>
      <c r="M25" s="36" t="str">
        <f t="shared" si="11"/>
        <v/>
      </c>
      <c r="N25" s="36" t="str">
        <f t="shared" si="11"/>
        <v/>
      </c>
      <c r="O25" s="36" t="str">
        <f t="shared" si="11"/>
        <v/>
      </c>
      <c r="P25" s="43" t="str">
        <f>IF(AND( 'Field information 2'!$M$5="xx",OR(K25="",L25="",M25="")),0,
IF(AND(K25&lt;&gt;"",K25&lt;&gt;"DM missing",L25&lt;&gt;"",L25&lt;&gt;"DM missing",M25&lt;&gt;"",M25&lt;&gt;"DM missing"), AVERAGE(K25:O25), "data missing"))</f>
        <v>data missing</v>
      </c>
      <c r="Q25" s="43" t="str">
        <f>IF(AND( 'Field information 2'!$M$5="xx",OR(K25="",L25="",M25="")),0,
IF(AND(K25&lt;&gt;"",K25&lt;&gt;"DM missing",L25&lt;&gt;"",L25&lt;&gt;"DM missing",M25&lt;&gt;"",M25&lt;&gt;"DM missing"), MIN(K25:O25), "data missing"))</f>
        <v>data missing</v>
      </c>
      <c r="R25" s="43" t="str">
        <f>IF(AND( 'Field information 2'!$M$5="xx",OR(K25="",L25="",M25="")),0,
IF(AND(K25&lt;&gt;"",K25&lt;&gt;"DM missing",L25&lt;&gt;"",L25&lt;&gt;"DM missing",M25&lt;&gt;"",M25&lt;&gt;"DM missing"), MAX(K25:O25), "data missing"))</f>
        <v>data missing</v>
      </c>
      <c r="S25" s="60" t="str">
        <f>IF(AND( 'Field information 2'!$M$5="xx",OR(K25="",L25="",M25="")),0,
IF(AND(K25&lt;&gt;"",K25&lt;&gt;"DM missing",L25&lt;&gt;"",L25&lt;&gt;"DM missing",M25&lt;&gt;"",M25&lt;&gt;"DM missing"), _xlfn.PERCENTILE.INC(K25:O25,0.85), "data missing"))</f>
        <v>data missing</v>
      </c>
    </row>
    <row r="26" spans="2:19" ht="16.5" x14ac:dyDescent="0.35">
      <c r="B26" t="s">
        <v>130</v>
      </c>
      <c r="C26" s="232"/>
      <c r="D26" s="255"/>
      <c r="E26" s="258"/>
      <c r="F26" s="255"/>
      <c r="G26" s="174"/>
      <c r="H26" s="174"/>
      <c r="I26" s="16"/>
      <c r="J26" t="s">
        <v>131</v>
      </c>
      <c r="K26" s="36" t="str">
        <f t="shared" ref="K26:K31" si="12">IF(OR(ISBLANK($C26),ISBLANK(D26),ISTEXT(D26)),"",
IF(AND(OR(ISBLANK(D$8),ISTEXT(D$8)), $C26="mg/kg (dry wt)"),"DM missing",
IF($C26="mg/kg (dry wt)", D26/1000*(D$8/100), D26/1000)))</f>
        <v/>
      </c>
      <c r="L26" s="36" t="str">
        <f t="shared" ref="L26:L31" si="13">IF(OR(ISBLANK($C26),ISBLANK(E26),ISTEXT(E26)),"",
IF(AND(OR(ISBLANK(E$8),ISTEXT(E$8)), $C26="mg/kg (dry wt)"),"DM missing",
IF($C26="mg/kg (dry wt)", E26/1000*(E$8/100), E26/1000)))</f>
        <v/>
      </c>
      <c r="M26" s="36" t="str">
        <f t="shared" ref="M26:M31" si="14">IF(OR(ISBLANK($C26),ISBLANK(F26),ISTEXT(F26)),"",
IF(AND(OR(ISBLANK(F$8),ISTEXT(F$8)), $C26="mg/kg (dry wt)"),"DM missing",
IF($C26="mg/kg (dry wt)", F26/1000*(F$8/100), F26/1000)))</f>
        <v/>
      </c>
      <c r="N26" s="36" t="str">
        <f t="shared" ref="N26:N31" si="15">IF(OR(ISBLANK($C26),ISBLANK(G26),ISTEXT(G26)),"",
IF(AND(OR(ISBLANK(G$8),ISTEXT(G$8)), $C26="mg/kg (dry wt)"),"DM missing",
IF($C26="mg/kg (dry wt)", G26/1000*(G$8/100), G26/1000)))</f>
        <v/>
      </c>
      <c r="O26" s="36" t="str">
        <f t="shared" ref="O26:O31" si="16">IF(OR(ISBLANK($C26),ISBLANK(H26),ISTEXT(H26)),"",
IF(AND(OR(ISBLANK(H$8),ISTEXT(H$8)), $C26="mg/kg (dry wt)"),"DM missing",
IF($C26="mg/kg (dry wt)", H26/1000*(H$8/100), H26/1000)))</f>
        <v/>
      </c>
      <c r="P26" s="43" t="str">
        <f>IF(AND( 'Field information 2'!$M$5="xx",OR(K26="",L26="",M26="")),0,
IF(AND(K26&lt;&gt;"",K26&lt;&gt;"DM missing",L26&lt;&gt;"",L26&lt;&gt;"DM missing",M26&lt;&gt;"",M26&lt;&gt;"DM missing"), AVERAGE(K26:O26), "data missing"))</f>
        <v>data missing</v>
      </c>
      <c r="Q26" s="43" t="str">
        <f>IF(AND( 'Field information 2'!$M$5="xx",OR(K26="",L26="",M26="")),0,
IF(AND(K26&lt;&gt;"",K26&lt;&gt;"DM missing",L26&lt;&gt;"",L26&lt;&gt;"DM missing",M26&lt;&gt;"",M26&lt;&gt;"DM missing"), MIN(K26:O26), "data missing"))</f>
        <v>data missing</v>
      </c>
      <c r="R26" s="43" t="str">
        <f>IF(AND( 'Field information 2'!$M$5="xx",OR(K26="",L26="",M26="")),0,
IF(AND(K26&lt;&gt;"",K26&lt;&gt;"DM missing",L26&lt;&gt;"",L26&lt;&gt;"DM missing",M26&lt;&gt;"",M26&lt;&gt;"DM missing"), MAX(K26:O26), "data missing"))</f>
        <v>data missing</v>
      </c>
      <c r="S26" s="60" t="str">
        <f>IF(AND( 'Field information 2'!$M$5="xx",OR(K26="",L26="",M26="")),0,
IF(AND(K26&lt;&gt;"",K26&lt;&gt;"DM missing",L26&lt;&gt;"",L26&lt;&gt;"DM missing",M26&lt;&gt;"",M26&lt;&gt;"DM missing"), _xlfn.PERCENTILE.INC(K26:O26,0.85), "data missing"))</f>
        <v>data missing</v>
      </c>
    </row>
    <row r="27" spans="2:19" ht="16.5" x14ac:dyDescent="0.35">
      <c r="B27" t="s">
        <v>132</v>
      </c>
      <c r="C27" s="232"/>
      <c r="D27" s="255"/>
      <c r="E27" s="258"/>
      <c r="F27" s="255"/>
      <c r="G27" s="174"/>
      <c r="H27" s="174"/>
      <c r="I27" s="16"/>
      <c r="J27" t="s">
        <v>133</v>
      </c>
      <c r="K27" s="36" t="str">
        <f t="shared" si="12"/>
        <v/>
      </c>
      <c r="L27" s="36" t="str">
        <f t="shared" si="13"/>
        <v/>
      </c>
      <c r="M27" s="36" t="str">
        <f t="shared" si="14"/>
        <v/>
      </c>
      <c r="N27" s="36" t="str">
        <f t="shared" si="15"/>
        <v/>
      </c>
      <c r="O27" s="36" t="str">
        <f t="shared" si="16"/>
        <v/>
      </c>
      <c r="P27" s="43" t="str">
        <f>IF(AND( 'Field information 2'!$M$5="xx",OR(K27="",L27="",M27="")),0,
IF(AND(K27&lt;&gt;"",K27&lt;&gt;"DM missing",L27&lt;&gt;"",L27&lt;&gt;"DM missing",M27&lt;&gt;"",M27&lt;&gt;"DM missing"), AVERAGE(K27:O27), "data missing"))</f>
        <v>data missing</v>
      </c>
      <c r="Q27" s="43" t="str">
        <f>IF(AND( 'Field information 2'!$M$5="xx",OR(K27="",L27="",M27="")),0,
IF(AND(K27&lt;&gt;"",K27&lt;&gt;"DM missing",L27&lt;&gt;"",L27&lt;&gt;"DM missing",M27&lt;&gt;"",M27&lt;&gt;"DM missing"), MIN(K27:O27), "data missing"))</f>
        <v>data missing</v>
      </c>
      <c r="R27" s="43" t="str">
        <f>IF(AND( 'Field information 2'!$M$5="xx",OR(K27="",L27="",M27="")),0,
IF(AND(K27&lt;&gt;"",K27&lt;&gt;"DM missing",L27&lt;&gt;"",L27&lt;&gt;"DM missing",M27&lt;&gt;"",M27&lt;&gt;"DM missing"), MAX(K27:O27), "data missing"))</f>
        <v>data missing</v>
      </c>
      <c r="S27" s="60" t="str">
        <f>IF(AND( 'Field information 2'!$M$5="xx",OR(K27="",L27="",M27="")),0,
IF(AND(K27&lt;&gt;"",K27&lt;&gt;"DM missing",L27&lt;&gt;"",L27&lt;&gt;"DM missing",M27&lt;&gt;"",M27&lt;&gt;"DM missing"), _xlfn.PERCENTILE.INC(K27:O27,0.85), "data missing"))</f>
        <v>data missing</v>
      </c>
    </row>
    <row r="28" spans="2:19" ht="16.5" x14ac:dyDescent="0.35">
      <c r="B28" t="s">
        <v>134</v>
      </c>
      <c r="C28" s="232"/>
      <c r="D28" s="255"/>
      <c r="E28" s="258"/>
      <c r="F28" s="255"/>
      <c r="G28" s="174"/>
      <c r="H28" s="174"/>
      <c r="I28" s="16"/>
      <c r="J28" t="s">
        <v>135</v>
      </c>
      <c r="K28" s="36" t="str">
        <f t="shared" si="12"/>
        <v/>
      </c>
      <c r="L28" s="36" t="str">
        <f t="shared" si="13"/>
        <v/>
      </c>
      <c r="M28" s="36" t="str">
        <f t="shared" si="14"/>
        <v/>
      </c>
      <c r="N28" s="36" t="str">
        <f t="shared" si="15"/>
        <v/>
      </c>
      <c r="O28" s="36" t="str">
        <f t="shared" si="16"/>
        <v/>
      </c>
      <c r="P28" s="43" t="str">
        <f>IF(AND( 'Field information 2'!$M$5="xx",OR(K28="",L28="",M28="")),0,
IF(AND(K28&lt;&gt;"",K28&lt;&gt;"DM missing",L28&lt;&gt;"",L28&lt;&gt;"DM missing",M28&lt;&gt;"",M28&lt;&gt;"DM missing"), AVERAGE(K28:O28), "data missing"))</f>
        <v>data missing</v>
      </c>
      <c r="Q28" s="43" t="str">
        <f>IF(AND( 'Field information 2'!$M$5="xx",OR(K28="",L28="",M28="")),0,
IF(AND(K28&lt;&gt;"",K28&lt;&gt;"DM missing",L28&lt;&gt;"",L28&lt;&gt;"DM missing",M28&lt;&gt;"",M28&lt;&gt;"DM missing"), MIN(K28:O28), "data missing"))</f>
        <v>data missing</v>
      </c>
      <c r="R28" s="43" t="str">
        <f>IF(AND( 'Field information 2'!$M$5="xx",OR(K28="",L28="",M28="")),0,
IF(AND(K28&lt;&gt;"",K28&lt;&gt;"DM missing",L28&lt;&gt;"",L28&lt;&gt;"DM missing",M28&lt;&gt;"",M28&lt;&gt;"DM missing"), MAX(K28:O28), "data missing"))</f>
        <v>data missing</v>
      </c>
      <c r="S28" s="60" t="str">
        <f>IF(AND( 'Field information 2'!$M$5="xx",OR(K28="",L28="",M28="")),0,
IF(AND(K28&lt;&gt;"",K28&lt;&gt;"DM missing",L28&lt;&gt;"",L28&lt;&gt;"DM missing",M28&lt;&gt;"",M28&lt;&gt;"DM missing"), _xlfn.PERCENTILE.INC(K28:O28,0.85), "data missing"))</f>
        <v>data missing</v>
      </c>
    </row>
    <row r="29" spans="2:19" ht="16.5" x14ac:dyDescent="0.35">
      <c r="B29" t="s">
        <v>136</v>
      </c>
      <c r="C29" s="232"/>
      <c r="D29" s="255"/>
      <c r="E29" s="258"/>
      <c r="F29" s="255"/>
      <c r="G29" s="174"/>
      <c r="H29" s="174"/>
      <c r="I29" s="16"/>
      <c r="J29" t="s">
        <v>137</v>
      </c>
      <c r="K29" s="36" t="str">
        <f t="shared" si="12"/>
        <v/>
      </c>
      <c r="L29" s="36" t="str">
        <f t="shared" si="13"/>
        <v/>
      </c>
      <c r="M29" s="36" t="str">
        <f t="shared" si="14"/>
        <v/>
      </c>
      <c r="N29" s="36" t="str">
        <f t="shared" si="15"/>
        <v/>
      </c>
      <c r="O29" s="36" t="str">
        <f t="shared" si="16"/>
        <v/>
      </c>
      <c r="P29" s="43" t="str">
        <f>IF(AND( 'Field information 2'!$M$5="xx",OR(K29="",L29="",M29="")),0,
IF(AND(K29&lt;&gt;"",K29&lt;&gt;"DM missing",L29&lt;&gt;"",L29&lt;&gt;"DM missing",M29&lt;&gt;"",M29&lt;&gt;"DM missing"), AVERAGE(K29:O29), "data missing"))</f>
        <v>data missing</v>
      </c>
      <c r="Q29" s="43" t="str">
        <f>IF(AND( 'Field information 2'!$M$5="xx",OR(K29="",L29="",M29="")),0,
IF(AND(K29&lt;&gt;"",K29&lt;&gt;"DM missing",L29&lt;&gt;"",L29&lt;&gt;"DM missing",M29&lt;&gt;"",M29&lt;&gt;"DM missing"), MIN(K29:O29), "data missing"))</f>
        <v>data missing</v>
      </c>
      <c r="R29" s="43" t="str">
        <f>IF(AND( 'Field information 2'!$M$5="xx",OR(K29="",L29="",M29="")),0,
IF(AND(K29&lt;&gt;"",K29&lt;&gt;"DM missing",L29&lt;&gt;"",L29&lt;&gt;"DM missing",M29&lt;&gt;"",M29&lt;&gt;"DM missing"), MAX(K29:O29), "data missing"))</f>
        <v>data missing</v>
      </c>
      <c r="S29" s="60" t="str">
        <f>IF(AND( 'Field information 2'!$M$5="xx",OR(K29="",L29="",M29="")),0,
IF(AND(K29&lt;&gt;"",K29&lt;&gt;"DM missing",L29&lt;&gt;"",L29&lt;&gt;"DM missing",M29&lt;&gt;"",M29&lt;&gt;"DM missing"), _xlfn.PERCENTILE.INC(K29:O29,0.85), "data missing"))</f>
        <v>data missing</v>
      </c>
    </row>
    <row r="30" spans="2:19" ht="16.5" x14ac:dyDescent="0.35">
      <c r="B30" t="s">
        <v>138</v>
      </c>
      <c r="C30" s="232"/>
      <c r="D30" s="255"/>
      <c r="E30" s="258"/>
      <c r="F30" s="255"/>
      <c r="G30" s="174"/>
      <c r="H30" s="174"/>
      <c r="I30" s="16"/>
      <c r="J30" t="s">
        <v>139</v>
      </c>
      <c r="K30" s="36" t="str">
        <f t="shared" si="12"/>
        <v/>
      </c>
      <c r="L30" s="36" t="str">
        <f t="shared" si="13"/>
        <v/>
      </c>
      <c r="M30" s="36" t="str">
        <f t="shared" si="14"/>
        <v/>
      </c>
      <c r="N30" s="36" t="str">
        <f t="shared" si="15"/>
        <v/>
      </c>
      <c r="O30" s="36" t="str">
        <f t="shared" si="16"/>
        <v/>
      </c>
      <c r="P30" s="43" t="str">
        <f>IF(AND( 'Field information 2'!$M$5="xx",OR(K30="",L30="",M30="")),0,
IF(AND(K30&lt;&gt;"",K30&lt;&gt;"DM missing",L30&lt;&gt;"",L30&lt;&gt;"DM missing",M30&lt;&gt;"",M30&lt;&gt;"DM missing"), AVERAGE(K30:O30), "data missing"))</f>
        <v>data missing</v>
      </c>
      <c r="Q30" s="43" t="str">
        <f>IF(AND( 'Field information 2'!$M$5="xx",OR(K30="",L30="",M30="")),0,
IF(AND(K30&lt;&gt;"",K30&lt;&gt;"DM missing",L30&lt;&gt;"",L30&lt;&gt;"DM missing",M30&lt;&gt;"",M30&lt;&gt;"DM missing"), MIN(K30:O30), "data missing"))</f>
        <v>data missing</v>
      </c>
      <c r="R30" s="43" t="str">
        <f>IF(AND( 'Field information 2'!$M$5="xx",OR(K30="",L30="",M30="")),0,
IF(AND(K30&lt;&gt;"",K30&lt;&gt;"DM missing",L30&lt;&gt;"",L30&lt;&gt;"DM missing",M30&lt;&gt;"",M30&lt;&gt;"DM missing"), MAX(K30:O30), "data missing"))</f>
        <v>data missing</v>
      </c>
      <c r="S30" s="60" t="str">
        <f>IF(AND( 'Field information 2'!$M$5="xx",OR(K30="",L30="",M30="")),0,
IF(AND(K30&lt;&gt;"",K30&lt;&gt;"DM missing",L30&lt;&gt;"",L30&lt;&gt;"DM missing",M30&lt;&gt;"",M30&lt;&gt;"DM missing"), _xlfn.PERCENTILE.INC(K30:O30,0.85), "data missing"))</f>
        <v>data missing</v>
      </c>
    </row>
    <row r="31" spans="2:19" ht="16.5" x14ac:dyDescent="0.35">
      <c r="B31" t="s">
        <v>140</v>
      </c>
      <c r="C31" s="232"/>
      <c r="D31" s="255"/>
      <c r="E31" s="258"/>
      <c r="F31" s="255"/>
      <c r="G31" s="174"/>
      <c r="H31" s="174"/>
      <c r="I31" s="16"/>
      <c r="J31" t="s">
        <v>141</v>
      </c>
      <c r="K31" s="36" t="str">
        <f t="shared" si="12"/>
        <v/>
      </c>
      <c r="L31" s="36" t="str">
        <f t="shared" si="13"/>
        <v/>
      </c>
      <c r="M31" s="36" t="str">
        <f t="shared" si="14"/>
        <v/>
      </c>
      <c r="N31" s="36" t="str">
        <f t="shared" si="15"/>
        <v/>
      </c>
      <c r="O31" s="36" t="str">
        <f t="shared" si="16"/>
        <v/>
      </c>
      <c r="P31" s="43" t="str">
        <f>IF(AND( 'Field information 2'!$M$5="xx",OR(K31="",L31="",M31="")),0,
IF(AND(K31&lt;&gt;"",K31&lt;&gt;"DM missing",L31&lt;&gt;"",L31&lt;&gt;"DM missing",M31&lt;&gt;"",M31&lt;&gt;"DM missing"), AVERAGE(K31:O31), "data missing"))</f>
        <v>data missing</v>
      </c>
      <c r="Q31" s="43" t="str">
        <f>IF(AND( 'Field information 2'!$M$5="xx",OR(K31="",L31="",M31="")),0,
IF(AND(K31&lt;&gt;"",K31&lt;&gt;"DM missing",L31&lt;&gt;"",L31&lt;&gt;"DM missing",M31&lt;&gt;"",M31&lt;&gt;"DM missing"), MIN(K31:O31), "data missing"))</f>
        <v>data missing</v>
      </c>
      <c r="R31" s="43" t="str">
        <f>IF(AND( 'Field information 2'!$M$5="xx",OR(K31="",L31="",M31="")),0,
IF(AND(K31&lt;&gt;"",K31&lt;&gt;"DM missing",L31&lt;&gt;"",L31&lt;&gt;"DM missing",M31&lt;&gt;"",M31&lt;&gt;"DM missing"), MAX(K31:O31), "data missing"))</f>
        <v>data missing</v>
      </c>
      <c r="S31" s="60" t="str">
        <f>IF(AND( 'Field information 2'!$M$5="xx",OR(K31="",L31="",M31="")),0,
IF(AND(K31&lt;&gt;"",K31&lt;&gt;"DM missing",L31&lt;&gt;"",L31&lt;&gt;"DM missing",M31&lt;&gt;"",M31&lt;&gt;"DM missing"), _xlfn.PERCENTILE.INC(K31:O31,0.85), "data missing"))</f>
        <v>data missing</v>
      </c>
    </row>
    <row r="32" spans="2:19" ht="4" customHeight="1" x14ac:dyDescent="0.35">
      <c r="C32" s="233"/>
      <c r="D32" s="21"/>
      <c r="E32" s="21"/>
      <c r="F32" s="21"/>
      <c r="G32" s="21"/>
      <c r="H32" s="21"/>
      <c r="I32" s="16"/>
      <c r="J32" s="16"/>
      <c r="K32" s="16"/>
      <c r="L32" s="16"/>
      <c r="M32" s="16"/>
      <c r="N32" s="16"/>
      <c r="Q32" s="59"/>
      <c r="S32" s="250"/>
    </row>
    <row r="33" spans="1:21" ht="29" x14ac:dyDescent="0.35">
      <c r="B33" s="9" t="s">
        <v>142</v>
      </c>
      <c r="C33" s="233" t="s">
        <v>143</v>
      </c>
      <c r="D33" s="242"/>
      <c r="E33" s="242"/>
      <c r="F33" s="242"/>
      <c r="G33" s="242"/>
      <c r="H33" s="242"/>
      <c r="J33" s="153" t="s">
        <v>144</v>
      </c>
      <c r="K33" s="243" t="str">
        <f>IF(OR(ISBLANK(D8),ISTEXT(D8),ISBLANK(D33)),"",(100/D8)*(55/D33))</f>
        <v/>
      </c>
      <c r="L33" s="243" t="str">
        <f>IF(OR(ISBLANK(E8),ISTEXT(E8),ISBLANK(E33)),"",(100/E8)*(55/E33))</f>
        <v/>
      </c>
      <c r="M33" s="243" t="str">
        <f>IF(OR(ISBLANK(F8),ISTEXT(F8),ISBLANK(F33)),"",(100/F8)*(55/F33))</f>
        <v/>
      </c>
      <c r="N33" s="243" t="str">
        <f>IF(OR(ISBLANK(G8),ISTEXT(G8),ISBLANK(G33)),"",(100/G8)*(55/G33))</f>
        <v/>
      </c>
      <c r="O33" s="243" t="str">
        <f>IF(OR(ISBLANK(H8),ISTEXT(H8),ISBLANK(H33)),"",(100/H8)*(55/H33))</f>
        <v/>
      </c>
      <c r="P33" s="304" t="str">
        <f>IF(OR('Field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
      IF(AND(K33&lt;&gt;"",L33&lt;&gt;"",M33&lt;&gt;""),AVERAGE(K33:O33),"data missing"),
IF(AND(K33&lt;&gt;"",L33&lt;&gt;"",M33&lt;&gt;""),AVERAGE(K33:O33),""))</f>
        <v/>
      </c>
      <c r="Q33" s="305" t="str">
        <f>IF(OR('Field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
      IF(AND(K33&lt;&gt;"",L33&lt;&gt;"",M33&lt;&gt;""),MIN(K33:O33),"data missing"),
      IF(AND(K33&lt;&gt;"",L33&lt;&gt;"",M33&lt;&gt;""),MIN(K33:O33),""))</f>
        <v/>
      </c>
      <c r="R33" s="304" t="str">
        <f>IF(OR('Field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
      IF(AND(K33&lt;&gt;"",L33&lt;&gt;"",M33&lt;&gt;""),MAX(K33:O33),"data missing"),
      IF(AND(K33&lt;&gt;"",L33&lt;&gt;"",M33&lt;&gt;""),MAX(K33:O33),""))</f>
        <v/>
      </c>
      <c r="S33" s="306" t="str">
        <f>IF(OR('Field information 2'!$M$5="01 04 12",'Field information 2'!$M$5="010412",'Field information 2'!$M$5="0104 12",'Field information 2'!$M$5="01 0412",'Field information 2'!$M$5="03 03 09",'Field information 2'!$M$5="030309",'Field information 2'!$M$5="0303 09",'Field information 2'!$M$5="03 0309",'Field information 2'!$M$5="03 03 11",'Field information 2'!$M$5="030311",'Field information 2'!$M$5="0303 11",'Field information 2'!$M$5="03 0311",'Field information 2'!$M$5="03 03 99",'Field information 2'!$M$5="030399",'Field information 2'!$M$5="0303 99",'Field information 2'!$M$5="03 0399",'Field information 2'!$M$5="06 01 99",'Field information 2'!$M$5="060199",'Field information 2'!$M$5="0601 99",'Field information 2'!$M$5="06 0199",'Field information 2'!$M$5="10 01 01",'Field information 2'!$M$5="100101",'Field information 2'!$M$5="1001 01",'Field information 2'!$M$5="10 0101",'Field information 2'!$M$5="10 01 03",'Field information 2'!$M$5="100103",'Field information 2'!$M$5="1001 03",'Field information 2'!$M$5="10 0103",'Field information 2'!$M$5="10 01 99",'Field information 2'!$M$5="100199",'Field information 2'!$M$5="1001 99",'Field information 2'!$M$5="10 0199",'Field information 2'!$M$5="10 13 04",'Field information 2'!$M$5="101304",'Field information 2'!$M$5="1013 04",'Field information 2'!$M$5="10 1304"),
      IF(AND(K33&lt;&gt;"",L33&lt;&gt;"",M33&lt;&gt;""),_xlfn.PERCENTILE.INC(K33:O33,0.85),"data missing"),
      IF(AND(K33&lt;&gt;"",L33&lt;&gt;"",M33&lt;&gt;""),_xlfn.PERCENTILE.INC(K33:O33,0.85),""))</f>
        <v/>
      </c>
    </row>
    <row r="34" spans="1:21" ht="17.149999999999999" hidden="1" customHeight="1" x14ac:dyDescent="0.35">
      <c r="B34" t="s">
        <v>145</v>
      </c>
      <c r="C34" s="62"/>
      <c r="D34" s="20"/>
      <c r="E34" s="20"/>
      <c r="F34" s="20"/>
      <c r="G34" s="20"/>
      <c r="H34" s="20"/>
      <c r="I34" s="16"/>
      <c r="J34" s="16" t="s">
        <v>146</v>
      </c>
      <c r="K34" s="55"/>
      <c r="L34" s="55"/>
      <c r="M34" s="55"/>
      <c r="N34" s="55"/>
      <c r="O34" s="34"/>
      <c r="P34" s="41"/>
      <c r="Q34" s="40" t="str">
        <f>IF(K34&lt;&gt;"", MIN(K34:O34),"")</f>
        <v/>
      </c>
      <c r="R34" s="41"/>
    </row>
    <row r="36" spans="1:21" ht="6.75" customHeight="1" x14ac:dyDescent="0.35">
      <c r="A36" s="25"/>
      <c r="B36" s="25"/>
      <c r="C36" s="25"/>
      <c r="D36" s="25"/>
      <c r="E36" s="25"/>
      <c r="F36" s="25"/>
      <c r="G36" s="25"/>
      <c r="H36" s="25"/>
      <c r="I36" s="25"/>
      <c r="J36" s="25"/>
      <c r="K36" s="25"/>
      <c r="L36" s="25"/>
      <c r="M36" s="25"/>
      <c r="N36" s="25"/>
      <c r="O36" s="25"/>
      <c r="P36" s="25"/>
      <c r="Q36" s="25"/>
      <c r="R36" s="25"/>
      <c r="S36" s="25"/>
    </row>
    <row r="38" spans="1:21" ht="29.15" customHeight="1" x14ac:dyDescent="0.35">
      <c r="B38" s="438" t="str">
        <f>IF(ISBLANK('Field information 2'!O4),"WASTE MATERIAL 2","Waste material 2 - "&amp;'Field information 2'!O4)</f>
        <v>WASTE MATERIAL 2</v>
      </c>
      <c r="C38" s="438"/>
      <c r="D38" s="438"/>
      <c r="E38" s="438"/>
      <c r="F38" s="438"/>
      <c r="G38" s="438"/>
      <c r="H38" s="438"/>
      <c r="I38" s="438"/>
      <c r="J38" s="438"/>
      <c r="K38" s="438"/>
      <c r="L38" s="438"/>
      <c r="M38" s="438"/>
      <c r="N38" s="438"/>
      <c r="O38" s="438"/>
      <c r="P38" s="438"/>
      <c r="Q38" s="438"/>
      <c r="R38" s="438"/>
      <c r="S38" s="438"/>
    </row>
    <row r="39" spans="1:21" ht="11.15" customHeight="1" x14ac:dyDescent="0.35">
      <c r="B39" s="364"/>
      <c r="C39" s="364"/>
      <c r="D39" s="364"/>
      <c r="E39" s="364"/>
      <c r="F39" s="364"/>
      <c r="G39" s="364"/>
      <c r="H39" s="364"/>
      <c r="I39" s="364"/>
      <c r="J39" s="364"/>
      <c r="K39" s="364"/>
      <c r="L39" s="364"/>
      <c r="M39" s="364"/>
      <c r="N39" s="364"/>
    </row>
    <row r="40" spans="1:21" ht="29.15" customHeight="1" x14ac:dyDescent="0.25">
      <c r="B40" s="364"/>
      <c r="C40" s="438" t="s">
        <v>100</v>
      </c>
      <c r="D40" s="438"/>
      <c r="E40" s="438"/>
      <c r="F40" s="438"/>
      <c r="G40" s="438"/>
      <c r="H40" s="438"/>
      <c r="I40" s="365"/>
      <c r="J40" s="438" t="s">
        <v>101</v>
      </c>
      <c r="K40" s="438"/>
      <c r="L40" s="438"/>
      <c r="M40" s="438"/>
      <c r="N40" s="438"/>
      <c r="O40" s="438"/>
      <c r="P40" s="438"/>
      <c r="Q40" s="438"/>
      <c r="R40" s="438"/>
      <c r="S40" s="438"/>
    </row>
    <row r="41" spans="1:21" ht="15" x14ac:dyDescent="0.25">
      <c r="D41" s="15"/>
    </row>
    <row r="42" spans="1:21" ht="15.75" x14ac:dyDescent="0.25">
      <c r="B42" s="9"/>
      <c r="C42" s="10" t="s">
        <v>102</v>
      </c>
      <c r="D42">
        <v>1</v>
      </c>
      <c r="E42">
        <v>2</v>
      </c>
      <c r="F42">
        <v>3</v>
      </c>
      <c r="G42">
        <v>4</v>
      </c>
      <c r="H42">
        <v>5</v>
      </c>
      <c r="J42" s="5"/>
      <c r="K42">
        <f>D42</f>
        <v>1</v>
      </c>
      <c r="L42">
        <f>E42</f>
        <v>2</v>
      </c>
      <c r="M42">
        <f>F42</f>
        <v>3</v>
      </c>
      <c r="N42">
        <f>G42</f>
        <v>4</v>
      </c>
      <c r="O42">
        <f>H42</f>
        <v>5</v>
      </c>
      <c r="P42" s="39" t="s">
        <v>103</v>
      </c>
      <c r="Q42" s="39" t="s">
        <v>104</v>
      </c>
      <c r="R42" s="39" t="s">
        <v>105</v>
      </c>
      <c r="S42" s="39" t="s">
        <v>106</v>
      </c>
    </row>
    <row r="43" spans="1:21" s="12" customFormat="1" ht="15" x14ac:dyDescent="0.2">
      <c r="B43" s="18" t="s">
        <v>107</v>
      </c>
      <c r="C43" s="11"/>
      <c r="D43" s="176"/>
      <c r="E43" s="177"/>
      <c r="F43" s="176"/>
      <c r="G43" s="176"/>
      <c r="H43" s="176"/>
      <c r="I43" s="16"/>
      <c r="J43" s="12" t="s">
        <v>107</v>
      </c>
      <c r="K43" s="32" t="str">
        <f>IF(ISBLANK(D43),"",D43)</f>
        <v/>
      </c>
      <c r="L43" s="32" t="str">
        <f t="shared" ref="L43:L44" si="17">IF(ISBLANK(E43),"",E43)</f>
        <v/>
      </c>
      <c r="M43" s="32" t="str">
        <f t="shared" ref="M43:M45" si="18">IF(ISBLANK(F43),"",F43)</f>
        <v/>
      </c>
      <c r="N43" s="32" t="str">
        <f t="shared" ref="N43:N45" si="19">IF(ISBLANK(G43),"",G43)</f>
        <v/>
      </c>
      <c r="O43" s="32" t="str">
        <f t="shared" ref="O43:O45" si="20">IF(ISBLANK(H43),"",H43)</f>
        <v/>
      </c>
    </row>
    <row r="44" spans="1:21" ht="15" x14ac:dyDescent="0.25">
      <c r="B44" t="s">
        <v>147</v>
      </c>
      <c r="C44" s="13" t="s">
        <v>109</v>
      </c>
      <c r="D44" s="178"/>
      <c r="E44" s="179"/>
      <c r="F44" s="178"/>
      <c r="G44" s="178"/>
      <c r="H44" s="178"/>
      <c r="I44" s="16"/>
      <c r="J44" t="s">
        <v>110</v>
      </c>
      <c r="K44" s="31" t="str">
        <f>IF(ISBLANK(D44),"",D44)</f>
        <v/>
      </c>
      <c r="L44" s="31" t="str">
        <f t="shared" si="17"/>
        <v/>
      </c>
      <c r="M44" s="31" t="str">
        <f t="shared" si="18"/>
        <v/>
      </c>
      <c r="N44" s="31" t="str">
        <f t="shared" si="19"/>
        <v/>
      </c>
      <c r="O44" s="22" t="str">
        <f t="shared" si="20"/>
        <v/>
      </c>
      <c r="P44" s="57" t="str">
        <f>IF(AND('Field information 2'!O$4="",'Field information 2'!O$5=""),"",
IF(AND(K44&lt;&gt;"",L44&lt;&gt;"",M44&lt;&gt;""), AVERAGE(K44:O44),"data missing"))</f>
        <v/>
      </c>
      <c r="Q44" s="40" t="str">
        <f>IF(AND('Field information 2'!O$4="",'Field information 2'!O$5=""),"",
IF(AND(K44&lt;&gt;"",L44&lt;&gt;"",M44&lt;&gt;""), MIN(K44:O44),"data missing"))</f>
        <v/>
      </c>
      <c r="R44" s="40" t="str">
        <f>IF(AND('Field information 2'!O$4="",'Field information 2'!O$5=""),"",
IF(AND(K44&lt;&gt;"",L44&lt;&gt;"",M44&lt;&gt;""), MAX(K44:O44),"data missing"))</f>
        <v/>
      </c>
      <c r="S44" s="40" t="str">
        <f>IF(AND('Field information 2'!O$4="",'Field information 2'!O$5=""),"",
IF(AND(K44&lt;&gt;"",L44&lt;&gt;"",M44&lt;&gt;""), _xlfn.PERCENTILE.INC(K44:O44,0.85),"data missing"))</f>
        <v/>
      </c>
    </row>
    <row r="45" spans="1:21" ht="15" x14ac:dyDescent="0.25">
      <c r="B45" t="s">
        <v>84</v>
      </c>
      <c r="C45" s="13"/>
      <c r="D45" s="180"/>
      <c r="E45" s="181"/>
      <c r="F45" s="180"/>
      <c r="G45" s="180"/>
      <c r="H45" s="180"/>
      <c r="I45" s="16"/>
      <c r="J45" t="s">
        <v>84</v>
      </c>
      <c r="K45" s="31" t="str">
        <f t="shared" ref="K45" si="21">IF(ISBLANK(D45),"",D45)</f>
        <v/>
      </c>
      <c r="L45" s="31" t="str">
        <f>IF(ISBLANK(E45),"",E45)</f>
        <v/>
      </c>
      <c r="M45" s="31" t="str">
        <f t="shared" si="18"/>
        <v/>
      </c>
      <c r="N45" s="31" t="str">
        <f t="shared" si="19"/>
        <v/>
      </c>
      <c r="O45" s="31" t="str">
        <f t="shared" si="20"/>
        <v/>
      </c>
      <c r="P45" s="40" t="str">
        <f>IF(AND('Field information 2'!O$4="",'Field information 2'!O$5=""),"",
IF(AND(K45&lt;&gt;"",L45&lt;&gt;"",M45&lt;&gt;""), AVERAGE(K45:O45),"data missing"))</f>
        <v/>
      </c>
      <c r="Q45" s="40" t="str">
        <f>IF(AND('Field information 2'!O$4="",'Field information 2'!O$5=""),"",
IF(AND(K45&lt;&gt;"",L45&lt;&gt;"",M45&lt;&gt;""), MIN(K45:O45),"data missing"))</f>
        <v/>
      </c>
      <c r="R45" s="40" t="str">
        <f>IF(AND('Field information 2'!O$4="",'Field information 2'!O$5=""),"",
IF(AND(K45&lt;&gt;"",L45&lt;&gt;"",M45&lt;&gt;""), MAX(K45:O45),"data missing"))</f>
        <v/>
      </c>
      <c r="S45" s="40" t="str">
        <f>IF(AND('Field information 2'!O$4="",'Field information 2'!O$5=""),"",
IF(AND(K45&lt;&gt;"",L45&lt;&gt;"",M45&lt;&gt;""), _xlfn.PERCENTILE.INC(K45:O45,0.85),"data missing"))</f>
        <v/>
      </c>
    </row>
    <row r="46" spans="1:21" ht="17.25" x14ac:dyDescent="0.25">
      <c r="B46" s="9" t="s">
        <v>111</v>
      </c>
      <c r="C46" s="182"/>
      <c r="D46" s="178"/>
      <c r="E46" s="178"/>
      <c r="F46" s="178"/>
      <c r="G46" s="178"/>
      <c r="H46" s="178"/>
      <c r="I46" s="16"/>
      <c r="J46" t="s">
        <v>112</v>
      </c>
      <c r="K46" s="37" t="str">
        <f>IF(OR(ISBLANK($C46),ISBLANK(D46)),"",
IF(AND(ISBLANK(D$44),RIGHT($C46,8)="(dry wt)"),"DM missing",
IF(RIGHT($C46,8)="(dry wt)",
IF($C46="% OM (dry wt)",D46*10*(D$44/100),
IF($C46="mg/kg OM (dry wt)",D46/1000*(D$44/100),
IF($C46="kg/t OM (dry wt)",D46*(D$44/100),
IF($C46="% ash (dry wt)",(100-D46)*10*(D$44/100),
IF($C46="mg/kg ash (dry wt)",(1000000-D46)/1000*(D$44/100),
IF($C46="% C (dry wt)",D46*1.72*10*(D$44/100),
IF($C46="mg/kg C (dry wt)",D46*1.72/1000*(D$44/100),D46*1.72*(D$44/100)))))))),
IF(RIGHT($C46,4)="(fw)",
IF($C46="% OM (fw)",D46*10,
IF($C46="mg/kg OM (fw)",D46/1000,
IF($C46="kg/t OM (fw)",D46,
IF($C46="% ash (fw)",(100-(100-D44)-D46)*10,
IF($C46="mg/kg ash (fw)",(1000000-((100-D44)*10000)-D46)/1000,
IF($C46="% C (fw)",D46*1.72*10,
IF($C46="mg/kg C (fw)",D46*1.72/1000,D46*1.72)))))))))))</f>
        <v/>
      </c>
      <c r="L46" s="37" t="str">
        <f t="shared" ref="L46:O46" si="22">IF(OR(ISBLANK($C46),ISBLANK(E46)),"",
IF(AND(ISBLANK(E$44),RIGHT($C46,8)="(dry wt)"),"DM missing",
IF(RIGHT($C46,8)="(dry wt)",
IF($C46="% OM (dry wt)",E46*10*(E$44/100),
IF($C46="mg/kg OM (dry wt)",E46/1000*(E$44/100),
IF($C46="kg/t OM (dry wt)",E46*(E$44/100),
IF($C46="% ash (dry wt)",(100-E46)*10*(E$44/100),
IF($C46="mg/kg ash (dry wt)",(1000000-E46)/1000*(E$44/100),
IF($C46="% C (dry wt)",E46*1.72*10*(E$44/100),
IF($C46="mg/kg C (dry wt)",E46*1.72/1000*(E$44/100),E46*1.72*(E$44/100)))))))),
IF(RIGHT($C46,4)="(fw)",
IF($C46="% OM (fw)",E46*10,
IF($C46="mg/kg OM (fw)",E46/1000,
IF($C46="kg/t OM (fw)",E46,
IF($C46="% ash (fw)",(100-(100-E44)-E46)*10,
IF($C46="mg/kg ash (fw)",(1000000-((100-E44)*10000)-E46)/1000,
IF($C46="% C (fw)",E46*1.72*10,
IF($C46="mg/kg C (fw)",E46*1.72/1000,E46*1.72)))))))))))</f>
        <v/>
      </c>
      <c r="M46" s="37" t="str">
        <f t="shared" si="22"/>
        <v/>
      </c>
      <c r="N46" s="37" t="str">
        <f t="shared" si="22"/>
        <v/>
      </c>
      <c r="O46" s="37" t="str">
        <f t="shared" si="22"/>
        <v/>
      </c>
      <c r="P46" s="57" t="str">
        <f>IF(AND('Field information 2'!O$4="",'Field information 2'!O$5=""),"",
IF(AND('Field information 2'!$O$5="xx",OR(K46="",L46="",M46="")),0,
IF(AND(K46&lt;&gt;"",K46&lt;&gt;"DM missing",L46&lt;&gt;"",L46&lt;&gt;"DM missing",M46&lt;&gt;"",M46&lt;&gt;"DM missing"),AVERAGE(K46:O46),"data missing")))</f>
        <v/>
      </c>
      <c r="Q46" s="40" t="str">
        <f>IF(AND('Field information 2'!O$4="",'Field information 2'!O$5=""),"",
IF(AND('Field information 2'!$O$5="xx",OR(K46="",L46="",M46="")),0,
IF(AND(K46&lt;&gt;"",K46&lt;&gt;"DM missing",L46&lt;&gt;"",L46&lt;&gt;"DM missing",M46&lt;&gt;"",M46&lt;&gt;"DM missing"), MIN(K46:O46), "data missing")))</f>
        <v/>
      </c>
      <c r="R46" s="40" t="str">
        <f>IF(AND('Field information 2'!O$4="",'Field information 2'!O$5=""),"",
IF(AND('Field information 2'!$O$5="xx",OR(K46="",L46="",M46="")),0,
IF(AND(K46&lt;&gt;"",K46&lt;&gt;"DM missing",L46&lt;&gt;"",L46&lt;&gt;"DM missing",M46&lt;&gt;"",M46&lt;&gt;"DM missing"), MAX(K46:O46), "data missing")))</f>
        <v/>
      </c>
      <c r="S46" s="40" t="str">
        <f>IF(AND('Field information 2'!O$4="",'Field information 2'!O$5=""),"",
IF(AND('Field information 2'!$O$5="xx",OR(K46="",L46="",M46="")),0,
IF(AND(K46&lt;&gt;"",K46&lt;&gt;"DM missing",L46&lt;&gt;"",L46&lt;&gt;"DM missing",M46&lt;&gt;"",M46&lt;&gt;"DM missing"), _xlfn.PERCENTILE.INC(K46:O46,0.85), "data missing")))</f>
        <v/>
      </c>
    </row>
    <row r="47" spans="1:21" ht="4" customHeight="1" x14ac:dyDescent="0.25">
      <c r="C47" s="14"/>
      <c r="D47" s="24"/>
      <c r="E47" s="24"/>
      <c r="F47" s="24"/>
      <c r="G47" s="24"/>
      <c r="H47" s="24"/>
      <c r="I47" s="19"/>
      <c r="K47" s="24"/>
      <c r="L47" s="24"/>
      <c r="M47" s="24"/>
      <c r="N47" s="24"/>
      <c r="O47" s="24"/>
      <c r="S47" s="59"/>
    </row>
    <row r="48" spans="1:21" ht="17.25" x14ac:dyDescent="0.25">
      <c r="B48" t="s">
        <v>113</v>
      </c>
      <c r="C48" s="182"/>
      <c r="D48" s="178"/>
      <c r="E48" s="178"/>
      <c r="F48" s="178"/>
      <c r="G48" s="178"/>
      <c r="H48" s="178"/>
      <c r="I48" s="16"/>
      <c r="J48" t="s">
        <v>114</v>
      </c>
      <c r="K48" s="37" t="str">
        <f>IF(OR(ISBLANK($C48),ISBLANK(D48)),"",
IF(AND(ISBLANK(D$44),RIGHT($C48,8)="(dry wt)"),"DM missing",
IF($C48="% (dry wt)", D48*10*(D$44/100),
IF($C48="mg/kg (dry wt)", D48/1000*(D$44/100),
IF($C48="kg/t (dry wt)", D48*(D$44/100),
IF($C48="% (fw)", D48*10,
IF(OR($C48="mg/kg (fw)", $C48="mg/l (fw)"), D48 /1000,D48)))))))</f>
        <v/>
      </c>
      <c r="L48" s="37" t="str">
        <f>IF(OR(ISBLANK($C48),ISBLANK(E48)),"",
IF(AND(ISBLANK(E$44),RIGHT($C48,8)="(dry wt)"),"DM missing",
IF($C48="% (dry wt)", E48*10*(E$44/100),
IF($C48="mg/kg (dry wt)", E48/1000*(E$44/100),
IF($C48="kg/t (dry wt)", E48*(E$44/100),
IF($C48="% (fw)", E48*10,
IF(OR($C48="mg/kg (fw)", $C48="mg/l (fw)"), E48 /1000,E48)))))))</f>
        <v/>
      </c>
      <c r="M48" s="37" t="str">
        <f t="shared" ref="M48:O48" si="23">IF(OR(ISBLANK($C48),ISBLANK(F48)),"",
IF(AND(ISBLANK(F$44),RIGHT($C48,8)="(dry wt)"),"DM missing",
IF($C48="% (dry wt)", F48*10*(F$44/100),
IF($C48="mg/kg (dry wt)", F48/1000*(F$44/100),
IF($C48="kg/t (dry wt)", F48*(F$44/100),
IF($C48="% (fw)", F48*10,
IF(OR($C48="mg/kg (fw)", $C48="mg/l (fw)"), F48 /1000,F48)))))))</f>
        <v/>
      </c>
      <c r="N48" s="37" t="str">
        <f t="shared" si="23"/>
        <v/>
      </c>
      <c r="O48" s="37" t="str">
        <f t="shared" si="23"/>
        <v/>
      </c>
      <c r="P48" s="42" t="str">
        <f>IF(AND('Field information 2'!O$4="",'Field information 2'!O$5=""),"",
IF(AND(K48&lt;&gt;"",K48&lt;&gt;"DM missing",L48&lt;&gt;"",L48&lt;&gt;"DM missing",M48&lt;&gt;"",M48&lt;&gt;"DM missing"), AVERAGE(K48:O48), "data missing"))</f>
        <v/>
      </c>
      <c r="Q48" s="42" t="str">
        <f>IF(AND('Field information 2'!O$4="",'Field information 2'!O$5=""),"",
IF(AND(K48&lt;&gt;"",K48&lt;&gt;"DM missing",L48&lt;&gt;"",L48&lt;&gt;"DM missing",M48&lt;&gt;"",M48&lt;&gt;"DM missing"), MIN(K48:O48), "data missing"))</f>
        <v/>
      </c>
      <c r="R48" s="42" t="str">
        <f>IF(AND('Field information 2'!O$4="",'Field information 2'!O$5=""),"",
IF(AND(K48&lt;&gt;"",K48&lt;&gt;"DM missing",L48&lt;&gt;"",L48&lt;&gt;"DM missing",M48&lt;&gt;"",M48&lt;&gt;"DM missing"), MAX(K48:O48), "data missing"))</f>
        <v/>
      </c>
      <c r="S48" s="58" t="str">
        <f>IF(AND('Field information 2'!O$4="",'Field information 2'!O$5=""),"",
IF(AND(K48&lt;&gt;"",K48&lt;&gt;"DM missing",L48&lt;&gt;"",L48&lt;&gt;"DM missing",M48&lt;&gt;"",M48&lt;&gt;"DM missing"), _xlfn.PERCENTILE.INC(K48:O48,0.85), "data missing"))</f>
        <v/>
      </c>
      <c r="U48" s="311"/>
    </row>
    <row r="49" spans="2:21" ht="18.75" x14ac:dyDescent="0.35">
      <c r="B49" t="s">
        <v>115</v>
      </c>
      <c r="C49" s="182"/>
      <c r="D49" s="178"/>
      <c r="E49" s="179"/>
      <c r="F49" s="178"/>
      <c r="G49" s="178"/>
      <c r="H49" s="178"/>
      <c r="I49" s="16"/>
      <c r="J49" t="s">
        <v>116</v>
      </c>
      <c r="K49" s="37" t="str">
        <f>IF(OR(ISBLANK($C49),ISBLANK(D49)),"",
IF(AND(ISBLANK(D$44),RIGHT($C49,8)="(dry wt)"),"DM missing",
IF(RIGHT($C49,8)="(dry wt)",
IF($C49="% NH4-N (dry wt)",D49*10*(D$44/100),
IF($C49="mg/kg NH4-N (dry wt)",D49/1000*(D$44/100),
IF($C49="kg/t NH4-N(dry wt)",D49*(D$44/100),
IF($C49="% NH4 (dry wt)",D49*0.778*10*(D$44/100),
IF($C49="mg/kg NH4 (dry wt)",D49*0.778/1000*(D$44/100),D49*0.778*(D$44/100)))))),
IF(RIGHT($C49,4)="(fw)",
IF($C49="% NH4-N (fw)",D49*10,
IF(OR($C49="mg/kg NH4-N (fw)",$C49="mg/l NH4-N (fw)"),D49/1000,
IF($C49="kg/t NH4-N(fw)",D49,
IF($C49="% NH4 (fw)",D49*0.778*10,
IF(OR($C49="mg/kg NH4 (fw)",$C49="mg/l NH4 (fw)"),D49*0.778/1000,D49*0.778)))))))))</f>
        <v/>
      </c>
      <c r="L49" s="37" t="str">
        <f t="shared" ref="L49:O49" si="24">IF(OR(ISBLANK($C49),ISBLANK(E49)),"",
IF(AND(ISBLANK(E$44),RIGHT($C49,8)="(dry wt)"),"DM missing",
IF(RIGHT($C49,8)="(dry wt)",
IF($C49="% NH4-N (dry wt)",E49*10*(E$44/100),
IF($C49="mg/kg NH4-N (dry wt)",E49/1000*(E$44/100),
IF($C49="kg/t NH4-N(dry wt)",E49*(E$44/100),
IF($C49="% NH4 (dry wt)",E49*0.778*10*(E$44/100),
IF($C49="mg/kg NH4 (dry wt)",E49*0.778/1000*(E$44/100),E49*0.778*(E$44/100)))))),
IF(RIGHT($C49,4)="(fw)",
IF($C49="% NH4-N (fw)",E49*10,
IF(OR($C49="mg/kg NH4-N (fw)",$C49="mg/l NH4-N (fw)"),E49/1000,
IF($C49="kg/t NH4-N(fw)",E49,
IF($C49="% NH4 (fw)",E49*0.778*10,
IF(OR($C49="mg/kg NH4 (fw)",$C49="mg/l NH4 (fw)"),E49*0.778/1000,E49*0.778)))))))))</f>
        <v/>
      </c>
      <c r="M49" s="37" t="str">
        <f t="shared" si="24"/>
        <v/>
      </c>
      <c r="N49" s="37" t="str">
        <f t="shared" si="24"/>
        <v/>
      </c>
      <c r="O49" s="37" t="str">
        <f t="shared" si="24"/>
        <v/>
      </c>
      <c r="P49"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1304"),OR(K49="",L49="",M49="")),"",
IF(AND(K49&lt;&gt;"",K49&lt;&gt;"DM missing",L49&lt;&gt;"",L49&lt;&gt;"DM missing",M49&lt;&gt;"",M49&lt;&gt;"DM missing"), AVERAGE(K49:O49), "data missing")))</f>
        <v/>
      </c>
      <c r="Q49"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1304"),OR(K49="",L49="",M49="")),"",
IF(AND(K49&lt;&gt;"",K49&lt;&gt;"DM missing",L49&lt;&gt;"",L49&lt;&gt;"DM missing",M49&lt;&gt;"",M49&lt;&gt;"DM missing"), MIN(K49:O49), "data missing")))</f>
        <v/>
      </c>
      <c r="R49"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1304"),OR(K49="",L49="",M49="")),"",
IF(AND(K49&lt;&gt;"",K49&lt;&gt;"DM missing",L49&lt;&gt;"",L49&lt;&gt;"DM missing",M49&lt;&gt;"",M49&lt;&gt;"DM missing"), MAX(K49:O49), "data missing")))</f>
        <v/>
      </c>
      <c r="S49" s="58"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1304"),OR(K49="",L49="",M49="")),"",
IF(AND(K49&lt;&gt;"",K49&lt;&gt;"DM missing",L49&lt;&gt;"",L49&lt;&gt;"DM missing",M49&lt;&gt;"",M49&lt;&gt;"DM missing"), _xlfn.PERCENTILE.INC(K49:O49,0.85), "data missing")))</f>
        <v/>
      </c>
    </row>
    <row r="50" spans="2:21" ht="18.75" x14ac:dyDescent="0.35">
      <c r="B50" t="s">
        <v>117</v>
      </c>
      <c r="C50" s="182"/>
      <c r="D50" s="178"/>
      <c r="E50" s="178"/>
      <c r="F50" s="178"/>
      <c r="G50" s="178"/>
      <c r="H50" s="178"/>
      <c r="I50" s="16"/>
      <c r="J50" t="s">
        <v>118</v>
      </c>
      <c r="K50" s="37" t="str">
        <f>IF(OR(ISBLANK($C50),ISBLANK(D50)),"",
IF(AND(ISBLANK(D$44),RIGHT($C50,8)="(dry wt)"),"DM missing",
IF(RIGHT($C50,8)="(dry wt)",
IF($C50="% NO3-N (dry wt)",D50*10*(D$44/100),
IF($C50="mg/kg NO3-N (dry wt)",D50/1000*(D$44/100),
IF($C50="kg/t NO3-N(dry wt)",D50*(D$44/100),
IF($C50="% NO3 (dry wt)",D50*0.2258*10*(D$44/100),
IF($C50="mg/kg NO3 (dry wt)", D50*0.2258/1000*(D$44/100), D50*0.2258*(D$44/100)))))),
IF(RIGHT($C50,4)="(fw)",
IF($C50="% NO3-N (fw)",D50*10,
IF(OR($C50="mg/kg NO3-N (fw)",$C50="mg/l NO3-N (fw)"),D50/1000,
IF($C50="kg/t NO3-N(fw)",D50,
IF($C50="% NO3 (fw)",D50*0.2258*10,
IF(OR($C50="mg/kg NO3 (fw)",$C50="mg/l NO3 (fw)"),D50*0.2258/1000,D50*0.2258)))))))))</f>
        <v/>
      </c>
      <c r="L50" s="37" t="str">
        <f t="shared" ref="L50:O50" si="25">IF(OR(ISBLANK($C50),ISBLANK(E50)),"",
IF(AND(ISBLANK(E$44),RIGHT($C50,8)="(dry wt)"),"DM missing",
IF(RIGHT($C50,8)="(dry wt)",
IF($C50="% NO3-N (dry wt)",E50*10*(E$44/100),
IF($C50="mg/kg NO3-N (dry wt)",E50/1000*(E$44/100),
IF($C50="kg/t NO3-N(dry wt)",E50*(E$44/100),
IF($C50="% NO3 (dry wt)",E50*0.2258*10*(E$44/100),
IF($C50="mg/kg NO3 (dry wt)", E50*0.2258/1000*(E$44/100), E50*0.2258*(E$44/100)))))),
IF(RIGHT($C50,4)="(fw)",
IF($C50="% NO3-N (fw)",E50*10,
IF(OR($C50="mg/kg NO3-N (fw)",$C50="mg/l NO3-N (fw)"),E50/1000,
IF($C50="kg/t NO3-N(fw)",E50,
IF($C50="% NO3 (fw)",E50*0.2258*10,
IF(OR($C50="mg/kg NO3 (fw)",$C50="mg/l NO3 (fw)"),E50*0.2258/1000,E50*0.2258)))))))))</f>
        <v/>
      </c>
      <c r="M50" s="37" t="str">
        <f t="shared" si="25"/>
        <v/>
      </c>
      <c r="N50" s="37" t="str">
        <f t="shared" si="25"/>
        <v/>
      </c>
      <c r="O50" s="37" t="str">
        <f t="shared" si="25"/>
        <v/>
      </c>
      <c r="P50" s="42" t="str">
        <f>IF(AND('Field information 2'!O$4="",'Field information 2'!O$5=""),"",
IF(AND(K50&lt;&gt;"",K50&lt;&gt;"DM missing",L50&lt;&gt;"",L50&lt;&gt;"DM missing",M50&lt;&gt;"",M50&lt;&gt;"DM missing"), AVERAGE(K50:O50), ""))</f>
        <v/>
      </c>
      <c r="Q50" s="42" t="str">
        <f>IF(AND('Field information 2'!O$4="",'Field information 2'!O$5=""),"",
IF(AND(K50&lt;&gt;"",K50&lt;&gt;"DM missing",L50&lt;&gt;"",L50&lt;&gt;"DM missing",M50&lt;&gt;"",M50&lt;&gt;"DM missing"), MIN(K50:O50), ""))</f>
        <v/>
      </c>
      <c r="R50" s="42" t="str">
        <f>IF(AND('Field information 2'!O$4="",'Field information 2'!O$5=""),"",
IF(AND(K50&lt;&gt;"",K50&lt;&gt;"DM missing",L50&lt;&gt;"",L50&lt;&gt;"DM missing",M50&lt;&gt;"",M50&lt;&gt;"DM missing"), MAX(K50:O50), ""))</f>
        <v/>
      </c>
      <c r="S50" s="58" t="str">
        <f>IF(AND('Field information 2'!O$4="",'Field information 2'!O$5=""),"",
IF(AND(K50&lt;&gt;"",K50&lt;&gt;"DM missing",L50&lt;&gt;"",L50&lt;&gt;"DM missing",M50&lt;&gt;"",M50&lt;&gt;"DM missing"), _xlfn.PERCENTILE.INC(K50:O50,0.85), ""))</f>
        <v/>
      </c>
      <c r="U50" s="5"/>
    </row>
    <row r="51" spans="2:21" ht="17.5" customHeight="1" x14ac:dyDescent="0.25">
      <c r="C51" s="14"/>
      <c r="D51" s="21"/>
      <c r="E51" s="21"/>
      <c r="F51" s="21"/>
      <c r="G51" s="21"/>
      <c r="H51" s="21"/>
      <c r="I51" s="16"/>
      <c r="J51" t="s">
        <v>119</v>
      </c>
      <c r="K51" s="316" t="str">
        <f>IF(OR(K48="",K49=""),"",
IF(K50="",K49/K48*100,(K49+K50)/K48*100))</f>
        <v/>
      </c>
      <c r="L51" s="316" t="str">
        <f t="shared" ref="L51" si="26">IF(OR(L48="",L49=""),"",
IF(L50="",L49/L48*100,(L49+L50)/L48*100))</f>
        <v/>
      </c>
      <c r="M51" s="316" t="str">
        <f t="shared" ref="M51" si="27">IF(OR(M48="",M49=""),"",
IF(M50="",M49/M48*100,(M49+M50)/M48*100))</f>
        <v/>
      </c>
      <c r="N51" s="316" t="str">
        <f t="shared" ref="N51" si="28">IF(OR(N48="",N49=""),"",
IF(N50="",N49/N48*100,(N49+N50)/N48*100))</f>
        <v/>
      </c>
      <c r="O51" s="316" t="str">
        <f t="shared" ref="O51" si="29">IF(OR(O48="",O49=""),"",
IF(O50="",O49/O48*100,(O49+O50)/O48*100))</f>
        <v/>
      </c>
      <c r="P51"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1304"),OR(K51="",L51="",M51="")),"",
IF(AND(K51&lt;&gt;"",L51&lt;&gt;"",M51&lt;&gt;""), AVERAGE(K51:O51),"data missing")))</f>
        <v/>
      </c>
      <c r="Q51"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1304"),OR(K51="",L51="",M51="")),"",
IF(AND(K51&lt;&gt;"",L51&lt;&gt;"",M51&lt;&gt;""), MIN(K51:O51),"data missing")))</f>
        <v/>
      </c>
      <c r="R51" s="42"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1304"),OR(K51="",L51="",M51="")),"",
IF(AND(K51&lt;&gt;"",L51&lt;&gt;"",M51&lt;&gt;""), MAX(K51:O51),"data missing")))</f>
        <v/>
      </c>
      <c r="S51" s="58" t="str">
        <f>IF(AND('Field information 2'!O$4="",'Field information 2'!O$5=""),"",
IF(AND(OR('Field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1304"),OR(K51="",L51="",M51="")),"",
IF(AND(K51&lt;&gt;"",L51&lt;&gt;"",M51&lt;&gt;""), _xlfn.PERCENTILE.INC(K51:O51,0.85),"data missing")))</f>
        <v/>
      </c>
    </row>
    <row r="52" spans="2:21" ht="4" customHeight="1" x14ac:dyDescent="0.25">
      <c r="C52" s="14"/>
      <c r="D52" s="14"/>
      <c r="E52" s="14"/>
      <c r="F52" s="151"/>
      <c r="G52" s="151"/>
      <c r="H52" s="152"/>
      <c r="K52" s="317"/>
      <c r="L52" s="317"/>
      <c r="M52" s="317"/>
      <c r="N52" s="317"/>
      <c r="O52" s="317"/>
      <c r="P52" s="313"/>
      <c r="Q52" s="313"/>
      <c r="R52" s="313"/>
      <c r="S52" s="315"/>
    </row>
    <row r="53" spans="2:21" ht="18.75" x14ac:dyDescent="0.35">
      <c r="B53" t="s">
        <v>120</v>
      </c>
      <c r="C53" s="182"/>
      <c r="D53" s="178"/>
      <c r="E53" s="179"/>
      <c r="F53" s="178"/>
      <c r="G53" s="178"/>
      <c r="H53" s="178"/>
      <c r="I53" s="16"/>
      <c r="J53" t="s">
        <v>121</v>
      </c>
      <c r="K53" s="37" t="str">
        <f>IF(OR(ISBLANK($C53),ISBLANK(D53)),"",
IF(AND(ISBLANK(D$44),RIGHT($C53,8)="(dry wt)"),"DM missing",
IF(RIGHT($C53,8)="(dry wt)",
IF($C53="% P2O5 (dry wt)",D53*10*(D$44/100),
IF($C53="mg/kg P2O5 (dry wt)",D53/1000*(D$44/100),
IF($C53="kg/t P2O5(dry wt)",D53*(D$44/100),
IF($C53="% P (dry wt)",D53*2.2914*10*(D$44/100),
IF($C53="mg/kg P (dry wt)", D53*2.2914/1000*(D$44/100), D53*2.2914*(D$44/100)))))),
IF(RIGHT($C53,4)="(fw)",
IF($C53="% P2O5 (fw)",D53*10,
IF(OR($C53="mg/kg P2O5 (fw)",$C53="mg/l P2O5 (fw)"),D53/1000,
IF($C53="kg/t P2O5(fw)",D53,
IF($C53="% P (fw)",D53*2.2914*10,
IF(OR($C53="mg/kg P (fw)",$C53="mg/l P (fw)"),D53*2.2914/1000,D53*2.2914)))))))))</f>
        <v/>
      </c>
      <c r="L53" s="37" t="str">
        <f t="shared" ref="L53:O53" si="30">IF(OR(ISBLANK($C53),ISBLANK(E53)),"",
IF(AND(ISBLANK(E$44),RIGHT($C53,8)="(dry wt)"),"DM missing",
IF(RIGHT($C53,8)="(dry wt)",
IF($C53="% P2O5 (dry wt)",E53*10*(E$44/100),
IF($C53="mg/kg P2O5 (dry wt)",E53/1000*(E$44/100),
IF($C53="kg/t P2O5(dry wt)",E53*(E$44/100),
IF($C53="% P (dry wt)",E53*2.2914*10*(E$44/100),
IF($C53="mg/kg P (dry wt)", E53*2.2914/1000*(E$44/100), E53*2.2914*(E$44/100)))))),
IF(RIGHT($C53,4)="(fw)",
IF($C53="% P2O5 (fw)",E53*10,
IF(OR($C53="mg/kg P2O5 (fw)",$C53="mg/l P2O5 (fw)"),E53/1000,
IF($C53="kg/t P2O5(fw)",E53,
IF($C53="% P (fw)",E53*2.2914*10,
IF(OR($C53="mg/kg P (fw)",$C53="mg/l P (fw)"),E53*2.2914/1000,E53*2.2914)))))))))</f>
        <v/>
      </c>
      <c r="M53" s="37" t="str">
        <f t="shared" si="30"/>
        <v/>
      </c>
      <c r="N53" s="37" t="str">
        <f t="shared" si="30"/>
        <v/>
      </c>
      <c r="O53" s="37" t="str">
        <f t="shared" si="30"/>
        <v/>
      </c>
      <c r="P53" s="42" t="str">
        <f>IF(AND('Field information 2'!O$4="",'Field information 2'!O$5=""),"",
IF(AND(K53&lt;&gt;"",K53&lt;&gt;"DM missing",L53&lt;&gt;"",L53&lt;&gt;"DM missing",M53&lt;&gt;"",M53&lt;&gt;"DM missing"), AVERAGE(K53:O53), "data missing"))</f>
        <v/>
      </c>
      <c r="Q53" s="42" t="str">
        <f>IF(AND('Field information 2'!O$4="",'Field information 2'!O$5=""),"",
IF(AND(K53&lt;&gt;"",K53&lt;&gt;"DM missing",L53&lt;&gt;"",L53&lt;&gt;"DM missing",M53&lt;&gt;"",M53&lt;&gt;"DM missing"), MIN(K53:O53), "data missing"))</f>
        <v/>
      </c>
      <c r="R53" s="42" t="str">
        <f>IF(AND('Field information 2'!O$4="",'Field information 2'!O$5=""),"",
IF(AND(K53&lt;&gt;"",K53&lt;&gt;"DM missing",L53&lt;&gt;"",L53&lt;&gt;"DM missing",M53&lt;&gt;"",M53&lt;&gt;"DM missing"), MAX(K53:O53), "data missing"))</f>
        <v/>
      </c>
      <c r="S53" s="58" t="str">
        <f>IF(AND('Field information 2'!O$4="",'Field information 2'!O$5=""),"",
IF(AND(K53&lt;&gt;"",K53&lt;&gt;"DM missing",L53&lt;&gt;"",L53&lt;&gt;"DM missing",M53&lt;&gt;"",M53&lt;&gt;"DM missing"), _xlfn.PERCENTILE.INC(K53:O53,0.85), "data missing"))</f>
        <v/>
      </c>
    </row>
    <row r="54" spans="2:21" ht="4.5" customHeight="1" x14ac:dyDescent="0.25">
      <c r="C54" s="14"/>
      <c r="D54" s="21"/>
      <c r="E54" s="21"/>
      <c r="F54" s="22"/>
      <c r="G54" s="22"/>
      <c r="H54" s="23"/>
      <c r="I54" s="16"/>
      <c r="K54" s="312"/>
      <c r="L54" s="312"/>
      <c r="M54" s="312"/>
      <c r="N54" s="312"/>
      <c r="O54" s="312"/>
      <c r="P54" s="313"/>
      <c r="Q54" s="313"/>
      <c r="R54" s="313"/>
      <c r="S54" s="315"/>
    </row>
    <row r="55" spans="2:21" ht="18.75" x14ac:dyDescent="0.35">
      <c r="B55" t="s">
        <v>122</v>
      </c>
      <c r="C55" s="182"/>
      <c r="D55" s="178"/>
      <c r="E55" s="179"/>
      <c r="F55" s="178"/>
      <c r="G55" s="178"/>
      <c r="H55" s="178"/>
      <c r="I55" s="16"/>
      <c r="J55" t="s">
        <v>123</v>
      </c>
      <c r="K55" s="37" t="str">
        <f>IF(OR(ISBLANK($C55),ISBLANK(D55)),"",
IF(AND(ISBLANK(D$44),RIGHT($C55,8)="(dry wt)"),"DM missing",
IF(RIGHT($C55,8)="(dry wt)",
IF($C55="% K2O (dry wt)",D55*10*(D$44/100),
IF($C55="mg/kg K2O (dry wt)",D55/1000*(D$44/100),
IF($C55="kg/t K2O(dry wt)",D55*(D$44/100),
IF($C55="% K (dry wt)",D55*1.2046*10*(D$44/100),
IF($C55="mg/kg K (dry wt)", D55*1.2046/1000*(D$44/100), D55*1.2046*(D$44/100)))))),
IF(RIGHT($C55,4)="(fw)",
IF($C55="% K2O (fw)",D55*10,
IF(OR($C55="mg/kg K2O (fw)",$C55="mg/l K2O (fw)"),D55/1000,
IF($C55="kg/t K2O(fw)",D55,
IF($C55="% K (fw)",D55*1.2046*10,
IF(OR($C55="mg/kg K (fw)",$C55="mg/l K (fw)"),D55*1.2046/1000,D55*1.2046)))))))))</f>
        <v/>
      </c>
      <c r="L55" s="37" t="str">
        <f t="shared" ref="L55:O55" si="31">IF(OR(ISBLANK($C55),ISBLANK(E55)),"",
IF(AND(ISBLANK(E$44),RIGHT($C55,8)="(dry wt)"),"DM missing",
IF(RIGHT($C55,8)="(dry wt)",
IF($C55="% K2O (dry wt)",E55*10*(E$44/100),
IF($C55="mg/kg K2O (dry wt)",E55/1000*(E$44/100),
IF($C55="kg/t K2O(dry wt)",E55*(E$44/100),
IF($C55="% K (dry wt)",E55*1.2046*10*(E$44/100),
IF($C55="mg/kg K (dry wt)", E55*1.2046/1000*(E$44/100), E55*1.2046*(E$44/100)))))),
IF(RIGHT($C55,4)="(fw)",
IF($C55="% K2O (fw)",E55*10,
IF(OR($C55="mg/kg K2O (fw)",$C55="mg/l K2O (fw)"),E55/1000,
IF($C55="kg/t K2O(fw)",E55,
IF($C55="% K (fw)",E55*1.2046*10,
IF(OR($C55="mg/kg K (fw)",$C55="mg/l K (fw)"),E55*1.2046/1000,E55*1.2046)))))))))</f>
        <v/>
      </c>
      <c r="M55" s="37" t="str">
        <f t="shared" si="31"/>
        <v/>
      </c>
      <c r="N55" s="37" t="str">
        <f t="shared" si="31"/>
        <v/>
      </c>
      <c r="O55" s="37" t="str">
        <f t="shared" si="31"/>
        <v/>
      </c>
      <c r="P55" s="42" t="str">
        <f>IF(AND('Field information 2'!O$4="",'Field information 2'!O$5=""),"",
IF(AND(K55&lt;&gt;"",K55&lt;&gt;"DM missing",L55&lt;&gt;"",L55&lt;&gt;"DM missing",M55&lt;&gt;"",M55&lt;&gt;"DM missing"), AVERAGE(K55:O55), "data missing"))</f>
        <v/>
      </c>
      <c r="Q55" s="42" t="str">
        <f>IF(AND('Field information 2'!O$4="",'Field information 2'!O$5=""),"",
IF(AND(K55&lt;&gt;"",K55&lt;&gt;"DM missing",L55&lt;&gt;"",L55&lt;&gt;"DM missing",M55&lt;&gt;"",M55&lt;&gt;"DM missing"), MIN(K55:O55), "data missing"))</f>
        <v/>
      </c>
      <c r="R55" s="42" t="str">
        <f>IF(AND('Field information 2'!O$4="",'Field information 2'!O$5=""),"",
IF(AND(K55&lt;&gt;"",K55&lt;&gt;"DM missing",L55&lt;&gt;"",L55&lt;&gt;"DM missing",M55&lt;&gt;"",M55&lt;&gt;"DM missing"), MAX(K55:O55), "data missing"))</f>
        <v/>
      </c>
      <c r="S55" s="58" t="str">
        <f>IF(AND('Field information 2'!O$4="",'Field information 2'!O$5=""),"",
IF(AND(K55&lt;&gt;"",K55&lt;&gt;"DM missing",L55&lt;&gt;"",L55&lt;&gt;"DM missing",M55&lt;&gt;"",M55&lt;&gt;"DM missing"), _xlfn.PERCENTILE.INC(K55:O55,0.85), "data missing"))</f>
        <v/>
      </c>
    </row>
    <row r="56" spans="2:21" ht="4.5" customHeight="1" x14ac:dyDescent="0.25">
      <c r="C56" s="14"/>
      <c r="D56" s="21"/>
      <c r="E56" s="21"/>
      <c r="F56" s="22"/>
      <c r="G56" s="22"/>
      <c r="H56" s="23"/>
      <c r="I56" s="16"/>
      <c r="K56" s="312"/>
      <c r="L56" s="312"/>
      <c r="M56" s="312"/>
      <c r="N56" s="312"/>
      <c r="O56" s="312"/>
      <c r="P56" s="313"/>
      <c r="Q56" s="313"/>
      <c r="R56" s="313"/>
      <c r="S56" s="315"/>
    </row>
    <row r="57" spans="2:21" ht="17.25" x14ac:dyDescent="0.25">
      <c r="B57" t="s">
        <v>124</v>
      </c>
      <c r="C57" s="183"/>
      <c r="D57" s="178"/>
      <c r="E57" s="179"/>
      <c r="F57" s="178"/>
      <c r="G57" s="178"/>
      <c r="H57" s="178"/>
      <c r="I57" s="16"/>
      <c r="J57" t="s">
        <v>125</v>
      </c>
      <c r="K57" s="37" t="str">
        <f>IF(OR(ISBLANK($C57),ISBLANK(D57)),"",
IF(AND(ISBLANK(D$44),RIGHT($C57,8)="(dry wt)"),"DM missing",
IF(RIGHT($C57,8)="(dry wt)",
IF($C57="% MgO (dry wt)",D57*10*(D$44/100),
IF($C57="mg/kg MgO (dry wt)",D57/1000*(D$44/100),
IF($C57="kg/t MgO(dry wt)",D57*(D$44/100),
IF($C57="% Mg (dry wt)",D57*1.6583*10*(D$44/100),
IF($C57="mg/kg Mg (dry wt)", D57*1.6583/1000*(D$44/100), D57*1.6583*(D$44/100)))))),
IF(RIGHT($C57,4)="(fw)",
IF($C57="% MgO (fw)",D57*10,
IF(OR($C57="mg/kg MgO (fw)",$C57="mg/l MgO (fw)"),D57/1000,
IF($C57="kg/t MgO(fw)",D57,
IF($C57="% Mg (fw)",D57*1.6583*10,
IF(OR($C57="mg/kg Mg (fw)",$C57="mg/l Mg (fw)"),D57*1.6583/1000,D57*1.6583)))))))))</f>
        <v/>
      </c>
      <c r="L57" s="37" t="str">
        <f t="shared" ref="L57:O57" si="32">IF(OR(ISBLANK($C57),ISBLANK(E57)),"",
IF(AND(ISBLANK(E$44),RIGHT($C57,8)="(dry wt)"),"DM missing",
IF(RIGHT($C57,8)="(dry wt)",
IF($C57="% MgO (dry wt)",E57*10*(E$44/100),
IF($C57="mg/kg MgO (dry wt)",E57/1000*(E$44/100),
IF($C57="kg/t MgO(dry wt)",E57*(E$44/100),
IF($C57="% Mg (dry wt)",E57*1.6583*10*(E$44/100),
IF($C57="mg/kg Mg (dry wt)", E57*1.6583/1000*(E$44/100), E57*1.6583*(E$44/100)))))),
IF(RIGHT($C57,4)="(fw)",
IF($C57="% MgO (fw)",E57*10,
IF(OR($C57="mg/kg MgO (fw)",$C57="mg/l MgO (fw)"),E57/1000,
IF($C57="kg/t MgO(fw)",E57,
IF($C57="% Mg (fw)",E57*1.6583*10,
IF(OR($C57="mg/kg Mg (fw)",$C57="mg/l Mg (fw)"),E57*1.6583/1000,E57*1.6583)))))))))</f>
        <v/>
      </c>
      <c r="M57" s="37" t="str">
        <f t="shared" si="32"/>
        <v/>
      </c>
      <c r="N57" s="37" t="str">
        <f t="shared" si="32"/>
        <v/>
      </c>
      <c r="O57" s="37" t="str">
        <f t="shared" si="32"/>
        <v/>
      </c>
      <c r="P57" s="42" t="str">
        <f>IF(AND('Field information 2'!O$4="",'Field information 2'!O$5=""),"",
IF(AND('Field information 2'!$O$5="xx",OR(K57="",L57="",M57="")),0,
IF(AND(K57&lt;&gt;"",K57&lt;&gt;"DM missing",L57&lt;&gt;"",L57&lt;&gt;"DM missing",M57&lt;&gt;"",M57&lt;&gt;"DM missing"), AVERAGE(K57:O57), "data missing")))</f>
        <v/>
      </c>
      <c r="Q57" s="42" t="str">
        <f>IF(AND('Field information 2'!O$4="",'Field information 2'!O$5=""),"",
IF(AND('Field information 2'!$O$5="xx",OR(K57="",L57="",M57="")),0,
IF(AND(K57&lt;&gt;"",K57&lt;&gt;"DM missing",L57&lt;&gt;"",L57&lt;&gt;"DM missing",M57&lt;&gt;"",M57&lt;&gt;"DM missing"),MIN(K57:O57),"data missing")))</f>
        <v/>
      </c>
      <c r="R57" s="42" t="str">
        <f>IF(AND('Field information 2'!O$4="",'Field information 2'!O$5=""),"",
IF(AND('Field information 2'!$O$5="xx",OR(K57="",L57="",M57="")),0,
IF(AND(K57&lt;&gt;"",K57&lt;&gt;"DM missing",L57&lt;&gt;"",L57&lt;&gt;"DM missing",M57&lt;&gt;"",M57&lt;&gt;"DM missing"), MAX(K57:O57), "data missing")))</f>
        <v/>
      </c>
      <c r="S57" s="58" t="str">
        <f>IF(AND('Field information 2'!O$4="",'Field information 2'!O$5=""),"",
IF(AND('Field information 2'!$O$5="xx",OR(K57="",L57="",M57="")),0,
IF(AND(K57&lt;&gt;"",K57&lt;&gt;"DM missing",L57&lt;&gt;"",L57&lt;&gt;"DM missing",M57&lt;&gt;"",M57&lt;&gt;"DM missing"), _xlfn.PERCENTILE.INC(K57:O57,0.85), "data missing")))</f>
        <v/>
      </c>
    </row>
    <row r="58" spans="2:21" ht="4.5" customHeight="1" x14ac:dyDescent="0.25">
      <c r="C58" s="14"/>
      <c r="D58" s="21"/>
      <c r="E58" s="21"/>
      <c r="F58" s="21"/>
      <c r="G58" s="21"/>
      <c r="H58" s="21"/>
      <c r="I58" s="16"/>
      <c r="K58" s="312"/>
      <c r="L58" s="312"/>
      <c r="M58" s="312"/>
      <c r="N58" s="312"/>
      <c r="O58" s="312"/>
      <c r="P58" s="313"/>
      <c r="Q58" s="313"/>
      <c r="R58" s="313"/>
      <c r="S58" s="315"/>
    </row>
    <row r="59" spans="2:21" ht="18.75" x14ac:dyDescent="0.35">
      <c r="B59" s="15" t="s">
        <v>126</v>
      </c>
      <c r="C59" s="182"/>
      <c r="D59" s="178"/>
      <c r="E59" s="178"/>
      <c r="F59" s="178"/>
      <c r="G59" s="178"/>
      <c r="H59" s="178"/>
      <c r="I59" s="16"/>
      <c r="J59" t="s">
        <v>127</v>
      </c>
      <c r="K59" s="37" t="str">
        <f>IF(OR(ISBLANK($C59),ISBLANK(D59)),"",
IF(AND(ISBLANK(D$44),RIGHT($C59,8)="(dry wt)"),"DM missing",
IF(RIGHT($C59,8)="(dry wt)",
IF($C59="% SO3 (dry wt)",D59*10*(D$44/100),
IF($C59="mg/kg SO3 (dry wt)",D59/1000*(D$44/100),
IF($C59="kg/t SO3(dry wt)",D59*(D$44/100),
IF($C59="% S (dry wt)",D59*2.4972*10*(D$44/100),
IF($C59="mg/kg S (dry wt)", D59*2.4972/1000*(D$44/100), D59*2.4972*(D$44/100)))))),
IF(RIGHT($C59,4)="(fw)",
IF($C59="% SO3 (fw)",D59*10,
IF(OR($C59="mg/kg SO3 (fw)",$C59="mg/l SO3 (fw)"),D59/1000,
IF($C59="kg/t SO3(fw)",D59,
IF($C59="% S (fw)",D59*2.4972*10,
IF(OR($C59="mg/kg S (fw)",$C59="mg/l S (fw)"),D59*2.4972/1000,D59*2.4972)))))))))</f>
        <v/>
      </c>
      <c r="L59" s="37" t="str">
        <f t="shared" ref="L59:O59" si="33">IF(OR(ISBLANK($C59),ISBLANK(E59)),"",
IF(AND(ISBLANK(E$44),RIGHT($C59,8)="(dry wt)"),"DM missing",
IF(RIGHT($C59,8)="(dry wt)",
IF($C59="% SO3 (dry wt)",E59*10*(E$44/100),
IF($C59="mg/kg SO3 (dry wt)",E59/1000*(E$44/100),
IF($C59="kg/t SO3(dry wt)",E59*(E$44/100),
IF($C59="% S (dry wt)",E59*2.4972*10*(E$44/100),
IF($C59="mg/kg S (dry wt)", E59*2.4972/1000*(E$44/100), E59*2.4972*(E$44/100)))))),
IF(RIGHT($C59,4)="(fw)",
IF($C59="% SO3 (fw)",E59*10,
IF(OR($C59="mg/kg SO3 (fw)",$C59="mg/l SO3 (fw)"),E59/1000,
IF($C59="kg/t SO3(fw)",E59,
IF($C59="% S (fw)",E59*2.4972*10,
IF(OR($C59="mg/kg S (fw)",$C59="mg/l S (fw)"),E59*2.4972/1000,E59*2.4972)))))))))</f>
        <v/>
      </c>
      <c r="M59" s="37" t="str">
        <f t="shared" si="33"/>
        <v/>
      </c>
      <c r="N59" s="37" t="str">
        <f t="shared" si="33"/>
        <v/>
      </c>
      <c r="O59" s="37" t="str">
        <f t="shared" si="33"/>
        <v/>
      </c>
      <c r="P59" s="42" t="str">
        <f>IF(AND('Field information 2'!O$4="",'Field information 2'!O$5=""),"",
IF(AND(K59&lt;&gt;"",K59&lt;&gt;"DM missing",L59&lt;&gt;"",L59&lt;&gt;"DM missing",M59&lt;&gt;"",M59&lt;&gt;"DM missing"), AVERAGE(K59:O59), ""))</f>
        <v/>
      </c>
      <c r="Q59" s="42" t="str">
        <f>IF(AND('Field information 2'!O$4="",'Field information 2'!O$5=""),"",
IF(AND(K59&lt;&gt;"",K59&lt;&gt;"DM missing",L59&lt;&gt;"",L59&lt;&gt;"DM missing",M59&lt;&gt;"",M59&lt;&gt;"DM missing"), MIN(K59:O59), ""))</f>
        <v/>
      </c>
      <c r="R59" s="58" t="str">
        <f>IF(AND('Field information 2'!O$4="",'Field information 2'!O$5=""),"",
IF(AND(K59&lt;&gt;"",K59&lt;&gt;"DM missing",L59&lt;&gt;"",L59&lt;&gt;"DM missing",M59&lt;&gt;"",M59&lt;&gt;"DM missing"), MAX(K59:O59), ""))</f>
        <v/>
      </c>
      <c r="S59" s="58" t="str">
        <f>IF(AND('Field information 2'!O$4="",'Field information 2'!O$5=""),"",
IF(AND(K59&lt;&gt;"",K59&lt;&gt;"DM missing",L59&lt;&gt;"",L59&lt;&gt;"DM missing",M59&lt;&gt;"",M59&lt;&gt;"DM missing"), _xlfn.PERCENTILE.INC(K59:O59,0.85), ""))</f>
        <v/>
      </c>
    </row>
    <row r="60" spans="2:21" ht="4" customHeight="1" x14ac:dyDescent="0.25">
      <c r="C60" s="14"/>
      <c r="D60" s="21"/>
      <c r="E60" s="21"/>
      <c r="F60" s="22"/>
      <c r="G60" s="22"/>
      <c r="H60" s="23"/>
      <c r="I60" s="16"/>
      <c r="K60" s="30"/>
      <c r="L60" s="21"/>
      <c r="M60" s="21"/>
      <c r="N60" s="21"/>
      <c r="O60" s="21"/>
      <c r="S60" s="250"/>
    </row>
    <row r="61" spans="2:21" ht="17.25" x14ac:dyDescent="0.25">
      <c r="B61" t="s">
        <v>128</v>
      </c>
      <c r="C61" s="182"/>
      <c r="D61" s="178"/>
      <c r="E61" s="179"/>
      <c r="F61" s="178"/>
      <c r="G61" s="178"/>
      <c r="H61" s="178"/>
      <c r="I61" s="16"/>
      <c r="J61" t="s">
        <v>129</v>
      </c>
      <c r="K61" s="22" t="str">
        <f>IF(OR(ISBLANK($C61),ISBLANK(D61)),"",
IF(AND(ISBLANK(D$44),$C61="mg/kg (dry wt)"),"DM missing",
IF($C61="mg/kg (dry wt)", D61/1000*(D$44/100), D61 /1000)))</f>
        <v/>
      </c>
      <c r="L61" s="22" t="str">
        <f t="shared" ref="L61:O61" si="34">IF(OR(ISBLANK($C61),ISBLANK(E61)),"",
IF(AND(ISBLANK(E$44),$C61="mg/kg (dry wt)"),"DM missing",
IF($C61="mg/kg (dry wt)", E61/1000*(E$44/100), E61 /1000)))</f>
        <v/>
      </c>
      <c r="M61" s="22" t="str">
        <f t="shared" si="34"/>
        <v/>
      </c>
      <c r="N61" s="22" t="str">
        <f t="shared" si="34"/>
        <v/>
      </c>
      <c r="O61" s="22" t="str">
        <f t="shared" si="34"/>
        <v/>
      </c>
      <c r="P61" s="43" t="str">
        <f>IF(AND('Field information 2'!O$4="",'Field information 2'!O$5=""),"",
IF(AND( 'Field information 2'!$O$5="xx",OR(K61="",L61="",M61="")),0,
IF(AND(K61&lt;&gt;"",K61&lt;&gt;"DM missing",L61&lt;&gt;"",L61&lt;&gt;"DM missing",M61&lt;&gt;"",M61&lt;&gt;"DM missing"), AVERAGE(K61:O61), "data missing")))</f>
        <v/>
      </c>
      <c r="Q61" s="43" t="str">
        <f>IF(AND('Field information 2'!O$4="",'Field information 2'!O$5=""),"",
IF(AND( 'Field information 2'!$O$5="xx",OR(K61="",L61="",M61="")),0,
IF(AND(K61&lt;&gt;"",K61&lt;&gt;"DM missing",L61&lt;&gt;"",L61&lt;&gt;"DM missing",M61&lt;&gt;"",M61&lt;&gt;"DM missing"), MIN(K61:O61), "data missing")))</f>
        <v/>
      </c>
      <c r="R61" s="43" t="str">
        <f>IF(AND('Field information 2'!O$4="",'Field information 2'!O$5=""),"",
IF(AND( 'Field information 2'!$O$5="xx",OR(K61="",L61="",M61="")),0,
IF(AND(K61&lt;&gt;"",K61&lt;&gt;"DM missing",L61&lt;&gt;"",L61&lt;&gt;"DM missing",M61&lt;&gt;"",M61&lt;&gt;"DM missing"), MAX(K61:O61), "data missing")))</f>
        <v/>
      </c>
      <c r="S61" s="60" t="str">
        <f>IF(AND('Field information 2'!O$4="",'Field information 2'!O$5=""),"",
IF(AND( 'Field information 2'!$O$5="xx",OR(K61="",L61="",M61="")),0,
IF(AND(K61&lt;&gt;"",K61&lt;&gt;"DM missing",L61&lt;&gt;"",L61&lt;&gt;"DM missing",M61&lt;&gt;"",M61&lt;&gt;"DM missing"), _xlfn.PERCENTILE.INC(K61:O61,0.85), "data missing")))</f>
        <v/>
      </c>
    </row>
    <row r="62" spans="2:21" ht="17.25" x14ac:dyDescent="0.25">
      <c r="B62" t="s">
        <v>130</v>
      </c>
      <c r="C62" s="182"/>
      <c r="D62" s="178"/>
      <c r="E62" s="179"/>
      <c r="F62" s="178"/>
      <c r="G62" s="178"/>
      <c r="H62" s="178"/>
      <c r="I62" s="16"/>
      <c r="J62" t="s">
        <v>131</v>
      </c>
      <c r="K62" s="22" t="str">
        <f t="shared" ref="K62:K67" si="35">IF(OR(ISBLANK($C62),ISBLANK(D62)),"",
IF(AND(ISBLANK(D$44),$C62="mg/kg (dry wt)"),"DM missing",
IF($C62="mg/kg (dry wt)", D62/1000*(D$44/100), D62 /1000)))</f>
        <v/>
      </c>
      <c r="L62" s="22" t="str">
        <f t="shared" ref="L62:L67" si="36">IF(OR(ISBLANK($C62),ISBLANK(E62)),"",
IF(AND(ISBLANK(E$44),$C62="mg/kg (dry wt)"),"DM missing",
IF($C62="mg/kg (dry wt)", E62/1000*(E$44/100), E62 /1000)))</f>
        <v/>
      </c>
      <c r="M62" s="22" t="str">
        <f t="shared" ref="M62:M67" si="37">IF(OR(ISBLANK($C62),ISBLANK(F62)),"",
IF(AND(ISBLANK(F$44),$C62="mg/kg (dry wt)"),"DM missing",
IF($C62="mg/kg (dry wt)", F62/1000*(F$44/100), F62 /1000)))</f>
        <v/>
      </c>
      <c r="N62" s="22" t="str">
        <f t="shared" ref="N62:N67" si="38">IF(OR(ISBLANK($C62),ISBLANK(G62)),"",
IF(AND(ISBLANK(G$44),$C62="mg/kg (dry wt)"),"DM missing",
IF($C62="mg/kg (dry wt)", G62/1000*(G$44/100), G62 /1000)))</f>
        <v/>
      </c>
      <c r="O62" s="22" t="str">
        <f t="shared" ref="O62:O67" si="39">IF(OR(ISBLANK($C62),ISBLANK(H62)),"",
IF(AND(ISBLANK(H$44),$C62="mg/kg (dry wt)"),"DM missing",
IF($C62="mg/kg (dry wt)", H62/1000*(H$44/100), H62 /1000)))</f>
        <v/>
      </c>
      <c r="P62" s="43" t="str">
        <f>IF(AND('Field information 2'!O$4="",'Field information 2'!O$5=""),"",
IF(AND( 'Field information 2'!$O$5="xx",OR(K62="",L62="",M62="")),0,
IF(AND(K62&lt;&gt;"",K62&lt;&gt;"DM missing",L62&lt;&gt;"",L62&lt;&gt;"DM missing",M62&lt;&gt;"",M62&lt;&gt;"DM missing"), AVERAGE(K62:O62), "data missing")))</f>
        <v/>
      </c>
      <c r="Q62" s="43" t="str">
        <f>IF(AND('Field information 2'!O$4="",'Field information 2'!O$5=""),"",
IF(AND( 'Field information 2'!$O$5="xx",OR(K62="",L62="",M62="")),0,
IF(AND(K62&lt;&gt;"",K62&lt;&gt;"DM missing",L62&lt;&gt;"",L62&lt;&gt;"DM missing",M62&lt;&gt;"",M62&lt;&gt;"DM missing"), MIN(K62:O62), "data missing")))</f>
        <v/>
      </c>
      <c r="R62" s="43" t="str">
        <f>IF(AND('Field information 2'!O$4="",'Field information 2'!O$5=""),"",
IF(AND( 'Field information 2'!$O$5="xx",OR(K62="",L62="",M62="")),0,
IF(AND(K62&lt;&gt;"",K62&lt;&gt;"DM missing",L62&lt;&gt;"",L62&lt;&gt;"DM missing",M62&lt;&gt;"",M62&lt;&gt;"DM missing"), MAX(K62:O62), "data missing")))</f>
        <v/>
      </c>
      <c r="S62" s="60" t="str">
        <f>IF(AND('Field information 2'!O$4="",'Field information 2'!O$5=""),"",
IF(AND( 'Field information 2'!$O$5="xx",OR(K62="",L62="",M62="")),0,
IF(AND(K62&lt;&gt;"",K62&lt;&gt;"DM missing",L62&lt;&gt;"",L62&lt;&gt;"DM missing",M62&lt;&gt;"",M62&lt;&gt;"DM missing"), _xlfn.PERCENTILE.INC(K62:O62,0.85), "data missing")))</f>
        <v/>
      </c>
    </row>
    <row r="63" spans="2:21" ht="17.25" x14ac:dyDescent="0.25">
      <c r="B63" t="s">
        <v>132</v>
      </c>
      <c r="C63" s="182"/>
      <c r="D63" s="178"/>
      <c r="E63" s="179"/>
      <c r="F63" s="178"/>
      <c r="G63" s="178"/>
      <c r="H63" s="178"/>
      <c r="I63" s="16"/>
      <c r="J63" t="s">
        <v>133</v>
      </c>
      <c r="K63" s="22" t="str">
        <f t="shared" si="35"/>
        <v/>
      </c>
      <c r="L63" s="22" t="str">
        <f t="shared" si="36"/>
        <v/>
      </c>
      <c r="M63" s="22" t="str">
        <f t="shared" si="37"/>
        <v/>
      </c>
      <c r="N63" s="22" t="str">
        <f t="shared" si="38"/>
        <v/>
      </c>
      <c r="O63" s="22" t="str">
        <f t="shared" si="39"/>
        <v/>
      </c>
      <c r="P63" s="43" t="str">
        <f>IF(AND('Field information 2'!O$4="",'Field information 2'!O$5=""),"",
IF(AND( 'Field information 2'!$O$5="xx",OR(K63="",L63="",M63="")),0,
IF(AND(K63&lt;&gt;"",K63&lt;&gt;"DM missing",L63&lt;&gt;"",L63&lt;&gt;"DM missing",M63&lt;&gt;"",M63&lt;&gt;"DM missing"), AVERAGE(K63:O63), "data missing")))</f>
        <v/>
      </c>
      <c r="Q63" s="43" t="str">
        <f>IF(AND('Field information 2'!O$4="",'Field information 2'!O$5=""),"",
IF(AND( 'Field information 2'!$O$5="xx",OR(K63="",L63="",M63="")),0,
IF(AND(K63&lt;&gt;"",K63&lt;&gt;"DM missing",L63&lt;&gt;"",L63&lt;&gt;"DM missing",M63&lt;&gt;"",M63&lt;&gt;"DM missing"), MIN(K63:O63), "data missing")))</f>
        <v/>
      </c>
      <c r="R63" s="43" t="str">
        <f>IF(AND('Field information 2'!O$4="",'Field information 2'!O$5=""),"",
IF(AND( 'Field information 2'!$O$5="xx",OR(K63="",L63="",M63="")),0,
IF(AND(K63&lt;&gt;"",K63&lt;&gt;"DM missing",L63&lt;&gt;"",L63&lt;&gt;"DM missing",M63&lt;&gt;"",M63&lt;&gt;"DM missing"), MAX(K63:O63), "data missing")))</f>
        <v/>
      </c>
      <c r="S63" s="60" t="str">
        <f>IF(AND('Field information 2'!O$4="",'Field information 2'!O$5=""),"",
IF(AND( 'Field information 2'!$O$5="xx",OR(K63="",L63="",M63="")),0,
IF(AND(K63&lt;&gt;"",K63&lt;&gt;"DM missing",L63&lt;&gt;"",L63&lt;&gt;"DM missing",M63&lt;&gt;"",M63&lt;&gt;"DM missing"), _xlfn.PERCENTILE.INC(K63:O63,0.85), "data missing")))</f>
        <v/>
      </c>
    </row>
    <row r="64" spans="2:21" ht="17.25" x14ac:dyDescent="0.25">
      <c r="B64" t="s">
        <v>134</v>
      </c>
      <c r="C64" s="182"/>
      <c r="D64" s="178"/>
      <c r="E64" s="179"/>
      <c r="F64" s="178"/>
      <c r="G64" s="178"/>
      <c r="H64" s="178"/>
      <c r="I64" s="16"/>
      <c r="J64" t="s">
        <v>135</v>
      </c>
      <c r="K64" s="22" t="str">
        <f t="shared" si="35"/>
        <v/>
      </c>
      <c r="L64" s="22" t="str">
        <f t="shared" si="36"/>
        <v/>
      </c>
      <c r="M64" s="22" t="str">
        <f t="shared" si="37"/>
        <v/>
      </c>
      <c r="N64" s="22" t="str">
        <f t="shared" si="38"/>
        <v/>
      </c>
      <c r="O64" s="22" t="str">
        <f t="shared" si="39"/>
        <v/>
      </c>
      <c r="P64" s="43" t="str">
        <f>IF(AND('Field information 2'!O$4="",'Field information 2'!O$5=""),"",
IF(AND( 'Field information 2'!$O$5="xx",OR(K64="",L64="",M64="")),0,
IF(AND(K64&lt;&gt;"",K64&lt;&gt;"DM missing",L64&lt;&gt;"",L64&lt;&gt;"DM missing",M64&lt;&gt;"",M64&lt;&gt;"DM missing"), AVERAGE(K64:O64), "data missing")))</f>
        <v/>
      </c>
      <c r="Q64" s="43" t="str">
        <f>IF(AND('Field information 2'!O$4="",'Field information 2'!O$5=""),"",
IF(AND( 'Field information 2'!$O$5="xx",OR(K64="",L64="",M64="")),0,
IF(AND(K64&lt;&gt;"",K64&lt;&gt;"DM missing",L64&lt;&gt;"",L64&lt;&gt;"DM missing",M64&lt;&gt;"",M64&lt;&gt;"DM missing"), MIN(K64:O64), "data missing")))</f>
        <v/>
      </c>
      <c r="R64" s="43" t="str">
        <f>IF(AND('Field information 2'!O$4="",'Field information 2'!O$5=""),"",
IF(AND( 'Field information 2'!$O$5="xx",OR(K64="",L64="",M64="")),0,
IF(AND(K64&lt;&gt;"",K64&lt;&gt;"DM missing",L64&lt;&gt;"",L64&lt;&gt;"DM missing",M64&lt;&gt;"",M64&lt;&gt;"DM missing"), MAX(K64:O64), "data missing")))</f>
        <v/>
      </c>
      <c r="S64" s="60" t="str">
        <f>IF(AND('Field information 2'!O$4="",'Field information 2'!O$5=""),"",
IF(AND( 'Field information 2'!$O$5="xx",OR(K64="",L64="",M64="")),0,
IF(AND(K64&lt;&gt;"",K64&lt;&gt;"DM missing",L64&lt;&gt;"",L64&lt;&gt;"DM missing",M64&lt;&gt;"",M64&lt;&gt;"DM missing"), _xlfn.PERCENTILE.INC(K64:O64,0.85), "data missing")))</f>
        <v/>
      </c>
    </row>
    <row r="65" spans="1:19" ht="17.25" x14ac:dyDescent="0.25">
      <c r="B65" t="s">
        <v>136</v>
      </c>
      <c r="C65" s="182"/>
      <c r="D65" s="178"/>
      <c r="E65" s="179"/>
      <c r="F65" s="178"/>
      <c r="G65" s="178"/>
      <c r="H65" s="178"/>
      <c r="I65" s="16"/>
      <c r="J65" t="s">
        <v>137</v>
      </c>
      <c r="K65" s="22" t="str">
        <f t="shared" si="35"/>
        <v/>
      </c>
      <c r="L65" s="22" t="str">
        <f t="shared" si="36"/>
        <v/>
      </c>
      <c r="M65" s="22" t="str">
        <f t="shared" si="37"/>
        <v/>
      </c>
      <c r="N65" s="22" t="str">
        <f t="shared" si="38"/>
        <v/>
      </c>
      <c r="O65" s="22" t="str">
        <f t="shared" si="39"/>
        <v/>
      </c>
      <c r="P65" s="43" t="str">
        <f>IF(AND('Field information 2'!O$4="",'Field information 2'!O$5=""),"",
IF(AND( 'Field information 2'!$O$5="xx",OR(K65="",L65="",M65="")),0,
IF(AND(K65&lt;&gt;"",K65&lt;&gt;"DM missing",L65&lt;&gt;"",L65&lt;&gt;"DM missing",M65&lt;&gt;"",M65&lt;&gt;"DM missing"), AVERAGE(K65:O65), "data missing")))</f>
        <v/>
      </c>
      <c r="Q65" s="43" t="str">
        <f>IF(AND('Field information 2'!O$4="",'Field information 2'!O$5=""),"",
IF(AND( 'Field information 2'!$O$5="xx",OR(K65="",L65="",M65="")),0,
IF(AND(K65&lt;&gt;"",K65&lt;&gt;"DM missing",L65&lt;&gt;"",L65&lt;&gt;"DM missing",M65&lt;&gt;"",M65&lt;&gt;"DM missing"), MIN(K65:O65), "data missing")))</f>
        <v/>
      </c>
      <c r="R65" s="43" t="str">
        <f>IF(AND('Field information 2'!O$4="",'Field information 2'!O$5=""),"",
IF(AND( 'Field information 2'!$O$5="xx",OR(K65="",L65="",M65="")),0,
IF(AND(K65&lt;&gt;"",K65&lt;&gt;"DM missing",L65&lt;&gt;"",L65&lt;&gt;"DM missing",M65&lt;&gt;"",M65&lt;&gt;"DM missing"), MAX(K65:O65), "data missing")))</f>
        <v/>
      </c>
      <c r="S65" s="60" t="str">
        <f>IF(AND('Field information 2'!O$4="",'Field information 2'!O$5=""),"",
IF(AND( 'Field information 2'!$O$5="xx",OR(K65="",L65="",M65="")),0,
IF(AND(K65&lt;&gt;"",K65&lt;&gt;"DM missing",L65&lt;&gt;"",L65&lt;&gt;"DM missing",M65&lt;&gt;"",M65&lt;&gt;"DM missing"), _xlfn.PERCENTILE.INC(K65:O65,0.85), "data missing")))</f>
        <v/>
      </c>
    </row>
    <row r="66" spans="1:19" ht="17.25" x14ac:dyDescent="0.25">
      <c r="B66" t="s">
        <v>138</v>
      </c>
      <c r="C66" s="182"/>
      <c r="D66" s="178"/>
      <c r="E66" s="179"/>
      <c r="F66" s="178"/>
      <c r="G66" s="178"/>
      <c r="H66" s="178"/>
      <c r="I66" s="16"/>
      <c r="J66" t="s">
        <v>139</v>
      </c>
      <c r="K66" s="22" t="str">
        <f t="shared" si="35"/>
        <v/>
      </c>
      <c r="L66" s="22" t="str">
        <f t="shared" si="36"/>
        <v/>
      </c>
      <c r="M66" s="22" t="str">
        <f t="shared" si="37"/>
        <v/>
      </c>
      <c r="N66" s="22" t="str">
        <f t="shared" si="38"/>
        <v/>
      </c>
      <c r="O66" s="22" t="str">
        <f t="shared" si="39"/>
        <v/>
      </c>
      <c r="P66" s="43" t="str">
        <f>IF(AND('Field information 2'!O$4="",'Field information 2'!O$5=""),"",
IF(AND( 'Field information 2'!$O$5="xx",OR(K66="",L66="",M66="")),0,
IF(AND(K66&lt;&gt;"",K66&lt;&gt;"DM missing",L66&lt;&gt;"",L66&lt;&gt;"DM missing",M66&lt;&gt;"",M66&lt;&gt;"DM missing"), AVERAGE(K66:O66), "data missing")))</f>
        <v/>
      </c>
      <c r="Q66" s="43" t="str">
        <f>IF(AND('Field information 2'!O$4="",'Field information 2'!O$5=""),"",
IF(AND( 'Field information 2'!$O$5="xx",OR(K66="",L66="",M66="")),0,
IF(AND(K66&lt;&gt;"",K66&lt;&gt;"DM missing",L66&lt;&gt;"",L66&lt;&gt;"DM missing",M66&lt;&gt;"",M66&lt;&gt;"DM missing"), MIN(K66:O66), "data missing")))</f>
        <v/>
      </c>
      <c r="R66" s="43" t="str">
        <f>IF(AND('Field information 2'!O$4="",'Field information 2'!O$5=""),"",
IF(AND( 'Field information 2'!$O$5="xx",OR(K66="",L66="",M66="")),0,
IF(AND(K66&lt;&gt;"",K66&lt;&gt;"DM missing",L66&lt;&gt;"",L66&lt;&gt;"DM missing",M66&lt;&gt;"",M66&lt;&gt;"DM missing"), MAX(K66:O66), "data missing")))</f>
        <v/>
      </c>
      <c r="S66" s="60" t="str">
        <f>IF(AND('Field information 2'!O$4="",'Field information 2'!O$5=""),"",
IF(AND( 'Field information 2'!$O$5="xx",OR(K66="",L66="",M66="")),0,
IF(AND(K66&lt;&gt;"",K66&lt;&gt;"DM missing",L66&lt;&gt;"",L66&lt;&gt;"DM missing",M66&lt;&gt;"",M66&lt;&gt;"DM missing"), _xlfn.PERCENTILE.INC(K66:O66,0.85), "data missing")))</f>
        <v/>
      </c>
    </row>
    <row r="67" spans="1:19" ht="17.25" x14ac:dyDescent="0.25">
      <c r="B67" t="s">
        <v>140</v>
      </c>
      <c r="C67" s="182"/>
      <c r="D67" s="178"/>
      <c r="E67" s="179"/>
      <c r="F67" s="178"/>
      <c r="G67" s="178"/>
      <c r="H67" s="178"/>
      <c r="I67" s="16"/>
      <c r="J67" t="s">
        <v>141</v>
      </c>
      <c r="K67" s="22" t="str">
        <f t="shared" si="35"/>
        <v/>
      </c>
      <c r="L67" s="22" t="str">
        <f t="shared" si="36"/>
        <v/>
      </c>
      <c r="M67" s="22" t="str">
        <f t="shared" si="37"/>
        <v/>
      </c>
      <c r="N67" s="22" t="str">
        <f t="shared" si="38"/>
        <v/>
      </c>
      <c r="O67" s="22" t="str">
        <f t="shared" si="39"/>
        <v/>
      </c>
      <c r="P67" s="43" t="str">
        <f>IF(AND('Field information 2'!O$4="",'Field information 2'!O$5=""),"",
IF(AND( 'Field information 2'!$O$5="xx",OR(K67="",L67="",M67="")),0,
IF(AND(K67&lt;&gt;"",K67&lt;&gt;"DM missing",L67&lt;&gt;"",L67&lt;&gt;"DM missing",M67&lt;&gt;"",M67&lt;&gt;"DM missing"), AVERAGE(K67:O67), "data missing")))</f>
        <v/>
      </c>
      <c r="Q67" s="43" t="str">
        <f>IF(AND('Field information 2'!O$4="",'Field information 2'!O$5=""),"",
IF(AND( 'Field information 2'!$O$5="xx",OR(K67="",L67="",M67="")),0,
IF(AND(K67&lt;&gt;"",K67&lt;&gt;"DM missing",L67&lt;&gt;"",L67&lt;&gt;"DM missing",M67&lt;&gt;"",M67&lt;&gt;"DM missing"), MIN(K67:O67), "data missing")))</f>
        <v/>
      </c>
      <c r="R67" s="43" t="str">
        <f>IF(AND('Field information 2'!O$4="",'Field information 2'!O$5=""),"",
IF(AND( 'Field information 2'!$O$5="xx",OR(K67="",L67="",M67="")),0,
IF(AND(K67&lt;&gt;"",K67&lt;&gt;"DM missing",L67&lt;&gt;"",L67&lt;&gt;"DM missing",M67&lt;&gt;"",M67&lt;&gt;"DM missing"), MAX(K67:O67), "data missing")))</f>
        <v/>
      </c>
      <c r="S67" s="60" t="str">
        <f>IF(AND('Field information 2'!O$4="",'Field information 2'!O$5=""),"",
IF(AND( 'Field information 2'!$O$5="xx",OR(K67="",L67="",M67="")),0,
IF(AND(K67&lt;&gt;"",K67&lt;&gt;"DM missing",L67&lt;&gt;"",L67&lt;&gt;"DM missing",M67&lt;&gt;"",M67&lt;&gt;"DM missing"), _xlfn.PERCENTILE.INC(K67:O67,0.85), "data missing")))</f>
        <v/>
      </c>
    </row>
    <row r="68" spans="1:19" ht="4.5" customHeight="1" x14ac:dyDescent="0.25">
      <c r="C68" s="14"/>
      <c r="D68" s="21"/>
      <c r="E68" s="21"/>
      <c r="F68" s="21"/>
      <c r="G68" s="21"/>
      <c r="H68" s="21"/>
      <c r="I68" s="16"/>
      <c r="J68" s="16"/>
      <c r="K68" s="16"/>
      <c r="L68" s="16"/>
      <c r="M68" s="16"/>
      <c r="N68" s="16"/>
      <c r="S68" s="250"/>
    </row>
    <row r="69" spans="1:19" ht="30" x14ac:dyDescent="0.25">
      <c r="B69" s="9" t="s">
        <v>142</v>
      </c>
      <c r="C69" s="14" t="s">
        <v>143</v>
      </c>
      <c r="D69" s="184"/>
      <c r="E69" s="184"/>
      <c r="F69" s="184"/>
      <c r="G69" s="184"/>
      <c r="H69" s="184"/>
      <c r="J69" s="153" t="s">
        <v>144</v>
      </c>
      <c r="K69" s="56" t="str">
        <f>IF(OR(ISBLANK(D44),ISBLANK(D69)),"",(100/D44)*(50/D69))</f>
        <v/>
      </c>
      <c r="L69" s="56" t="str">
        <f>IF(OR(ISBLANK(E44),ISBLANK(E69)),"",(100/E44)*(50/E69))</f>
        <v/>
      </c>
      <c r="M69" s="56" t="str">
        <f>IF(OR(ISBLANK(F44),ISBLANK(F69)),"",(100/F44)*(50/F69))</f>
        <v/>
      </c>
      <c r="N69" s="56" t="str">
        <f>IF(OR(ISBLANK(G44),ISBLANK(G69)),"",(100/G44)*(50/G69))</f>
        <v/>
      </c>
      <c r="O69" s="56" t="str">
        <f>IF(OR(ISBLANK(H44),ISBLANK(H69)),"",(100/H44)*(50/H69))</f>
        <v/>
      </c>
      <c r="P69" s="307" t="str">
        <f>IF(AND('Field information 2'!O$4="",'Field information 2'!O$5=""),"",
IF(OR('Field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
     IF(AND(K69&lt;&gt;"",L69&lt;&gt;"",M69&lt;&gt;""), AVERAGE(K69:O69),"data missing"),
     IF(AND(K69&lt;&gt;"",L69&lt;&gt;"",M69&lt;&gt;""), AVERAGE(K69:O69),"")))</f>
        <v/>
      </c>
      <c r="Q69" s="308" t="str">
        <f>IF(AND('Field information 2'!O$4="",'Field information 2'!O$5=""),"",
IF(OR('Field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
     IF(AND(K69&lt;&gt;"",L69&lt;&gt;"",M69&lt;&gt;""), MIN(K69:O69),"data missing"),
     IF(AND(K69&lt;&gt;"",L69&lt;&gt;"",M69&lt;&gt;""), MIN(K69:O69),"")))</f>
        <v/>
      </c>
      <c r="R69" s="307" t="str">
        <f>IF(AND('Field information 2'!O$4="",'Field information 2'!O$5=""),"",
IF(OR('Field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
     IF(AND(K69&lt;&gt;"",L69&lt;&gt;"",M69&lt;&gt;""), MAX(K69:O69),"data missing"),
     IF(AND(K69&lt;&gt;"",L69&lt;&gt;"",M69&lt;&gt;""), MAX(K69:O69),"")))</f>
        <v/>
      </c>
      <c r="S69" s="309" t="str">
        <f>IF(AND('Field information 2'!O$4="",'Field information 2'!O$5=""),"",
IF(OR('Field information 2'!$O$5="01 04 12",'Field information 2'!$O$5="010412",'Field information 2'!$O$5="0104 12",'Field information 2'!$O$5="01 0412",'Field information 2'!$O$5="03 03 09",'Field information 2'!$O$5="030309",'Field information 2'!$O$5="0303 09",'Field information 2'!$O$5="03 0309",'Field information 2'!$O$5="03 03 11",'Field information 2'!$O$5="030311",'Field information 2'!$O$5="0303 11",'Field information 2'!$O$5="03 0311",'Field information 2'!$O$5="03 03 99",'Field information 2'!$O$5="030399",'Field information 2'!$O$5="0303 99",'Field information 2'!$O$5="03 0399",'Field information 2'!$O$5="06 01 99",'Field information 2'!$O$5="060199",'Field information 2'!$O$5="0601 99",'Field information 2'!$O$5="06 0199",'Field information 2'!$O$5="10 01 01",'Field information 2'!$O$5="100101",'Field information 2'!$O$5="1001 01",'Field information 2'!$O$5="10 0101",'Field information 2'!$O$5="10 01 03",'Field information 2'!$O$5="100103",'Field information 2'!$O$5="1001 03",'Field information 2'!$O$5="10 0103",'Field information 2'!$O$5="10 01 99",'Field information 2'!$O$5="100199",'Field information 2'!$O$5="1001 99",'Field information 2'!$O$5="10 0199",'Field information 2'!$O$5="10 13 04",'Field information 2'!$O$5="101304",'Field information 2'!$O$5="1013 04",'Field information 2'!$O$5="10 1304"),
     IF(AND(K69&lt;&gt;"",L69&lt;&gt;"",M69&lt;&gt;""), _xlfn.PERCENTILE.INC(K69:O69,0.85),"data missing"),
     IF(AND(K69&lt;&gt;"",L69&lt;&gt;"",M69&lt;&gt;""), _xlfn.PERCENTILE.INC(K69:O69,0.85),"")))</f>
        <v/>
      </c>
    </row>
    <row r="70" spans="1:19" ht="15" hidden="1" x14ac:dyDescent="0.25">
      <c r="B70" t="s">
        <v>145</v>
      </c>
      <c r="C70" s="62"/>
      <c r="D70" s="20"/>
      <c r="E70" s="20"/>
      <c r="F70" s="20"/>
      <c r="G70" s="20"/>
      <c r="H70" s="20"/>
      <c r="I70" s="16"/>
      <c r="J70" s="16" t="s">
        <v>146</v>
      </c>
      <c r="K70" s="55"/>
      <c r="L70" s="55"/>
      <c r="M70" s="55"/>
      <c r="N70" s="55"/>
      <c r="O70" s="34"/>
      <c r="P70" s="41"/>
      <c r="Q70" s="57" t="str">
        <f>IF(K70&lt;&gt;"", MIN(K70:O70),"")</f>
        <v/>
      </c>
      <c r="R70" s="41"/>
    </row>
    <row r="72" spans="1:19" ht="6.75" customHeight="1" x14ac:dyDescent="0.25">
      <c r="A72" s="25"/>
      <c r="B72" s="25"/>
      <c r="C72" s="25"/>
      <c r="D72" s="25"/>
      <c r="E72" s="25"/>
      <c r="F72" s="25"/>
      <c r="G72" s="25"/>
      <c r="H72" s="25"/>
      <c r="I72" s="25"/>
      <c r="J72" s="25"/>
      <c r="K72" s="25"/>
      <c r="L72" s="25"/>
      <c r="M72" s="25"/>
      <c r="N72" s="25"/>
      <c r="O72" s="25"/>
      <c r="P72" s="25"/>
      <c r="Q72" s="25"/>
      <c r="R72" s="25"/>
      <c r="S72" s="25"/>
    </row>
    <row r="74" spans="1:19" ht="29.15" customHeight="1" x14ac:dyDescent="0.25">
      <c r="B74" s="438" t="str">
        <f>IF(ISBLANK('Field information 2'!Q4),"WASTE MATERIAL 3","Waste material 3 - "&amp;'Field information 2'!Q4)</f>
        <v>WASTE MATERIAL 3</v>
      </c>
      <c r="C74" s="438"/>
      <c r="D74" s="438"/>
      <c r="E74" s="438"/>
      <c r="F74" s="438"/>
      <c r="G74" s="438"/>
      <c r="H74" s="438"/>
      <c r="I74" s="438"/>
      <c r="J74" s="438"/>
      <c r="K74" s="438"/>
      <c r="L74" s="438"/>
      <c r="M74" s="438"/>
      <c r="N74" s="438"/>
      <c r="O74" s="438"/>
      <c r="P74" s="438"/>
      <c r="Q74" s="438"/>
      <c r="R74" s="438"/>
      <c r="S74" s="438"/>
    </row>
    <row r="75" spans="1:19" ht="11.15" customHeight="1" x14ac:dyDescent="0.25">
      <c r="B75" s="364"/>
      <c r="C75" s="364"/>
      <c r="D75" s="364"/>
      <c r="E75" s="364"/>
      <c r="F75" s="364"/>
      <c r="G75" s="364"/>
      <c r="H75" s="364"/>
      <c r="I75" s="364"/>
      <c r="J75" s="364"/>
      <c r="K75" s="364"/>
      <c r="L75" s="364"/>
      <c r="M75" s="364"/>
      <c r="N75" s="364"/>
    </row>
    <row r="76" spans="1:19" ht="29.15" customHeight="1" x14ac:dyDescent="0.25">
      <c r="B76" s="364"/>
      <c r="C76" s="438" t="s">
        <v>100</v>
      </c>
      <c r="D76" s="438"/>
      <c r="E76" s="438"/>
      <c r="F76" s="438"/>
      <c r="G76" s="438"/>
      <c r="H76" s="438"/>
      <c r="I76" s="365"/>
      <c r="J76" s="438" t="s">
        <v>101</v>
      </c>
      <c r="K76" s="438"/>
      <c r="L76" s="438"/>
      <c r="M76" s="438"/>
      <c r="N76" s="438"/>
      <c r="O76" s="438"/>
      <c r="P76" s="438"/>
      <c r="Q76" s="438"/>
      <c r="R76" s="438"/>
      <c r="S76" s="438"/>
    </row>
    <row r="77" spans="1:19" ht="15" x14ac:dyDescent="0.25">
      <c r="D77" s="15"/>
    </row>
    <row r="78" spans="1:19" ht="15.75" x14ac:dyDescent="0.25">
      <c r="B78" s="9"/>
      <c r="C78" s="10" t="s">
        <v>102</v>
      </c>
      <c r="D78">
        <v>1</v>
      </c>
      <c r="E78">
        <v>2</v>
      </c>
      <c r="F78">
        <v>3</v>
      </c>
      <c r="G78">
        <v>4</v>
      </c>
      <c r="H78">
        <v>5</v>
      </c>
      <c r="J78" s="5"/>
      <c r="K78">
        <f>D78</f>
        <v>1</v>
      </c>
      <c r="L78">
        <f>E78</f>
        <v>2</v>
      </c>
      <c r="M78">
        <f>F78</f>
        <v>3</v>
      </c>
      <c r="N78">
        <f>G78</f>
        <v>4</v>
      </c>
      <c r="O78">
        <f>H78</f>
        <v>5</v>
      </c>
      <c r="P78" s="39" t="s">
        <v>103</v>
      </c>
      <c r="Q78" s="39" t="s">
        <v>104</v>
      </c>
      <c r="R78" s="39" t="s">
        <v>105</v>
      </c>
      <c r="S78" s="39" t="s">
        <v>106</v>
      </c>
    </row>
    <row r="79" spans="1:19" s="12" customFormat="1" ht="15" x14ac:dyDescent="0.2">
      <c r="B79" s="18" t="s">
        <v>107</v>
      </c>
      <c r="C79" s="11"/>
      <c r="D79" s="176"/>
      <c r="E79" s="177"/>
      <c r="F79" s="176"/>
      <c r="G79" s="176"/>
      <c r="H79" s="176"/>
      <c r="I79" s="16"/>
      <c r="J79" s="12" t="s">
        <v>107</v>
      </c>
      <c r="K79" s="32" t="str">
        <f>IF(ISBLANK(D79),"",D79)</f>
        <v/>
      </c>
      <c r="L79" s="32" t="str">
        <f t="shared" ref="L79:L81" si="40">IF(ISBLANK(E79),"",E79)</f>
        <v/>
      </c>
      <c r="M79" s="32" t="str">
        <f t="shared" ref="M79:M81" si="41">IF(ISBLANK(F79),"",F79)</f>
        <v/>
      </c>
      <c r="N79" s="32" t="str">
        <f t="shared" ref="N79:N81" si="42">IF(ISBLANK(G79),"",G79)</f>
        <v/>
      </c>
      <c r="O79" s="32" t="str">
        <f t="shared" ref="O79:O81" si="43">IF(ISBLANK(H79),"",H79)</f>
        <v/>
      </c>
    </row>
    <row r="80" spans="1:19" ht="15" x14ac:dyDescent="0.25">
      <c r="B80" t="s">
        <v>147</v>
      </c>
      <c r="C80" s="13" t="s">
        <v>109</v>
      </c>
      <c r="D80" s="178"/>
      <c r="E80" s="179"/>
      <c r="F80" s="178"/>
      <c r="G80" s="178"/>
      <c r="H80" s="178"/>
      <c r="I80" s="16"/>
      <c r="J80" t="s">
        <v>110</v>
      </c>
      <c r="K80" s="31" t="str">
        <f t="shared" ref="K80:K81" si="44">IF(ISBLANK(D80),"",D80)</f>
        <v/>
      </c>
      <c r="L80" s="31" t="str">
        <f t="shared" si="40"/>
        <v/>
      </c>
      <c r="M80" s="31" t="str">
        <f t="shared" si="41"/>
        <v/>
      </c>
      <c r="N80" s="31" t="str">
        <f t="shared" si="42"/>
        <v/>
      </c>
      <c r="O80" s="22" t="str">
        <f t="shared" si="43"/>
        <v/>
      </c>
      <c r="P80" s="57" t="str">
        <f>IF(AND('Field information 2'!Q$4="",'Field information 2'!Q$5=""),"",
IF(AND(K80&lt;&gt;"",L80&lt;&gt;"",M80&lt;&gt;""), AVERAGE(K80:O80),""))</f>
        <v/>
      </c>
      <c r="Q80" s="40" t="str">
        <f>IF(AND('Field information 2'!Q$4="",'Field information 2'!Q$5=""),"",
IF(AND(K80&lt;&gt;"",L80&lt;&gt;"",M80&lt;&gt;""), MIN(K80:O80),"data missing"))</f>
        <v/>
      </c>
      <c r="R80" s="40" t="str">
        <f>IF(AND('Field information 2'!Q$4="",'Field information 2'!Q$5=""),"",
IF(AND(K80&lt;&gt;"",L80&lt;&gt;"",M80&lt;&gt;""), MAX(K80:O80),""))</f>
        <v/>
      </c>
      <c r="S80" s="40" t="str">
        <f>IF(AND('Field information 2'!Q$4="",'Field information 2'!Q$5=""),"",
IF(AND(K80&lt;&gt;"",L80&lt;&gt;"",M80&lt;&gt;""), _xlfn.PERCENTILE.INC(K80:O80,0.85),""))</f>
        <v/>
      </c>
    </row>
    <row r="81" spans="2:21" ht="15" x14ac:dyDescent="0.25">
      <c r="B81" t="s">
        <v>84</v>
      </c>
      <c r="C81" s="13"/>
      <c r="D81" s="178"/>
      <c r="E81" s="179"/>
      <c r="F81" s="178"/>
      <c r="G81" s="178"/>
      <c r="H81" s="178"/>
      <c r="I81" s="16"/>
      <c r="J81" t="s">
        <v>84</v>
      </c>
      <c r="K81" s="31" t="str">
        <f t="shared" si="44"/>
        <v/>
      </c>
      <c r="L81" s="31" t="str">
        <f t="shared" si="40"/>
        <v/>
      </c>
      <c r="M81" s="31" t="str">
        <f t="shared" si="41"/>
        <v/>
      </c>
      <c r="N81" s="31" t="str">
        <f t="shared" si="42"/>
        <v/>
      </c>
      <c r="O81" s="31" t="str">
        <f t="shared" si="43"/>
        <v/>
      </c>
      <c r="P81" s="40" t="str">
        <f>IF(AND('Field information 2'!Q$4="",'Field information 2'!Q$5=""),"",
IF(AND(K81&lt;&gt;"",L81&lt;&gt;"",M81&lt;&gt;""), AVERAGE(K81:O81),""))</f>
        <v/>
      </c>
      <c r="Q81" s="40" t="str">
        <f>IF(AND('Field information 2'!Q$4="",'Field information 2'!Q$5=""),"",
IF(AND(K81&lt;&gt;"",L81&lt;&gt;"",M81&lt;&gt;""), MIN(K81:O81),"data missing"))</f>
        <v/>
      </c>
      <c r="R81" s="40" t="str">
        <f>IF(AND('Field information 2'!Q$4="",'Field information 2'!Q$5=""),"",
IF(AND(K81&lt;&gt;"",L81&lt;&gt;"",M81&lt;&gt;""), MAX(K81:O81),""))</f>
        <v/>
      </c>
      <c r="S81" s="40" t="str">
        <f>IF(AND('Field information 2'!Q$4="",'Field information 2'!Q$5=""),"",
IF(AND(K81&lt;&gt;"",L81&lt;&gt;"",M81&lt;&gt;""), _xlfn.PERCENTILE.INC(K81:O81,0.85),""))</f>
        <v/>
      </c>
    </row>
    <row r="82" spans="2:21" ht="17.25" x14ac:dyDescent="0.25">
      <c r="B82" s="9" t="s">
        <v>111</v>
      </c>
      <c r="C82" s="182"/>
      <c r="D82" s="178"/>
      <c r="E82" s="178"/>
      <c r="F82" s="178"/>
      <c r="G82" s="178"/>
      <c r="H82" s="178"/>
      <c r="I82" s="16"/>
      <c r="J82" t="s">
        <v>112</v>
      </c>
      <c r="K82" s="37" t="str">
        <f>IF(OR(ISBLANK($C82),ISBLANK(D82)),"",
IF(AND(ISBLANK(D$80),RIGHT($C82,8)="(dry wt)"),"DM missing",
IF(RIGHT($C82,8)="(dry wt)",
IF($C82="% OM (dry wt)",D82*10*(D$80/100),
IF($C82="mg/kg OM (dry wt)",D82/1000*(D$80/100),
IF($C82="kg/t OM (dry wt)",D82*(D$80/100),
IF($C82="% ash (dry wt)",(100-D82)*10*(D$80/100),
IF($C82="mg/kg ash (dry wt)",(1000000-D82)/1000*(D$80/100),
IF($C82="% C (dry wt)",D82*1.72*10*(D$80/100),
IF($C82="mg/kg C (dry wt)",D82*1.72/1000*(D$80/100),D82*1.72*(D$80/100)))))))),
IF(RIGHT($C82,4)="(fw)",
IF($C82="% OM (fw)",D82*10,
IF($C82="mg/kg OM (fw)",D82/1000,
IF($C82="kg/t OM (fw)",D82,
IF($C82="% ash (fw)",(100-(100-D80)-D82)*10,
IF($C82="mg/kg ash (fw)",(1000000-((100-D80)*10000)-D82)/1000,
IF($C82="% C (fw)",D82*1.72*10,
IF($C82="mg/kg C (fw)",D82*1.72/1000,D82*1.72)))))))))))</f>
        <v/>
      </c>
      <c r="L82" s="37" t="str">
        <f t="shared" ref="L82:O82" si="45">IF(OR(ISBLANK($C82),ISBLANK(E82)),"",
IF(AND(ISBLANK(E$80),RIGHT($C82,8)="(dry wt)"),"DM missing",
IF(RIGHT($C82,8)="(dry wt)",
IF($C82="% OM (dry wt)",E82*10*(E$80/100),
IF($C82="mg/kg OM (dry wt)",E82/1000*(E$80/100),
IF($C82="kg/t OM (dry wt)",E82*(E$80/100),
IF($C82="% ash (dry wt)",(100-E82)*10*(E$80/100),
IF($C82="mg/kg ash (dry wt)",(1000000-E82)/1000*(E$80/100),
IF($C82="% C (dry wt)",E82*1.72*10*(E$80/100),
IF($C82="mg/kg C (dry wt)",E82*1.72/1000*(E$80/100),E82*1.72*(E$80/100)))))))),
IF(RIGHT($C82,4)="(fw)",
IF($C82="% OM (fw)",E82*10,
IF($C82="mg/kg OM (fw)",E82/1000,
IF($C82="kg/t OM (fw)",E82,
IF($C82="% ash (fw)",(100-(100-E80)-E82)*10,
IF($C82="mg/kg ash (fw)",(1000000-((100-E80)*10000)-E82)/1000,
IF($C82="% C (fw)",E82*1.72*10,
IF($C82="mg/kg C (fw)",E82*1.72/1000,E82*1.72)))))))))))</f>
        <v/>
      </c>
      <c r="M82" s="37" t="str">
        <f t="shared" si="45"/>
        <v/>
      </c>
      <c r="N82" s="37" t="str">
        <f t="shared" si="45"/>
        <v/>
      </c>
      <c r="O82" s="37" t="str">
        <f t="shared" si="45"/>
        <v/>
      </c>
      <c r="P82" s="69" t="str">
        <f>IF(AND('Field information 2'!Q$4="",'Field information 2'!Q$5=""),"",
IF(AND('Field information 2'!$Q$5="xx",OR(K82="",L82="",M82="")),0,
IF(AND(K82&lt;&gt;"",K82&lt;&gt;"DM missing",L82&lt;&gt;"",L82&lt;&gt;"DM missing",M82&lt;&gt;"",M82&lt;&gt;"DM missing"),AVERAGE(K82:O82),"data missing")))</f>
        <v/>
      </c>
      <c r="Q82" s="40" t="str">
        <f>IF(AND('Field information 2'!Q$4="",'Field information 2'!Q$5=""),"",
IF(AND('Field information 2'!$Q$5="xx",OR(K82="",L82="",M82="")),0,
IF(AND(K82&lt;&gt;"",K82&lt;&gt;"DM missing",L82&lt;&gt;"",L82&lt;&gt;"DM missing",M82&lt;&gt;"",M82&lt;&gt;"DM missing"), MIN(K82:O82), "data missing")))</f>
        <v/>
      </c>
      <c r="R82" s="41" t="str">
        <f>IF(AND('Field information 2'!Q$4="",'Field information 2'!Q$5=""),"",
IF(AND('Field information 2'!$Q$5="xx",OR(K82="",L82="",M82="")),0,
IF(AND(K82&lt;&gt;"",K82&lt;&gt;"DM missing",L82&lt;&gt;"",L82&lt;&gt;"DM missing",M82&lt;&gt;"",M82&lt;&gt;"DM missing"), MAX(K82:O82), "data missing")))</f>
        <v/>
      </c>
      <c r="S82" s="40" t="str">
        <f>IF(AND('Field information 2'!Q$4="",'Field information 2'!Q$5=""),"",
IF(AND('Field information 2'!$Q$5="xx",OR(K82="",L82="",M82="")),0,
IF(AND(K82&lt;&gt;"",K82&lt;&gt;"DM missing",L82&lt;&gt;"",L82&lt;&gt;"DM missing",M82&lt;&gt;"",M82&lt;&gt;"DM missing"),_xlfn.PERCENTILE.INC(K82:O82,0.85),"data missing")))</f>
        <v/>
      </c>
    </row>
    <row r="83" spans="2:21" ht="4.5" customHeight="1" x14ac:dyDescent="0.25">
      <c r="C83" s="14"/>
      <c r="D83" s="24"/>
      <c r="E83" s="24"/>
      <c r="F83" s="24"/>
      <c r="G83" s="24"/>
      <c r="H83" s="24"/>
      <c r="I83" s="19"/>
      <c r="K83" s="24"/>
      <c r="L83" s="24"/>
      <c r="M83" s="24"/>
      <c r="N83" s="24"/>
      <c r="O83" s="24"/>
      <c r="S83" s="59"/>
    </row>
    <row r="84" spans="2:21" ht="17.25" x14ac:dyDescent="0.25">
      <c r="B84" t="s">
        <v>113</v>
      </c>
      <c r="C84" s="182"/>
      <c r="D84" s="178"/>
      <c r="E84" s="178"/>
      <c r="F84" s="178"/>
      <c r="G84" s="178"/>
      <c r="H84" s="178"/>
      <c r="I84" s="16"/>
      <c r="J84" t="s">
        <v>114</v>
      </c>
      <c r="K84" s="37" t="str">
        <f>IF(OR(ISBLANK($C84),ISBLANK(D84)),"",
IF(AND(ISBLANK(D$84),RIGHT($C84,8)="(dry wt)"),"DM missing",
IF($C84="% (dry wt)", D84*10*(D$80/100),
IF($C84="mg/kg (dry wt)", D84/1000*(D$80/100),
IF($C84="kg/t (dry wt)", D84*(D$80/100),
IF($C84="% (fw)", D84*10,
IF(OR($C84="mg/kg (fw)", $C84="mg/l (fw)"), D84 /1000,D84)))))))</f>
        <v/>
      </c>
      <c r="L84" s="37" t="str">
        <f t="shared" ref="L84:O84" si="46">IF(OR(ISBLANK($C84),ISBLANK(E84)),"",
IF(AND(ISBLANK(E$84),RIGHT($C84,8)="(dry wt)"),"DM missing",
IF($C84="% (dry wt)", E84*10*(E$80/100),
IF($C84="mg/kg (dry wt)", E84/1000*(E$80/100),
IF($C84="kg/t (dry wt)", E84*(E$80/100),
IF($C84="% (fw)", E84*10,
IF(OR($C84="mg/kg (fw)", $C84="mg/l (fw)"), E84 /1000,E84)))))))</f>
        <v/>
      </c>
      <c r="M84" s="37" t="str">
        <f t="shared" si="46"/>
        <v/>
      </c>
      <c r="N84" s="37" t="str">
        <f t="shared" si="46"/>
        <v/>
      </c>
      <c r="O84" s="37" t="str">
        <f t="shared" si="46"/>
        <v/>
      </c>
      <c r="P84" s="42" t="str">
        <f>IF(AND('Field information 2'!Q$4="",'Field information 2'!Q$5=""),"",
IF(AND(K84&lt;&gt;"",K84&lt;&gt;"DM missing",L84&lt;&gt;"",L84&lt;&gt;"DM missing",M84&lt;&gt;"",M84&lt;&gt;"DM missing"), AVERAGE(K84:O84), "data missing"))</f>
        <v/>
      </c>
      <c r="Q84" s="42" t="str">
        <f>IF(AND('Field information 2'!Q$4="",'Field information 2'!Q$5=""),"",
IF(AND(K84&lt;&gt;"",K84&lt;&gt;"DM missing",L84&lt;&gt;"",L84&lt;&gt;"DM missing",M84&lt;&gt;"",M84&lt;&gt;"DM missing"), MIN(K84:O84), "data missing"))</f>
        <v/>
      </c>
      <c r="R84" s="42" t="str">
        <f>IF(AND('Field information 2'!Q$4="",'Field information 2'!Q$5=""),"",
IF(AND(K84&lt;&gt;"",K84&lt;&gt;"DM missing",L84&lt;&gt;"",L84&lt;&gt;"DM missing",M84&lt;&gt;"",M84&lt;&gt;"DM missing"), MAX(K84:O84), "data missing"))</f>
        <v/>
      </c>
      <c r="S84" s="58" t="str">
        <f>IF(AND('Field information 2'!Q$4="",'Field information 2'!Q$5=""),"",
IF(AND(K84&lt;&gt;"",K84&lt;&gt;"DM missing",L84&lt;&gt;"",L84&lt;&gt;"DM missing",M84&lt;&gt;"",M84&lt;&gt;"DM missing"),_xlfn.PERCENTILE.INC(K84:O84,0.85),"data missing"))</f>
        <v/>
      </c>
      <c r="U84" s="311"/>
    </row>
    <row r="85" spans="2:21" ht="18.75" x14ac:dyDescent="0.35">
      <c r="B85" t="s">
        <v>115</v>
      </c>
      <c r="C85" s="182"/>
      <c r="D85" s="178"/>
      <c r="E85" s="179"/>
      <c r="F85" s="178"/>
      <c r="G85" s="178"/>
      <c r="H85" s="178"/>
      <c r="I85" s="16"/>
      <c r="J85" t="s">
        <v>116</v>
      </c>
      <c r="K85" s="37" t="str">
        <f>IF(OR(ISBLANK($C85),ISBLANK(D85)),"",
IF(AND(ISBLANK(D$80),RIGHT($C85,8)="(dry wt)"),"DM missing",
IF(RIGHT($C85,8)="(dry wt)",
IF($C85="% NH4-N (dry wt)",D85*10*(D$80/100),
IF($C85="mg/kg NH4-N (dry wt)",D85/1000*(D$80/100),
IF($C85="kg/t NH4-N(dry wt)",D85*(D$80/100),
IF($C85="% NH4 (dry wt)",D85*0.778*10*(D$80/100),
IF($C85="mg/kg NH4 (dry wt)",D85*0.778/1000*(D$80/100),D85*0.778*(D$80/100)))))),
IF(RIGHT($C85,4)="(fw)",
IF($C85="% NH4-N (fw)",D85*10,
IF(OR($C85="mg/kg NH4-N (fw)",$C85="mg/l NH4-N (fw)"),D85/1000,
IF($C85="kg/t NH4-N(fw)",D85,
IF($C85="% NH4 (fw)",D85*0.778*10,
IF(OR($C85="mg/kg NH4 (fw)",$C85="mg/l NH4 (fw)"),D85*0.778/1000,D85*0.778)))))))))</f>
        <v/>
      </c>
      <c r="L85" s="37" t="str">
        <f t="shared" ref="L85:O85" si="47">IF(OR(ISBLANK($C85),ISBLANK(E85)),"",
IF(AND(ISBLANK(E$80),RIGHT($C85,8)="(dry wt)"),"DM missing",
IF(RIGHT($C85,8)="(dry wt)",
IF($C85="% NH4-N (dry wt)",E85*10*(E$80/100),
IF($C85="mg/kg NH4-N (dry wt)",E85/1000*(E$80/100),
IF($C85="kg/t NH4-N(dry wt)",E85*(E$80/100),
IF($C85="% NH4 (dry wt)",E85*0.778*10*(E$80/100),
IF($C85="mg/kg NH4 (dry wt)",E85*0.778/1000*(E$80/100),E85*0.778*(E$80/100)))))),
IF(RIGHT($C85,4)="(fw)",
IF($C85="% NH4-N (fw)",E85*10,
IF(OR($C85="mg/kg NH4-N (fw)",$C85="mg/l NH4-N (fw)"),E85/1000,
IF($C85="kg/t NH4-N(fw)",E85,
IF($C85="% NH4 (fw)",E85*0.778*10,
IF(OR($C85="mg/kg NH4 (fw)",$C85="mg/l NH4 (fw)"),E85*0.778/1000,E85*0.778)))))))))</f>
        <v/>
      </c>
      <c r="M85" s="37" t="str">
        <f t="shared" si="47"/>
        <v/>
      </c>
      <c r="N85" s="37" t="str">
        <f t="shared" si="47"/>
        <v/>
      </c>
      <c r="O85" s="37" t="str">
        <f t="shared" si="47"/>
        <v/>
      </c>
      <c r="P85"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1304"),OR(K85="",L85="",M85="")),"",
IF(AND(K85&lt;&gt;"",K85&lt;&gt;"DM missing",L85&lt;&gt;"",L85&lt;&gt;"DM missing",M85&lt;&gt;"",M85&lt;&gt;"DM missing"), AVERAGE(K85:O85), "data missing")))</f>
        <v/>
      </c>
      <c r="Q85"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1304"),OR(K85="",L85="",M85="")),"",
IF(AND(K85&lt;&gt;"",K85&lt;&gt;"DM missing",L85&lt;&gt;"",L85&lt;&gt;"DM missing",M85&lt;&gt;"",M85&lt;&gt;"DM missing"), MIN(K85:O85), "data missing")))</f>
        <v/>
      </c>
      <c r="R85"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1304"),OR(K85="",L85="",M85="")),"",
IF(AND(K85&lt;&gt;"",K85&lt;&gt;"DM missing",L85&lt;&gt;"",L85&lt;&gt;"DM missing",M85&lt;&gt;"",M85&lt;&gt;"DM missing"), MAX(K85:O85), "data missing")))</f>
        <v/>
      </c>
      <c r="S85" s="58"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1304"),OR(K85="",L85="",M85="")),"",
IF(AND(K85&lt;&gt;"",K85&lt;&gt;"DM missing",L85&lt;&gt;"",L85&lt;&gt;"DM missing",M85&lt;&gt;"",M85&lt;&gt;"DM missing"),_xlfn.PERCENTILE.INC(K85:O85,0.85),"data missing")))</f>
        <v/>
      </c>
      <c r="T85" s="45"/>
    </row>
    <row r="86" spans="2:21" ht="18.75" x14ac:dyDescent="0.35">
      <c r="B86" t="s">
        <v>117</v>
      </c>
      <c r="C86" s="182"/>
      <c r="D86" s="178"/>
      <c r="E86" s="178"/>
      <c r="F86" s="178"/>
      <c r="G86" s="178"/>
      <c r="H86" s="178"/>
      <c r="I86" s="16"/>
      <c r="J86" t="s">
        <v>118</v>
      </c>
      <c r="K86" s="37" t="str">
        <f>IF(OR(ISBLANK($C86),ISBLANK(D86)),"",
IF(AND(ISBLANK(D$80),RIGHT($C86,8)="(dry wt)"),"DM missing",
IF(RIGHT($C86,8)="(dry wt)",
IF($C86="% NO3-N (dry wt)",D86*10*(D$80/100),
IF($C86="mg/kg NO3-N (dry wt)",D86/1000*(D$80/100),
IF($C86="kg/t NO3-N(dry wt)",D86*(D$80/100),
IF($C86="% NO3 (dry wt)",D86*0.2258*10*(D$80/100),
IF($C86="mg/kg NO3 (dry wt)",D86*0.2258/1000*(D$80/100),D86*0.2258*(D$80/100)))))),
IF(RIGHT($C86,4)="(fw)",
IF($C86="% NO3-N (fw)",D86*10,
IF(OR($C86="mg/kg NO3-N (fw)",$C86="mg/l NO3-N (fw)"),D86/1000,
IF($C86="kg/t NO3-N(fw)",D86,
IF($C86="% NO3 (fw)",D86*0.2258*10,
IF(OR($C86="mg/kg NO3 (fw)",$C86="mg/l NO3 (fw)"),D86*0.2258/1000,D86*0.2258)))))))))</f>
        <v/>
      </c>
      <c r="L86" s="37" t="str">
        <f t="shared" ref="L86:O86" si="48">IF(OR(ISBLANK($C86),ISBLANK(E86)),"",
IF(AND(ISBLANK(E$80),RIGHT($C86,8)="(dry wt)"),"DM missing",
IF(RIGHT($C86,8)="(dry wt)",
IF($C86="% NO3-N (dry wt)",E86*10*(E$80/100),
IF($C86="mg/kg NO3-N (dry wt)",E86/1000*(E$80/100),
IF($C86="kg/t NO3-N(dry wt)",E86*(E$80/100),
IF($C86="% NO3 (dry wt)",E86*0.2258*10*(E$80/100),
IF($C86="mg/kg NO3 (dry wt)",E86*0.2258/1000*(E$80/100),E86*0.2258*(E$80/100)))))),
IF(RIGHT($C86,4)="(fw)",
IF($C86="% NO3-N (fw)",E86*10,
IF(OR($C86="mg/kg NO3-N (fw)",$C86="mg/l NO3-N (fw)"),E86/1000,
IF($C86="kg/t NO3-N(fw)",E86,
IF($C86="% NO3 (fw)",E86*0.2258*10,
IF(OR($C86="mg/kg NO3 (fw)",$C86="mg/l NO3 (fw)"),E86*0.2258/1000,E86*0.2258)))))))))</f>
        <v/>
      </c>
      <c r="M86" s="37" t="str">
        <f t="shared" si="48"/>
        <v/>
      </c>
      <c r="N86" s="37" t="str">
        <f t="shared" si="48"/>
        <v/>
      </c>
      <c r="O86" s="37" t="str">
        <f t="shared" si="48"/>
        <v/>
      </c>
      <c r="P86" s="42" t="str">
        <f>IF(AND('Field information 2'!Q$4="",'Field information 2'!Q$5=""),"",
IF(AND(K86&lt;&gt;"",K86&lt;&gt;"DM missing",L86&lt;&gt;"",L86&lt;&gt;"DM missing",M86&lt;&gt;"",M86&lt;&gt;"DM missing"), AVERAGE(K86:O86), ""))</f>
        <v/>
      </c>
      <c r="Q86" s="42" t="str">
        <f>IF(AND('Field information 2'!Q$4="",'Field information 2'!Q$5=""),"",
IF(AND(K86&lt;&gt;"",K86&lt;&gt;"DM missing",L86&lt;&gt;"",L86&lt;&gt;"DM missing",M86&lt;&gt;"",M86&lt;&gt;"DM missing"), MIN(K86:O86), ""))</f>
        <v/>
      </c>
      <c r="R86" s="42" t="str">
        <f>IF(AND('Field information 2'!Q$4="",'Field information 2'!Q$5=""),"",
IF(AND(K86&lt;&gt;"",K86&lt;&gt;"DM missing",L86&lt;&gt;"",L86&lt;&gt;"DM missing",M86&lt;&gt;"",M86&lt;&gt;"DM missing"), MAX(K86:O86), ""))</f>
        <v/>
      </c>
      <c r="S86" s="58" t="str">
        <f>IF(AND('Field information 2'!Q$4="",'Field information 2'!Q$5=""),"",
IF(AND(K86&lt;&gt;"",K86&lt;&gt;"DM missing",L86&lt;&gt;"",L86&lt;&gt;"DM missing",M86&lt;&gt;"",M86&lt;&gt;"DM missing"),_xlfn.PERCENTILE.INC(K86:O86,0.85),""))</f>
        <v/>
      </c>
      <c r="T86" s="45"/>
    </row>
    <row r="87" spans="2:21" ht="17.5" customHeight="1" x14ac:dyDescent="0.25">
      <c r="C87" s="14"/>
      <c r="D87" s="21"/>
      <c r="E87" s="21"/>
      <c r="F87" s="21"/>
      <c r="G87" s="21"/>
      <c r="H87" s="21"/>
      <c r="I87" s="16"/>
      <c r="J87" t="s">
        <v>119</v>
      </c>
      <c r="K87" s="316" t="str">
        <f>IF(OR(K84="",K85=""),"",
IF(K86="",K85/K84*100,(K85+K86)/K84*100))</f>
        <v/>
      </c>
      <c r="L87" s="316" t="str">
        <f t="shared" ref="L87" si="49">IF(OR(L84="",L85=""),"",
IF(L86="",L85/L84*100,(L85+L86)/L84*100))</f>
        <v/>
      </c>
      <c r="M87" s="316" t="str">
        <f t="shared" ref="M87" si="50">IF(OR(M84="",M85=""),"",
IF(M86="",M85/M84*100,(M85+M86)/M84*100))</f>
        <v/>
      </c>
      <c r="N87" s="316" t="str">
        <f t="shared" ref="N87" si="51">IF(OR(N84="",N85=""),"",
IF(N86="",N85/N84*100,(N85+N86)/N84*100))</f>
        <v/>
      </c>
      <c r="O87" s="316" t="str">
        <f t="shared" ref="O87" si="52">IF(OR(O84="",O85=""),"",
IF(O86="",O85/O84*100,(O85+O86)/O84*100))</f>
        <v/>
      </c>
      <c r="P87"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1304"),OR(K87="",L87="",M87="")),"",
IF(AND(K87&lt;&gt;"",L87&lt;&gt;"",M87&lt;&gt;""), AVERAGE(K87:O87),"data missing")))</f>
        <v/>
      </c>
      <c r="Q87"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1304"),OR(K87="",L87="",M87="")),"",
IF(AND(K87&lt;&gt;"",L87&lt;&gt;"",M87&lt;&gt;""), MIN(K87:O87),"data missing")))</f>
        <v/>
      </c>
      <c r="R87" s="42"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1304"),OR(K87="",L87="",M87="")),"",
IF(AND(K87&lt;&gt;"",L87&lt;&gt;"",M87&lt;&gt;""), MAX(K87:O87),"data missing")))</f>
        <v/>
      </c>
      <c r="S87" s="58" t="str">
        <f>IF(AND('Field information 2'!Q$4="",'Field information 2'!Q$5=""),"",
IF(AND(OR('Field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1304"),OR(K87="",L87="",M87="")),"",
IF(AND(K87&lt;&gt;"",L87&lt;&gt;"",M87&lt;&gt;""), _xlfn.PERCENTILE.INC(K87:O87,0.85),"data missing")))</f>
        <v/>
      </c>
    </row>
    <row r="88" spans="2:21" ht="3" customHeight="1" x14ac:dyDescent="0.25">
      <c r="C88" s="14"/>
      <c r="D88" s="14"/>
      <c r="E88" s="14"/>
      <c r="F88" s="151"/>
      <c r="G88" s="151"/>
      <c r="H88" s="152"/>
      <c r="K88" s="317"/>
      <c r="L88" s="317"/>
      <c r="M88" s="317"/>
      <c r="N88" s="317"/>
      <c r="O88" s="317"/>
      <c r="P88" s="313"/>
      <c r="Q88" s="313"/>
      <c r="R88" s="313"/>
      <c r="S88" s="315"/>
    </row>
    <row r="89" spans="2:21" ht="18.75" x14ac:dyDescent="0.35">
      <c r="B89" t="s">
        <v>120</v>
      </c>
      <c r="C89" s="182"/>
      <c r="D89" s="178"/>
      <c r="E89" s="179"/>
      <c r="F89" s="178"/>
      <c r="G89" s="178"/>
      <c r="H89" s="178"/>
      <c r="I89" s="16"/>
      <c r="J89" t="s">
        <v>121</v>
      </c>
      <c r="K89" s="37" t="str">
        <f>IF(OR(ISBLANK($C89),ISBLANK(D89)),"",
IF(AND(ISBLANK(D$80),RIGHT($C89,8)="(dry wt)"),"DM missing",
IF(RIGHT($C89,8)="(dry wt)",
IF($C89="% P2O5 (dry wt)",D89*10*(D$80/100),
IF($C89="mg/kg P2O5 (dry wt)",D89/1000*(D$80/100),
IF($C89="kg/t P2O5(dry wt)",D89*(D$80/100),
IF($C89="% P (dry wt)",D89*2.2914*10*(D$80/100),
IF($C89="mg/kg P (dry wt)", D89*2.2914/1000*(D$80/100), D89*2.2914*(D$80/100)))))),
IF(RIGHT($C89,4)="(fw)",
IF($C89="% P2O5 (fw)",D89*10,
IF(OR($C89="mg/kg P2O5 (fw)",$C89="mg/l P2O5 (fw)"),D89/1000,
IF($C89="kg/t P2O5(fw)",D89,
IF($C89="% P (fw)",D89*2.2914*10,
IF(OR($C89="mg/kg P (fw)",$C89="mg/l P (fw)"),D89*2.2914/1000,D89*2.2914)))))))))</f>
        <v/>
      </c>
      <c r="L89" s="37" t="str">
        <f t="shared" ref="L89:O89" si="53">IF(OR(ISBLANK($C89),ISBLANK(E89)),"",
IF(AND(ISBLANK(E$80),RIGHT($C89,8)="(dry wt)"),"DM missing",
IF(RIGHT($C89,8)="(dry wt)",
IF($C89="% P2O5 (dry wt)",E89*10*(E$80/100),
IF($C89="mg/kg P2O5 (dry wt)",E89/1000*(E$80/100),
IF($C89="kg/t P2O5(dry wt)",E89*(E$80/100),
IF($C89="% P (dry wt)",E89*2.2914*10*(E$80/100),
IF($C89="mg/kg P (dry wt)", E89*2.2914/1000*(E$80/100), E89*2.2914*(E$80/100)))))),
IF(RIGHT($C89,4)="(fw)",
IF($C89="% P2O5 (fw)",E89*10,
IF(OR($C89="mg/kg P2O5 (fw)",$C89="mg/l P2O5 (fw)"),E89/1000,
IF($C89="kg/t P2O5(fw)",E89,
IF($C89="% P (fw)",E89*2.2914*10,
IF(OR($C89="mg/kg P (fw)",$C89="mg/l P (fw)"),E89*2.2914/1000,E89*2.2914)))))))))</f>
        <v/>
      </c>
      <c r="M89" s="37" t="str">
        <f t="shared" si="53"/>
        <v/>
      </c>
      <c r="N89" s="37" t="str">
        <f t="shared" si="53"/>
        <v/>
      </c>
      <c r="O89" s="37" t="str">
        <f t="shared" si="53"/>
        <v/>
      </c>
      <c r="P89" s="42" t="str">
        <f>IF(AND('Field information 2'!Q$4="",'Field information 2'!Q$5=""),"",
IF(AND(K89&lt;&gt;"",K89&lt;&gt;"DM missing",L89&lt;&gt;"",L89&lt;&gt;"DM missing",M89&lt;&gt;"",M89&lt;&gt;"DM missing"), AVERAGE(K89:O89), "data missing"))</f>
        <v/>
      </c>
      <c r="Q89" s="42" t="str">
        <f>IF(AND('Field information 2'!Q$4="",'Field information 2'!Q$5=""),"",
IF(AND(K89&lt;&gt;"",K89&lt;&gt;"DM missing",L89&lt;&gt;"",L89&lt;&gt;"DM missing",M89&lt;&gt;"",M89&lt;&gt;"DM missing"), MIN(K89:O89), "data missing"))</f>
        <v/>
      </c>
      <c r="R89" s="42" t="str">
        <f>IF(AND('Field information 2'!Q$4="",'Field information 2'!Q$5=""),"",
IF(AND(K89&lt;&gt;"",K89&lt;&gt;"DM missing",L89&lt;&gt;"",L89&lt;&gt;"DM missing",M89&lt;&gt;"",M89&lt;&gt;"DM missing"), MAX(K89:O89), "data missing"))</f>
        <v/>
      </c>
      <c r="S89" s="58" t="str">
        <f>IF(AND('Field information 2'!Q$4="",'Field information 2'!Q$5=""),"",
IF(AND(K89&lt;&gt;"",K89&lt;&gt;"DM missing",L89&lt;&gt;"",L89&lt;&gt;"DM missing",M89&lt;&gt;"",M89&lt;&gt;"DM missing"),_xlfn.PERCENTILE.INC(K89:O89,0.85),"data missing"))</f>
        <v/>
      </c>
    </row>
    <row r="90" spans="2:21" ht="4" customHeight="1" x14ac:dyDescent="0.25">
      <c r="C90" s="14"/>
      <c r="D90" s="21"/>
      <c r="E90" s="21"/>
      <c r="F90" s="22"/>
      <c r="G90" s="22"/>
      <c r="H90" s="23"/>
      <c r="I90" s="16"/>
      <c r="K90" s="312"/>
      <c r="L90" s="312"/>
      <c r="M90" s="312"/>
      <c r="N90" s="312"/>
      <c r="O90" s="312"/>
      <c r="P90" s="313"/>
      <c r="Q90" s="313"/>
      <c r="R90" s="313"/>
      <c r="S90" s="315"/>
    </row>
    <row r="91" spans="2:21" ht="18.75" x14ac:dyDescent="0.35">
      <c r="B91" t="s">
        <v>122</v>
      </c>
      <c r="C91" s="182"/>
      <c r="D91" s="178"/>
      <c r="E91" s="179"/>
      <c r="F91" s="178"/>
      <c r="G91" s="178"/>
      <c r="H91" s="178"/>
      <c r="I91" s="16"/>
      <c r="J91" t="s">
        <v>123</v>
      </c>
      <c r="K91" s="37" t="str">
        <f>IF(OR(ISBLANK($C91),ISBLANK(D91)),"",
IF(AND(ISBLANK(D$80),RIGHT($C91,8)="(dry wt)"),"DM missing",
IF(RIGHT($C91,8)="(dry wt)",
IF($C91="% K2O (dry wt)",D91*10*(D$80/100),
IF($C91="mg/kg K2O (dry wt)",D91/1000*(D$80/100),
IF($C91="kg/t K2O(dry wt)",D91*(D$80/100),
IF($C91="% K (dry wt)",D91*1.2046*10*(D$80/100),
IF($C91="mg/kg K (dry wt)", D91*1.2046/1000*(D$80/100), D91*1.2046*(D$80/100)))))),
IF(RIGHT($C91,4)="(fw)",
IF($C91="% K2O (fw)",D91*10,
IF(OR($C91="mg/kg K2O (fw)",$C91="mg/l K2O (fw)"),D91/1000,
IF($C91="kg/t K2O(fw)",D91,
IF($C91="% K (fw)",D91*1.2046*10,
IF(OR($C91="mg/kg K (fw)",$C91="mg/l K (fw)"),D91*1.2046/1000,D91*1.2046)))))))))</f>
        <v/>
      </c>
      <c r="L91" s="37" t="str">
        <f t="shared" ref="L91:O91" si="54">IF(OR(ISBLANK($C91),ISBLANK(E91)),"",
IF(AND(ISBLANK(E$80),RIGHT($C91,8)="(dry wt)"),"DM missing",
IF(RIGHT($C91,8)="(dry wt)",
IF($C91="% K2O (dry wt)",E91*10*(E$80/100),
IF($C91="mg/kg K2O (dry wt)",E91/1000*(E$80/100),
IF($C91="kg/t K2O(dry wt)",E91*(E$80/100),
IF($C91="% K (dry wt)",E91*1.2046*10*(E$80/100),
IF($C91="mg/kg K (dry wt)", E91*1.2046/1000*(E$80/100), E91*1.2046*(E$80/100)))))),
IF(RIGHT($C91,4)="(fw)",
IF($C91="% K2O (fw)",E91*10,
IF(OR($C91="mg/kg K2O (fw)",$C91="mg/l K2O (fw)"),E91/1000,
IF($C91="kg/t K2O(fw)",E91,
IF($C91="% K (fw)",E91*1.2046*10,
IF(OR($C91="mg/kg K (fw)",$C91="mg/l K (fw)"),E91*1.2046/1000,E91*1.2046)))))))))</f>
        <v/>
      </c>
      <c r="M91" s="37" t="str">
        <f t="shared" si="54"/>
        <v/>
      </c>
      <c r="N91" s="37" t="str">
        <f t="shared" si="54"/>
        <v/>
      </c>
      <c r="O91" s="37" t="str">
        <f t="shared" si="54"/>
        <v/>
      </c>
      <c r="P91" s="42" t="str">
        <f>IF(AND('Field information 2'!Q$4="",'Field information 2'!Q$5=""),"",
IF(AND(K91&lt;&gt;"",K91&lt;&gt;"DM missing",L91&lt;&gt;"",L91&lt;&gt;"DM missing",M91&lt;&gt;"",M91&lt;&gt;"DM missing"), AVERAGE(K91:O91), "data missing"))</f>
        <v/>
      </c>
      <c r="Q91" s="42" t="str">
        <f>IF(AND('Field information 2'!Q$4="",'Field information 2'!Q$5=""),"",
IF(AND(K91&lt;&gt;"",K91&lt;&gt;"DM missing",L91&lt;&gt;"",L91&lt;&gt;"DM missing",M91&lt;&gt;"",M91&lt;&gt;"DM missing"), MIN(K91:O91), "data missing"))</f>
        <v/>
      </c>
      <c r="R91" s="42" t="str">
        <f>IF(AND('Field information 2'!Q$4="",'Field information 2'!Q$5=""),"",
IF(AND(K91&lt;&gt;"",K91&lt;&gt;"DM missing",L91&lt;&gt;"",L91&lt;&gt;"DM missing",M91&lt;&gt;"",M91&lt;&gt;"DM missing"), MAX(K91:O91), "data missing"))</f>
        <v/>
      </c>
      <c r="S91" s="58" t="str">
        <f>IF(AND('Field information 2'!Q$4="",'Field information 2'!Q$5=""),"",
IF(AND(K91&lt;&gt;"",K91&lt;&gt;"DM missing",L91&lt;&gt;"",L91&lt;&gt;"DM missing",M91&lt;&gt;"",M91&lt;&gt;"DM missing"),_xlfn.PERCENTILE.INC(K91:O91,0.85),"data missing"))</f>
        <v/>
      </c>
    </row>
    <row r="92" spans="2:21" ht="4" customHeight="1" x14ac:dyDescent="0.25">
      <c r="C92" s="14"/>
      <c r="D92" s="21"/>
      <c r="E92" s="21"/>
      <c r="F92" s="22"/>
      <c r="G92" s="22"/>
      <c r="H92" s="23"/>
      <c r="I92" s="16"/>
      <c r="K92" s="312"/>
      <c r="L92" s="312"/>
      <c r="M92" s="312"/>
      <c r="N92" s="312"/>
      <c r="O92" s="312"/>
      <c r="P92" s="313"/>
      <c r="Q92" s="313"/>
      <c r="R92" s="313"/>
      <c r="S92" s="315"/>
    </row>
    <row r="93" spans="2:21" ht="17.25" x14ac:dyDescent="0.25">
      <c r="B93" t="s">
        <v>124</v>
      </c>
      <c r="C93" s="183"/>
      <c r="D93" s="178"/>
      <c r="E93" s="179"/>
      <c r="F93" s="178"/>
      <c r="G93" s="178"/>
      <c r="H93" s="178"/>
      <c r="I93" s="16"/>
      <c r="J93" t="s">
        <v>125</v>
      </c>
      <c r="K93" s="37" t="str">
        <f>IF(OR(ISBLANK($C93),ISBLANK(D93)),"",
IF(AND(ISBLANK(D$80),RIGHT($C93,8)="(dry wt)"),"DM missing",
IF(RIGHT($C93,8)="(dry wt)",
IF($C93="% MgO (dry wt)",D93*10*(D$80/100),
IF($C93="mg/kg MgO (dry wt)",D93/1000*(D$80/100),
IF($C93="kg/t MgO(dry wt)",D93*(D$80/100),
IF($C93="% Mg (dry wt)",D93*1.6583*10*(D$80/100),
IF($C93="mg/kg Mg (dry wt)", D93*1.6583/1000*(D$80/100), D93*1.6583*(D$80/100)))))),
IF(RIGHT($C93,4)="(fw)",
IF($C93="% MgO (fw)",D93*10,
IF(OR($C93="mg/kg MgO (fw)",$C93="mg/l MgO (fw)"),D93/1000,
IF($C93="kg/t MgO(fw)",D93,
IF($C93="% Mg (fw)",D93*1.6583*10,
IF(OR($C93="mg/kg Mg (fw)",$C93="mg/l Mg (fw)"),D93*1.6583/1000,D93*1.6583)))))))))</f>
        <v/>
      </c>
      <c r="L93" s="37" t="str">
        <f t="shared" ref="L93:O93" si="55">IF(OR(ISBLANK($C93),ISBLANK(E93)),"",
IF(AND(ISBLANK(E$80),RIGHT($C93,8)="(dry wt)"),"DM missing",
IF(RIGHT($C93,8)="(dry wt)",
IF($C93="% MgO (dry wt)",E93*10*(E$80/100),
IF($C93="mg/kg MgO (dry wt)",E93/1000*(E$80/100),
IF($C93="kg/t MgO(dry wt)",E93*(E$80/100),
IF($C93="% Mg (dry wt)",E93*1.6583*10*(E$80/100),
IF($C93="mg/kg Mg (dry wt)", E93*1.6583/1000*(E$80/100), E93*1.6583*(E$80/100)))))),
IF(RIGHT($C93,4)="(fw)",
IF($C93="% MgO (fw)",E93*10,
IF(OR($C93="mg/kg MgO (fw)",$C93="mg/l MgO (fw)"),E93/1000,
IF($C93="kg/t MgO(fw)",E93,
IF($C93="% Mg (fw)",E93*1.6583*10,
IF(OR($C93="mg/kg Mg (fw)",$C93="mg/l Mg (fw)"),E93*1.6583/1000,E93*1.6583)))))))))</f>
        <v/>
      </c>
      <c r="M93" s="37" t="str">
        <f t="shared" si="55"/>
        <v/>
      </c>
      <c r="N93" s="37" t="str">
        <f t="shared" si="55"/>
        <v/>
      </c>
      <c r="O93" s="37" t="str">
        <f t="shared" si="55"/>
        <v/>
      </c>
      <c r="P93" s="42" t="str">
        <f>IF(AND('Field information 2'!Q$4="",'Field information 2'!Q$5=""),"",
IF(AND( 'Field information 2'!$Q$5="xx",OR(K93="",L93="",M93="")),0,
IF(AND(K93&lt;&gt;"",K93&lt;&gt;"DM missing",L93&lt;&gt;"",L93&lt;&gt;"DM missing",M93&lt;&gt;"",M93&lt;&gt;"DM missing"), AVERAGE(K93:O93), "data missing")))</f>
        <v/>
      </c>
      <c r="Q93" s="42" t="str">
        <f>IF(AND('Field information 2'!Q$4="",'Field information 2'!Q$5=""),"",
IF(AND('Field information 2'!$Q$5="xx",OR(K93="",L93="",M93="")),0,
IF(AND(K93&lt;&gt;"",K93&lt;&gt;"DM missing",L93&lt;&gt;"",L93&lt;&gt;"DM missing",M93&lt;&gt;"",M93&lt;&gt;"DM missing"),MIN(K93:O93),"data missing")))</f>
        <v/>
      </c>
      <c r="R93" s="42" t="str">
        <f>IF(AND('Field information 2'!Q$4="",'Field information 2'!Q$5=""),"",
IF(AND( 'Field information 2'!$Q$5="xx",OR(K93="",L93="",M93="")),0,
IF(AND(K93&lt;&gt;"",K93&lt;&gt;"DM missing",L93&lt;&gt;"",L93&lt;&gt;"DM missing",M93&lt;&gt;"",M93&lt;&gt;"DM missing"), MAX(K93:O93), "data missing")))</f>
        <v/>
      </c>
      <c r="S93" s="58" t="str">
        <f>IF(AND('Field information 2'!Q$4="",'Field information 2'!Q$5=""),"",
IF(AND( 'Field information 2'!$Q$5="xx",OR(K93="",L93="",M93="")),0,
IF(AND(K93&lt;&gt;"",K93&lt;&gt;"DM missing",L93&lt;&gt;"",L93&lt;&gt;"DM missing",M93&lt;&gt;"",M93&lt;&gt;"DM missing"),_xlfn.PERCENTILE.INC(K93:O93,0.85),"data missing")))</f>
        <v/>
      </c>
    </row>
    <row r="94" spans="2:21" ht="5.5" customHeight="1" x14ac:dyDescent="0.25">
      <c r="C94" s="14"/>
      <c r="D94" s="21"/>
      <c r="E94" s="21"/>
      <c r="F94" s="21"/>
      <c r="G94" s="21"/>
      <c r="H94" s="21"/>
      <c r="I94" s="16"/>
      <c r="K94" s="312"/>
      <c r="L94" s="312"/>
      <c r="M94" s="312"/>
      <c r="N94" s="312"/>
      <c r="O94" s="312"/>
      <c r="P94" s="313"/>
      <c r="Q94" s="313"/>
      <c r="R94" s="313"/>
      <c r="S94" s="315"/>
    </row>
    <row r="95" spans="2:21" ht="18.75" x14ac:dyDescent="0.35">
      <c r="B95" s="15" t="s">
        <v>126</v>
      </c>
      <c r="C95" s="182"/>
      <c r="D95" s="178"/>
      <c r="E95" s="178"/>
      <c r="F95" s="178"/>
      <c r="G95" s="178"/>
      <c r="H95" s="178"/>
      <c r="I95" s="16"/>
      <c r="J95" t="s">
        <v>127</v>
      </c>
      <c r="K95" s="37" t="str">
        <f>IF(OR(ISBLANK($C95),ISBLANK(D95)),"",
IF(AND(ISBLANK(D$80),RIGHT($C95,8)="(dry wt)"),"DM missing",
IF(RIGHT($C95,8)="(dry wt)",
IF($C95="% SO3 (dry wt)",D95*10*(D$80/100),
IF($C95="mg/kg SO3 (dry wt)",D95/1000*(D$80/100),
IF($C95="kg/t SO3(dry wt)",D95*(D$80/100),
IF($C95="% S (dry wt)",D95*2.4972*10*(D$80/100),
IF($C95="mg/kg S (dry wt)", D95*2.4972/1000*(D$80/100), D95*2.4972*(D$80/100)))))),
IF(RIGHT($C95,4)="(fw)",
IF($C95="% SO3 (fw)",D95*10,
IF(OR($C95="mg/kg SO3 (fw)",$C95="mg/l SO3 (fw)"),D95/1000,
IF($C95="kg/t SO3(fw)",D95,
IF($C95="% S (fw)",D95*2.4972*10,
IF(OR($C95="mg/kg S (fw)",$C95="mg/l S (fw)"),D95*2.4972/1000,D95*2.4972)))))))))</f>
        <v/>
      </c>
      <c r="L95" s="37" t="str">
        <f t="shared" ref="L95:O95" si="56">IF(OR(ISBLANK($C95),ISBLANK(E95)),"",
IF(AND(ISBLANK(E$80),RIGHT($C95,8)="(dry wt)"),"DM missing",
IF(RIGHT($C95,8)="(dry wt)",
IF($C95="% SO3 (dry wt)",E95*10*(E$80/100),
IF($C95="mg/kg SO3 (dry wt)",E95/1000*(E$80/100),
IF($C95="kg/t SO3(dry wt)",E95*(E$80/100),
IF($C95="% S (dry wt)",E95*2.4972*10*(E$80/100),
IF($C95="mg/kg S (dry wt)", E95*2.4972/1000*(E$80/100), E95*2.4972*(E$80/100)))))),
IF(RIGHT($C95,4)="(fw)",
IF($C95="% SO3 (fw)",E95*10,
IF(OR($C95="mg/kg SO3 (fw)",$C95="mg/l SO3 (fw)"),E95/1000,
IF($C95="kg/t SO3(fw)",E95,
IF($C95="% S (fw)",E95*2.4972*10,
IF(OR($C95="mg/kg S (fw)",$C95="mg/l S (fw)"),E95*2.4972/1000,E95*2.4972)))))))))</f>
        <v/>
      </c>
      <c r="M95" s="37" t="str">
        <f t="shared" si="56"/>
        <v/>
      </c>
      <c r="N95" s="37" t="str">
        <f t="shared" si="56"/>
        <v/>
      </c>
      <c r="O95" s="37" t="str">
        <f t="shared" si="56"/>
        <v/>
      </c>
      <c r="P95" s="42" t="str">
        <f>IF(AND('Field information 2'!Q$4="",'Field information 2'!Q$5=""),"",
IF(AND(K95&lt;&gt;"",K95&lt;&gt;"DM missing",L95&lt;&gt;"",L95&lt;&gt;"DM missing",M95&lt;&gt;"",M95&lt;&gt;"DM missing"), AVERAGE(K95:O95), ""))</f>
        <v/>
      </c>
      <c r="Q95" s="42" t="str">
        <f>IF(AND('Field information 2'!Q$4="",'Field information 2'!Q$5=""),"",
IF(AND(K95&lt;&gt;"",K95&lt;&gt;"DM missing",L95&lt;&gt;"",L95&lt;&gt;"DM missing",M95&lt;&gt;"",M95&lt;&gt;"DM missing"), MIN(K95:O95), ""))</f>
        <v/>
      </c>
      <c r="R95" s="42" t="str">
        <f>IF(AND('Field information 2'!Q$4="",'Field information 2'!Q$5=""),"",
IF(AND(K95&lt;&gt;"",K95&lt;&gt;"DM missing",L95&lt;&gt;"",L95&lt;&gt;"DM missing",M95&lt;&gt;"",M95&lt;&gt;"DM missing"), MAX(K95:O95), ""))</f>
        <v/>
      </c>
      <c r="S95" s="58" t="str">
        <f>IF(AND('Field information 2'!Q$4="",'Field information 2'!Q$5=""),"",
IF(AND(K95&lt;&gt;"",K95&lt;&gt;"DM missing",L95&lt;&gt;"",L95&lt;&gt;"DM missing",M95&lt;&gt;"",M95&lt;&gt;"DM missing"),_xlfn.PERCENTILE.INC(K95:O95,0.85),""))</f>
        <v/>
      </c>
    </row>
    <row r="96" spans="2:21" ht="4.5" customHeight="1" x14ac:dyDescent="0.25">
      <c r="C96" s="14"/>
      <c r="D96" s="21"/>
      <c r="E96" s="21"/>
      <c r="F96" s="22"/>
      <c r="G96" s="22"/>
      <c r="H96" s="23"/>
      <c r="I96" s="16"/>
      <c r="K96" s="30"/>
      <c r="L96" s="21"/>
      <c r="M96" s="21"/>
      <c r="N96" s="21"/>
      <c r="O96" s="21"/>
      <c r="S96" s="250"/>
    </row>
    <row r="97" spans="2:19" ht="17.25" x14ac:dyDescent="0.25">
      <c r="B97" t="s">
        <v>128</v>
      </c>
      <c r="C97" s="182"/>
      <c r="D97" s="178"/>
      <c r="E97" s="179"/>
      <c r="F97" s="178"/>
      <c r="G97" s="178"/>
      <c r="H97" s="178"/>
      <c r="I97" s="16"/>
      <c r="J97" t="s">
        <v>129</v>
      </c>
      <c r="K97" s="22" t="str">
        <f>IF(OR(ISBLANK($C97),ISBLANK(D97)),"",
IF(AND(ISBLANK(D$80),$C97="mg/kg (dry wt)"),"DM missing",
IF($C97="mg/kg (dry wt)", D97/1000*(D$80/100), D97 /1000)))</f>
        <v/>
      </c>
      <c r="L97" s="22" t="str">
        <f t="shared" ref="L97:O97" si="57">IF(OR(ISBLANK($C97),ISBLANK(E97)),"",
IF(AND(ISBLANK(E$80),$C97="mg/kg (dry wt)"),"DM missing",
IF($C97="mg/kg (dry wt)", E97/1000*(E$80/100), E97 /1000)))</f>
        <v/>
      </c>
      <c r="M97" s="22" t="str">
        <f t="shared" si="57"/>
        <v/>
      </c>
      <c r="N97" s="22" t="str">
        <f t="shared" si="57"/>
        <v/>
      </c>
      <c r="O97" s="22" t="str">
        <f t="shared" si="57"/>
        <v/>
      </c>
      <c r="P97" s="43" t="str">
        <f>IF(AND('Field information 2'!Q$4="",'Field information 2'!Q$5=""),"",
IF(AND( 'Field information 2'!$Q$5="xx",OR(K97="",L97="",M97="")),0,
IF(AND(K97&lt;&gt;"",K97&lt;&gt;"DM missing",L97&lt;&gt;"",L97&lt;&gt;"DM missing",M97&lt;&gt;"",M97&lt;&gt;"DM missing"), AVERAGE(K97:O97), "data missing")))</f>
        <v/>
      </c>
      <c r="Q97" s="43" t="str">
        <f>IF(AND('Field information 2'!Q$4="",'Field information 2'!Q$5=""),"",
IF(AND( 'Field information 2'!$Q$5="xx",OR(K97="",L97="",M97="")),0,
IF(AND(K97&lt;&gt;"",K97&lt;&gt;"DM missing",L97&lt;&gt;"",L97&lt;&gt;"DM missing",M97&lt;&gt;"",M97&lt;&gt;"DM missing"), MIN(K97:O97), "data missing")))</f>
        <v/>
      </c>
      <c r="R97" s="43" t="str">
        <f>IF(AND('Field information 2'!Q$4="",'Field information 2'!Q$5=""),"",
IF(AND( 'Field information 2'!$Q$5="xx",OR(K97="",L97="",M97="")),0,
IF(AND(K97&lt;&gt;"",K97&lt;&gt;"DM missing",L97&lt;&gt;"",L97&lt;&gt;"DM missing",M97&lt;&gt;"",M97&lt;&gt;"DM missing"), MAX(K97:O97), "data missing")))</f>
        <v/>
      </c>
      <c r="S97" s="60" t="str">
        <f>IF(AND('Field information 2'!Q$4="",'Field information 2'!Q$5=""),"",
IF(AND( 'Field information 2'!$Q$5="xx",OR(K97="",L97="",M97="")),0,
IF(AND(K97&lt;&gt;"",K97&lt;&gt;"DM missing",L97&lt;&gt;"",L97&lt;&gt;"DM missing",M97&lt;&gt;"",M97&lt;&gt;"DM missing"),_xlfn.PERCENTILE.INC(K97:O97,0.85),"data missing")))</f>
        <v/>
      </c>
    </row>
    <row r="98" spans="2:19" ht="17.25" x14ac:dyDescent="0.25">
      <c r="B98" t="s">
        <v>130</v>
      </c>
      <c r="C98" s="182"/>
      <c r="D98" s="178"/>
      <c r="E98" s="179"/>
      <c r="F98" s="178"/>
      <c r="G98" s="178"/>
      <c r="H98" s="178"/>
      <c r="I98" s="16"/>
      <c r="J98" t="s">
        <v>131</v>
      </c>
      <c r="K98" s="22" t="str">
        <f t="shared" ref="K98:K103" si="58">IF(OR(ISBLANK($C98),ISBLANK(D98)),"",
IF(AND(ISBLANK(D$80),$C98="mg/kg (dry wt)"),"DM missing",
IF($C98="mg/kg (dry wt)", D98/1000*(D$80/100), D98 /1000)))</f>
        <v/>
      </c>
      <c r="L98" s="22" t="str">
        <f t="shared" ref="L98:L103" si="59">IF(OR(ISBLANK($C98),ISBLANK(E98)),"",
IF(AND(ISBLANK(E$80),$C98="mg/kg (dry wt)"),"DM missing",
IF($C98="mg/kg (dry wt)", E98/1000*(E$80/100), E98 /1000)))</f>
        <v/>
      </c>
      <c r="M98" s="22" t="str">
        <f t="shared" ref="M98:M103" si="60">IF(OR(ISBLANK($C98),ISBLANK(F98)),"",
IF(AND(ISBLANK(F$80),$C98="mg/kg (dry wt)"),"DM missing",
IF($C98="mg/kg (dry wt)", F98/1000*(F$80/100), F98 /1000)))</f>
        <v/>
      </c>
      <c r="N98" s="22" t="str">
        <f t="shared" ref="N98:N103" si="61">IF(OR(ISBLANK($C98),ISBLANK(G98)),"",
IF(AND(ISBLANK(G$80),$C98="mg/kg (dry wt)"),"DM missing",
IF($C98="mg/kg (dry wt)", G98/1000*(G$80/100), G98 /1000)))</f>
        <v/>
      </c>
      <c r="O98" s="22" t="str">
        <f t="shared" ref="O98:O103" si="62">IF(OR(ISBLANK($C98),ISBLANK(H98)),"",
IF(AND(ISBLANK(H$80),$C98="mg/kg (dry wt)"),"DM missing",
IF($C98="mg/kg (dry wt)", H98/1000*(H$80/100), H98 /1000)))</f>
        <v/>
      </c>
      <c r="P98" s="43" t="str">
        <f>IF(AND('Field information 2'!Q$4="",'Field information 2'!Q$5=""),"",
IF(AND( 'Field information 2'!$Q$5="xx",OR(K98="",L98="",M98="")),0,
IF(AND(K98&lt;&gt;"",K98&lt;&gt;"DM missing",L98&lt;&gt;"",L98&lt;&gt;"DM missing",M98&lt;&gt;"",M98&lt;&gt;"DM missing"), AVERAGE(K98:O98), "data missing")))</f>
        <v/>
      </c>
      <c r="Q98" s="43" t="str">
        <f>IF(AND('Field information 2'!Q$4="",'Field information 2'!Q$5=""),"",
IF(AND( 'Field information 2'!$Q$5="xx",OR(K98="",L98="",M98="")),0,
IF(AND(K98&lt;&gt;"",K98&lt;&gt;"DM missing",L98&lt;&gt;"",L98&lt;&gt;"DM missing",M98&lt;&gt;"",M98&lt;&gt;"DM missing"), MIN(K98:O98), "data missing")))</f>
        <v/>
      </c>
      <c r="R98" s="43" t="str">
        <f>IF(AND('Field information 2'!Q$4="",'Field information 2'!Q$5=""),"",
IF(AND( 'Field information 2'!$Q$5="xx",OR(K98="",L98="",M98="")),0,
IF(AND(K98&lt;&gt;"",K98&lt;&gt;"DM missing",L98&lt;&gt;"",L98&lt;&gt;"DM missing",M98&lt;&gt;"",M98&lt;&gt;"DM missing"), MAX(K98:O98), "data missing")))</f>
        <v/>
      </c>
      <c r="S98" s="60" t="str">
        <f>IF(AND('Field information 2'!Q$4="",'Field information 2'!Q$5=""),"",
IF(AND( 'Field information 2'!$Q$5="xx",OR(K98="",L98="",M98="")),0,
IF(AND(K98&lt;&gt;"",K98&lt;&gt;"DM missing",L98&lt;&gt;"",L98&lt;&gt;"DM missing",M98&lt;&gt;"",M98&lt;&gt;"DM missing"),_xlfn.PERCENTILE.INC(K98:O98,0.85),"data missing")))</f>
        <v/>
      </c>
    </row>
    <row r="99" spans="2:19" ht="17.25" x14ac:dyDescent="0.25">
      <c r="B99" t="s">
        <v>132</v>
      </c>
      <c r="C99" s="182"/>
      <c r="D99" s="178"/>
      <c r="E99" s="179"/>
      <c r="F99" s="178"/>
      <c r="G99" s="178"/>
      <c r="H99" s="178"/>
      <c r="I99" s="16"/>
      <c r="J99" t="s">
        <v>133</v>
      </c>
      <c r="K99" s="22" t="str">
        <f t="shared" si="58"/>
        <v/>
      </c>
      <c r="L99" s="22" t="str">
        <f t="shared" si="59"/>
        <v/>
      </c>
      <c r="M99" s="22" t="str">
        <f t="shared" si="60"/>
        <v/>
      </c>
      <c r="N99" s="22" t="str">
        <f t="shared" si="61"/>
        <v/>
      </c>
      <c r="O99" s="22" t="str">
        <f t="shared" si="62"/>
        <v/>
      </c>
      <c r="P99" s="43" t="str">
        <f>IF(AND('Field information 2'!Q$4="",'Field information 2'!Q$5=""),"",
IF(AND( 'Field information 2'!$Q$5="xx",OR(K99="",L99="",M99="")),0,
IF(AND(K99&lt;&gt;"",K99&lt;&gt;"DM missing",L99&lt;&gt;"",L99&lt;&gt;"DM missing",M99&lt;&gt;"",M99&lt;&gt;"DM missing"), AVERAGE(K99:O99), "data missing")))</f>
        <v/>
      </c>
      <c r="Q99" s="43" t="str">
        <f>IF(AND('Field information 2'!Q$4="",'Field information 2'!Q$5=""),"",
IF(AND( 'Field information 2'!$Q$5="xx",OR(K99="",L99="",M99="")),0,
IF(AND(K99&lt;&gt;"",K99&lt;&gt;"DM missing",L99&lt;&gt;"",L99&lt;&gt;"DM missing",M99&lt;&gt;"",M99&lt;&gt;"DM missing"), MIN(K99:O99), "data missing")))</f>
        <v/>
      </c>
      <c r="R99" s="43" t="str">
        <f>IF(AND('Field information 2'!Q$4="",'Field information 2'!Q$5=""),"",
IF(AND( 'Field information 2'!$Q$5="xx",OR(K99="",L99="",M99="")),0,
IF(AND(K99&lt;&gt;"",K99&lt;&gt;"DM missing",L99&lt;&gt;"",L99&lt;&gt;"DM missing",M99&lt;&gt;"",M99&lt;&gt;"DM missing"), MAX(K99:O99), "data missing")))</f>
        <v/>
      </c>
      <c r="S99" s="60" t="str">
        <f>IF(AND('Field information 2'!Q$4="",'Field information 2'!Q$5=""),"",
IF(AND( 'Field information 2'!$Q$5="xx",OR(K99="",L99="",M99="")),0,
IF(AND(K99&lt;&gt;"",K99&lt;&gt;"DM missing",L99&lt;&gt;"",L99&lt;&gt;"DM missing",M99&lt;&gt;"",M99&lt;&gt;"DM missing"),_xlfn.PERCENTILE.INC(K99:O99,0.85),"data missing")))</f>
        <v/>
      </c>
    </row>
    <row r="100" spans="2:19" ht="17.25" x14ac:dyDescent="0.25">
      <c r="B100" t="s">
        <v>134</v>
      </c>
      <c r="C100" s="182"/>
      <c r="D100" s="178"/>
      <c r="E100" s="179"/>
      <c r="F100" s="178"/>
      <c r="G100" s="178"/>
      <c r="H100" s="178"/>
      <c r="I100" s="16"/>
      <c r="J100" t="s">
        <v>135</v>
      </c>
      <c r="K100" s="22" t="str">
        <f t="shared" si="58"/>
        <v/>
      </c>
      <c r="L100" s="22" t="str">
        <f t="shared" si="59"/>
        <v/>
      </c>
      <c r="M100" s="22" t="str">
        <f t="shared" si="60"/>
        <v/>
      </c>
      <c r="N100" s="22" t="str">
        <f t="shared" si="61"/>
        <v/>
      </c>
      <c r="O100" s="22" t="str">
        <f t="shared" si="62"/>
        <v/>
      </c>
      <c r="P100" s="43" t="str">
        <f>IF(AND('Field information 2'!Q$4="",'Field information 2'!Q$5=""),"",
IF(AND( 'Field information 2'!$Q$5="xx",OR(K100="",L100="",M100="")),0,
IF(AND(K100&lt;&gt;"",K100&lt;&gt;"DM missing",L100&lt;&gt;"",L100&lt;&gt;"DM missing",M100&lt;&gt;"",M100&lt;&gt;"DM missing"), AVERAGE(K100:O100), "data missing")))</f>
        <v/>
      </c>
      <c r="Q100" s="43" t="str">
        <f>IF(AND('Field information 2'!Q$4="",'Field information 2'!Q$5=""),"",
IF(AND( 'Field information 2'!$Q$5="xx",OR(K100="",L100="",M100="")),0,
IF(AND(K100&lt;&gt;"",K100&lt;&gt;"DM missing",L100&lt;&gt;"",L100&lt;&gt;"DM missing",M100&lt;&gt;"",M100&lt;&gt;"DM missing"), MIN(K100:O100), "data missing")))</f>
        <v/>
      </c>
      <c r="R100" s="43" t="str">
        <f>IF(AND('Field information 2'!Q$4="",'Field information 2'!Q$5=""),"",
IF(AND( 'Field information 2'!$Q$5="xx",OR(K100="",L100="",M100="")),0,
IF(AND(K100&lt;&gt;"",K100&lt;&gt;"DM missing",L100&lt;&gt;"",L100&lt;&gt;"DM missing",M100&lt;&gt;"",M100&lt;&gt;"DM missing"), MAX(K100:O100), "data missing")))</f>
        <v/>
      </c>
      <c r="S100" s="60" t="str">
        <f>IF(AND('Field information 2'!Q$4="",'Field information 2'!Q$5=""),"",
IF(AND( 'Field information 2'!$Q$5="xx",OR(K100="",L100="",M100="")),0,
IF(AND(K100&lt;&gt;"",K100&lt;&gt;"DM missing",L100&lt;&gt;"",L100&lt;&gt;"DM missing",M100&lt;&gt;"",M100&lt;&gt;"DM missing"),_xlfn.PERCENTILE.INC(K100:O100,0.85),"data missing")))</f>
        <v/>
      </c>
    </row>
    <row r="101" spans="2:19" ht="17.25" x14ac:dyDescent="0.25">
      <c r="B101" t="s">
        <v>136</v>
      </c>
      <c r="C101" s="182"/>
      <c r="D101" s="178"/>
      <c r="E101" s="179"/>
      <c r="F101" s="178"/>
      <c r="G101" s="178"/>
      <c r="H101" s="178"/>
      <c r="I101" s="16"/>
      <c r="J101" t="s">
        <v>137</v>
      </c>
      <c r="K101" s="22" t="str">
        <f t="shared" si="58"/>
        <v/>
      </c>
      <c r="L101" s="22" t="str">
        <f t="shared" si="59"/>
        <v/>
      </c>
      <c r="M101" s="22" t="str">
        <f t="shared" si="60"/>
        <v/>
      </c>
      <c r="N101" s="22" t="str">
        <f t="shared" si="61"/>
        <v/>
      </c>
      <c r="O101" s="22" t="str">
        <f t="shared" si="62"/>
        <v/>
      </c>
      <c r="P101" s="43" t="str">
        <f>IF(AND('Field information 2'!Q$4="",'Field information 2'!Q$5=""),"",
IF(AND( 'Field information 2'!$Q$5="xx",OR(K101="",L101="",M101="")),0,
IF(AND(K101&lt;&gt;"",K101&lt;&gt;"DM missing",L101&lt;&gt;"",L101&lt;&gt;"DM missing",M101&lt;&gt;"",M101&lt;&gt;"DM missing"), AVERAGE(K101:O101), "data missing")))</f>
        <v/>
      </c>
      <c r="Q101" s="43" t="str">
        <f>IF(AND('Field information 2'!Q$4="",'Field information 2'!Q$5=""),"",
IF(AND( 'Field information 2'!$Q$5="xx",OR(K101="",L101="",M101="")),0,
IF(AND(K101&lt;&gt;"",K101&lt;&gt;"DM missing",L101&lt;&gt;"",L101&lt;&gt;"DM missing",M101&lt;&gt;"",M101&lt;&gt;"DM missing"), MIN(K101:O101), "data missing")))</f>
        <v/>
      </c>
      <c r="R101" s="43" t="str">
        <f>IF(AND('Field information 2'!Q$4="",'Field information 2'!Q$5=""),"",
IF(AND( 'Field information 2'!$Q$5="xx",OR(K101="",L101="",M101="")),0,
IF(AND(K101&lt;&gt;"",K101&lt;&gt;"DM missing",L101&lt;&gt;"",L101&lt;&gt;"DM missing",M101&lt;&gt;"",M101&lt;&gt;"DM missing"), MAX(K101:O101), "data missing")))</f>
        <v/>
      </c>
      <c r="S101" s="60" t="str">
        <f>IF(AND('Field information 2'!Q$4="",'Field information 2'!Q$5=""),"",
IF(AND( 'Field information 2'!$Q$5="xx",OR(K101="",L101="",M101="")),0,
IF(AND(K101&lt;&gt;"",K101&lt;&gt;"DM missing",L101&lt;&gt;"",L101&lt;&gt;"DM missing",M101&lt;&gt;"",M101&lt;&gt;"DM missing"),_xlfn.PERCENTILE.INC(K101:O101,0.85),"data missing")))</f>
        <v/>
      </c>
    </row>
    <row r="102" spans="2:19" ht="17.25" x14ac:dyDescent="0.25">
      <c r="B102" t="s">
        <v>138</v>
      </c>
      <c r="C102" s="182"/>
      <c r="D102" s="178"/>
      <c r="E102" s="179"/>
      <c r="F102" s="178"/>
      <c r="G102" s="178"/>
      <c r="H102" s="178"/>
      <c r="I102" s="16"/>
      <c r="J102" t="s">
        <v>139</v>
      </c>
      <c r="K102" s="22" t="str">
        <f t="shared" si="58"/>
        <v/>
      </c>
      <c r="L102" s="22" t="str">
        <f t="shared" si="59"/>
        <v/>
      </c>
      <c r="M102" s="22" t="str">
        <f t="shared" si="60"/>
        <v/>
      </c>
      <c r="N102" s="22" t="str">
        <f t="shared" si="61"/>
        <v/>
      </c>
      <c r="O102" s="22" t="str">
        <f t="shared" si="62"/>
        <v/>
      </c>
      <c r="P102" s="43" t="str">
        <f>IF(AND('Field information 2'!Q$4="",'Field information 2'!Q$5=""),"",
IF(AND( 'Field information 2'!$Q$5="xx",OR(K102="",L102="",M102="")),0,
IF(AND(K102&lt;&gt;"",K102&lt;&gt;"DM missing",L102&lt;&gt;"",L102&lt;&gt;"DM missing",M102&lt;&gt;"",M102&lt;&gt;"DM missing"), AVERAGE(K102:O102), "data missing")))</f>
        <v/>
      </c>
      <c r="Q102" s="43" t="str">
        <f>IF(AND('Field information 2'!Q$4="",'Field information 2'!Q$5=""),"",
IF(AND( 'Field information 2'!$Q$5="xx",OR(K102="",L102="",M102="")),0,
IF(AND(K102&lt;&gt;"",K102&lt;&gt;"DM missing",L102&lt;&gt;"",L102&lt;&gt;"DM missing",M102&lt;&gt;"",M102&lt;&gt;"DM missing"), MIN(K102:O102), "data missing")))</f>
        <v/>
      </c>
      <c r="R102" s="43" t="str">
        <f>IF(AND('Field information 2'!Q$4="",'Field information 2'!Q$5=""),"",
IF(AND( 'Field information 2'!$Q$5="xx",OR(K102="",L102="",M102="")),0,
IF(AND(K102&lt;&gt;"",K102&lt;&gt;"DM missing",L102&lt;&gt;"",L102&lt;&gt;"DM missing",M102&lt;&gt;"",M102&lt;&gt;"DM missing"), MAX(K102:O102), "data missing")))</f>
        <v/>
      </c>
      <c r="S102" s="60" t="str">
        <f>IF(AND('Field information 2'!Q$4="",'Field information 2'!Q$5=""),"",
IF(AND( 'Field information 2'!$Q$5="xx",OR(K102="",L102="",M102="")),0,
IF(AND(K102&lt;&gt;"",K102&lt;&gt;"DM missing",L102&lt;&gt;"",L102&lt;&gt;"DM missing",M102&lt;&gt;"",M102&lt;&gt;"DM missing"),_xlfn.PERCENTILE.INC(K102:O102,0.85),"data missing")))</f>
        <v/>
      </c>
    </row>
    <row r="103" spans="2:19" ht="17.25" x14ac:dyDescent="0.25">
      <c r="B103" t="s">
        <v>140</v>
      </c>
      <c r="C103" s="182"/>
      <c r="D103" s="178"/>
      <c r="E103" s="179"/>
      <c r="F103" s="178"/>
      <c r="G103" s="178"/>
      <c r="H103" s="178"/>
      <c r="I103" s="16"/>
      <c r="J103" t="s">
        <v>141</v>
      </c>
      <c r="K103" s="22" t="str">
        <f t="shared" si="58"/>
        <v/>
      </c>
      <c r="L103" s="22" t="str">
        <f t="shared" si="59"/>
        <v/>
      </c>
      <c r="M103" s="22" t="str">
        <f t="shared" si="60"/>
        <v/>
      </c>
      <c r="N103" s="22" t="str">
        <f t="shared" si="61"/>
        <v/>
      </c>
      <c r="O103" s="22" t="str">
        <f t="shared" si="62"/>
        <v/>
      </c>
      <c r="P103" s="43" t="str">
        <f>IF(AND('Field information 2'!Q$4="",'Field information 2'!Q$5=""),"",
IF(AND( 'Field information 2'!$Q$5="xx",OR(K103="",L103="",M103="")),0,
IF(AND(K103&lt;&gt;"",K103&lt;&gt;"DM missing",L103&lt;&gt;"",L103&lt;&gt;"DM missing",M103&lt;&gt;"",M103&lt;&gt;"DM missing"), AVERAGE(K103:O103), "data missing")))</f>
        <v/>
      </c>
      <c r="Q103" s="43" t="str">
        <f>IF(AND('Field information 2'!Q$4="",'Field information 2'!Q$5=""),"",
IF(AND( 'Field information 2'!$Q$5="xx",OR(K103="",L103="",M103="")),0,
IF(AND(K103&lt;&gt;"",K103&lt;&gt;"DM missing",L103&lt;&gt;"",L103&lt;&gt;"DM missing",M103&lt;&gt;"",M103&lt;&gt;"DM missing"), MIN(K103:O103), "data missing")))</f>
        <v/>
      </c>
      <c r="R103" s="43" t="str">
        <f>IF(AND('Field information 2'!Q$4="",'Field information 2'!Q$5=""),"",
IF(AND( 'Field information 2'!$Q$5="xx",OR(K103="",L103="",M103="")),0,
IF(AND(K103&lt;&gt;"",K103&lt;&gt;"DM missing",L103&lt;&gt;"",L103&lt;&gt;"DM missing",M103&lt;&gt;"",M103&lt;&gt;"DM missing"), MAX(K103:O103), "data missing")))</f>
        <v/>
      </c>
      <c r="S103" s="60" t="str">
        <f>IF(AND('Field information 2'!Q$4="",'Field information 2'!Q$5=""),"",
IF(AND( 'Field information 2'!$Q$5="xx",OR(K103="",L103="",M103="")),0,
IF(AND(K103&lt;&gt;"",K103&lt;&gt;"DM missing",L103&lt;&gt;"",L103&lt;&gt;"DM missing",M103&lt;&gt;"",M103&lt;&gt;"DM missing"),_xlfn.PERCENTILE.INC(K103:O103,0.85),"data missing")))</f>
        <v/>
      </c>
    </row>
    <row r="104" spans="2:19" ht="4.5" customHeight="1" x14ac:dyDescent="0.25">
      <c r="C104" s="14"/>
      <c r="D104" s="21"/>
      <c r="E104" s="21"/>
      <c r="F104" s="21"/>
      <c r="G104" s="21"/>
      <c r="H104" s="21"/>
      <c r="I104" s="16"/>
      <c r="J104" s="16"/>
      <c r="K104" s="16"/>
      <c r="L104" s="16"/>
      <c r="M104" s="16"/>
      <c r="N104" s="16"/>
      <c r="S104" s="250"/>
    </row>
    <row r="105" spans="2:19" ht="30" x14ac:dyDescent="0.25">
      <c r="B105" s="9" t="s">
        <v>142</v>
      </c>
      <c r="C105" s="14" t="s">
        <v>143</v>
      </c>
      <c r="D105" s="184"/>
      <c r="E105" s="184"/>
      <c r="F105" s="184"/>
      <c r="G105" s="184"/>
      <c r="H105" s="184"/>
      <c r="J105" s="153" t="s">
        <v>144</v>
      </c>
      <c r="K105" s="56" t="str">
        <f>IF(OR(ISBLANK(D80),ISBLANK(D105)),"",(100/D80)*(500/D105))</f>
        <v/>
      </c>
      <c r="L105" s="56" t="str">
        <f>IF(OR(ISBLANK(E80),ISBLANK(E105)),"",(100/E80)*(50/E105))</f>
        <v/>
      </c>
      <c r="M105" s="56" t="str">
        <f>IF(OR(ISBLANK(F80),ISBLANK(F105)),"",(100/F80)*(50/F105))</f>
        <v/>
      </c>
      <c r="N105" s="56" t="str">
        <f>IF(OR(ISBLANK(G80),ISBLANK(G105)),"",(100/G80)*(50/G105))</f>
        <v/>
      </c>
      <c r="O105" s="56" t="str">
        <f>IF(OR(ISBLANK(H80),ISBLANK(H105)),"",(100/H80)*(50/H105))</f>
        <v/>
      </c>
      <c r="P105" s="307" t="str">
        <f>IF(AND('Field information 2'!Q$4="",'Field information 2'!Q$5=""),"",
IF(OR('Field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
       IF(AND(K105&lt;&gt;"",L105&lt;&gt;"",M105&lt;&gt;""), AVERAGE(K105:O105),"data missing"),
       IF(AND(K105&lt;&gt;"",L105&lt;&gt;"",M105&lt;&gt;""), AVERAGE(K105:O105),"")))</f>
        <v/>
      </c>
      <c r="Q105" s="308" t="str">
        <f>IF(AND('Field information 2'!Q$4="",'Field information 2'!Q$5=""),"",
IF(OR('Field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
       IF(AND(K105&lt;&gt;"",L105&lt;&gt;"",M105&lt;&gt;""), MIN(K105:O105),"data missing"),
       IF(AND(K105&lt;&gt;"",L105&lt;&gt;"",M105&lt;&gt;""), MIN(K105:O105),"")))</f>
        <v/>
      </c>
      <c r="R105" s="307" t="str">
        <f>IF(AND('Field information 2'!Q$4="",'Field information 2'!Q$5=""),"",
IF(OR('Field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
       IF(AND(K105&lt;&gt;"",L105&lt;&gt;"",M105&lt;&gt;""), MAX(K105:O105),"data missing"),
       IF(AND(K105&lt;&gt;"",L105&lt;&gt;"",M105&lt;&gt;""), MAX(K105:O105),"")))</f>
        <v/>
      </c>
      <c r="S105" s="309" t="str">
        <f>IF(AND('Field information 2'!Q$4="",'Field information 2'!Q$5=""),"",
IF(OR('Field information 2'!$Q$5="01 04 12",'Field information 2'!$Q$5="010412",'Field information 2'!$Q$5="0104 12",'Field information 2'!$Q$5="01 0412",'Field information 2'!$Q$5="03 03 09",'Field information 2'!$Q$5="030309",'Field information 2'!$Q$5="0303 09",'Field information 2'!$Q$5="03 0309",'Field information 2'!$Q$5="03 03 11",'Field information 2'!$Q$5="030311",'Field information 2'!$Q$5="0303 11",'Field information 2'!$Q$5="03 0311",'Field information 2'!$Q$5="03 03 99",'Field information 2'!$Q$5="030399",'Field information 2'!$Q$5="0303 99",'Field information 2'!$Q$5="03 0399",'Field information 2'!$Q$5="06 01 99",'Field information 2'!$Q$5="060199",'Field information 2'!$Q$5="0601 99",'Field information 2'!$Q$5="06 0199",'Field information 2'!$Q$5="10 01 01",'Field information 2'!$Q$5="100101",'Field information 2'!$Q$5="1001 01",'Field information 2'!$Q$5="10 0101",'Field information 2'!$Q$5="10 01 03",'Field information 2'!$Q$5="100103",'Field information 2'!$Q$5="1001 03",'Field information 2'!$Q$5="10 0103",'Field information 2'!$Q$5="10 01 99",'Field information 2'!$Q$5="100199",'Field information 2'!$Q$5="1001 99",'Field information 2'!$Q$5="10 0199",'Field information 2'!$Q$5="10 13 04",'Field information 2'!$Q$5="101304",'Field information 2'!$Q$5="1013 04",'Field information 2'!$Q$5="10 1304"),
       IF(AND(K105&lt;&gt;"",L105&lt;&gt;"",M105&lt;&gt;""), _xlfn.PERCENTILE.INC(K105:O105,0.85),"data missing"),
       IF(AND(K105&lt;&gt;"",L105&lt;&gt;"",M105&lt;&gt;""), _xlfn.PERCENTILE.INC(K105:O105,0.85),"")))</f>
        <v/>
      </c>
    </row>
    <row r="106" spans="2:19" ht="16" hidden="1" customHeight="1" x14ac:dyDescent="0.25">
      <c r="B106" t="s">
        <v>145</v>
      </c>
      <c r="C106" s="62"/>
      <c r="D106" s="20"/>
      <c r="E106" s="20"/>
      <c r="F106" s="20"/>
      <c r="G106" s="20"/>
      <c r="H106" s="20"/>
      <c r="I106" s="16"/>
      <c r="J106" s="16" t="s">
        <v>146</v>
      </c>
      <c r="K106" s="55"/>
      <c r="L106" s="55"/>
      <c r="M106" s="55"/>
      <c r="N106" s="55"/>
      <c r="O106" s="34"/>
      <c r="P106" s="41"/>
      <c r="Q106" s="57" t="str">
        <f>IF(K106&lt;&gt;"", MIN(K106:O106),"")</f>
        <v/>
      </c>
      <c r="R106" s="41"/>
    </row>
    <row r="107" spans="2:19" ht="6.75" customHeight="1" x14ac:dyDescent="0.25"/>
  </sheetData>
  <sheetProtection algorithmName="SHA-512" hashValue="EB6snAHeB7McsYV46pB1CAYlqrOxds8f8wuG2foeVFqraRa9jqDj34QOATvW4EF3pdfuOTyi5vIdiHFtb0czRg==" saltValue="AURajfC7bTRVEqlKBv4Nng==" spinCount="100000" sheet="1" selectLockedCells="1"/>
  <mergeCells count="9">
    <mergeCell ref="C76:H76"/>
    <mergeCell ref="C4:H4"/>
    <mergeCell ref="C40:H40"/>
    <mergeCell ref="B2:S2"/>
    <mergeCell ref="J4:S4"/>
    <mergeCell ref="B74:S74"/>
    <mergeCell ref="J76:S76"/>
    <mergeCell ref="B38:S38"/>
    <mergeCell ref="J40:S40"/>
  </mergeCells>
  <phoneticPr fontId="14" type="noConversion"/>
  <dataValidations count="2">
    <dataValidation type="list" allowBlank="1" showInputMessage="1" showErrorMessage="1" sqref="C15 C51 C87" xr:uid="{58A34B7A-A057-4FD4-995E-EDD47585C904}">
      <formula1>"% (fw),% (dry wt),mg/kg (fw),mg/kg (dry wt),mg/l (fw),kg/t (fw),kg/t (dry wt)"</formula1>
    </dataValidation>
    <dataValidation type="list" allowBlank="1" showInputMessage="1" showErrorMessage="1" sqref="C97:C103 C61:C67 C25:C31" xr:uid="{3ACA09B2-F5F4-430D-B832-6818AE7B7F74}">
      <formula1>"mg/kg (fw),mg/l (fw),mg/kg (dry wt)"</formula1>
    </dataValidation>
  </dataValidations>
  <pageMargins left="0.7" right="0.7" top="0.75" bottom="0.75" header="0.3" footer="0.3"/>
  <pageSetup paperSize="0" orientation="portrait" horizontalDpi="0" verticalDpi="0" copies="0"/>
  <ignoredErrors>
    <ignoredError sqref="P13:S13 P15:Q15 R15:S15 P49:S49 P51:S51 P69:S69 P33:S33 P85:S85 P87:S87 P105:S105" twoDigitTextYear="1"/>
  </ignoredErrors>
  <extLst>
    <ext xmlns:x14="http://schemas.microsoft.com/office/spreadsheetml/2009/9/main" uri="{78C0D931-6437-407d-A8EE-F0AAD7539E65}">
      <x14:conditionalFormattings>
        <x14:conditionalFormatting xmlns:xm="http://schemas.microsoft.com/office/excel/2006/main">
          <x14:cfRule type="expression" priority="125" id="{6F48ABA2-5C8C-4D26-94D5-9B1AC679903B}">
            <xm:f>'Field information 2'!$O$4&lt;&gt;""</xm:f>
            <x14:dxf>
              <fill>
                <patternFill>
                  <bgColor rgb="FFFFFFCC"/>
                </patternFill>
              </fill>
            </x14:dxf>
          </x14:cfRule>
          <xm:sqref>C46 C59:F59 C57:F57 C55:F55 C53:F53 C48:F50 D43:F46 C61:F67</xm:sqref>
        </x14:conditionalFormatting>
        <x14:conditionalFormatting xmlns:xm="http://schemas.microsoft.com/office/excel/2006/main">
          <x14:cfRule type="expression" priority="124" id="{DD58DA7C-EA16-4479-A381-2B55B00B8A17}">
            <xm:f>'Field information 2'!$O$4&lt;&gt;""</xm:f>
            <x14:dxf>
              <fill>
                <patternFill>
                  <bgColor theme="8" tint="0.79998168889431442"/>
                </patternFill>
              </fill>
            </x14:dxf>
          </x14:cfRule>
          <xm:sqref>G43:H46 G48:H50 G53:H53 G55:H55 G57:H57 G59:H59 G61:H67 D69:H69</xm:sqref>
        </x14:conditionalFormatting>
        <x14:conditionalFormatting xmlns:xm="http://schemas.microsoft.com/office/excel/2006/main">
          <x14:cfRule type="expression" priority="121" id="{3FA118BE-0510-4F40-9158-440F8FBF28A3}">
            <xm:f>'Field information 2'!$O$4&lt;&gt;""</xm:f>
            <x14:dxf>
              <fill>
                <patternFill>
                  <bgColor theme="8" tint="0.79998168889431442"/>
                </patternFill>
              </fill>
            </x14:dxf>
          </x14:cfRule>
          <xm:sqref>C59:F59 C50:F50</xm:sqref>
        </x14:conditionalFormatting>
        <x14:conditionalFormatting xmlns:xm="http://schemas.microsoft.com/office/excel/2006/main">
          <x14:cfRule type="expression" priority="54" id="{700B56B2-5E28-4318-AE51-3140613FB61A}">
            <xm:f>ISNUMBER(SEARCH("01*04*12",'Field information 2'!$M$5))</xm:f>
            <x14:dxf>
              <fill>
                <patternFill>
                  <bgColor rgb="FFFFFFCC"/>
                </patternFill>
              </fill>
            </x14:dxf>
          </x14:cfRule>
          <x14:cfRule type="expression" priority="55" id="{F1329F3E-5CC8-4C7F-86DB-82D6CE7AF8F6}">
            <xm:f>ISNUMBER(SEARCH("03*03*99",'Field information 2'!$M$5))</xm:f>
            <x14:dxf>
              <fill>
                <patternFill>
                  <bgColor rgb="FFFFFFCC"/>
                </patternFill>
              </fill>
            </x14:dxf>
          </x14:cfRule>
          <x14:cfRule type="expression" priority="56" id="{8625175D-5CC4-452E-80AF-541F3054D967}">
            <xm:f>ISNUMBER(SEARCH("03*03*11",'Field information 2'!$M$5))</xm:f>
            <x14:dxf>
              <fill>
                <patternFill>
                  <bgColor rgb="FFFFFFCC"/>
                </patternFill>
              </fill>
            </x14:dxf>
          </x14:cfRule>
          <x14:cfRule type="expression" priority="57" id="{F7855EB6-3BD1-4C77-A4E7-909FC080972E}">
            <xm:f>ISNUMBER(SEARCH("03*03*09",'Field information 2'!$M$5))</xm:f>
            <x14:dxf>
              <fill>
                <patternFill>
                  <bgColor rgb="FFFFFFCC"/>
                </patternFill>
              </fill>
            </x14:dxf>
          </x14:cfRule>
          <x14:cfRule type="expression" priority="58" id="{CEE81DE4-B808-4CD5-AF15-4D87AA1502E1}">
            <xm:f>ISNUMBER(SEARCH("06*01*99",'Field information 2'!$M$5))</xm:f>
            <x14:dxf>
              <fill>
                <patternFill>
                  <bgColor rgb="FFFFFFCC"/>
                </patternFill>
              </fill>
            </x14:dxf>
          </x14:cfRule>
          <x14:cfRule type="expression" priority="59" id="{8A891D3C-5C41-478C-A48B-BA6A3E13BEC6}">
            <xm:f>ISNUMBER(SEARCH("10*01*01",'Field information 2'!$M$5))</xm:f>
            <x14:dxf>
              <fill>
                <patternFill>
                  <bgColor rgb="FFFFFFCC"/>
                </patternFill>
              </fill>
            </x14:dxf>
          </x14:cfRule>
          <x14:cfRule type="expression" priority="60" id="{DB1D65C8-EE59-4E02-88BE-01D85C49993A}">
            <xm:f>ISNUMBER(SEARCH("10*01*03",'Field information 2'!$M$5))</xm:f>
            <x14:dxf>
              <fill>
                <patternFill>
                  <bgColor rgb="FFFFFFCC"/>
                </patternFill>
              </fill>
            </x14:dxf>
          </x14:cfRule>
          <x14:cfRule type="expression" priority="114" id="{AB6EC275-5B4D-461D-94C7-4ACE9D74357F}">
            <xm:f>ISNUMBER(SEARCH("10*01*99",'Field information 2'!$M$5))</xm:f>
            <x14:dxf>
              <fill>
                <patternFill>
                  <bgColor rgb="FFFFFFCC"/>
                </patternFill>
              </fill>
            </x14:dxf>
          </x14:cfRule>
          <x14:cfRule type="expression" priority="115" id="{25BCCDF1-2FEB-420F-A90B-CA25F7953308}">
            <xm:f>ISNUMBER(SEARCH("10*13*04",'Field information 2'!$M$5))</xm:f>
            <x14:dxf>
              <fill>
                <patternFill>
                  <bgColor rgb="FFFFFFCC"/>
                </patternFill>
              </fill>
            </x14:dxf>
          </x14:cfRule>
          <xm:sqref>D33:F33</xm:sqref>
        </x14:conditionalFormatting>
        <x14:conditionalFormatting xmlns:xm="http://schemas.microsoft.com/office/excel/2006/main">
          <x14:cfRule type="expression" priority="32" stopIfTrue="1" id="{ABFE223F-0B61-4E7E-91FD-D0C4FDDC1F2E}">
            <xm:f>ISNUMBER(SEARCH("01*04*12",'Field information 2'!$O$5))</xm:f>
            <x14:dxf>
              <fill>
                <patternFill>
                  <bgColor theme="8" tint="0.79998168889431442"/>
                </patternFill>
              </fill>
            </x14:dxf>
          </x14:cfRule>
          <x14:cfRule type="expression" priority="33" stopIfTrue="1" id="{06E0832D-2593-47D5-9E1C-29119351EC6F}">
            <xm:f>ISNUMBER(SEARCH("03*03*09",'Field information 2'!$O$5))</xm:f>
            <x14:dxf>
              <fill>
                <patternFill>
                  <bgColor theme="8" tint="0.79998168889431442"/>
                </patternFill>
              </fill>
            </x14:dxf>
          </x14:cfRule>
          <x14:cfRule type="expression" priority="34" stopIfTrue="1" id="{A42ECD74-05C7-4DC5-A2E7-A3192B137B1D}">
            <xm:f>ISNUMBER(SEARCH("03*03*11",'Field information 2'!$O$5))</xm:f>
            <x14:dxf>
              <fill>
                <patternFill>
                  <bgColor theme="8" tint="0.79998168889431442"/>
                </patternFill>
              </fill>
            </x14:dxf>
          </x14:cfRule>
          <x14:cfRule type="expression" priority="35" stopIfTrue="1" id="{A0575132-638C-4B6A-A139-8BD2B4DC29D7}">
            <xm:f>ISNUMBER(SEARCH("03*03*99",'Field information 2'!$O$5))</xm:f>
            <x14:dxf>
              <fill>
                <patternFill>
                  <bgColor theme="8" tint="0.79998168889431442"/>
                </patternFill>
              </fill>
            </x14:dxf>
          </x14:cfRule>
          <x14:cfRule type="expression" priority="36" stopIfTrue="1" id="{88C3AACD-C9CD-479B-AB99-376BBC19AF57}">
            <xm:f>ISNUMBER(SEARCH("06*01*99",'Field information 2'!$O$5))</xm:f>
            <x14:dxf>
              <fill>
                <patternFill>
                  <bgColor theme="8" tint="0.79998168889431442"/>
                </patternFill>
              </fill>
            </x14:dxf>
          </x14:cfRule>
          <x14:cfRule type="expression" priority="37" stopIfTrue="1" id="{BC41CCC5-466D-4D56-8A1E-CB51EBC817B5}">
            <xm:f>ISNUMBER(SEARCH("10*01*01",'Field information 2'!$O$5))</xm:f>
            <x14:dxf>
              <fill>
                <patternFill>
                  <bgColor theme="8" tint="0.79998168889431442"/>
                </patternFill>
              </fill>
            </x14:dxf>
          </x14:cfRule>
          <x14:cfRule type="expression" priority="71" stopIfTrue="1" id="{347FA9B3-0AAC-496D-A167-A7094A6BB2CE}">
            <xm:f>ISNUMBER(SEARCH("10*01*03",'Field information 2'!$O$5))</xm:f>
            <x14:dxf>
              <fill>
                <patternFill>
                  <bgColor theme="8" tint="0.79998168889431442"/>
                </patternFill>
              </fill>
            </x14:dxf>
          </x14:cfRule>
          <x14:cfRule type="expression" priority="110" stopIfTrue="1" id="{A2B397EC-48FF-41BA-A4AF-AF63B8B94213}">
            <xm:f>ISNUMBER(SEARCH("10*01*99",'Field information 2'!$O$5))</xm:f>
            <x14:dxf>
              <fill>
                <patternFill>
                  <bgColor theme="8" tint="0.79998168889431442"/>
                </patternFill>
              </fill>
            </x14:dxf>
          </x14:cfRule>
          <x14:cfRule type="expression" priority="111" stopIfTrue="1" id="{0EA58F1C-61C2-4C7B-9257-4C1BA63C3A7F}">
            <xm:f>ISNUMBER(SEARCH("10*13*04",'Field information 2'!$O$5))</xm:f>
            <x14:dxf>
              <fill>
                <patternFill>
                  <bgColor theme="8" tint="0.79998168889431442"/>
                </patternFill>
              </fill>
            </x14:dxf>
          </x14:cfRule>
          <x14:cfRule type="expression" priority="3" stopIfTrue="1" id="{7C28A488-7E4A-428E-AB4C-117F83675565}">
            <xm:f>'Field information 2'!$O$7="yes"</xm:f>
            <x14:dxf>
              <fill>
                <patternFill>
                  <bgColor rgb="FFFFFFCC"/>
                </patternFill>
              </fill>
            </x14:dxf>
          </x14:cfRule>
          <xm:sqref>C49:F49</xm:sqref>
        </x14:conditionalFormatting>
        <x14:conditionalFormatting xmlns:xm="http://schemas.microsoft.com/office/excel/2006/main">
          <x14:cfRule type="expression" priority="47" id="{317E0FB1-9DF4-4E2A-9377-595242C16663}">
            <xm:f>ISNUMBER(SEARCH("01*04*12",'Field information 2'!$O$5))</xm:f>
            <x14:dxf>
              <fill>
                <patternFill>
                  <bgColor rgb="FFFFFFCC"/>
                </patternFill>
              </fill>
            </x14:dxf>
          </x14:cfRule>
          <x14:cfRule type="expression" priority="48" id="{E0EA1AFE-1354-4F41-A0D5-B0A3705554E3}">
            <xm:f>ISNUMBER(SEARCH("03*03*09",'Field information 2'!$O$5))</xm:f>
            <x14:dxf>
              <fill>
                <patternFill>
                  <bgColor rgb="FFFFFFCC"/>
                </patternFill>
              </fill>
            </x14:dxf>
          </x14:cfRule>
          <x14:cfRule type="expression" priority="49" id="{769C9211-3D50-475B-AB4A-0D2124D243A8}">
            <xm:f>ISNUMBER(SEARCH("03*03*11",'Field information 2'!$O$5))</xm:f>
            <x14:dxf>
              <fill>
                <patternFill>
                  <bgColor rgb="FFFFFFCC"/>
                </patternFill>
              </fill>
            </x14:dxf>
          </x14:cfRule>
          <x14:cfRule type="expression" priority="50" id="{7632022A-D115-47B4-80AA-2870844A5FFF}">
            <xm:f>ISNUMBER(SEARCH("03*03*99",'Field information 2'!$O$5))</xm:f>
            <x14:dxf>
              <fill>
                <patternFill>
                  <bgColor rgb="FFFFFFCC"/>
                </patternFill>
              </fill>
            </x14:dxf>
          </x14:cfRule>
          <x14:cfRule type="expression" priority="51" id="{48059D17-C312-4D3A-B2FD-139EF7E58301}">
            <xm:f>ISNUMBER(SEARCH("06*01*99",'Field information 2'!$O$5))</xm:f>
            <x14:dxf>
              <fill>
                <patternFill>
                  <bgColor rgb="FFFFFFCC"/>
                </patternFill>
              </fill>
            </x14:dxf>
          </x14:cfRule>
          <x14:cfRule type="expression" priority="52" id="{3CE63E2F-40A1-4BB9-9182-9A7A163E3217}">
            <xm:f>ISNUMBER(SEARCH("10*01*01",'Field information 2'!$O$5))</xm:f>
            <x14:dxf>
              <fill>
                <patternFill>
                  <bgColor rgb="FFFFFFCC"/>
                </patternFill>
              </fill>
            </x14:dxf>
          </x14:cfRule>
          <x14:cfRule type="expression" priority="75" id="{D8978C40-86F1-4F64-B90D-2B0790920829}">
            <xm:f>ISNUMBER(SEARCH("10*01*03",'Field information 2'!$O$5))</xm:f>
            <x14:dxf>
              <fill>
                <patternFill>
                  <bgColor rgb="FFFFFFCC"/>
                </patternFill>
              </fill>
            </x14:dxf>
          </x14:cfRule>
          <x14:cfRule type="expression" priority="106" id="{68E06ED7-6C55-4532-ABE1-B3EC353B371B}">
            <xm:f>ISNUMBER(SEARCH("10*01*99",'Field information 2'!$O$5))</xm:f>
            <x14:dxf>
              <fill>
                <patternFill>
                  <bgColor rgb="FFFFFFCC"/>
                </patternFill>
              </fill>
            </x14:dxf>
          </x14:cfRule>
          <x14:cfRule type="expression" priority="107" id="{ABA664D8-424B-4710-B6E9-985345A6C503}">
            <xm:f>ISNUMBER(SEARCH("10*13*04",'Field information 2'!$O$5))</xm:f>
            <x14:dxf>
              <fill>
                <patternFill>
                  <bgColor rgb="FFFFFFCC"/>
                </patternFill>
              </fill>
            </x14:dxf>
          </x14:cfRule>
          <xm:sqref>D69:F69</xm:sqref>
        </x14:conditionalFormatting>
        <x14:conditionalFormatting xmlns:xm="http://schemas.microsoft.com/office/excel/2006/main">
          <x14:cfRule type="expression" priority="98" id="{C6D562EE-E9B3-43B5-BDFE-3ED747AD4832}">
            <xm:f>'Field information 2'!$Q$4&lt;&gt;""</xm:f>
            <x14:dxf>
              <fill>
                <patternFill>
                  <bgColor rgb="FFFFFFCC"/>
                </patternFill>
              </fill>
            </x14:dxf>
          </x14:cfRule>
          <xm:sqref>D79:F82 C82 C84:F85 C89:F89 C91:F91 C93:F93 C95:F95 C97:F103</xm:sqref>
        </x14:conditionalFormatting>
        <x14:conditionalFormatting xmlns:xm="http://schemas.microsoft.com/office/excel/2006/main">
          <x14:cfRule type="expression" priority="97" id="{3A528949-3846-4067-BF77-0F279DC16615}">
            <xm:f>'Field information 2'!$Q$4&lt;&gt;""</xm:f>
            <x14:dxf>
              <fill>
                <patternFill>
                  <bgColor theme="8" tint="0.79998168889431442"/>
                </patternFill>
              </fill>
            </x14:dxf>
          </x14:cfRule>
          <xm:sqref>G79:H82 G84:H86 G89:H89 G91:H91 G93:H93 G95:H95 G97:H103 D105:H105 C86:F86</xm:sqref>
        </x14:conditionalFormatting>
        <x14:conditionalFormatting xmlns:xm="http://schemas.microsoft.com/office/excel/2006/main">
          <x14:cfRule type="expression" priority="17" id="{CF4CC44E-89A5-47AD-BAFF-6915C63E4565}">
            <xm:f>ISNUMBER(SEARCH("01*04*12",'Field information 2'!$Q$5))</xm:f>
            <x14:dxf>
              <fill>
                <patternFill>
                  <bgColor theme="8" tint="0.79998168889431442"/>
                </patternFill>
              </fill>
            </x14:dxf>
          </x14:cfRule>
          <x14:cfRule type="expression" priority="18" id="{460AEA6B-9538-4CC7-9064-307DC6D21283}">
            <xm:f>ISNUMBER(SEARCH("03*03*09",'Field information 2'!$Q$5))</xm:f>
            <x14:dxf>
              <fill>
                <patternFill>
                  <bgColor theme="8" tint="0.79998168889431442"/>
                </patternFill>
              </fill>
            </x14:dxf>
          </x14:cfRule>
          <x14:cfRule type="expression" priority="19" id="{DF799C13-89F1-4F44-B464-141321644AF4}">
            <xm:f>ISNUMBER(SEARCH("03*03*11",'Field information 2'!$Q$5))</xm:f>
            <x14:dxf>
              <fill>
                <patternFill>
                  <bgColor theme="8" tint="0.79998168889431442"/>
                </patternFill>
              </fill>
            </x14:dxf>
          </x14:cfRule>
          <x14:cfRule type="expression" priority="20" id="{0BACFB59-9808-4FC1-8407-5F274DA415B5}">
            <xm:f>ISNUMBER(SEARCH("03*03*99",'Field information 2'!$Q$5))</xm:f>
            <x14:dxf>
              <fill>
                <patternFill>
                  <bgColor theme="8" tint="0.79998168889431442"/>
                </patternFill>
              </fill>
            </x14:dxf>
          </x14:cfRule>
          <x14:cfRule type="expression" priority="21" id="{C5A5C439-8155-45A6-928F-8BC26BE79984}">
            <xm:f>ISNUMBER(SEARCH("06*01*99",'Field information 2'!$Q$5))</xm:f>
            <x14:dxf>
              <fill>
                <patternFill>
                  <bgColor theme="8" tint="0.79998168889431442"/>
                </patternFill>
              </fill>
            </x14:dxf>
          </x14:cfRule>
          <x14:cfRule type="expression" priority="22" id="{DA9DA8F4-7CB5-4048-8E70-4DC071241D51}">
            <xm:f>ISNUMBER(SEARCH("10*01*01",'Field information 2'!$Q$5))</xm:f>
            <x14:dxf>
              <fill>
                <patternFill>
                  <bgColor theme="8" tint="0.79998168889431442"/>
                </patternFill>
              </fill>
            </x14:dxf>
          </x14:cfRule>
          <x14:cfRule type="expression" priority="63" id="{98B4B972-EDC5-4C9D-B2D5-B130EDAA3FDC}">
            <xm:f>ISNUMBER(SEARCH("10*01*03",'Field information 2'!$Q$5))</xm:f>
            <x14:dxf>
              <fill>
                <patternFill>
                  <bgColor theme="8" tint="0.79998168889431442"/>
                </patternFill>
              </fill>
            </x14:dxf>
          </x14:cfRule>
          <x14:cfRule type="expression" priority="95" id="{A11409DE-AFFF-4929-92B0-64F479D20FCF}">
            <xm:f>ISNUMBER(SEARCH("10*01*99",'Field information 2'!$Q$5))</xm:f>
            <x14:dxf>
              <fill>
                <patternFill>
                  <bgColor theme="8" tint="0.79998168889431442"/>
                </patternFill>
              </fill>
            </x14:dxf>
          </x14:cfRule>
          <x14:cfRule type="expression" priority="96" id="{59160689-EC08-4C80-AF9C-D24E844D1EE3}">
            <xm:f>ISNUMBER(SEARCH("10*13*04",'Field information 2'!$Q$5))</xm:f>
            <x14:dxf>
              <fill>
                <patternFill>
                  <bgColor theme="8" tint="0.79998168889431442"/>
                </patternFill>
              </fill>
            </x14:dxf>
          </x14:cfRule>
          <x14:cfRule type="expression" priority="1" stopIfTrue="1" id="{A5F5F4F4-634B-4A0A-97E6-7AB7A965A41A}">
            <xm:f>'Field information 2'!$Q$7="yes"</xm:f>
            <x14:dxf>
              <fill>
                <patternFill>
                  <bgColor rgb="FFFFFFCC"/>
                </patternFill>
              </fill>
            </x14:dxf>
          </x14:cfRule>
          <xm:sqref>C85:F85</xm:sqref>
        </x14:conditionalFormatting>
        <x14:conditionalFormatting xmlns:xm="http://schemas.microsoft.com/office/excel/2006/main">
          <x14:cfRule type="expression" priority="40" id="{64E39187-8E2A-4582-93D8-85EB55C88564}">
            <xm:f>ISNUMBER(SEARCH("01*04*12",'Field information 2'!$Q$5))</xm:f>
            <x14:dxf>
              <fill>
                <patternFill>
                  <bgColor rgb="FFFFFFCC"/>
                </patternFill>
              </fill>
            </x14:dxf>
          </x14:cfRule>
          <x14:cfRule type="expression" priority="41" id="{9DF72DB2-C8B6-4918-A28D-294035CC0E82}">
            <xm:f>ISNUMBER(SEARCH("03*03*99",'Field information 2'!$Q$5))</xm:f>
            <x14:dxf>
              <fill>
                <patternFill>
                  <bgColor rgb="FFFFFFCC"/>
                </patternFill>
              </fill>
            </x14:dxf>
          </x14:cfRule>
          <x14:cfRule type="expression" priority="42" id="{A5B73A53-5D52-44B2-9D38-2E807778E69F}">
            <xm:f>ISNUMBER(SEARCH("03*03*11",'Field information 2'!$Q$5))</xm:f>
            <x14:dxf>
              <fill>
                <patternFill>
                  <bgColor rgb="FFFFFFCC"/>
                </patternFill>
              </fill>
            </x14:dxf>
          </x14:cfRule>
          <x14:cfRule type="expression" priority="43" id="{595FE64B-C835-4299-81A3-9883A2CDE3CD}">
            <xm:f>ISNUMBER(SEARCH("03*03*99",'Field information 2'!$Q$5))</xm:f>
            <x14:dxf>
              <fill>
                <patternFill>
                  <bgColor rgb="FFFFFFCC"/>
                </patternFill>
              </fill>
            </x14:dxf>
          </x14:cfRule>
          <x14:cfRule type="expression" priority="44" id="{8853C441-9F9D-4D8E-B53B-13405FD0479D}">
            <xm:f>ISNUMBER(SEARCH("06*01*99",'Field information 2'!$Q$5))</xm:f>
            <x14:dxf>
              <fill>
                <patternFill>
                  <bgColor rgb="FFFFFFCC"/>
                </patternFill>
              </fill>
            </x14:dxf>
          </x14:cfRule>
          <x14:cfRule type="expression" priority="45" id="{B96FC857-5C9F-4366-8B5C-068A7713E5FC}">
            <xm:f>ISNUMBER(SEARCH("10*01*01",'Field information 2'!$Q$5))</xm:f>
            <x14:dxf>
              <fill>
                <patternFill>
                  <bgColor rgb="FFFFFFCC"/>
                </patternFill>
              </fill>
            </x14:dxf>
          </x14:cfRule>
          <x14:cfRule type="expression" priority="67" id="{F444F161-07D7-4AF9-9A6A-2E7DF562A8C4}">
            <xm:f>ISNUMBER(SEARCH("10*01*03",'Field information 2'!$Q$5))</xm:f>
            <x14:dxf>
              <fill>
                <patternFill>
                  <bgColor rgb="FFFFFFCC"/>
                </patternFill>
              </fill>
            </x14:dxf>
          </x14:cfRule>
          <x14:cfRule type="expression" priority="91" id="{A84CD09D-4DAF-4508-AED6-373B97547C49}">
            <xm:f>ISNUMBER(SEARCH("10*01*99",'Field information 2'!$Q$5))</xm:f>
            <x14:dxf>
              <fill>
                <patternFill>
                  <bgColor rgb="FFFFFFCC"/>
                </patternFill>
              </fill>
            </x14:dxf>
          </x14:cfRule>
          <x14:cfRule type="expression" priority="92" id="{F086215D-6B1E-482F-A7D8-F8FD8C367F62}">
            <xm:f>ISNUMBER(SEARCH("10*13*04",'Field information 2'!$Q$5))</xm:f>
            <x14:dxf>
              <fill>
                <patternFill>
                  <bgColor rgb="FFFFFFCC"/>
                </patternFill>
              </fill>
            </x14:dxf>
          </x14:cfRule>
          <xm:sqref>D105:F105</xm:sqref>
        </x14:conditionalFormatting>
        <x14:conditionalFormatting xmlns:xm="http://schemas.microsoft.com/office/excel/2006/main">
          <x14:cfRule type="expression" priority="5" id="{ED240EE3-981F-41DA-8564-85CCD6AC560D}">
            <xm:f>ISNUMBER(SEARCH("01*04*12",'Field information 2'!$M$5))</xm:f>
            <x14:dxf>
              <fill>
                <patternFill>
                  <bgColor theme="8" tint="0.79998168889431442"/>
                </patternFill>
              </fill>
            </x14:dxf>
          </x14:cfRule>
          <x14:cfRule type="expression" priority="24" id="{0EA29DED-5ECF-4828-B13F-40ED1ABD95CE}">
            <xm:f>ISNUMBER(SEARCH("03*03*09",'Field information 2'!$M$5))</xm:f>
            <x14:dxf>
              <fill>
                <patternFill>
                  <bgColor theme="8" tint="0.79998168889431442"/>
                </patternFill>
              </fill>
            </x14:dxf>
          </x14:cfRule>
          <x14:cfRule type="expression" priority="25" id="{D169D0FD-6AE6-447F-88E2-5FF8744F59B8}">
            <xm:f>ISNUMBER(SEARCH("03*03*11",'Field information 2'!$M$5))</xm:f>
            <x14:dxf>
              <fill>
                <patternFill>
                  <bgColor theme="8" tint="0.79998168889431442"/>
                </patternFill>
              </fill>
            </x14:dxf>
          </x14:cfRule>
          <x14:cfRule type="expression" priority="26" id="{24331FD8-006F-45DB-A3E5-4CFE7E1B870B}">
            <xm:f>ISNUMBER(SEARCH("03*03*99",'Field information 2'!$M$5))</xm:f>
            <x14:dxf>
              <fill>
                <patternFill>
                  <bgColor theme="8" tint="0.79998168889431442"/>
                </patternFill>
              </fill>
            </x14:dxf>
          </x14:cfRule>
          <x14:cfRule type="expression" priority="27" id="{FE8F0DEC-DB0E-4A6A-9854-C0559EA0DADE}">
            <xm:f>ISNUMBER(SEARCH("06*01*99",'Field information 2'!$M$5))</xm:f>
            <x14:dxf>
              <fill>
                <patternFill>
                  <bgColor theme="8" tint="0.79998168889431442"/>
                </patternFill>
              </fill>
            </x14:dxf>
          </x14:cfRule>
          <x14:cfRule type="expression" priority="28" id="{EE4FB55C-085F-405B-A8DC-23346EBE904A}">
            <xm:f>ISNUMBER(SEARCH("10*01*01",'Field information 2'!$M$5))</xm:f>
            <x14:dxf>
              <fill>
                <patternFill>
                  <bgColor theme="8" tint="0.79998168889431442"/>
                </patternFill>
              </fill>
            </x14:dxf>
          </x14:cfRule>
          <x14:cfRule type="expression" priority="29" id="{FC7E3D3F-56A9-4EB1-9300-68BD33B11813}">
            <xm:f>ISNUMBER(SEARCH("10*01*03",'Field information 2'!$M$5))</xm:f>
            <x14:dxf>
              <fill>
                <patternFill>
                  <bgColor theme="8" tint="0.79998168889431442"/>
                </patternFill>
              </fill>
            </x14:dxf>
          </x14:cfRule>
          <x14:cfRule type="expression" priority="88" id="{97961C3A-F322-4277-BA4A-E70A653971F6}">
            <xm:f>ISNUMBER(SEARCH("10*13*04",'Field information 2'!$M$5))</xm:f>
            <x14:dxf>
              <fill>
                <patternFill>
                  <bgColor theme="8" tint="0.79998168889431442"/>
                </patternFill>
              </fill>
            </x14:dxf>
          </x14:cfRule>
          <x14:cfRule type="expression" priority="30" id="{04623E76-FD2F-42D3-A503-941D35308C61}">
            <xm:f>ISNUMBER(SEARCH("10*01*99",'Field information 2'!$M$5))</xm:f>
            <x14:dxf>
              <fill>
                <patternFill>
                  <bgColor theme="8" tint="0.79998168889431442"/>
                </patternFill>
              </fill>
            </x14:dxf>
          </x14:cfRule>
          <x14:cfRule type="expression" priority="4" stopIfTrue="1" id="{1A541786-4248-4EB2-971F-05C2400AF53C}">
            <xm:f>'Field information 2'!$M$7="yes"</xm:f>
            <x14:dxf>
              <fill>
                <patternFill>
                  <bgColor rgb="FFFFFFCC"/>
                </patternFill>
              </fill>
            </x14:dxf>
          </x14:cfRule>
          <xm:sqref>C13:F13</xm:sqref>
        </x14:conditionalFormatting>
        <x14:conditionalFormatting xmlns:xm="http://schemas.microsoft.com/office/excel/2006/main">
          <x14:cfRule type="expression" priority="39" id="{494132AA-0968-4693-9F85-6CB6D539B784}">
            <xm:f>'Field information 2'!$Q$4&lt;&gt;""</xm:f>
            <x14:dxf>
              <fill>
                <patternFill>
                  <bgColor theme="8" tint="0.79998168889431442"/>
                </patternFill>
              </fill>
            </x14:dxf>
          </x14:cfRule>
          <xm:sqref>C95:F95</xm:sqref>
        </x14:conditionalFormatting>
        <x14:conditionalFormatting xmlns:xm="http://schemas.microsoft.com/office/excel/2006/main">
          <x14:cfRule type="expression" priority="16" id="{CBA297D8-131C-4578-82BE-65BAD227F749}">
            <xm:f>'Field information 2'!$M$5="xx"</xm:f>
            <x14:dxf>
              <fill>
                <patternFill>
                  <bgColor theme="8" tint="0.79998168889431442"/>
                </patternFill>
              </fill>
            </x14:dxf>
          </x14:cfRule>
          <xm:sqref>D7:F7</xm:sqref>
        </x14:conditionalFormatting>
        <x14:conditionalFormatting xmlns:xm="http://schemas.microsoft.com/office/excel/2006/main">
          <x14:cfRule type="expression" priority="15" id="{32A1206A-CBCF-4FE3-84F6-68A5D54679DF}">
            <xm:f>'Field information 2'!$O$5="xx"</xm:f>
            <x14:dxf>
              <fill>
                <patternFill>
                  <bgColor theme="8" tint="0.79998168889431442"/>
                </patternFill>
              </fill>
            </x14:dxf>
          </x14:cfRule>
          <xm:sqref>D43:F43</xm:sqref>
        </x14:conditionalFormatting>
        <x14:conditionalFormatting xmlns:xm="http://schemas.microsoft.com/office/excel/2006/main">
          <x14:cfRule type="expression" priority="14" id="{905B9AFA-2D6A-41ED-9262-7E580BA477FD}">
            <xm:f>'Field information 2'!$Q$5="xx"</xm:f>
            <x14:dxf>
              <fill>
                <patternFill>
                  <bgColor theme="8" tint="0.79998168889431442"/>
                </patternFill>
              </fill>
            </x14:dxf>
          </x14:cfRule>
          <xm:sqref>D79:F79</xm:sqref>
        </x14:conditionalFormatting>
        <x14:conditionalFormatting xmlns:xm="http://schemas.microsoft.com/office/excel/2006/main">
          <x14:cfRule type="expression" priority="13" id="{EB64A382-CFFD-4237-9479-FAFD2986C1D6}">
            <xm:f>'Field information 2'!$M$5="xx"</xm:f>
            <x14:dxf>
              <fill>
                <patternFill>
                  <bgColor theme="8" tint="0.79998168889431442"/>
                </patternFill>
              </fill>
            </x14:dxf>
          </x14:cfRule>
          <xm:sqref>D9:F9</xm:sqref>
        </x14:conditionalFormatting>
        <x14:conditionalFormatting xmlns:xm="http://schemas.microsoft.com/office/excel/2006/main">
          <x14:cfRule type="expression" priority="12" id="{C3B8B78D-6532-4180-BC21-68C9E1105EDF}">
            <xm:f>'Field information 2'!$M$5="xx"</xm:f>
            <x14:dxf>
              <fill>
                <patternFill>
                  <bgColor theme="8" tint="0.79998168889431442"/>
                </patternFill>
              </fill>
            </x14:dxf>
          </x14:cfRule>
          <xm:sqref>C10:F10</xm:sqref>
        </x14:conditionalFormatting>
        <x14:conditionalFormatting xmlns:xm="http://schemas.microsoft.com/office/excel/2006/main">
          <x14:cfRule type="expression" priority="11" id="{0615291F-8E70-4D42-ACAE-2E1283790F35}">
            <xm:f>'Field information 2'!$M$5="xx"</xm:f>
            <x14:dxf>
              <fill>
                <patternFill>
                  <bgColor theme="8" tint="0.79998168889431442"/>
                </patternFill>
              </fill>
            </x14:dxf>
          </x14:cfRule>
          <xm:sqref>C25:F31</xm:sqref>
        </x14:conditionalFormatting>
        <x14:conditionalFormatting xmlns:xm="http://schemas.microsoft.com/office/excel/2006/main">
          <x14:cfRule type="expression" priority="10" id="{C1F46581-F56F-4563-BC31-AAD3BC247AC1}">
            <xm:f>'Field information 2'!$O$5="xx"</xm:f>
            <x14:dxf>
              <fill>
                <patternFill>
                  <bgColor theme="8" tint="0.79998168889431442"/>
                </patternFill>
              </fill>
            </x14:dxf>
          </x14:cfRule>
          <xm:sqref>D45:F45 C46:F46 C61:F67</xm:sqref>
        </x14:conditionalFormatting>
        <x14:conditionalFormatting xmlns:xm="http://schemas.microsoft.com/office/excel/2006/main">
          <x14:cfRule type="expression" priority="9" id="{F5642164-3B1C-4AC8-B0E8-B56314C4E9EE}">
            <xm:f>'Field information 2'!$Q$5="xx"</xm:f>
            <x14:dxf>
              <fill>
                <patternFill>
                  <bgColor theme="8" tint="0.79998168889431442"/>
                </patternFill>
              </fill>
            </x14:dxf>
          </x14:cfRule>
          <xm:sqref>D81:F81 C82:F82 C97:F103</xm:sqref>
        </x14:conditionalFormatting>
        <x14:conditionalFormatting xmlns:xm="http://schemas.microsoft.com/office/excel/2006/main">
          <x14:cfRule type="expression" priority="8" id="{D8DCA72E-7A9B-44E4-8CB9-733E3E509953}">
            <xm:f>'Field information 2'!$M$5="xx"</xm:f>
            <x14:dxf>
              <fill>
                <patternFill>
                  <bgColor theme="8" tint="0.79998168889431442"/>
                </patternFill>
              </fill>
            </x14:dxf>
          </x14:cfRule>
          <xm:sqref>C21:F21</xm:sqref>
        </x14:conditionalFormatting>
        <x14:conditionalFormatting xmlns:xm="http://schemas.microsoft.com/office/excel/2006/main">
          <x14:cfRule type="expression" priority="7" id="{25A7BD97-D89C-4E7B-A7B7-5F95B4858FB2}">
            <xm:f>'Field information 2'!$O$5="xx"</xm:f>
            <x14:dxf>
              <fill>
                <patternFill>
                  <bgColor theme="8" tint="0.79998168889431442"/>
                </patternFill>
              </fill>
            </x14:dxf>
          </x14:cfRule>
          <xm:sqref>C57:F57</xm:sqref>
        </x14:conditionalFormatting>
        <x14:conditionalFormatting xmlns:xm="http://schemas.microsoft.com/office/excel/2006/main">
          <x14:cfRule type="expression" priority="6" id="{AC8C54DD-20AF-40A6-9ECF-C408FAB98791}">
            <xm:f>'Field information 2'!$Q$5="xx"</xm:f>
            <x14:dxf>
              <fill>
                <patternFill>
                  <bgColor theme="8" tint="0.79998168889431442"/>
                </patternFill>
              </fill>
            </x14:dxf>
          </x14:cfRule>
          <xm:sqref>C93:F93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86ABAB20-9939-4D64-B630-128B066FB64B}">
          <x14:formula1>
            <xm:f>Calc!$BW$24:$BW$29</xm:f>
          </x14:formula1>
          <xm:sqref>C84 C48</xm:sqref>
        </x14:dataValidation>
        <x14:dataValidation type="list" allowBlank="1" showInputMessage="1" showErrorMessage="1" xr:uid="{F901F94B-74DB-439E-836F-E82077C8D21F}">
          <x14:formula1>
            <xm:f>Calc!$BW$71:$BW$81</xm:f>
          </x14:formula1>
          <xm:sqref>C89 C53 C17</xm:sqref>
        </x14:dataValidation>
        <x14:dataValidation type="list" allowBlank="1" showInputMessage="1" showErrorMessage="1" xr:uid="{0853A496-62D2-409D-8DAF-B857F3B82DD8}">
          <x14:formula1>
            <xm:f>Calc!$BW$89:$BW$99</xm:f>
          </x14:formula1>
          <xm:sqref>C91 C55 C19</xm:sqref>
        </x14:dataValidation>
        <x14:dataValidation type="list" allowBlank="1" showInputMessage="1" showErrorMessage="1" xr:uid="{50E7572E-FEB2-4140-9C90-1C213078F73F}">
          <x14:formula1>
            <xm:f>Calc!$BW$107:$BW$117</xm:f>
          </x14:formula1>
          <xm:sqref>C93 C57 C21</xm:sqref>
        </x14:dataValidation>
        <x14:dataValidation type="list" allowBlank="1" showInputMessage="1" showErrorMessage="1" xr:uid="{04F7DF3A-B7C8-4894-A698-E63BBE7DCE60}">
          <x14:formula1>
            <xm:f>Calc!$BW$125:$BW$135</xm:f>
          </x14:formula1>
          <xm:sqref>C95 C59 C23</xm:sqref>
        </x14:dataValidation>
        <x14:dataValidation type="list" allowBlank="1" showInputMessage="1" showErrorMessage="1" xr:uid="{9118A5A2-E78A-4DFA-AE07-9F3C2DD8B2D7}">
          <x14:formula1>
            <xm:f>Calc!$BW$35:$BW$45</xm:f>
          </x14:formula1>
          <xm:sqref>C85 C49</xm:sqref>
        </x14:dataValidation>
        <x14:dataValidation type="list" allowBlank="1" showInputMessage="1" showErrorMessage="1" xr:uid="{DD52432D-1C76-4A7C-B730-F0735D52C94C}">
          <x14:formula1>
            <xm:f>Calc!$BW$53:$BW$63</xm:f>
          </x14:formula1>
          <xm:sqref>C86 C50 C14</xm:sqref>
        </x14:dataValidation>
        <x14:dataValidation type="list" allowBlank="1" showInputMessage="1" showErrorMessage="1" xr:uid="{0F3A1FD3-E77A-41E4-8BBA-858D8216E78C}">
          <x14:formula1>
            <xm:f>Calc!$BW$4:$BW$16</xm:f>
          </x14:formula1>
          <xm:sqref>C82 C46 C10</xm:sqref>
        </x14:dataValidation>
        <x14:dataValidation type="list" allowBlank="1" showInputMessage="1" showErrorMessage="1" xr:uid="{80692EF8-F3B5-48F3-84FD-4CCF8AD26B1A}">
          <x14:formula1>
            <xm:f>Calc!$BW$24:$BW$32</xm:f>
          </x14:formula1>
          <xm:sqref>C12</xm:sqref>
        </x14:dataValidation>
        <x14:dataValidation type="list" allowBlank="1" showInputMessage="1" showErrorMessage="1" xr:uid="{0EF21D99-B541-4F3E-A393-1250378A3FCB}">
          <x14:formula1>
            <xm:f>Calc!$BW$35:$BW$50</xm:f>
          </x14:formula1>
          <xm:sqref>C13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FDDD-B3F7-4939-A55C-7FD88CD60A28}">
  <dimension ref="B1:B7"/>
  <sheetViews>
    <sheetView topLeftCell="A2" zoomScaleNormal="100" workbookViewId="0">
      <selection activeCell="B4" sqref="B4"/>
    </sheetView>
  </sheetViews>
  <sheetFormatPr defaultRowHeight="14.5" x14ac:dyDescent="0.35"/>
  <cols>
    <col min="1" max="1" width="2.26953125" customWidth="1"/>
    <col min="2" max="2" width="128.453125" customWidth="1"/>
  </cols>
  <sheetData>
    <row r="1" spans="2:2" ht="44.15" customHeight="1" x14ac:dyDescent="0.35">
      <c r="B1" s="362" t="s">
        <v>148</v>
      </c>
    </row>
    <row r="2" spans="2:2" ht="8.5" customHeight="1" x14ac:dyDescent="0.35">
      <c r="B2" s="319"/>
    </row>
    <row r="3" spans="2:2" ht="39.65" customHeight="1" x14ac:dyDescent="0.35">
      <c r="B3" s="344" t="s">
        <v>616</v>
      </c>
    </row>
    <row r="4" spans="2:2" ht="37" customHeight="1" x14ac:dyDescent="0.35">
      <c r="B4" s="343"/>
    </row>
    <row r="5" spans="2:2" ht="6" customHeight="1" x14ac:dyDescent="0.35"/>
    <row r="6" spans="2:2" ht="26.5" customHeight="1" thickBot="1" x14ac:dyDescent="0.4">
      <c r="B6" s="320" t="s">
        <v>149</v>
      </c>
    </row>
    <row r="7" spans="2:2" ht="285.64999999999998" customHeight="1" thickBot="1" x14ac:dyDescent="0.4">
      <c r="B7" s="321"/>
    </row>
  </sheetData>
  <sheetProtection algorithmName="SHA-512" hashValue="ZyiaSZrsIrxUSYcJFGLp0CKzZ0EwvImH6aODeYjPyT6f08CTlQ6z1radcm/vgTpb87vLE9b+xvX+K4B87imowg==" saltValue="Jdl+4lMLhaFHrXcAOayTvA==" spinCount="100000" sheet="1" selectLockedCells="1"/>
  <pageMargins left="0.7" right="0.7" top="0.75" bottom="0.75" header="0.3" footer="0.3"/>
  <pageSetup paperSize="0" orientation="portrait" horizontalDpi="0" verticalDpi="0" copies="0"/>
  <extLst>
    <ext xmlns:x14="http://schemas.microsoft.com/office/spreadsheetml/2009/9/main" uri="{78C0D931-6437-407d-A8EE-F0AAD7539E65}">
      <x14:conditionalFormattings>
        <x14:conditionalFormatting xmlns:xm="http://schemas.microsoft.com/office/excel/2006/main">
          <x14:cfRule type="expression" priority="1" id="{8ADC0375-B451-436B-BD80-4B8BEC6F5789}">
            <xm:f>Summary!$F$8="renewal"</xm:f>
            <x14:dxf>
              <fill>
                <patternFill>
                  <bgColor theme="8" tint="0.79998168889431442"/>
                </patternFill>
              </fill>
            </x14:dxf>
          </x14:cfRule>
          <xm:sqref>B4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F6D17A4-42FD-4115-8486-6E1066ACC557}">
          <x14:formula1>
            <xm:f>Calc!$BX$4</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F2417-5A2D-4F9D-B69E-2228BD9DBAFA}">
  <dimension ref="A1:BS506"/>
  <sheetViews>
    <sheetView zoomScale="115" zoomScaleNormal="115" workbookViewId="0">
      <pane xSplit="2" ySplit="6" topLeftCell="C7" activePane="bottomRight" state="frozen"/>
      <selection pane="topRight" activeCell="J32" sqref="J32"/>
      <selection pane="bottomLeft" activeCell="J32" sqref="J32"/>
      <selection pane="bottomRight" activeCell="AG7" sqref="AG7"/>
    </sheetView>
  </sheetViews>
  <sheetFormatPr defaultRowHeight="14.5" x14ac:dyDescent="0.35"/>
  <cols>
    <col min="1" max="1" width="0.54296875" customWidth="1"/>
    <col min="2" max="2" width="21.54296875" customWidth="1"/>
    <col min="3" max="3" width="12.453125" customWidth="1"/>
    <col min="4" max="4" width="18.453125" customWidth="1"/>
    <col min="5" max="5" width="10.453125" customWidth="1"/>
    <col min="6" max="6" width="17.54296875" customWidth="1"/>
    <col min="7" max="7" width="1.7265625" customWidth="1"/>
    <col min="8" max="9" width="12.453125" customWidth="1"/>
    <col min="10" max="10" width="12.54296875" customWidth="1"/>
    <col min="11" max="12" width="10.453125" customWidth="1"/>
    <col min="13" max="13" width="24.26953125" customWidth="1"/>
    <col min="14" max="14" width="1.81640625" customWidth="1"/>
    <col min="15" max="15" width="11.81640625" customWidth="1"/>
    <col min="16" max="16" width="12.7265625" customWidth="1"/>
    <col min="17" max="17" width="10.453125" customWidth="1"/>
    <col min="18" max="18" width="20.7265625" customWidth="1"/>
    <col min="19" max="19" width="1.453125" customWidth="1"/>
    <col min="20" max="20" width="11.7265625" customWidth="1"/>
    <col min="21" max="21" width="12.81640625" customWidth="1"/>
    <col min="22" max="22" width="9.54296875" customWidth="1"/>
    <col min="23" max="23" width="21.81640625" customWidth="1"/>
    <col min="24" max="24" width="1.54296875" customWidth="1"/>
    <col min="25" max="25" width="11.7265625" customWidth="1"/>
    <col min="26" max="26" width="13.26953125" customWidth="1"/>
    <col min="27" max="27" width="9.81640625" customWidth="1"/>
    <col min="28" max="28" width="29.1796875" customWidth="1"/>
    <col min="29" max="29" width="1.81640625" customWidth="1"/>
    <col min="30" max="30" width="8" style="7" customWidth="1"/>
    <col min="31" max="31" width="7.81640625" style="7" customWidth="1"/>
    <col min="32" max="32" width="32.81640625" style="7" customWidth="1"/>
    <col min="33" max="33" width="52.81640625" customWidth="1"/>
    <col min="34" max="34" width="3.81640625" customWidth="1"/>
    <col min="35" max="35" width="13.81640625" customWidth="1"/>
    <col min="36" max="36" width="25.81640625" customWidth="1"/>
    <col min="37" max="37" width="2.26953125" customWidth="1"/>
    <col min="38" max="38" width="12.453125" customWidth="1"/>
    <col min="39" max="39" width="13.54296875" customWidth="1"/>
    <col min="40" max="40" width="13.1796875" customWidth="1"/>
    <col min="41" max="41" width="46.1796875" customWidth="1"/>
    <col min="42" max="42" width="1.453125" customWidth="1"/>
    <col min="43" max="43" width="13" customWidth="1"/>
    <col min="44" max="45" width="12.81640625" bestFit="1" customWidth="1"/>
    <col min="46" max="46" width="46.54296875" customWidth="1"/>
    <col min="47" max="47" width="1.453125" customWidth="1"/>
    <col min="48" max="48" width="12.7265625" customWidth="1"/>
    <col min="49" max="49" width="13.453125" customWidth="1"/>
    <col min="50" max="50" width="12.7265625" customWidth="1"/>
    <col min="51" max="51" width="48.54296875" customWidth="1"/>
    <col min="52" max="52" width="1.1796875" customWidth="1"/>
    <col min="53" max="53" width="12" customWidth="1"/>
    <col min="54" max="54" width="13.1796875" customWidth="1"/>
    <col min="55" max="55" width="12.81640625" customWidth="1"/>
    <col min="56" max="56" width="47.453125" customWidth="1"/>
    <col min="57" max="57" width="1.453125" customWidth="1"/>
    <col min="58" max="58" width="13.54296875" customWidth="1"/>
    <col min="59" max="60" width="12.81640625" bestFit="1" customWidth="1"/>
    <col min="61" max="61" width="48.81640625" customWidth="1"/>
    <col min="62" max="62" width="1.453125" customWidth="1"/>
    <col min="63" max="63" width="12.81640625" customWidth="1"/>
    <col min="64" max="65" width="13" customWidth="1"/>
    <col min="66" max="66" width="47.7265625" customWidth="1"/>
    <col min="67" max="67" width="1.1796875" customWidth="1"/>
    <col min="68" max="69" width="12.81640625" customWidth="1"/>
    <col min="70" max="70" width="12.7265625" customWidth="1"/>
    <col min="71" max="71" width="46.54296875" customWidth="1"/>
  </cols>
  <sheetData>
    <row r="1" spans="1:71" ht="4.5" customHeight="1" x14ac:dyDescent="0.35">
      <c r="A1" s="436" t="s">
        <v>150</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6"/>
      <c r="AN1" s="436"/>
      <c r="AO1" s="436"/>
      <c r="AP1" s="436"/>
      <c r="AQ1" s="436"/>
      <c r="AR1" s="436"/>
      <c r="AS1" s="436"/>
      <c r="AT1" s="436"/>
      <c r="AU1" s="436"/>
      <c r="AV1" s="436"/>
      <c r="AW1" s="436"/>
      <c r="AX1" s="436"/>
      <c r="AY1" s="436"/>
      <c r="AZ1" s="436"/>
      <c r="BA1" s="436"/>
      <c r="BB1" s="436"/>
      <c r="BC1" s="436"/>
      <c r="BD1" s="436"/>
      <c r="BE1" s="436"/>
      <c r="BF1" s="436"/>
      <c r="BG1" s="436"/>
      <c r="BH1" s="436"/>
      <c r="BI1" s="436"/>
      <c r="BJ1" s="436"/>
      <c r="BK1" s="436"/>
      <c r="BL1" s="436"/>
      <c r="BM1" s="436"/>
      <c r="BN1" s="436"/>
      <c r="BO1" s="436"/>
      <c r="BP1" s="436"/>
      <c r="BQ1" s="436"/>
      <c r="BR1" s="436"/>
      <c r="BS1" s="436"/>
    </row>
    <row r="2" spans="1:71" ht="41.5" customHeight="1" x14ac:dyDescent="0.35">
      <c r="A2" s="436"/>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row>
    <row r="3" spans="1:71" x14ac:dyDescent="0.35">
      <c r="O3" s="5"/>
      <c r="T3" s="5"/>
      <c r="AD3" s="28"/>
    </row>
    <row r="4" spans="1:71" ht="16.5" x14ac:dyDescent="0.45">
      <c r="C4" s="440" t="s">
        <v>151</v>
      </c>
      <c r="D4" s="440"/>
      <c r="E4" s="440"/>
      <c r="F4" s="440"/>
      <c r="H4" s="439" t="s">
        <v>152</v>
      </c>
      <c r="I4" s="439"/>
      <c r="J4" s="439"/>
      <c r="K4" s="439"/>
      <c r="L4" s="439"/>
      <c r="M4" s="439"/>
      <c r="O4" s="439" t="s">
        <v>153</v>
      </c>
      <c r="P4" s="439"/>
      <c r="Q4" s="439"/>
      <c r="R4" s="439"/>
      <c r="T4" s="439" t="s">
        <v>154</v>
      </c>
      <c r="U4" s="439"/>
      <c r="V4" s="439"/>
      <c r="W4" s="439"/>
      <c r="X4" s="160"/>
      <c r="Y4" s="440" t="s">
        <v>155</v>
      </c>
      <c r="Z4" s="440"/>
      <c r="AA4" s="440"/>
      <c r="AB4" s="440"/>
      <c r="AD4" s="441" t="s">
        <v>156</v>
      </c>
      <c r="AE4" s="441"/>
      <c r="AF4" s="441"/>
      <c r="AG4" s="441"/>
      <c r="AI4" s="439" t="s">
        <v>111</v>
      </c>
      <c r="AJ4" s="439"/>
      <c r="AL4" s="439" t="s">
        <v>157</v>
      </c>
      <c r="AM4" s="439"/>
      <c r="AN4" s="439"/>
      <c r="AO4" s="439"/>
      <c r="AQ4" s="439" t="s">
        <v>158</v>
      </c>
      <c r="AR4" s="439"/>
      <c r="AS4" s="439"/>
      <c r="AT4" s="439"/>
      <c r="AV4" s="439" t="s">
        <v>159</v>
      </c>
      <c r="AW4" s="439"/>
      <c r="AX4" s="439"/>
      <c r="AY4" s="439"/>
      <c r="BA4" s="439" t="s">
        <v>160</v>
      </c>
      <c r="BB4" s="439"/>
      <c r="BC4" s="439"/>
      <c r="BD4" s="439"/>
      <c r="BF4" s="439" t="s">
        <v>161</v>
      </c>
      <c r="BG4" s="439"/>
      <c r="BH4" s="439"/>
      <c r="BI4" s="439"/>
      <c r="BK4" s="439" t="s">
        <v>162</v>
      </c>
      <c r="BL4" s="439"/>
      <c r="BM4" s="439"/>
      <c r="BN4" s="439"/>
      <c r="BP4" s="439" t="s">
        <v>163</v>
      </c>
      <c r="BQ4" s="439"/>
      <c r="BR4" s="439"/>
      <c r="BS4" s="439"/>
    </row>
    <row r="5" spans="1:71" s="1" customFormat="1" ht="41.15" customHeight="1" x14ac:dyDescent="0.35">
      <c r="C5" s="1" t="s">
        <v>164</v>
      </c>
      <c r="D5" s="1" t="s">
        <v>165</v>
      </c>
      <c r="E5" s="1" t="s">
        <v>166</v>
      </c>
      <c r="F5" s="46" t="s">
        <v>167</v>
      </c>
      <c r="H5" s="1" t="s">
        <v>164</v>
      </c>
      <c r="I5" s="1" t="s">
        <v>168</v>
      </c>
      <c r="J5" s="1" t="s">
        <v>165</v>
      </c>
      <c r="K5" s="1" t="s">
        <v>166</v>
      </c>
      <c r="L5" s="1" t="s">
        <v>169</v>
      </c>
      <c r="M5" s="1" t="s">
        <v>167</v>
      </c>
      <c r="O5" s="1" t="s">
        <v>164</v>
      </c>
      <c r="P5" s="1" t="s">
        <v>165</v>
      </c>
      <c r="Q5" s="1" t="s">
        <v>166</v>
      </c>
      <c r="R5" s="1" t="s">
        <v>167</v>
      </c>
      <c r="T5" s="1" t="s">
        <v>164</v>
      </c>
      <c r="U5" s="1" t="s">
        <v>165</v>
      </c>
      <c r="V5" s="1" t="s">
        <v>166</v>
      </c>
      <c r="W5" s="1" t="s">
        <v>167</v>
      </c>
      <c r="Y5" s="1" t="s">
        <v>164</v>
      </c>
      <c r="Z5" s="1" t="s">
        <v>165</v>
      </c>
      <c r="AA5" s="1" t="s">
        <v>166</v>
      </c>
      <c r="AB5" s="1" t="s">
        <v>167</v>
      </c>
      <c r="AD5" s="1" t="s">
        <v>170</v>
      </c>
      <c r="AE5" s="1" t="s">
        <v>171</v>
      </c>
      <c r="AF5" s="1" t="s">
        <v>172</v>
      </c>
      <c r="AG5" s="1" t="s">
        <v>167</v>
      </c>
      <c r="AI5" s="1" t="s">
        <v>164</v>
      </c>
      <c r="AJ5" s="1" t="s">
        <v>167</v>
      </c>
      <c r="AL5" s="1" t="s">
        <v>164</v>
      </c>
      <c r="AM5" s="1" t="s">
        <v>173</v>
      </c>
      <c r="AN5" s="1" t="s">
        <v>174</v>
      </c>
      <c r="AO5" s="1" t="s">
        <v>167</v>
      </c>
      <c r="AQ5" s="1" t="s">
        <v>164</v>
      </c>
      <c r="AR5" s="1" t="s">
        <v>173</v>
      </c>
      <c r="AS5" s="1" t="s">
        <v>174</v>
      </c>
      <c r="AT5" s="1" t="s">
        <v>167</v>
      </c>
      <c r="AV5" s="1" t="s">
        <v>164</v>
      </c>
      <c r="AW5" s="1" t="s">
        <v>173</v>
      </c>
      <c r="AX5" s="1" t="s">
        <v>174</v>
      </c>
      <c r="AY5" s="1" t="s">
        <v>167</v>
      </c>
      <c r="BA5" s="1" t="s">
        <v>164</v>
      </c>
      <c r="BB5" s="1" t="s">
        <v>173</v>
      </c>
      <c r="BC5" s="1" t="s">
        <v>174</v>
      </c>
      <c r="BD5" s="1" t="s">
        <v>167</v>
      </c>
      <c r="BF5" s="1" t="s">
        <v>164</v>
      </c>
      <c r="BG5" s="1" t="s">
        <v>173</v>
      </c>
      <c r="BH5" s="1" t="s">
        <v>174</v>
      </c>
      <c r="BI5" s="1" t="s">
        <v>167</v>
      </c>
      <c r="BK5" s="1" t="s">
        <v>164</v>
      </c>
      <c r="BL5" s="1" t="s">
        <v>173</v>
      </c>
      <c r="BM5" s="1" t="s">
        <v>174</v>
      </c>
      <c r="BN5" s="1" t="s">
        <v>167</v>
      </c>
      <c r="BP5" s="1" t="s">
        <v>164</v>
      </c>
      <c r="BQ5" s="1" t="s">
        <v>173</v>
      </c>
      <c r="BR5" s="1" t="s">
        <v>174</v>
      </c>
      <c r="BS5" s="1" t="s">
        <v>167</v>
      </c>
    </row>
    <row r="6" spans="1:71" x14ac:dyDescent="0.35">
      <c r="B6" t="s">
        <v>48</v>
      </c>
      <c r="C6" s="7" t="s">
        <v>175</v>
      </c>
      <c r="D6" s="7" t="s">
        <v>175</v>
      </c>
      <c r="E6" s="7" t="s">
        <v>175</v>
      </c>
      <c r="F6" s="5"/>
      <c r="H6" s="7" t="s">
        <v>175</v>
      </c>
      <c r="I6" s="7" t="s">
        <v>109</v>
      </c>
      <c r="J6" s="7" t="s">
        <v>175</v>
      </c>
      <c r="K6" s="7" t="s">
        <v>175</v>
      </c>
      <c r="L6" s="5"/>
      <c r="O6" s="7" t="s">
        <v>175</v>
      </c>
      <c r="P6" s="7" t="s">
        <v>175</v>
      </c>
      <c r="Q6" s="7" t="s">
        <v>175</v>
      </c>
      <c r="T6" s="7" t="s">
        <v>175</v>
      </c>
      <c r="U6" s="7" t="s">
        <v>175</v>
      </c>
      <c r="V6" s="7" t="s">
        <v>175</v>
      </c>
      <c r="Y6" s="7" t="s">
        <v>175</v>
      </c>
      <c r="Z6" s="7" t="s">
        <v>175</v>
      </c>
      <c r="AA6" s="7" t="s">
        <v>175</v>
      </c>
      <c r="AF6" s="7" t="s">
        <v>176</v>
      </c>
      <c r="AG6" s="5"/>
      <c r="AI6" s="7" t="s">
        <v>175</v>
      </c>
      <c r="AL6" t="s">
        <v>175</v>
      </c>
      <c r="AM6" t="s">
        <v>97</v>
      </c>
      <c r="AQ6" t="s">
        <v>175</v>
      </c>
      <c r="AR6" t="s">
        <v>97</v>
      </c>
      <c r="AV6" t="s">
        <v>175</v>
      </c>
      <c r="AW6" t="s">
        <v>97</v>
      </c>
      <c r="BA6" t="s">
        <v>175</v>
      </c>
      <c r="BB6" t="s">
        <v>97</v>
      </c>
      <c r="BF6" t="s">
        <v>175</v>
      </c>
      <c r="BG6" t="s">
        <v>97</v>
      </c>
      <c r="BK6" t="s">
        <v>175</v>
      </c>
      <c r="BL6" t="s">
        <v>97</v>
      </c>
      <c r="BP6" t="s">
        <v>175</v>
      </c>
      <c r="BQ6" t="s">
        <v>97</v>
      </c>
    </row>
    <row r="7" spans="1:71" s="9" customFormat="1" x14ac:dyDescent="0.35">
      <c r="B7" s="236" t="str">
        <f ca="1">'Soil results'!B10</f>
        <v/>
      </c>
      <c r="C7" s="91" t="str">
        <f ca="1">IF(B7="","",
IF(AND('Field information 2'!$O$5="", 'Field information 2'!$Q$5=""),
   IF('Waste results'!$S$12&lt;&gt;"data missing", Calc!BC5*'Waste results'!$S$12, "data missing"),
IF('Field information 2'!$Q$5="",
   IF(Calc!BD5=0,
     IF('Waste results'!$S$12&lt;&gt;"data missing", Calc!BC5*'Waste results'!$S$12, "data missing"),
   IF(Calc!BC5=0,
     IF('Waste results'!$S$48&lt;&gt;"data missing", Calc!BD5*'Waste results'!$S$48, "data missing"),
   IF(OR('Waste results'!$S$12&lt;&gt;"data missing", 'Waste results'!$S$48&lt;&gt;"data missing"), Calc!BC5*'Waste results'!$S$12+ Calc!BD5*'Waste results'!$S$48, "data missing"))),
IF(AND('Field information 2'!$M$5&lt;&gt;"", 'Field information 2'!$O$5&lt;&gt;"", 'Field information 2'!$Q$5&lt;&gt;""),
   IF(AND(Calc!BD5=0,Calc!BE5=0),
     IF('Waste results'!$S$12&lt;&gt;"data missing", Calc!BC5*'Waste results'!$S$12, "data missing"),
   IF(AND(Calc!BC5=0,Calc!BE5=0),
     IF('Waste results'!$S$48&lt;&gt;"data missing", Calc!BD5*'Waste results'!$S$48, "data missing"),
   IF(AND(Calc!BC5=0,Calc!BD5=0),
     IF('Waste results'!$S$84&lt;&gt;"data missing", Calc!BE5*'Waste results'!$S$84, "data missing"),
   IF(Calc!BE5=0,
     IF(OR('Waste results'!$S$12&lt;&gt;"data missing", 'Waste results'!$S$48&lt;&gt;"data missing"), Calc!BC5*'Waste results'!$S$12+ Calc!BD5*'Waste results'!$S$48, "data missing"),
   IF(Calc!BD5=0,
     IF(OR('Waste results'!$S$12&lt;&gt;"data missing", 'Waste results'!$S$84&lt;&gt;"data missing"), Calc!BC5*'Waste results'!$S$12+ Calc!BE5*'Waste results'!$S$84, "data missing"),
   IF(Calc!BC5=0,
     IF(OR('Waste results'!$S$48&lt;&gt;"data missing", 'Waste results'!$S$84&lt;&gt;"data missing"), Calc!BD5*'Waste results'!$S$48+Calc!BE5*'Waste results'!$S$84, "data missing"),
   IF(OR('Waste results'!$S$12&lt;&gt;"data missing", 'Waste results'!$S$48&lt;&gt;"data missing", 'Waste results'!$S$84&lt;&gt;"data missing"), Calc!BC5*'Waste results'!$S$12+Calc!BD5*'Waste results'!$S$48+ Calc!BE5*'Waste results'!$S$84, "data missing")))))))))))</f>
        <v/>
      </c>
      <c r="D7" s="161" t="str">
        <f ca="1">IF(B7="","",
IF(Calc!BG5="","soil texture missing",
IF(OR(Calc!BG5="SL; SZL; ZL",Calc!BG5="SCL; CL; ZCL; SC; ZC; C"),VLOOKUP(Calc!BI5,'Fertiliser recommendations'!$A$4:$C$63,3,FALSE),
IF(Calc!BG5="S; LS",VLOOKUP(Calc!BI5,'Fertiliser recommendations'!$A$4:$C$63,3,FALSE)+VLOOKUP(Calc!BI5,'Fertiliser recommendations'!$A$4:$D$63,4,FALSE),
IF(Calc!BG5="10-25% OM",VLOOKUP(Calc!BI5,'Fertiliser recommendations'!$A$4:$C$63,3,FALSE)+VLOOKUP(Calc!BI5,'Fertiliser recommendations'!$A$4:$E$63,5,FALSE),
IF(Calc!BG5="&gt;25% OM",VLOOKUP(Calc!BI5,'Fertiliser recommendations'!$A$4:$C$63,3,FALSE)+VLOOKUP(Calc!BI5,'Fertiliser recommendations'!$A$4:$F$63,6,FALSE),
""))))))</f>
        <v/>
      </c>
      <c r="E7" s="91" t="str">
        <f ca="1">IF(OR(C7="data missing",ISTEXT(D7)),"",C7-D7)</f>
        <v/>
      </c>
      <c r="F7" s="9" t="str">
        <f ca="1">IF(B7="","",
IF(OR(C7="data missing",D7="soil texture missing"),"data missing",
IF(Calc!BF5=0,"n/a",
IF(C7&lt;0.1*D7,"no benefit",
IF(C7&lt;0.3*D7,"limited benefit",
IF(C7&gt;250,"exceeds limit",
IF(OR(AND(D7=0,C7&gt;75),C7&gt;1.25*D7),"excessive",
IF(D7=0, "no requirement",
"benefit"))))))))</f>
        <v/>
      </c>
      <c r="H7" s="91" t="str">
        <f ca="1">IF(B7="","",
IF(AND('Field information 2'!$O$5="", 'Field information 2'!$Q$5=""),
   IF('Waste results'!$S$17&lt;&gt;"data missing", Calc!BC5*'Waste results'!$S$17, "data missing"),
IF('Field information 2'!$Q$5="",
   IF(Calc!BD5=0,
     IF('Waste results'!$S$17&lt;&gt;"data missing", Calc!BC5*'Waste results'!$S$17, "data missing"),
   IF(Calc!BC5=0,
     IF('Waste results'!$S$53&lt;&gt;"data missing", Calc!BD5*'Waste results'!$S$53, "data missing"),
   IF(OR('Waste results'!$S$17&lt;&gt;"data missing", 'Waste results'!$S$53&lt;&gt;"data missing"), Calc!BC5*'Waste results'!$S$17+ Calc!BD5*'Waste results'!$S$53, "data missing"))),
IF(AND('Field information 2'!$M$5&lt;&gt;"", 'Field information 2'!$O$5&lt;&gt;"", 'Field information 2'!$Q$5&lt;&gt;""),
   IF(AND(Calc!BD5=0,Calc!BE5=0),
     IF('Waste results'!$S$17&lt;&gt;"data missing", Calc!BC5*'Waste results'!$S$17, "data missing"),
   IF(AND(Calc!BC5=0,Calc!BE5=0),
     IF('Waste results'!$S$53&lt;&gt;"data missing", Calc!BD5*'Waste results'!$S$53, "data missing"),
   IF(AND(Calc!BC5=0,Calc!BD5=0),
     IF('Waste results'!$S$89&lt;&gt;"data missing", Calc!BE5*'Waste results'!$S$89, "data missing"),
   IF(Calc!BE5=0,
     IF(OR('Waste results'!$S$17&lt;&gt;"data missing", 'Waste results'!$S$53&lt;&gt;"data missing"), Calc!BC5*'Waste results'!$S$17+ Calc!BD5*'Waste results'!$S$53, "data missing"),
   IF(Calc!BD5=0,
     IF(OR('Waste results'!$S$17&lt;&gt;"data missing", 'Waste results'!$S$89&lt;&gt;"data missing"), Calc!BC5*'Waste results'!$S$17+ Calc!BE5*'Waste results'!$S$89, "data missing"),
   IF(Calc!BC5=0,
     IF(OR('Waste results'!$S$53&lt;&gt;"data missing", 'Waste results'!$S$89&lt;&gt;"data missing"), Calc!BD5*'Waste results'!$S$53+Calc!BE5*'Waste results'!$S$89, "data missing"),
   IF(OR('Waste results'!$S$17&lt;&gt;"data missing", 'Waste results'!$S$53&lt;&gt;"data missing", 'Waste results'!$S$89&lt;&gt;"data missing"), Calc!BC5*'Waste results'!$S$17+Calc!BD5*'Waste results'!$S$53+ Calc!BE5*'Waste results'!$S$89, "data missing")))))))))))</f>
        <v/>
      </c>
      <c r="I7" s="195" t="str">
        <f ca="1">IF(B7="","",
IF(OR(ISBLANK('Soil results'!G10), ISBLANK('Soil results'!G$7)),"data missing",
IF(OR(AND('Soil results'!G$7="Olsen (ADAS)",'Soil results'!G10&lt;16),AND('Soil results'!G$7="modified Morgan (SAC)",'Soil results'!G10&lt;4.5)),50,100)))</f>
        <v/>
      </c>
      <c r="J7" s="49" t="str">
        <f ca="1">IF(B7="","",
IF(OR(ISBLANK('Soil results'!G$7),ISBLANK('Soil results'!G10)),"data missing",
IF(OR(AND('Soil results'!G$7="Olsen (ADAS)",'Soil results'!G10&gt;45),AND('Soil results'!G$7="modified Morgan (SAC)",'Soil results'!G10&gt;30)),0,
IF(OR(AND('Soil results'!G$7="Olsen (ADAS)",'Soil results'!G10&gt;=16,'Soil results'!G10&lt;=20),AND('Soil results'!G$7="modified Morgan (SAC)",'Soil results'!G10&gt;=4.5,'Soil results'!G10&lt;=9.4)),VLOOKUP(Calc!BI5,'Fertiliser recommendations'!$A$4:$I$63,9,FALSE),
IF(OR(AND('Soil results'!G$7="Olsen (ADAS)",'Soil results'!G10&lt;10),AND('Soil results'!G$7="modified Morgan (SAC)",'Soil results'!G10&lt;1.8)),VLOOKUP(Calc!BI5,'Fertiliser recommendations'!$A$4:$I$63,9,FALSE)+VLOOKUP(Calc!BI5,'Fertiliser recommendations'!$A$4:$J$63,10,FALSE),
IF(OR(AND('Soil results'!G$7="Olsen (ADAS)",'Soil results'!G10&lt;16),AND('Soil results'!G$7="modified Morgan (SAC)",'Soil results'!G10&lt;4.5)),VLOOKUP(Calc!BI5,'Fertiliser recommendations'!$A$4:$I$63,9,FALSE)+VLOOKUP(Calc!BI5,'Fertiliser recommendations'!$A$4:$K$63,11,FALSE),
IF(OR(AND('Soil results'!G$7="Olsen (ADAS)",'Soil results'!G10&lt;26),AND('Soil results'!G$7="modified Morgan (SAC)",'Soil results'!G10&lt;13.5)),VLOOKUP(Calc!BI5,'Fertiliser recommendations'!$A$4:$I$63,9,FALSE)+VLOOKUP(Calc!BI5,'Fertiliser recommendations'!$A$4:$L$63,12,FALSE),
IF(OR(AND('Soil results'!G$7="Olsen (ADAS)",'Soil results'!G10&lt;=45),AND('Soil results'!G$7="modified Morgan (SAC)",'Soil results'!G10&lt;=30)),VLOOKUP(Calc!BI5,'Fertiliser recommendations'!$A$4:$I$63,9,FALSE)+VLOOKUP(Calc!BI5,'Fertiliser recommendations'!$A$4:$M$63,13,FALSE),
""))))))))</f>
        <v/>
      </c>
      <c r="K7" s="161" t="str">
        <f ca="1">IF(OR(H7="",H7="data missing",I7="",J7="",I7="data missing",J7="data missing"),"",(H7*I7/100)-J7)</f>
        <v/>
      </c>
      <c r="L7" s="47" t="str">
        <f ca="1">IF(OR(ISBLANK('Soil results'!G$7),ISBLANK('Soil results'!G10),B7="", H7="data missing"),"",
IF('Soil results'!G$7="Olsen (ADAS)",
IF(((H7*Calc!BM5/2.291-(VLOOKUP(Calc!BI5,'Fertiliser recommendations'!$A$4:$I$63,9,FALSE))/2.291)*10/(400/2.291)+'Soil results'!G10)&lt;10,"0 (VL)",
IF(((H7*Calc!BM5/2.291-(VLOOKUP(Calc!BI5,'Fertiliser recommendations'!$A$4:$I$63,9,FALSE))/2.291)*10/(400/2.291)+'Soil results'!G10)&lt;16,"1 (L)",
IF(((H7*Calc!BM5/2.291-(VLOOKUP(Calc!BI5,'Fertiliser recommendations'!$A$4:$I$63,9,FALSE))/2.291)*10/(400/2.291)+'Soil results'!G10)&lt;21,"2 (M-)",
IF(((H7*Calc!BM5/2.291-(VLOOKUP(Calc!BI5,'Fertiliser recommendations'!$A$4:$I$63,9,FALSE))/2.291)*10/(400/2.291)+'Soil results'!G10)&lt;26,"2 (M+)",
IF(((H7*Calc!BM5/2.291-(VLOOKUP(Calc!BI5,'Fertiliser recommendations'!$A$4:$I$63,9,FALSE))/2.291)*10/(400/2.291)+'Soil results'!G10)&lt;45,"3 (H)","&gt;3 (VH)"))))),
IF('Soil results'!G$7="modified Morgan (SAC)",
IF('Soil results'!G10&gt;=6,
IF(((H7*Calc!BM5/2.291-(VLOOKUP(Calc!BI5,'Fertiliser recommendations'!$A$4:$I$63,9,FALSE))/2.291)*5/(147/2.291)+'Soil results'!G10)&lt;9.5,"2 (M-)",
IF(((H7*Calc!BM5/2.291-(VLOOKUP(Calc!BI5,'Fertiliser recommendations'!$A$4:$I$63,9,FALSE))/2.291)*5/(147/2.291)+'Soil results'!G10)&lt;13.5,"2 (M+)",
IF(((H7*Calc!BM5/2.291-(VLOOKUP(Calc!BI5,'Fertiliser recommendations'!$A$4:$I$63,9,FALSE))/2.291)*5/(147/2.291)+'Soil results'!G10)&lt;30,"3 (H)","4 (VH)"))),
IF(((H7*Calc!BM5/2.291-(VLOOKUP(Calc!BI5,'Fertiliser recommendations'!$A$4:$I$63,9,FALSE))/2.291)*5/(346/2.291)+'Soil results'!G10)&lt;1.8,"0 (VL)",
IF(((H7*Calc!BM5/2.291-(VLOOKUP(Calc!BI5,'Fertiliser recommendations'!$A$4:$I$63,9,FALSE))/2.291)*5/(147/2.291)+'Soil results'!G10)&lt;4.5,"1 (L)","2 (M-)"))))))</f>
        <v/>
      </c>
      <c r="M7" s="9" t="str">
        <f ca="1">IF(B7="","",
IF(OR(H7="data missing",I7="data missing",J7="data missing"),"data missing",
IF(Calc!BF5=0,"n/a",
IF(OR(AND('Soil results'!G$7="Olsen (ADAS)",'Soil results'!G10&gt;45),AND('Soil results'!G$7="modified Morgan (SAC)",'Soil results'!G10&gt;30)),
IF(H7&gt;2,"too high, not acceptable","no requirement"),
IF(OR(AND('Soil results'!G$7="Olsen (ADAS)",'Soil results'!G10&gt;25),AND('Soil results'!G$7="modified Morgan (SAC)",'Soil results'!G10&gt;13.4)),
IF(H7*(I7/100)&lt;0.1*J7,"no benefit",
IF(H7*(I7/100)&lt;0.3*J7,"limited benefit",
IF(H7*(I7/100)&lt;1.1*J7,"benefit",
IF(H7*(I7/100)&lt;0.7*VLOOKUP(Calc!BI5,'Fertiliser recommendations'!$A$4:$I$63,9,FALSE),"excessive","too high, not acceptable")))),
IF(OR(AND('Soil results'!G$7="Olsen (ADAS)",'Soil results'!G10&gt;20),AND('Soil results'!G$7="modified Morgan (SAC)",'Soil results'!G10&gt;9.4)),
IF(H7*Calc!BM5*(I7/100)&lt;0.1*J7,"no benefit",
IF(H7*Calc!BM5*(I7/100)&lt;0.3*J7,"limited benefit",
IF(H7*Calc!BM5*(I7/100)&lt;1.1*J7,"benefit",
IF(L7="3 (H)","too high, not acceptable","excessive")))),
IF(OR(AND('Soil results'!G$7="Olsen (ADAS)",'Soil results'!G10&gt;15),AND('Soil results'!G$7="modified Morgan (SAC)",'Soil results'!G10&gt;4.4)),
IF(H7*Calc!BM5*(I7/100)&lt;0.1*VLOOKUP(Calc!BI5,'Fertiliser recommendations'!$A$4:$I$63,9,FALSE),"no benefit",
IF(H7*Calc!BM5*(I7/100)&lt;0.3*VLOOKUP(Calc!BI5,'Fertiliser recommendations'!$A$4:$I$63,9,FALSE),"limited benefit",
IF(H7*Calc!BM5*(I7/100)&lt;1.1*VLOOKUP(Calc!BI5,'Fertiliser recommendations'!$A$4:$I$63,9,FALSE),"benefit",
IF(L7="3 (H)", "too high, not acceptable", "excessive")))),
IF(OR(AND('Soil results'!G$7="Olsen (ADAS)",'Soil results'!G10&lt;=15),AND('Soil results'!G$7="modified Morgan (SAC)",'Soil results'!G10&lt;=4.4)),
IF(H7*Calc!BM5*(I7/100)&lt;0.1*VLOOKUP(Calc!BI5,'Fertiliser recommendations'!$A$4:$I$63,9,FALSE),"no benefit",
IF(H7*Calc!BM5*(I7/100)&lt;0.3*VLOOKUP(Calc!BI5,'Fertiliser recommendations'!$A$4:$I$63,9,FALSE),"limited benefit",
IF(H7*Calc!BM5*(I7/100)&lt;1.1*J7,"benefit","excessive")))))))))))</f>
        <v/>
      </c>
      <c r="O7" s="91" t="str">
        <f ca="1">IF(B7="","",
IF(AND('Field information 2'!$O$5="", 'Field information 2'!$Q$5=""),
   IF('Waste results'!$S$19&lt;&gt;"data missing", Calc!BC5*'Waste results'!$S$19, "data missing"),
IF('Field information 2'!$Q$5="",
   IF(Calc!BD5=0,
     IF('Waste results'!$S$19&lt;&gt;"data missing", Calc!BC5*'Waste results'!$S$19, "data missing"),
   IF(Calc!BC5=0,
     IF('Waste results'!$S$55&lt;&gt;"data missing", Calc!BD5*'Waste results'!$S$55, "data missing"),
   IF(OR('Waste results'!$S$19&lt;&gt;"data missing", 'Waste results'!$S$55&lt;&gt;"data missing"), Calc!BC5*'Waste results'!$S$19+ Calc!BD5*'Waste results'!$S$55, "data missing"))),
IF(AND('Field information 2'!$M$5&lt;&gt;"", 'Field information 2'!$O$5&lt;&gt;"", 'Field information 2'!$Q$5&lt;&gt;""),
   IF(AND(Calc!BD5=0,Calc!BE5=0),
     IF('Waste results'!$S$19&lt;&gt;"data missing", Calc!BC5*'Waste results'!$S$19, "data missing"),
   IF(AND(Calc!BC5=0,Calc!BE5=0),
     IF('Waste results'!$S$55&lt;&gt;"data missing", Calc!BD5*'Waste results'!$S$55, "data missing"),
   IF(AND(Calc!BC5=0,Calc!BD5=0),
     IF('Waste results'!$S$91&lt;&gt;"data missing", Calc!BE5*'Waste results'!$S$91, "data missing"),
   IF(Calc!BE5=0,
     IF(OR('Waste results'!$S$19&lt;&gt;"data missing", 'Waste results'!$S$55&lt;&gt;"data missing"), Calc!BC5*'Waste results'!$S$19+ Calc!BD5*'Waste results'!$S$55, "data missing"),
   IF(Calc!BD5=0,
     IF(OR('Waste results'!$S$19&lt;&gt;"data missing", 'Waste results'!$S$91&lt;&gt;"data missing"), Calc!BC5*'Waste results'!$S$19+ Calc!BE5*'Waste results'!$S$91, "data missing"),
   IF(Calc!BC5=0,
     IF(OR('Waste results'!$S$55&lt;&gt;"data missing", 'Waste results'!$S$91&lt;&gt;"data missing"), Calc!BD5*'Waste results'!$S$55+Calc!BE5*'Waste results'!$S$91, "data missing"),
   IF(OR('Waste results'!$S$19&lt;&gt;"data missing", 'Waste results'!$S$55&lt;&gt;"data missing", 'Waste results'!$S$91&lt;&gt;"data missing"), Calc!BC5*'Waste results'!$S$19+Calc!BD5*'Waste results'!$S$55+ Calc!BE5*'Waste results'!$S$91, "data missing")))))))))))</f>
        <v/>
      </c>
      <c r="P7" s="91" t="str">
        <f ca="1">IF(B7="","",
IF(OR(ISBLANK('Soil results'!H$7),ISBLANK('Soil results'!H10)),"data missing",
IF(OR(AND('Soil results'!H$7="ammonium nitrate (ADAS)",'Soil results'!H10&gt;400),AND('Soil results'!H$7="modified Morgan (SAC)",'Soil results'!H10&gt;400)),0,
IF(OR(AND('Soil results'!H$7="ammonium nitrate (ADAS)",'Soil results'!H10&gt;=121,'Soil results'!H10&lt;=180),AND('Soil results'!H$7="modified Morgan (SAC)",'Soil results'!H10&gt;=76,'Soil results'!H10&lt;=140)),VLOOKUP(Calc!BI5,'Fertiliser recommendations'!$A$4:$Z$63,26,FALSE),
IF(OR(AND('Soil results'!H$7="ammonium nitrate (ADAS)",'Soil results'!H10&lt;61),AND('Soil results'!H$7="modified Morgan (SAC)",'Soil results'!H10&lt;40)),VLOOKUP(Calc!BI5,'Fertiliser recommendations'!$A$4:$Z$63,26,FALSE)+VLOOKUP(Calc!BI5,'Fertiliser recommendations'!$A$4:$AA$63,27,FALSE),
IF(OR(AND('Soil results'!H$7="ammonium nitrate (ADAS)",'Soil results'!H10&lt;121),AND('Soil results'!H$7="modified Morgan (SAC)",'Soil results'!H10&lt;76)),VLOOKUP(Calc!BI5,'Fertiliser recommendations'!$A$4:$Z$63,26,FALSE)+VLOOKUP(Calc!BI5,'Fertiliser recommendations'!$A$4:$AB$63,28,FALSE),
IF(OR(AND('Soil results'!H$7="ammonium nitrate (ADAS)",'Soil results'!H10&lt;241),AND('Soil results'!H$7="modified Morgan (SAC)",'Soil results'!H10&lt;201)),VLOOKUP(Calc!BI5,'Fertiliser recommendations'!$A$4:$Z$63,26,FALSE)+VLOOKUP(Calc!BI5,'Fertiliser recommendations'!$A$4:$AC$63,29,FALSE),
IF(OR(AND('Soil results'!H$7="ammonium nitrate (ADAS)",'Soil results'!H10&lt;=400),AND('Soil results'!H$7="modified Morgan (SAC)",'Soil results'!H10&lt;=400)),VLOOKUP(Calc!BI5,'Fertiliser recommendations'!$A$4:$Z$63,26,FALSE)+VLOOKUP(Calc!BI5,'Fertiliser recommendations'!$A$4:$AD$63,30,FALSE),
"??"))))))))</f>
        <v/>
      </c>
      <c r="Q7" s="91" t="str">
        <f ca="1">IF(OR(O7="",P7="",O7="data missing",P7="data missing"),"",O7-P7)</f>
        <v/>
      </c>
      <c r="R7" s="9" t="str">
        <f ca="1">IF(B7="","",
IF(OR(O7="data missing",P7="data missing"),"data missing",
IF(Calc!BF5=0,"n/a",
IF(P7=0, "no requirement",
IF(O7&lt;0.1*P7,"no benefit",
IF(O7&lt;0.3*P7,"limited benefit",
IF(O7&gt;1.25*P7,"excessive",
"benefit")))))))</f>
        <v/>
      </c>
      <c r="T7" s="91" t="str">
        <f ca="1">IF(B7="","",
IF(AND('Field information 2'!$O$5="", 'Field information 2'!$Q$5=""),
   IF('Waste results'!$S$21&lt;&gt;"data missing", Calc!BC5*'Waste results'!$S$21, "data missing"),
IF('Field information 2'!$Q$5="",
   IF(Calc!BD5=0,
     IF('Waste results'!$S$21&lt;&gt;"data missing", Calc!BC5*'Waste results'!$S$21, "data missing"),
   IF(Calc!BC5=0,
     IF('Waste results'!$S$57&lt;&gt;"data missing", Calc!BD5*'Waste results'!$S$57, "data missing"),
   IF(OR('Waste results'!$S$21&lt;&gt;"data missing", 'Waste results'!$S$57&lt;&gt;"data missing"), Calc!BC5*'Waste results'!$S$21+ Calc!BD5*'Waste results'!$S$57, "data missing"))),
IF(AND('Field information 2'!$M$5&lt;&gt;"", 'Field information 2'!$O$5&lt;&gt;"", 'Field information 2'!$Q$5&lt;&gt;""),
   IF(AND(Calc!BD5=0,Calc!BE5=0),
     IF('Waste results'!$S$21&lt;&gt;"data missing", Calc!BC5*'Waste results'!$S$21, "data missing"),
   IF(AND(Calc!BC5=0,Calc!BE5=0),
     IF('Waste results'!$S$57&lt;&gt;"data missing", Calc!BD5*'Waste results'!$S$57, "data missing"),
   IF(AND(Calc!BC5=0,Calc!BD5=0),
     IF('Waste results'!$S$93&lt;&gt;"data missing", Calc!BE5*'Waste results'!$S$93, "data missing"),
   IF(Calc!BE5=0,
     IF(OR('Waste results'!$S$21&lt;&gt;"data missing", 'Waste results'!$S$57&lt;&gt;"data missing"), Calc!BC5*'Waste results'!$S$21+ Calc!BD5*'Waste results'!$S$57, "data missing"),
   IF(Calc!BD5=0,
     IF(OR('Waste results'!$S$21&lt;&gt;"data missing", 'Waste results'!$S$93&lt;&gt;"data missing"), Calc!BC5*'Waste results'!$S$21+ Calc!BE5*'Waste results'!$S$93, "data missing"),
   IF(Calc!BC5=0,
     IF(OR('Waste results'!$S$57&lt;&gt;"data missing", 'Waste results'!$S$93&lt;&gt;"data missing"), Calc!BD5*'Waste results'!$S$57+Calc!BE5*'Waste results'!$S$93, "data missing"),
   IF(OR('Waste results'!$S$21&lt;&gt;"data missing", 'Waste results'!$S$57&lt;&gt;"data missing", 'Waste results'!$S$93&lt;&gt;"data missing"), Calc!BC5*'Waste results'!$S$21+Calc!BD5*'Waste results'!$S$57+ Calc!BE5*'Waste results'!$S$93, "data missing")))))))))))</f>
        <v/>
      </c>
      <c r="U7" s="7" t="str">
        <f ca="1">IF(B7="","",
IF(OR(ISBLANK('Soil results'!I$7),ISBLANK('Soil results'!I10)),"data missing",
IF(OR(AND('Soil results'!I$7="ammonium nitrate (ADAS)",'Soil results'!I10&gt;51),AND('Soil results'!I$7="modified Morgan (SAC)",'Soil results'!I10&gt;61)),0,
IF(OR(AND('Soil results'!I$7="ammonium nitrate (ADAS)",'Soil results'!I10&lt;25),AND('Soil results'!I$7="modified Morgan (SAC)",'Soil results'!I10&lt;19)),VLOOKUP(Calc!BI5,'Fertiliser recommendations'!$A$4:$AH$63,34,FALSE),
IF(OR(AND('Soil results'!I$7="ammonium nitrate (ADAS)",'Soil results'!I10&lt;=51),AND('Soil results'!I$7="modified Morgan (SAC)",'Soil results'!I10&lt;=61)),VLOOKUP(Calc!BI5,'Fertiliser recommendations'!$A$4:$AI$63,35,FALSE),
"")))))</f>
        <v/>
      </c>
      <c r="V7" s="91" t="str">
        <f ca="1">IF(OR(T7="",U7="",T7="data missing",U7="data missing"),"",T7-U7)</f>
        <v/>
      </c>
      <c r="W7" s="9" t="str">
        <f ca="1">IF(B7="","",
IF(OR(T7="data missing",U7="data missing"),"data missing",
IF(Calc!BF5=0,"n/a",
IF(U7=0,"no requirement",
IF(T7&lt;0.1*U7,"no benefit",
IF(T7&lt;0.3*U7,"limited benefit",
IF(OR(T7&gt;1.5*U7,AND(Calc!BJ5="g",T7&gt;100)),"excessive",
"benefit")))))))</f>
        <v/>
      </c>
      <c r="Y7" s="91" t="str">
        <f ca="1">IF(B7="","",
IF(AND('Field information 2'!$O$5="", 'Field information 2'!$Q$5=""),
   IF('Waste results'!$P$23&lt;&gt;"", Calc!BC5*'Waste results'!$P$23, "no data"),
IF('Field information 2'!$Q$5="",
   IF(Calc!BD5=0,
     IF('Waste results'!$P$23&lt;&gt;"", Calc!BC5*'Waste results'!$P$23, "no data"),
   IF(Calc!BC5=0,
     IF('Waste results'!$P$59&lt;&gt;"", Calc!BD5*'Waste results'!$P$59, "no data"),
   IF(OR('Waste results'!$P$23&lt;&gt;"", 'Waste results'!$P$59&lt;&gt;""), Calc!BC5*'Waste results'!$P$23+ Calc!BD5*'Waste results'!$P$59, "no data"))),
IF(AND('Field information 2'!$M$5&lt;&gt;"", 'Field information 2'!$O$5&lt;&gt;"", 'Field information 2'!$Q$5&lt;&gt;""),
   IF(AND(Calc!BD5=0,Calc!BE5=0),
     IF('Waste results'!$P$23&lt;&gt;"", Calc!BC5*'Waste results'!$P$23, "no data"),
   IF(AND(Calc!BC5=0,Calc!BE5=0),
     IF('Waste results'!$P$59&lt;&gt;"", Calc!BD5*'Waste results'!$P$59, "no data"),
   IF(AND(Calc!BC5=0,Calc!BD5=0),
     IF('Waste results'!$P$95&lt;&gt;"", Calc!BE5*'Waste results'!$P$95, "no data"),
   IF(Calc!BE5=0,
     IF(OR('Waste results'!$P$23&lt;&gt;"", 'Waste results'!$P$59&lt;&gt;""), Calc!BC5*'Waste results'!$P$23+ Calc!BD5*'Waste results'!$P$59, "no data"),
   IF(Calc!BD5=0,
     IF(OR('Waste results'!$P$23&lt;&gt;"", 'Waste results'!$P$95&lt;&gt;""), Calc!BC5*'Waste results'!$P$23+ Calc!BE5*'Waste results'!$P$95, "no data"),
   IF(Calc!BC5=0,
     IF(OR('Waste results'!$P$59&lt;&gt;"", 'Waste results'!$P$95&lt;&gt;""), Calc!BD5*'Waste results'!$P$59+Calc!BE5*'Waste results'!$P$95, "no data"),
   IF(OR('Waste results'!$P$23&lt;&gt;"", 'Waste results'!$P$59&lt;&gt;"", 'Waste results'!$P$95&lt;&gt;""), Calc!BC5*'Waste results'!$P$23+Calc!BD5*'Waste results'!$P$59+ Calc!BE5*'Waste results'!$P$95, "no data")))))))))))</f>
        <v/>
      </c>
      <c r="Z7" s="7" t="str">
        <f ca="1">IF(OR(ISBLANK('Soil results'!I$7),ISBLANK('Soil results'!I10),'Soil results'!B10=""),"",
VLOOKUP(Calc!BI5,'Fertiliser recommendations'!$A$4:$AM$63,39,FALSE))</f>
        <v/>
      </c>
      <c r="AA7" s="91" t="str">
        <f ca="1">IF(OR(Y7="no data",Z7=""),"",Y7-Z7)</f>
        <v/>
      </c>
      <c r="AB7" s="9" t="str">
        <f ca="1">IF(OR(B7="",Y7="no data",Z7=""),"",
IF(T7=0,"n/a",
IF(Z7=0,"no requirement",
IF(Y7&lt;0.1*Z7,"no benefit",
IF(Y7&lt;0.3*Z7,"limited benefit",
IF(Y7&gt;1.5*Z7,"excessive",
"benefit"))))))</f>
        <v/>
      </c>
      <c r="AD7" s="48" t="str">
        <f>IF(ISBLANK('Soil results'!F10),"",'Soil results'!F10)</f>
        <v/>
      </c>
      <c r="AE7" s="49" t="str">
        <f ca="1">IF(B7="","",
IF(AND(Calc!BJ5="g", VLOOKUP(LEFT($B7,LEN($B7)-2),'Field information 2'!$B$12:$P$111,9,FALSE)&lt;&gt;"yes"),
 IF(Calc!BG5="10-25% OM", 5.9, IF(Calc!BG5="&gt;25% OM", 5.5, 6.2)),
IF(OR(Calc!BJ5="a", VLOOKUP(LEFT($B7,LEN($B7)-2),'Field information 2'!$B$12:$P$111,9,FALSE)="yes"),
 IF(Calc!BG5="10-25% OM", 6.4, IF(Calc!BG5="&gt;25% OM", 6, 6.7)), "")))</f>
        <v/>
      </c>
      <c r="AF7" s="91" t="str">
        <f ca="1">IF(B7="","",
IF('Waste results'!$Q$33="","no (significant) liming properties",
IF('Waste results'!Q$33&gt;100,"no (significant) liming properties",
IF(AD7="","",
IF(AD7&gt;=AE7,0,ROUNDDOWN((AE7-AD7)*Calc!BK5*'Waste results'!$Q$33+0.2,0))))))</f>
        <v/>
      </c>
      <c r="AG7" s="9" t="str">
        <f ca="1">IF(B7="","",
IF(T7=0,"n/a",
IF(AD7="","data missing",
IF(AND(AD7&lt;5,AF7="no (significant) liming properties"),"no waste application - pH too low",
IF(AND(AD7&gt;5.1,AF7="no (significant) liming properties",Calc!BH5&gt;25, LEFT(Calc!BI5,4)="graz"),"ok",
IF(AND(AD7&lt;=5.2,AF7="no (significant) liming properties"),"liming highly recommended",
IF(AF7=0,"no waste application - liming not required",
IF(AF7&lt;Calc!BC5,"application rate too high - exceeds liming requirement",
"ok"))))))))</f>
        <v/>
      </c>
      <c r="AI7" s="91" t="str">
        <f ca="1">IF(B7="","",
IF(AND('Field information 2'!$O$5="", 'Field information 2'!$Q$5=""),
   IF('Waste results'!$P$10&lt;&gt;"data missing", Calc!BC5*'Waste results'!$P$10, "data missing"),
IF('Field information 2'!$Q$5="",
   IF(Calc!BD5=0,
     IF('Waste results'!$P$10&lt;&gt;"data missing", Calc!BC5*'Waste results'!$P$10, "data missing"),
   IF(Calc!BC5=0,
     IF('Waste results'!$P$45&lt;&gt;"data missing", Calc!BD5*'Waste results'!$P$45, "data missing"),
   IF(OR('Waste results'!$P$10&lt;&gt;"data missing", 'Waste results'!$P$45&lt;&gt;"data missing"), Calc!BC5*'Waste results'!$P$10+ Calc!BD5*'Waste results'!$P$45, "data missing"))),
IF(AND('Field information 2'!$M$5&lt;&gt;"", 'Field information 2'!$O$5&lt;&gt;"", 'Field information 2'!$Q$5&lt;&gt;""),
   IF(AND(Calc!BD5=0,Calc!BE5=0),
     IF('Waste results'!$P$10&lt;&gt;"data missing", Calc!BC5*'Waste results'!$P$10, "data missing"),
   IF(AND(Calc!BC5=0,Calc!BE5=0),
     IF('Waste results'!$P$45&lt;&gt;"data missing", Calc!BD5*'Waste results'!$P$45, "data missing"),
   IF(AND(Calc!BC5=0,Calc!BD5=0),
     IF('Waste results'!$P$82&lt;&gt;"data missing", Calc!BE5*'Waste results'!$P$82, "data missing"),
   IF(Calc!BE5=0,
     IF(OR('Waste results'!$P$10&lt;&gt;"data missing", 'Waste results'!$P$45&lt;&gt;"data missing"), Calc!BC5*'Waste results'!$P$10+ Calc!BD5*'Waste results'!$P$45, "data missing"),
   IF(Calc!BD5=0,
     IF(OR('Waste results'!$P$10&lt;&gt;"data missing", 'Waste results'!$P$82&lt;&gt;"data missing"), Calc!BC5*'Waste results'!$P$10+ Calc!BE5*'Waste results'!$P$82, "data missing"),
   IF(Calc!BC5=0,
     IF(OR('Waste results'!$P$45&lt;&gt;"data missing", 'Waste results'!$P$82&lt;&gt;"data missing"), Calc!BD5*'Waste results'!$P$45+Calc!BE5*'Waste results'!$P$82, "data missing"),
   IF(OR('Waste results'!$P$10&lt;&gt;"data missing", 'Waste results'!$P$45&lt;&gt;"data missing", 'Waste results'!$P$82&lt;&gt;"data missing"), Calc!BC5*'Waste results'!$P$10+Calc!BD5*'Waste results'!$P$45+ Calc!BE5*'Waste results'!$P$82, "data missing")))))))))))</f>
        <v/>
      </c>
      <c r="AJ7" s="237" t="str">
        <f ca="1">IF(B7="","",
IF(AI7="data missing","data missing",
IF(Calc!BF5=0,"n/a",
IF(AND(Calc!BH5&gt;=8,AI7&lt;500),"no benefit",
IF(OR(AND(Calc!BH5&lt;=4,AI7&gt;=500),AND(Calc!BH5&lt;8,AI7&gt;5000)),"benefit",
"limited benefit")))))</f>
        <v/>
      </c>
      <c r="AL7" s="238" t="str">
        <f ca="1">IF(B7="","",
IF(AND('Field information 2'!$O$5="", 'Field information 2'!$Q$5=""),
   IF('Waste results'!$S$25&lt;&gt;"data missing", Calc!BC5*'Waste results'!$S$25, "data missing"),
IF('Field information 2'!$Q$5="",
   IF(Calc!BD5=0,
     IF('Waste results'!$S$25&lt;&gt;"data missing", Calc!BC5*'Waste results'!$S$25, "data missing"),
   IF(Calc!BC5=0,
     IF('Waste results'!$S$61&lt;&gt;"data missing", Calc!BD5*'Waste results'!$S$61, "data missing"),
   IF(OR('Waste results'!$S$25&lt;&gt;"data missing", 'Waste results'!$S$61&lt;&gt;"data missing"), Calc!BC5*'Waste results'!$S$25+ Calc!BD5*'Waste results'!$S$61, "data missing"))),
IF(AND('Field information 2'!$M$5&lt;&gt;"", 'Field information 2'!$O$5&lt;&gt;"", 'Field information 2'!$Q$5&lt;&gt;""),
   IF(AND(Calc!BD5=0,Calc!BE5=0),
     IF('Waste results'!$S$25&lt;&gt;"data missing", Calc!BC5*'Waste results'!$S$25, "data missing"),
   IF(AND(Calc!BC5=0,Calc!BE5=0),
     IF('Waste results'!$S$61&lt;&gt;"data missing", Calc!BD5*'Waste results'!$S$61, "data missing"),
   IF(AND(Calc!BC5=0,Calc!BD5=0),
     IF('Waste results'!$S$97&lt;&gt;"data missing", Calc!BE5*'Waste results'!$S$97, "data missing"),
   IF(Calc!BE5=0,
     IF(OR('Waste results'!$S$25&lt;&gt;"data missing", 'Waste results'!$S$61&lt;&gt;"data missing"), Calc!BC5*'Waste results'!$S$25+ Calc!BD5*'Waste results'!$S$61, "data missing"),
   IF(Calc!BD5=0,
     IF(OR('Waste results'!$S$25&lt;&gt;"data missing", 'Waste results'!$S$97&lt;&gt;"data missing"), Calc!BC5*'Waste results'!$S$25+ Calc!BE5*'Waste results'!$S$97, "data missing"),
   IF(Calc!BC5=0,
     IF(OR('Waste results'!$S$61&lt;&gt;"data missing", 'Waste results'!$S$97&lt;&gt;"data missing"), Calc!BD5*'Waste results'!$S$61+Calc!BE5*'Waste results'!$S$97, "data missing"),
   IF(OR('Waste results'!$S$25&lt;&gt;"data missing", 'Waste results'!$S$61&lt;&gt;"data missing", 'Waste results'!$S$97&lt;&gt;"data missing"), Calc!BC5*'Waste results'!$S$25+Calc!BD5*'Waste results'!$S$61+ Calc!BE5*'Waste results'!$S$97, "data missing")))))))))))</f>
        <v/>
      </c>
      <c r="AM7" s="239" t="str">
        <f ca="1">IF($B7="","",
IF(ISBLANK('Soil results'!K10),"data missing",'Soil results'!K10))</f>
        <v/>
      </c>
      <c r="AN7" s="239" t="str">
        <f ca="1">IF(OR($B7="",AM7="data missing"),"",AL7*1000/3000+AM7)</f>
        <v/>
      </c>
      <c r="AO7" s="9" t="str">
        <f ca="1">IF(B7="","",
IF(AL7=0,"n/a",
IF(OR(AL7="data missing",AM7="data missing"),"data missing",
IF(AL7&gt;0.15,"application rate too high - permissible rate exceeds limit",
IF(AM7&gt;3,"no application - soil conc. already above limit",
IF(AN7&gt;3,"application rate too high - soil conc. will exceed limit",
IF(AM7&gt;3*0.9,"soil conc. is at or above 90% of the limit",
IF(10*AL7*1000/3000+AM7&gt;3,"soil limit likely to be exceeded in 10yrs",
IF(50*AL7*1000/3000+AM7&gt;3,"soil limit likely to be exceeded in 50yrs","ok")))))))))</f>
        <v/>
      </c>
      <c r="AQ7" s="240" t="str">
        <f ca="1">IF(B7="","",
IF(AND('Field information 2'!$O$5="", 'Field information 2'!$Q$5=""),
   IF('Waste results'!$S$26&lt;&gt;"data missing", Calc!BC5*'Waste results'!$S$26, "data missing"),
IF('Field information 2'!$Q$5="",
   IF(Calc!BD5=0,
     IF('Waste results'!$S$26&lt;&gt;"data missing", Calc!BC5*'Waste results'!$S$26, "data missing"),
   IF(Calc!BC5=0,
     IF('Waste results'!$S$62&lt;&gt;"data missing", Calc!BD5*'Waste results'!$S$62, "data missing"),
   IF(OR('Waste results'!$S$26&lt;&gt;"data missing", 'Waste results'!$S$62&lt;&gt;"data missing"), Calc!BC5*'Waste results'!$S$26+ Calc!BD5*'Waste results'!$S$62, "data missing"))),
IF(AND('Field information 2'!$M$5&lt;&gt;"", 'Field information 2'!$O$5&lt;&gt;"", 'Field information 2'!$Q$5&lt;&gt;""),
   IF(AND(Calc!BD5=0,Calc!BE5=0),
     IF('Waste results'!$S$26&lt;&gt;"data missing", Calc!BC5*'Waste results'!$S$26, "data missing"),
   IF(AND(Calc!BC5=0,Calc!BE5=0),
     IF('Waste results'!$S$62&lt;&gt;"data missing", Calc!BD5*'Waste results'!$S$62, "data missing"),
   IF(AND(Calc!BC5=0,Calc!BD5=0),
     IF('Waste results'!$S$98&lt;&gt;"data missing", Calc!BE5*'Waste results'!$S$98, "data missing"),
   IF(Calc!BE5=0,
     IF(OR('Waste results'!$S$26&lt;&gt;"data missing", 'Waste results'!$S$62&lt;&gt;"data missing"), Calc!BC5*'Waste results'!$S$26+ Calc!BD5*'Waste results'!$S$62, "data missing"),
   IF(Calc!BD5=0,
     IF(OR('Waste results'!$S$26&lt;&gt;"data missing", 'Waste results'!$S$98&lt;&gt;"data missing"), Calc!BC5*'Waste results'!$S$26+ Calc!BE5*'Waste results'!$S$98, "data missing"),
   IF(Calc!BC5=0,
     IF(OR('Waste results'!$S$62&lt;&gt;"data missing", 'Waste results'!$S$98&lt;&gt;"data missing"), Calc!BD5*'Waste results'!$S$62+Calc!BE5*'Waste results'!$S$98, "data missing"),
   IF(OR('Waste results'!$S$26&lt;&gt;"data missing", 'Waste results'!$S$62&lt;&gt;"data missing", 'Waste results'!$S$98&lt;&gt;"data missing"), Calc!BC5*'Waste results'!$S$26+Calc!BD5*'Waste results'!$S$62+ Calc!BE5*'Waste results'!$S$98, "data missing")))))))))))</f>
        <v/>
      </c>
      <c r="AR7" s="241" t="str">
        <f ca="1">IF($B7="","",
IF(ISBLANK('Soil results'!L10),"data missing",'Soil results'!L10))</f>
        <v/>
      </c>
      <c r="AS7" s="241" t="str">
        <f ca="1">IF(OR($B7="",AR7="data missing"),"",AQ7*1000/3000+AR7)</f>
        <v/>
      </c>
      <c r="AT7" s="66" t="str">
        <f ca="1">IF(B7="","",
IF(AQ7=0,"n/a",
IF(OR(AQ7="data missing",AR7="data missing"),"data missing",
IF(AQ7&gt;15,"application rate too high - permissible rate exceeds limit",
IF(AR7&gt;400,"no application - soil conc. already above limit",
IF(AS7&gt;400,"application rate too high - soil conc. will exceed limit",
IF(AR7&gt;400*0.9,"soil conc. is at or above 90% of the limit",
IF(10*AQ7*1000/3000+AR7&gt;400,"soil limit likely to be exceeded in 10yrs",
IF(50*AQ7*1000/3000+AR7&gt;400,"soil limit likely to be exceeded in 50yrs","ok")))))))))</f>
        <v/>
      </c>
      <c r="AV7" s="238" t="str">
        <f ca="1">IF(B7="","",
IF(AND('Field information 2'!$O$5="", 'Field information 2'!$Q$5=""),
   IF('Waste results'!$S$27&lt;&gt;"data missing", Calc!BC5*'Waste results'!$S$27, "data missing"),
IF('Field information 2'!$Q$5="",
   IF(Calc!BD5=0,
     IF('Waste results'!$S$27&lt;&gt;"data missing", Calc!BC5*'Waste results'!$S$27, "data missing"),
   IF(Calc!BC5=0,
     IF('Waste results'!$S$63&lt;&gt;"data missing", Calc!BD5*'Waste results'!$S$63, "data missing"),
   IF(OR('Waste results'!$S$27&lt;&gt;"data missing", 'Waste results'!$S$63&lt;&gt;"data missing"), Calc!BC5*'Waste results'!$S$27+ Calc!BD5*'Waste results'!$S$63, "data missing"))),
IF(AND('Field information 2'!$M$5&lt;&gt;"", 'Field information 2'!$O$5&lt;&gt;"", 'Field information 2'!$Q$5&lt;&gt;""),
   IF(AND(Calc!BD5=0,Calc!BE5=0),
     IF('Waste results'!$S$27&lt;&gt;"data missing", Calc!BC5*'Waste results'!$S$27, "data missing"),
   IF(AND(Calc!BC5=0,Calc!BE5=0),
     IF('Waste results'!$S$63&lt;&gt;"data missing", Calc!BD5*'Waste results'!$S$63, "data missing"),
   IF(AND(Calc!BC5=0,Calc!BD5=0),
     IF('Waste results'!$S$99&lt;&gt;"data missing", Calc!BE5*'Waste results'!$S$99, "data missing"),
   IF(Calc!BE5=0,
     IF(OR('Waste results'!$S$27&lt;&gt;"data missing", 'Waste results'!$S$63&lt;&gt;"data missing"), Calc!BC5*'Waste results'!$S$27+ Calc!BD5*'Waste results'!$S$63, "data missing"),
   IF(Calc!BD5=0,
     IF(OR('Waste results'!$S$27&lt;&gt;"data missing", 'Waste results'!$S$99&lt;&gt;"data missing"), Calc!BC5*'Waste results'!$S$27+ Calc!BE5*'Waste results'!$S$99, "data missing"),
   IF(Calc!BC5=0,
     IF(OR('Waste results'!$S$63&lt;&gt;"data missing", 'Waste results'!$S$99&lt;&gt;"data missing"), Calc!BD5*'Waste results'!$S$63+Calc!BE5*'Waste results'!$S$99, "data missing"),
   IF(OR('Waste results'!$S$27&lt;&gt;"data missing", 'Waste results'!$S$63&lt;&gt;"data missing", 'Waste results'!$S$99&lt;&gt;"data missing"), Calc!BC5*'Waste results'!$S$27+Calc!BD5*'Waste results'!$S$63+ Calc!BE5*'Waste results'!$S$99, "data missing")))))))))))</f>
        <v/>
      </c>
      <c r="AW7" s="239" t="str">
        <f ca="1">IF($B7="","",
IF(ISBLANK('Soil results'!M10),"data missing",'Soil results'!M10))</f>
        <v/>
      </c>
      <c r="AX7" s="239" t="str">
        <f ca="1">IF(OR($B7="",AW7="data missing"),"",AV7*1000/3000+AW7)</f>
        <v/>
      </c>
      <c r="AY7" s="9" t="str">
        <f ca="1">IF(B7="","",
IF(AV7=0,"n/a",
IF(OR(AV7="data missing",AW7="data missing"),"data missing",
IF(AV7&gt;7.5,"application rate too high - permissible rate exceeds limit",
IF('Soil results'!$F10&lt;=5.5,
  IF(AW7&gt;80,"no application - soil conc. already above limit",
  IF(AX7&gt;80,"application rate too high - soil conc. will exceed limit",
  IF(AW7&gt;80*0.9,"soil conc. is at or above 90% of the limit",
  IF(10*AV7*1000/3000+AW7&gt;80,"soil limit likely to be exceeded in 10yrs",
  IF(50*AV7*1000/3000+AW7&gt;80,"soil limit likely to be exceeded in 50yrs","ok"))))),
IF('Soil results'!$F10&lt;=6,
  IF(AW7&gt;100,"no application - soil conc. already above limit",
  IF(AX7&gt;100,"application rate too high - soil conc. will exceed limit",
  IF(AW7&gt;100*0.9,"soil conc. is at or above 90% of the limit",
  IF(10*AV7*1000/3000+AW7&gt;100,"soil limit likely to be exceeded in 10yrs",
  IF(50*AV7*1000/3000+AW7&gt;100,"soil limit likely to be exceeded in 50yrs","ok"))))),
IF('Soil results'!$F10&lt;=7,
  IF(AW7&gt;135,"no application - soil conc. already above limit",
  IF(AX7&gt;135,"application rate too high - soil conc. will exceed limit",
  IF(AW7&gt;135*0.9,"soil conc. is at or above 90% of the limit",
  IF(10*AV7*1000/3000+AW7&gt;135,"soil limit likely to be exceeded in 10yrs",
  IF(50*AV7*1000/3000+AW7&gt;135,"soil limit likely to be exceeded in 50yrs","ok"))))),
IF('Soil results'!$F10&gt;7,
  IF(AW7&gt;200,"no application - soil conc. already above limit",
  IF(AX7&gt;200,"application too high - soil conc. will exceed limit",
  IF(AW7&gt;200*0.9,"soil conc. is at or above 90% of the limit",
  IF(10*AV7*1000/3000+AW7&gt;200,"soil limit likely to be exceeded in 10yrs",
  IF(50*AV7*1000/3000+AW7&gt;200,"soil limit likely to be exceeded in 50yrs","ok")))))
))))))))</f>
        <v/>
      </c>
      <c r="BA7" s="238" t="str">
        <f ca="1">IF(B7="","",
IF(AND('Field information 2'!$O$5="", 'Field information 2'!$Q$5=""),
   IF('Waste results'!$S$28&lt;&gt;"data missing", Calc!BC5*'Waste results'!$S$28, "data missing"),
IF('Field information 2'!$Q$5="",
   IF(Calc!BD5=0,
     IF('Waste results'!$S$28&lt;&gt;"data missing", Calc!BC5*'Waste results'!$S$28, "data missing"),
   IF(Calc!BC5=0,
     IF('Waste results'!$S$64&lt;&gt;"data missing", Calc!BD5*'Waste results'!$S$64, "data missing"),
   IF(OR('Waste results'!$S$28&lt;&gt;"data missing", 'Waste results'!$S$64&lt;&gt;"data missing"), Calc!BC5*'Waste results'!$S$28+ Calc!BD5*'Waste results'!$S$64, "data missing"))),
IF(AND('Field information 2'!$M$5&lt;&gt;"", 'Field information 2'!$O$5&lt;&gt;"", 'Field information 2'!$Q$5&lt;&gt;""),
   IF(AND(Calc!BD5=0,Calc!BE5=0),
     IF('Waste results'!$S$28&lt;&gt;"data missing", Calc!BC5*'Waste results'!$S$28, "data missing"),
   IF(AND(Calc!BC5=0,Calc!BE5=0),
     IF('Waste results'!$S$64&lt;&gt;"data missing", Calc!BD5*'Waste results'!$S$64, "data missing"),
   IF(AND(Calc!BC5=0,Calc!BD5=0),
     IF('Waste results'!$S$100&lt;&gt;"data missing", Calc!BE5*'Waste results'!$S$100, "data missing"),
   IF(Calc!BE5=0,
     IF(OR('Waste results'!$S$28&lt;&gt;"data missing", 'Waste results'!$S$64&lt;&gt;"data missing"), Calc!BC5*'Waste results'!$S$28+ Calc!BD5*'Waste results'!$S$64, "data missing"),
   IF(Calc!BD5=0,
     IF(OR('Waste results'!$S$28&lt;&gt;"data missing", 'Waste results'!$S$100&lt;&gt;"data missing"), Calc!BC5*'Waste results'!$S$28+ Calc!BE5*'Waste results'!$S$100, "data missing"),
   IF(Calc!BC5=0,
     IF(OR('Waste results'!$S$64&lt;&gt;"data missing", 'Waste results'!$S$100&lt;&gt;"data missing"), Calc!BD5*'Waste results'!$S$64+Calc!BE5*'Waste results'!$S$100, "data missing"),
   IF(OR('Waste results'!$S$28&lt;&gt;"data missing", 'Waste results'!$S$64&lt;&gt;"data missing", 'Waste results'!$S$100&lt;&gt;"data missing"), Calc!BC5*'Waste results'!$S$28+Calc!BD5*'Waste results'!$S$64+ Calc!BE5*'Waste results'!$S$100, "data missing")))))))))))</f>
        <v/>
      </c>
      <c r="BB7" s="239" t="str">
        <f ca="1">IF($B7="","",
IF(ISBLANK('Soil results'!N10),"data missing",'Soil results'!N10))</f>
        <v/>
      </c>
      <c r="BC7" s="239" t="str">
        <f ca="1">IF(OR($B7="",BB7="data missing"),"",BA7*1000/3000+BB7)</f>
        <v/>
      </c>
      <c r="BD7" s="9" t="str">
        <f ca="1">IF(B7="","",
IF(BA7=0,"n/a",
IF(OR(BA7="data missing",BB7="data missing"),"data missing",
IF(BA7&gt;0.1,"application rate too high - permissible rate exceeds limit",
IF(BB7&gt;1,"no application - soil conc. already above limit",
IF(BC7&gt;1,"application rate too high - soil conc. will exceed limit",
IF(BB7&gt;1*0.9,"soil conc. is at or above 90% of the limit",
IF(10*BA7*1000/3000+BB7&gt;1,"soil limit likely to be exceeded in 10yrs",
IF(50*BA7*1000/3000+BB7&gt;1,"soil limit likely to be exceeded in 50yrs","ok")))))))))</f>
        <v/>
      </c>
      <c r="BF7" s="238" t="str">
        <f ca="1">IF(B7="","",
IF(AND('Field information 2'!$O$5="", 'Field information 2'!$Q$5=""),
   IF('Waste results'!$S$29&lt;&gt;"data missing", Calc!BC5*'Waste results'!$S$29, "data missing"),
IF('Field information 2'!$Q$5="",
   IF(Calc!BD5=0,
     IF('Waste results'!$S$29&lt;&gt;"data missing", Calc!BC5*'Waste results'!$S$29, "data missing"),
   IF(Calc!BC5=0,
     IF('Waste results'!$S$65&lt;&gt;"data missing", Calc!BD5*'Waste results'!$S$65, "data missing"),
   IF(OR('Waste results'!$S$29&lt;&gt;"data missing", 'Waste results'!$S$65&lt;&gt;"data missing"), Calc!BC5*'Waste results'!$S$29+ Calc!BD5*'Waste results'!$S$65, "data missing"))),
IF(AND('Field information 2'!$M$5&lt;&gt;"", 'Field information 2'!$O$5&lt;&gt;"", 'Field information 2'!$Q$5&lt;&gt;""),
   IF(AND(Calc!BD5=0,Calc!BE5=0),
     IF('Waste results'!$S$29&lt;&gt;"data missing", Calc!BC5*'Waste results'!$S$29, "data missing"),
   IF(AND(Calc!BC5=0,Calc!BE5=0),
     IF('Waste results'!$S$65&lt;&gt;"data missing", Calc!BD5*'Waste results'!$S$65, "data missing"),
   IF(AND(Calc!BC5=0,Calc!BD5=0),
     IF('Waste results'!$S$101&lt;&gt;"data missing", Calc!BE5*'Waste results'!$S$101, "data missing"),
   IF(Calc!BE5=0,
     IF(OR('Waste results'!$S$29&lt;&gt;"data missing", 'Waste results'!$S$65&lt;&gt;"data missing"), Calc!BC5*'Waste results'!$S$29+ Calc!BD5*'Waste results'!$S$65, "data missing"),
   IF(Calc!BD5=0,
     IF(OR('Waste results'!$S$29&lt;&gt;"data missing", 'Waste results'!$S$101&lt;&gt;"data missing"), Calc!BC5*'Waste results'!$S$29+ Calc!BE5*'Waste results'!$S$101, "data missing"),
   IF(Calc!BC5=0,
     IF(OR('Waste results'!$S$65&lt;&gt;"data missing", 'Waste results'!$S$101&lt;&gt;"data missing"), Calc!BD5*'Waste results'!$S$65+Calc!BE5*'Waste results'!$S$101, "data missing"),
   IF(OR('Waste results'!$S$29&lt;&gt;"data missing", 'Waste results'!$S$65&lt;&gt;"data missing", 'Waste results'!$S$101&lt;&gt;"data missing"), Calc!BC5*'Waste results'!$S$29+Calc!BD5*'Waste results'!$S$65+ Calc!BE5*'Waste results'!$S$101, "data missing")))))))))))</f>
        <v/>
      </c>
      <c r="BG7" s="239" t="str">
        <f ca="1">IF($B7="","",
IF(ISBLANK('Soil results'!O10),"data missing",'Soil results'!O10))</f>
        <v/>
      </c>
      <c r="BH7" s="239" t="str">
        <f ca="1">IF(OR($B7="",BG7="data missing"),"",BF7*1000/3000+BG7)</f>
        <v/>
      </c>
      <c r="BI7" s="9" t="str">
        <f ca="1">IF(B7="","",
IF(BF7=0,"n/a",
IF(OR(BF7="data missing",BG7="data missing"),"data missing",
IF(BF7&gt;3,"application rate too high - permissible rate exceeds limit",
IF('Soil results'!F10&lt;=5.5,
  IF(BG7&gt;50,"no application - soil conc. already above limit",
  IF(BH7&gt;50,"application rate too high - soil conc. will exceed limit",
  IF(BG7&gt;50*0.9,"soil conc. is at or above 90% of the limit",
  IF(10*BF7*1000/3000+BG7&gt;50,"soil limit likely to be exceeded in 10yrs",
  IF(50*BF7*1000/3000+BG7&gt;50,"soil limit likely to be exceeded in 50yrs","ok"))))),
IF('Soil results'!F10&lt;=6,
  IF(BG7&gt;60,"no application - soil conc. already above limit",
  IF(BH7&gt;60,"application rate too high - soil conc. will exceed limit",
  IF(BG7&gt;60*0.9,"soil conc. is at or above 90% of the limit",
  IF(10*BF7*1000/3000+BG7&gt;60,"soil limit likely to be exceeded in 10yrs",
  IF(50*BF7*1000/3000+BG7&gt;60,"soil limit likely to be exceeded in 50yrs","ok"))))),
IF('Soil results'!F10&lt;=7,
  IF(BG7&gt;75,"no application - soil conc. already above limit",
  IF(BH7&gt;75,"application rate too high - soil conc. will exceed limit",
  IF(BG7&gt;75*0.9,"soil conc. is at or above 90% of the limit",
  IF(10*BF7*1000/3000+BG7&gt;75,"soil limit likely to be exceeded in 10yrs",
  IF(50*BF7*1000/3000+BG7&gt;75,"soil limit likely to be exceeded in 50yrs","ok"))))),
IF('Soil results'!F10&gt;7,
  IF(BG7&gt;100,"no application - soil conc. already above limit",
  IF(BH7&gt;100,"application rate too high - soil conc. will exceed limit",
  IF(BG7&gt;100*0.9,"soil conc. is at or above 90% of the limit",
  IF(10*BF7*1000/3000+BG7&gt;100,"soil limit likely to be exceeded in 10yrs",
  IF(50*BF7*1000/3000+BG7&gt;100,"soil limit likely to beexceeded in 50yrs","ok")))))
))))))))</f>
        <v/>
      </c>
      <c r="BK7" s="240" t="str">
        <f ca="1">IF(B7="","",
IF(AND('Field information 2'!$O$5="", 'Field information 2'!$Q$5=""),
   IF('Waste results'!$S$30&lt;&gt;"data missing", Calc!BC5*'Waste results'!$S$30, "data missing"),
IF('Field information 2'!$Q$5="",
   IF(Calc!BD5=0,
     IF('Waste results'!$S$30&lt;&gt;"data missing", Calc!BC5*'Waste results'!$S$30, "data missing"),
   IF(Calc!BC5=0,
     IF('Waste results'!$S$66&lt;&gt;"data missing", Calc!BD5*'Waste results'!$S$66, "data missing"),
   IF(OR('Waste results'!$S$30&lt;&gt;"data missing", 'Waste results'!$S$66&lt;&gt;"data missing"), Calc!BC5*'Waste results'!$S$30+ Calc!BD5*'Waste results'!$S$66, "data missing"))),
IF(AND('Field information 2'!$M$5&lt;&gt;"", 'Field information 2'!$O$5&lt;&gt;"", 'Field information 2'!$Q$5&lt;&gt;""),
   IF(AND(Calc!BD5=0,Calc!BE5=0),
     IF('Waste results'!$S$30&lt;&gt;"data missing", Calc!BC5*'Waste results'!$S$30, "data missing"),
   IF(AND(Calc!BC5=0,Calc!BE5=0),
     IF('Waste results'!$S$66&lt;&gt;"data missing", Calc!BD5*'Waste results'!$S$66, "data missing"),
   IF(AND(Calc!BC5=0,Calc!BD5=0),
     IF('Waste results'!$S$102&lt;&gt;"data missing", Calc!BE5*'Waste results'!$S$102, "data missing"),
   IF(Calc!BE5=0,
     IF(OR('Waste results'!$S$30&lt;&gt;"data missing", 'Waste results'!$S$66&lt;&gt;"data missing"), Calc!BC5*'Waste results'!$S$30+ Calc!BD5*'Waste results'!$S$66, "data missing"),
   IF(Calc!BD5=0,
     IF(OR('Waste results'!$S$30&lt;&gt;"data missing", 'Waste results'!$S$102&lt;&gt;"data missing"), Calc!BC5*'Waste results'!$S$30+ Calc!BE5*'Waste results'!$S$102, "data missing"),
   IF(Calc!BC5=0,
     IF(OR('Waste results'!$S$66&lt;&gt;"data missing", 'Waste results'!$S$102&lt;&gt;"data missing"), Calc!BD5*'Waste results'!$S$66+Calc!BE5*'Waste results'!$S$102, "data missing"),
   IF(OR('Waste results'!$S$30&lt;&gt;"data missing", 'Waste results'!$S$66&lt;&gt;"data missing", 'Waste results'!$S$102&lt;&gt;"data missing"), Calc!BC5*'Waste results'!$S$30+Calc!BD5*'Waste results'!$S$66+ Calc!BE5*'Waste results'!$S$102, "data missing")))))))))))</f>
        <v/>
      </c>
      <c r="BL7" s="241" t="str">
        <f ca="1">IF($B7="","",
IF(ISBLANK('Soil results'!P10),"data missing",'Soil results'!P10))</f>
        <v/>
      </c>
      <c r="BM7" s="241" t="str">
        <f ca="1">IF(OR($B7="",BL7="data missing"),"",BK7*1000/3000+BL7)</f>
        <v/>
      </c>
      <c r="BN7" s="66" t="str">
        <f ca="1">IF(B7="","",
IF(BK7=0,"n/a",
IF(OR(BK7="data missing",BL7="data missing"),"data missing",
IF(BK7&gt;15,"application rate too high - permissible rate exceeds limit",
IF(BL7&gt;300,"no application - soil conc. already above limit",
IF(BM7&gt;300,"application rate too high - soil conc. will exceed limit",
IF(BL7&gt;300*0.9,"soil conc. is at or above 90% of the limit",
IF(10*BK7*1000/3000+BL7&gt;300,"soil limit likely to be exceeded in 10yrs",
IF(50*BK7*1000/3000+BL7&gt;300,"soil limit likely to be exceeded in 50yrs","ok")))))))))</f>
        <v/>
      </c>
      <c r="BP7" s="238" t="str">
        <f ca="1">IF(B7="","",
IF(AND('Field information 2'!$O$5="", 'Field information 2'!$Q$5=""),
   IF('Waste results'!$S$31&lt;&gt;"data missing", Calc!BC5*'Waste results'!$S$31, "data missing"),
IF('Field information 2'!$Q$5="",
   IF(Calc!BD5=0,
     IF('Waste results'!$S$31&lt;&gt;"data missing", Calc!BC5*'Waste results'!$S$31, "data missing"),
   IF(Calc!BC5=0,
     IF('Waste results'!$S$67&lt;&gt;"data missing", Calc!BD5*'Waste results'!$S$67, "data missing"),
   IF(OR('Waste results'!$S$31&lt;&gt;"data missing", 'Waste results'!$S$67&lt;&gt;"data missing"), Calc!BC5*'Waste results'!$S$31+ Calc!BD5*'Waste results'!$S$67, "data missing"))),
IF(AND('Field information 2'!$M$5&lt;&gt;"", 'Field information 2'!$O$5&lt;&gt;"", 'Field information 2'!$Q$5&lt;&gt;""),
   IF(AND(Calc!BD5=0,Calc!BE5=0),
     IF('Waste results'!$S$31&lt;&gt;"data missing", Calc!BC5*'Waste results'!$S$31, "data missing"),
   IF(AND(Calc!BC5=0,Calc!BE5=0),
     IF('Waste results'!$S$67&lt;&gt;"data missing", Calc!BD5*'Waste results'!$S$67, "data missing"),
   IF(AND(Calc!BC5=0,Calc!BD5=0),
     IF('Waste results'!$S$103&lt;&gt;"data missing", Calc!BE5*'Waste results'!$S$103, "data missing"),
   IF(Calc!BE5=0,
     IF(OR('Waste results'!$S$31&lt;&gt;"data missing", 'Waste results'!$S$67&lt;&gt;"data missing"), Calc!BC5*'Waste results'!$S$31+ Calc!BD5*'Waste results'!$S$67, "data missing"),
   IF(Calc!BD5=0,
     IF(OR('Waste results'!$S$31&lt;&gt;"data missing", 'Waste results'!$S$103&lt;&gt;"data missing"), Calc!BC5*'Waste results'!$S$31+ Calc!BE5*'Waste results'!$S$103, "data missing"),
   IF(Calc!BC5=0,
     IF(OR('Waste results'!$S$67&lt;&gt;"data missing", 'Waste results'!$S$103&lt;&gt;"data missing"), Calc!BD5*'Waste results'!$S$67+Calc!BE5*'Waste results'!$S$103, "data missing"),
   IF(OR('Waste results'!$S$31&lt;&gt;"data missing", 'Waste results'!$S$67&lt;&gt;"data missing", 'Waste results'!$S$103&lt;&gt;"data missing"), Calc!BC5*'Waste results'!$S$31+Calc!BD5*'Waste results'!$S$67+ Calc!BE5*'Waste results'!$S$103, "data missing")))))))))))</f>
        <v/>
      </c>
      <c r="BQ7" s="239" t="str">
        <f ca="1">IF($B7="","",
IF(ISBLANK('Soil results'!Q10),"data missing",'Soil results'!Q10))</f>
        <v/>
      </c>
      <c r="BR7" s="239" t="str">
        <f ca="1">IF(OR($B7="",BQ7="data missing"),"",BP7*1000/3000+BQ7)</f>
        <v/>
      </c>
      <c r="BS7" s="9" t="str">
        <f ca="1">IF(B7="","",
IF(BP7=0,"n/a",
IF(OR(BP7="data missing",BQ7=""),"data missing",
IF(BP7&gt;15,"application rate too high - permissible rate exceeds limit",
IF('Soil results'!F10&lt;=5.5,
  IF(BQ7&gt;200,"no application - soil conc. already above limit",
  IF(BR7&gt;200,"application rate too high - soil conc. will exceed limit",
  IF(BQ7&gt;200*0.9,"soil conc. is at or above 90% of the limit",
  IF(10*BP7*1000/3000+BQ7&gt;200,"soil limit likely to be exceeded in 10yrs",
  IF(50*BP7*1000/3000+BQ7&gt;200,"soil limit likely to be exceeded in 50yrs","ok"))))),
IF('Soil results'!F10&lt;=6,
  IF(BQ7&gt;250,"no application - soil conc. already above limit",
  IF(BR7&gt;250,"application rate too high - soil conc. will exceed limit",
  IF(BQ7&gt;250*0.9,"soil conc. is at or above 90% of the limit",
  IF(10*BP7*1000/3000+BQ7&gt;250,"soil limit likely to be exceeded in 10yrs",
  IF(50*BP7*1000/3000+BQ7&gt;250,"soil limit likely to be exceeded in 50yrs","ok"))))),
IF('Soil results'!F10&lt;=7,
  IF(BQ7&gt;300,"no application - soil conc. already above limit",
  IF(BR7&gt;300,"application rate too high - soil conc. will exceed limit",
  IF(BQ7&gt;300*0.9,"soil conc. is at or above 90% of the limit",
  IF(10*BP7*1000/3000+BQ7&gt;300,"soil limit likey to be exceeded in 10yrs",
  IF(50*BP7*1000/3000+BQ7&gt;300,"soil limit likely to be exceeded in 50yrs","ok"))))),
IF('Soil results'!F10&gt;7,
  IF(BQ7&gt;450,"no application - soil conc. already above limit",
  IF(BR7&gt;450,"application rate too high - soil conc. will exceed limit",
  IF(AW7&gt;450*0.9,"soil conc. is at or above 90% of the limit",
  IF(10*BP7*1000/3000+BQ7&gt;450,"soil limit likely to be exceeded in 10yrs",
  IF(50*BP7*1000/3000+BQ7&gt;450,"soil limit likely to be exceeded in 50yrs","ok")))))
))))))))</f>
        <v/>
      </c>
    </row>
    <row r="8" spans="1:71" s="9" customFormat="1" x14ac:dyDescent="0.35">
      <c r="B8" s="236" t="str">
        <f ca="1">'Soil results'!B11</f>
        <v/>
      </c>
      <c r="C8" s="91" t="str">
        <f ca="1">IF(B8="","",
IF(AND('Field information 2'!$O$5="", 'Field information 2'!$Q$5=""),
   IF('Waste results'!$S$12&lt;&gt;"data missing", Calc!BC6*'Waste results'!$S$12, "data missing"),
IF('Field information 2'!$Q$5="",
   IF(Calc!BD6=0,
     IF('Waste results'!$S$12&lt;&gt;"data missing", Calc!BC6*'Waste results'!$S$12, "data missing"),
   IF(Calc!BC6=0,
     IF('Waste results'!$S$48&lt;&gt;"data missing", Calc!BD6*'Waste results'!$S$48, "data missing"),
   IF(OR('Waste results'!$S$12&lt;&gt;"data missing", 'Waste results'!$S$48&lt;&gt;"data missing"), Calc!BC6*'Waste results'!$S$12+ Calc!BD6*'Waste results'!$S$48, "data missing"))),
IF(AND('Field information 2'!$M$5&lt;&gt;"", 'Field information 2'!$O$5&lt;&gt;"", 'Field information 2'!$Q$5&lt;&gt;""),
   IF(AND(Calc!BD6=0,Calc!BE6=0),
     IF('Waste results'!$S$12&lt;&gt;"data missing", Calc!BC6*'Waste results'!$S$12, "data missing"),
   IF(AND(Calc!BC6=0,Calc!BE6=0),
     IF('Waste results'!$S$48&lt;&gt;"data missing", Calc!BD6*'Waste results'!$S$48, "data missing"),
   IF(AND(Calc!BC6=0,Calc!BD6=0),
     IF('Waste results'!$S$84&lt;&gt;"data missing", Calc!BE6*'Waste results'!$S$84, "data missing"),
   IF(Calc!BE6=0,
     IF(OR('Waste results'!$S$12&lt;&gt;"data missing", 'Waste results'!$S$48&lt;&gt;"data missing"), Calc!BC6*'Waste results'!$S$12+ Calc!BD6*'Waste results'!$S$48, "data missing"),
   IF(Calc!BD6=0,
     IF(OR('Waste results'!$S$12&lt;&gt;"data missing", 'Waste results'!$S$84&lt;&gt;"data missing"), Calc!BC6*'Waste results'!$S$12+ Calc!BE6*'Waste results'!$S$84, "data missing"),
   IF(Calc!BC6=0,
     IF(OR('Waste results'!$S$48&lt;&gt;"data missing", 'Waste results'!$S$84&lt;&gt;"data missing"), Calc!BD6*'Waste results'!$S$48+Calc!BE6*'Waste results'!$S$84, "data missing"),
   IF(OR('Waste results'!$S$12&lt;&gt;"data missing", 'Waste results'!$S$48&lt;&gt;"data missing", 'Waste results'!$S$84&lt;&gt;"data missing"), Calc!BC6*'Waste results'!$S$12+Calc!BD6*'Waste results'!$S$48+ Calc!BE6*'Waste results'!$S$84, "data missing")))))))))))</f>
        <v/>
      </c>
      <c r="D8" s="161" t="str">
        <f ca="1">IF(B8="","",
IF(Calc!BG6="","soil texture missing",
IF(OR(Calc!BG6="SL; SZL; ZL",Calc!BG6="SCL; CL; ZCL; SC; ZC; C"),VLOOKUP(Calc!BI6,'Fertiliser recommendations'!$A$4:$C$63,3,FALSE),
IF(Calc!BG6="S; LS",VLOOKUP(Calc!BI6,'Fertiliser recommendations'!$A$4:$C$63,3,FALSE)+VLOOKUP(Calc!BI6,'Fertiliser recommendations'!$A$4:$D$63,4,FALSE),
IF(Calc!BG6="10-25% OM",VLOOKUP(Calc!BI6,'Fertiliser recommendations'!$A$4:$C$63,3,FALSE)+VLOOKUP(Calc!BI6,'Fertiliser recommendations'!$A$4:$E$63,5,FALSE),
IF(Calc!BG6="&gt;25% OM",VLOOKUP(Calc!BI6,'Fertiliser recommendations'!$A$4:$C$63,3,FALSE)+VLOOKUP(Calc!BI6,'Fertiliser recommendations'!$A$4:$F$63,6,FALSE),
""))))))</f>
        <v/>
      </c>
      <c r="E8" s="91" t="str">
        <f t="shared" ref="E8:E71" ca="1" si="0">IF(OR(C8="data missing",ISTEXT(D8)),"",C8-D8)</f>
        <v/>
      </c>
      <c r="F8" s="9" t="str">
        <f ca="1">IF(B8="","",
IF(OR(C8="data missing",D8="soil texture missing"),"data missing",
IF(Calc!BF6=0,"n/a",
IF(C8&lt;0.1*D8,"no benefit",
IF(C8&lt;0.3*D8,"limited benefit",
IF(C8&gt;250,"exceeds limit",
IF(OR(AND(D8=0,C8&gt;75),C8&gt;1.25*D8),"excessive",
IF(D8=0, "no requirement",
"benefit"))))))))</f>
        <v/>
      </c>
      <c r="H8" s="91" t="str">
        <f ca="1">IF(B8="","",
IF(AND('Field information 2'!$O$5="", 'Field information 2'!$Q$5=""),
   IF('Waste results'!$S$17&lt;&gt;"data missing", Calc!BC6*'Waste results'!$S$17, "data missing"),
IF('Field information 2'!$Q$5="",
   IF(Calc!BD6=0,
     IF('Waste results'!$S$17&lt;&gt;"data missing", Calc!BC6*'Waste results'!$S$17, "data missing"),
   IF(Calc!BC6=0,
     IF('Waste results'!$S$53&lt;&gt;"data missing", Calc!BD6*'Waste results'!$S$53, "data missing"),
   IF(OR('Waste results'!$S$17&lt;&gt;"data missing", 'Waste results'!$S$53&lt;&gt;"data missing"), Calc!BC6*'Waste results'!$S$17+ Calc!BD6*'Waste results'!$S$53, "data missing"))),
IF(AND('Field information 2'!$M$5&lt;&gt;"", 'Field information 2'!$O$5&lt;&gt;"", 'Field information 2'!$Q$5&lt;&gt;""),
   IF(AND(Calc!BD6=0,Calc!BE6=0),
     IF('Waste results'!$S$17&lt;&gt;"data missing", Calc!BC6*'Waste results'!$S$17, "data missing"),
   IF(AND(Calc!BC6=0,Calc!BE6=0),
     IF('Waste results'!$S$53&lt;&gt;"data missing", Calc!BD6*'Waste results'!$S$53, "data missing"),
   IF(AND(Calc!BC6=0,Calc!BD6=0),
     IF('Waste results'!$S$89&lt;&gt;"data missing", Calc!BE6*'Waste results'!$S$89, "data missing"),
   IF(Calc!BE6=0,
     IF(OR('Waste results'!$S$17&lt;&gt;"data missing", 'Waste results'!$S$53&lt;&gt;"data missing"), Calc!BC6*'Waste results'!$S$17+ Calc!BD6*'Waste results'!$S$53, "data missing"),
   IF(Calc!BD6=0,
     IF(OR('Waste results'!$S$17&lt;&gt;"data missing", 'Waste results'!$S$89&lt;&gt;"data missing"), Calc!BC6*'Waste results'!$S$17+ Calc!BE6*'Waste results'!$S$89, "data missing"),
   IF(Calc!BC6=0,
     IF(OR('Waste results'!$S$53&lt;&gt;"data missing", 'Waste results'!$S$89&lt;&gt;"data missing"), Calc!BD6*'Waste results'!$S$53+Calc!BE6*'Waste results'!$S$89, "data missing"),
   IF(OR('Waste results'!$S$17&lt;&gt;"data missing", 'Waste results'!$S$53&lt;&gt;"data missing", 'Waste results'!$S$89&lt;&gt;"data missing"), Calc!BC6*'Waste results'!$S$17+Calc!BD6*'Waste results'!$S$53+ Calc!BE6*'Waste results'!$S$89, "data missing")))))))))))</f>
        <v/>
      </c>
      <c r="I8" s="195" t="str">
        <f ca="1">IF(B8="","",
IF(OR(ISBLANK('Soil results'!G11), ISBLANK('Soil results'!G$7)),"data missing",
IF(OR(AND('Soil results'!G$7="Olsen (ADAS)",'Soil results'!G11&lt;16),AND('Soil results'!G$7="modified Morgan (SAC)",'Soil results'!G11&lt;4.5)),50,100)))</f>
        <v/>
      </c>
      <c r="J8" s="49" t="str">
        <f ca="1">IF(B8="","",
IF(OR(ISBLANK('Soil results'!G$7),ISBLANK('Soil results'!G11)),"data missing",
IF(OR(AND('Soil results'!G$7="Olsen (ADAS)",'Soil results'!G11&gt;45),AND('Soil results'!G$7="modified Morgan (SAC)",'Soil results'!G11&gt;30)),0,
IF(OR(AND('Soil results'!G$7="Olsen (ADAS)",'Soil results'!G11&gt;=16,'Soil results'!G11&lt;=20),AND('Soil results'!G$7="modified Morgan (SAC)",'Soil results'!G11&gt;=4.5,'Soil results'!G11&lt;=9.4)),VLOOKUP(Calc!BI6,'Fertiliser recommendations'!$A$4:$I$63,9,FALSE),
IF(OR(AND('Soil results'!G$7="Olsen (ADAS)",'Soil results'!G11&lt;10),AND('Soil results'!G$7="modified Morgan (SAC)",'Soil results'!G11&lt;1.8)),VLOOKUP(Calc!BI6,'Fertiliser recommendations'!$A$4:$I$63,9,FALSE)+VLOOKUP(Calc!BI6,'Fertiliser recommendations'!$A$4:$J$63,10,FALSE),
IF(OR(AND('Soil results'!G$7="Olsen (ADAS)",'Soil results'!G11&lt;16),AND('Soil results'!G$7="modified Morgan (SAC)",'Soil results'!G11&lt;4.5)),VLOOKUP(Calc!BI6,'Fertiliser recommendations'!$A$4:$I$63,9,FALSE)+VLOOKUP(Calc!BI6,'Fertiliser recommendations'!$A$4:$K$63,11,FALSE),
IF(OR(AND('Soil results'!G$7="Olsen (ADAS)",'Soil results'!G11&lt;26),AND('Soil results'!G$7="modified Morgan (SAC)",'Soil results'!G11&lt;13.5)),VLOOKUP(Calc!BI6,'Fertiliser recommendations'!$A$4:$I$63,9,FALSE)+VLOOKUP(Calc!BI6,'Fertiliser recommendations'!$A$4:$L$63,12,FALSE),
IF(OR(AND('Soil results'!G$7="Olsen (ADAS)",'Soil results'!G11&lt;=45),AND('Soil results'!G$7="modified Morgan (SAC)",'Soil results'!G11&lt;=30)),VLOOKUP(Calc!BI6,'Fertiliser recommendations'!$A$4:$I$63,9,FALSE)+VLOOKUP(Calc!BI6,'Fertiliser recommendations'!$A$4:$M$63,13,FALSE),
""))))))))</f>
        <v/>
      </c>
      <c r="K8" s="161" t="str">
        <f t="shared" ref="K8:K71" ca="1" si="1">IF(OR(H8="data missing",I8="",J8="",I8="data missing",J8="data missing"),"",(H8*I8/100)-J8)</f>
        <v/>
      </c>
      <c r="L8" s="47" t="str">
        <f ca="1">IF(OR(ISBLANK('Soil results'!G$7),ISBLANK('Soil results'!G11),B8="", H8="data missing"),"",
IF('Soil results'!G$7="Olsen (ADAS)",
IF(((H8*Calc!BM6/2.291-(VLOOKUP(Calc!BI6,'Fertiliser recommendations'!$A$4:$I$63,9,FALSE))/2.291)*10/(400/2.291)+'Soil results'!G11)&lt;10,"0 (VL)",
IF(((H8*Calc!BM6/2.291-(VLOOKUP(Calc!BI6,'Fertiliser recommendations'!$A$4:$I$63,9,FALSE))/2.291)*10/(400/2.291)+'Soil results'!G11)&lt;16,"1 (L)",
IF(((H8*Calc!BM6/2.291-(VLOOKUP(Calc!BI6,'Fertiliser recommendations'!$A$4:$I$63,9,FALSE))/2.291)*10/(400/2.291)+'Soil results'!G11)&lt;21,"2 (M-)",
IF(((H8*Calc!BM6/2.291-(VLOOKUP(Calc!BI6,'Fertiliser recommendations'!$A$4:$I$63,9,FALSE))/2.291)*10/(400/2.291)+'Soil results'!G11)&lt;26,"2 (M+)",
IF(((H8*Calc!BM6/2.291-(VLOOKUP(Calc!BI6,'Fertiliser recommendations'!$A$4:$I$63,9,FALSE))/2.291)*10/(400/2.291)+'Soil results'!G11)&lt;45,"3 (H)","&gt;3 (VH)"))))),
IF('Soil results'!G$7="modified Morgan (SAC)",
IF('Soil results'!G11&gt;=6,
IF(((H8*Calc!BM6/2.291-(VLOOKUP(Calc!BI6,'Fertiliser recommendations'!$A$4:$I$63,9,FALSE))/2.291)*5/(147/2.291)+'Soil results'!G11)&lt;9.5,"2 (M-)",
IF(((H8*Calc!BM6/2.291-(VLOOKUP(Calc!BI6,'Fertiliser recommendations'!$A$4:$I$63,9,FALSE))/2.291)*5/(147/2.291)+'Soil results'!G11)&lt;13.5,"2 (M+)",
IF(((H8*Calc!BM6/2.291-(VLOOKUP(Calc!BI6,'Fertiliser recommendations'!$A$4:$I$63,9,FALSE))/2.291)*5/(147/2.291)+'Soil results'!G11)&lt;30,"3 (H)","4 (VH)"))),
IF(((H8*Calc!BM6/2.291-(VLOOKUP(Calc!BI6,'Fertiliser recommendations'!$A$4:$I$63,9,FALSE))/2.291)*5/(346/2.291)+'Soil results'!G11)&lt;1.8,"0 (VL)",
IF(((H8*Calc!BM6/2.291-(VLOOKUP(Calc!BI6,'Fertiliser recommendations'!$A$4:$I$63,9,FALSE))/2.291)*5/(147/2.291)+'Soil results'!G11)&lt;4.5,"1 (L)","2 (M-)"))))))</f>
        <v/>
      </c>
      <c r="M8" s="9" t="str">
        <f ca="1">IF(B8="","",
IF(OR(H8="data missing",I8="data missing",J8="data missing"),"data missing",
IF(Calc!BF6=0,"n/a",
IF(OR(AND('Soil results'!G$7="Olsen (ADAS)",'Soil results'!G11&gt;45),AND('Soil results'!G$7="modified Morgan (SAC)",'Soil results'!G11&gt;30)),
IF(H8&gt;2,"too high, not acceptable","no requirement"),IF(OR(AND('Soil results'!G$7="Olsen (ADAS)",'Soil results'!G11&gt;25),AND('Soil results'!G$7="modified Morgan (SAC)",'Soil results'!G11&gt;13.4)),
IF(H8*(I8/100)&lt;0.1*J8,"no benefit",
IF(H8*(I8/100)&lt;0.3*J8,"limited benefit",
IF(H8*(I8/100)&lt;1.1*J8,"benefit",
IF(H8*(I8/100)&lt;0.7*VLOOKUP(Calc!BI6,'Fertiliser recommendations'!$A$4:$I$63,9,FALSE),"excessive","too high, not acceptable")))),
IF(OR(AND('Soil results'!G$7="Olsen (ADAS)",'Soil results'!G11&gt;20),AND('Soil results'!G$7="modified Morgan (SAC)",'Soil results'!G11&gt;9.4)),
IF(H8*Calc!BM6*(I8/100)&lt;0.1*J8,"no benefit",
IF(H8*Calc!BM6*(I8/100)&lt;0.3*J8,"limited benefit",
IF(H8*Calc!BM6*(I8/100)&lt;1.1*J8,"benefit",
IF(L8="3 (H)","too high, not acceptable","excessive")))),
IF(OR(AND('Soil results'!G$7="Olsen (ADAS)",'Soil results'!G11&gt;15),AND('Soil results'!G$7="modified Morgan (SAC)",'Soil results'!G11&gt;4.4)),
IF(H8*Calc!BM6*(I8/100)&lt;0.1*VLOOKUP(Calc!BI6,'Fertiliser recommendations'!$A$4:$I$63,9,FALSE),"no benefit",
IF(H8*Calc!BM6*(I8/100)&lt;0.3*VLOOKUP(Calc!BI6,'Fertiliser recommendations'!$A$4:$I$63,9,FALSE),"limited benefit",
IF(H8*Calc!BM6*(I8/100)&lt;1.1*VLOOKUP(Calc!BI6,'Fertiliser recommendations'!$A$4:$I$63,9,FALSE),"benefit",
IF(L8="3 (H)", "too high, not acceptable", "excessive")))),
IF(OR(AND('Soil results'!G$7="Olsen (ADAS)",'Soil results'!G11&lt;=15),AND('Soil results'!G$7="modified Morgan (SAC)",'Soil results'!G11&lt;=4.4)),
IF(H8*Calc!BM6*(I8/100)&lt;0.1*VLOOKUP(Calc!BI6,'Fertiliser recommendations'!$A$4:$I$63,9,FALSE),"no benefit",
IF(H8*Calc!BM6*(I8/100)&lt;0.3*VLOOKUP(Calc!BI6,'Fertiliser recommendations'!$A$4:$I$63,9,FALSE),"limited benefit",
IF(H8*Calc!BM6*(I8/100)&lt;1.1*J8,"benefit","excessive")))))))))))</f>
        <v/>
      </c>
      <c r="O8" s="91" t="str">
        <f ca="1">IF(B8="","",
IF(AND('Field information 2'!$O$5="", 'Field information 2'!$Q$5=""),
   IF('Waste results'!$S$19&lt;&gt;"data missing", Calc!BC6*'Waste results'!$S$19, "data missing"),
IF('Field information 2'!$Q$5="",
   IF(Calc!BD6=0,
     IF('Waste results'!$S$19&lt;&gt;"data missing", Calc!BC6*'Waste results'!$S$19, "data missing"),
   IF(Calc!BC6=0,
     IF('Waste results'!$S$55&lt;&gt;"data missing", Calc!BD6*'Waste results'!$S$55, "data missing"),
   IF(OR('Waste results'!$S$19&lt;&gt;"data missing", 'Waste results'!$S$55&lt;&gt;"data missing"), Calc!BC6*'Waste results'!$S$19+ Calc!BD6*'Waste results'!$S$55, "data missing"))),
IF(AND('Field information 2'!$M$5&lt;&gt;"", 'Field information 2'!$O$5&lt;&gt;"", 'Field information 2'!$Q$5&lt;&gt;""),
   IF(AND(Calc!BD6=0,Calc!BE6=0),
     IF('Waste results'!$S$19&lt;&gt;"data missing", Calc!BC6*'Waste results'!$S$19, "data missing"),
   IF(AND(Calc!BC6=0,Calc!BE6=0),
     IF('Waste results'!$S$55&lt;&gt;"data missing", Calc!BD6*'Waste results'!$S$55, "data missing"),
   IF(AND(Calc!BC6=0,Calc!BD6=0),
     IF('Waste results'!$S$91&lt;&gt;"data missing", Calc!BE6*'Waste results'!$S$91, "data missing"),
   IF(Calc!BE6=0,
     IF(OR('Waste results'!$S$19&lt;&gt;"data missing", 'Waste results'!$S$55&lt;&gt;"data missing"), Calc!BC6*'Waste results'!$S$19+ Calc!BD6*'Waste results'!$S$55, "data missing"),
   IF(Calc!BD6=0,
     IF(OR('Waste results'!$S$19&lt;&gt;"data missing", 'Waste results'!$S$91&lt;&gt;"data missing"), Calc!BC6*'Waste results'!$S$19+ Calc!BE6*'Waste results'!$S$91, "data missing"),
   IF(Calc!BC6=0,
     IF(OR('Waste results'!$S$55&lt;&gt;"data missing", 'Waste results'!$S$91&lt;&gt;"data missing"), Calc!BD6*'Waste results'!$S$55+Calc!BE6*'Waste results'!$S$91, "data missing"),
   IF(OR('Waste results'!$S$19&lt;&gt;"data missing", 'Waste results'!$S$55&lt;&gt;"data missing", 'Waste results'!$S$91&lt;&gt;"data missing"), Calc!BC6*'Waste results'!$S$19+Calc!BD6*'Waste results'!$S$55+ Calc!BE6*'Waste results'!$S$91, "data missing")))))))))))</f>
        <v/>
      </c>
      <c r="P8" s="91" t="str">
        <f ca="1">IF(B8="","",
IF(OR(ISBLANK('Soil results'!H$7),ISBLANK('Soil results'!H11)),"data missing",
IF(OR(AND('Soil results'!H$7="ammonium nitrate (ADAS)",'Soil results'!H11&gt;400),AND('Soil results'!H$7="modified Morgan (SAC)",'Soil results'!H11&gt;400)),0,
IF(OR(AND('Soil results'!H$7="ammonium nitrate (ADAS)",'Soil results'!H11&gt;=121,'Soil results'!H11&lt;=180),AND('Soil results'!H$7="modified Morgan (SAC)",'Soil results'!H11&gt;=76,'Soil results'!H11&lt;=140)),VLOOKUP(Calc!BI6,'Fertiliser recommendations'!$A$4:$Z$63,26,FALSE),
IF(OR(AND('Soil results'!H$7="ammonium nitrate (ADAS)",'Soil results'!H11&lt;61),AND('Soil results'!H$7="modified Morgan (SAC)",'Soil results'!H11&lt;40)),VLOOKUP(Calc!BI6,'Fertiliser recommendations'!$A$4:$Z$63,26,FALSE)+VLOOKUP(Calc!BI6,'Fertiliser recommendations'!$A$4:$AA$63,27,FALSE),
IF(OR(AND('Soil results'!H$7="ammonium nitrate (ADAS)",'Soil results'!H11&lt;121),AND('Soil results'!H$7="modified Morgan (SAC)",'Soil results'!H11&lt;76)),VLOOKUP(Calc!BI6,'Fertiliser recommendations'!$A$4:$Z$63,26,FALSE)+VLOOKUP(Calc!BI6,'Fertiliser recommendations'!$A$4:$AB$63,28,FALSE),
IF(OR(AND('Soil results'!H$7="ammonium nitrate (ADAS)",'Soil results'!H11&lt;241),AND('Soil results'!H$7="modified Morgan (SAC)",'Soil results'!H11&lt;201)),VLOOKUP(Calc!BI6,'Fertiliser recommendations'!$A$4:$Z$63,26,FALSE)+VLOOKUP(Calc!BI6,'Fertiliser recommendations'!$A$4:$AC$63,29,FALSE),
IF(OR(AND('Soil results'!H$7="ammonium nitrate (ADAS)",'Soil results'!H11&lt;=400),AND('Soil results'!H$7="modified Morgan (SAC)",'Soil results'!H11&lt;=400)),VLOOKUP(Calc!BI6,'Fertiliser recommendations'!$A$4:$Z$63,26,FALSE)+VLOOKUP(Calc!BI6,'Fertiliser recommendations'!$A$4:$AD$63,30,FALSE),
"??"))))))))</f>
        <v/>
      </c>
      <c r="Q8" s="91" t="str">
        <f t="shared" ref="Q8:Q71" ca="1" si="2">IF(OR(O8="",P8="",O8="data missing",P8="data missing"),"",O8-P8)</f>
        <v/>
      </c>
      <c r="R8" s="9" t="str">
        <f ca="1">IF(B8="","",
IF(OR(O8="data missing",P8="data missing"),"data missing",
IF(Calc!BF6=0,"n/a",
IF(P8=0, "no requirement",
IF(O8&lt;0.1*P8,"no benefit",
IF(O8&lt;0.3*P8,"limited benefit",
IF(O8&gt;1.25*P8,"excessive",
"benefit")))))))</f>
        <v/>
      </c>
      <c r="T8" s="91" t="str">
        <f ca="1">IF(B8="","",
IF(AND('Field information 2'!$O$5="", 'Field information 2'!$Q$5=""),
   IF('Waste results'!$S$21&lt;&gt;"data missing", Calc!BC6*'Waste results'!$S$21, "data missing"),
IF('Field information 2'!$Q$5="",
   IF(Calc!BD6=0,
     IF('Waste results'!$S$21&lt;&gt;"data missing", Calc!BC6*'Waste results'!$S$21, "data missing"),
   IF(Calc!BC6=0,
     IF('Waste results'!$S$57&lt;&gt;"data missing", Calc!BD6*'Waste results'!$S$57, "data missing"),
   IF(OR('Waste results'!$S$21&lt;&gt;"data missing", 'Waste results'!$S$57&lt;&gt;"data missing"), Calc!BC6*'Waste results'!$S$21+ Calc!BD6*'Waste results'!$S$57, "data missing"))),
IF(AND('Field information 2'!$M$5&lt;&gt;"", 'Field information 2'!$O$5&lt;&gt;"", 'Field information 2'!$Q$5&lt;&gt;""),
   IF(AND(Calc!BD6=0,Calc!BE6=0),
     IF('Waste results'!$S$21&lt;&gt;"data missing", Calc!BC6*'Waste results'!$S$21, "data missing"),
   IF(AND(Calc!BC6=0,Calc!BE6=0),
     IF('Waste results'!$S$57&lt;&gt;"data missing", Calc!BD6*'Waste results'!$S$57, "data missing"),
   IF(AND(Calc!BC6=0,Calc!BD6=0),
     IF('Waste results'!$S$93&lt;&gt;"data missing", Calc!BE6*'Waste results'!$S$93, "data missing"),
   IF(Calc!BE6=0,
     IF(OR('Waste results'!$S$21&lt;&gt;"data missing", 'Waste results'!$S$57&lt;&gt;"data missing"), Calc!BC6*'Waste results'!$S$21+ Calc!BD6*'Waste results'!$S$57, "data missing"),
   IF(Calc!BD6=0,
     IF(OR('Waste results'!$S$21&lt;&gt;"data missing", 'Waste results'!$S$93&lt;&gt;"data missing"), Calc!BC6*'Waste results'!$S$21+ Calc!BE6*'Waste results'!$S$93, "data missing"),
   IF(Calc!BC6=0,
     IF(OR('Waste results'!$S$57&lt;&gt;"data missing", 'Waste results'!$S$93&lt;&gt;"data missing"), Calc!BD6*'Waste results'!$S$57+Calc!BE6*'Waste results'!$S$93, "data missing"),
   IF(OR('Waste results'!$S$21&lt;&gt;"data missing", 'Waste results'!$S$57&lt;&gt;"data missing", 'Waste results'!$S$93&lt;&gt;"data missing"), Calc!BC6*'Waste results'!$S$21+Calc!BD6*'Waste results'!$S$57+ Calc!BE6*'Waste results'!$S$93, "data missing")))))))))))</f>
        <v/>
      </c>
      <c r="U8" s="7" t="str">
        <f ca="1">IF(B8="","",
IF(OR(ISBLANK('Soil results'!I$7),ISBLANK('Soil results'!I11)),"data missing",
IF(OR(AND('Soil results'!I$7="ammonium nitrate (ADAS)",'Soil results'!I11&gt;51),AND('Soil results'!I$7="modified Morgan (SAC)",'Soil results'!I11&gt;61)),0,
IF(OR(AND('Soil results'!I$7="ammonium nitrate (ADAS)",'Soil results'!I11&lt;25),AND('Soil results'!I$7="modified Morgan (SAC)",'Soil results'!I11&lt;19)),VLOOKUP(Calc!BI6,'Fertiliser recommendations'!$A$4:$AH$63,34,FALSE),
IF(OR(AND('Soil results'!I$7="ammonium nitrate (ADAS)",'Soil results'!I11&lt;=51),AND('Soil results'!I$7="modified Morgan (SAC)",'Soil results'!I11&lt;=61)),VLOOKUP(Calc!BI6,'Fertiliser recommendations'!$A$4:$AI$63,35,FALSE),
"")))))</f>
        <v/>
      </c>
      <c r="V8" s="91" t="str">
        <f t="shared" ref="V8:V71" ca="1" si="3">IF(OR(T8="",U8="",T8="data missing",U8="data missing"),"",T8-U8)</f>
        <v/>
      </c>
      <c r="W8" s="9" t="str">
        <f ca="1">IF(B8="","",
IF(OR(T8="data missing",U8="data missing"),"data missing",
IF(Calc!BF6=0,"n/a",
IF(U8=0,"no requirement",
IF(T8&lt;0.1*U8,"no benefit",
IF(T8&lt;0.3*U8,"limited benefit",
IF(OR(T8&gt;1.5*U8,AND(Calc!BJ6="g",T8&gt;100)),"excessive",
"benefit")))))))</f>
        <v/>
      </c>
      <c r="Y8" s="91" t="str">
        <f ca="1">IF(B8="","",
IF(AND('Field information 2'!$O$5="", 'Field information 2'!$Q$5=""),
   IF('Waste results'!$P$23&lt;&gt;"", Calc!BC6*'Waste results'!$P$23, "no data"),
IF('Field information 2'!$Q$5="",
   IF(Calc!BD6=0,
     IF('Waste results'!$P$23&lt;&gt;"", Calc!BC6*'Waste results'!$P$23, "no data"),
   IF(Calc!BC6=0,
     IF('Waste results'!$P$59&lt;&gt;"", Calc!BD6*'Waste results'!$P$59, "no data"),
   IF(OR('Waste results'!$P$23&lt;&gt;"", 'Waste results'!$P$59&lt;&gt;""), Calc!BC6*'Waste results'!$P$23+ Calc!BD6*'Waste results'!$P$59, "no data"))),
IF(AND('Field information 2'!$M$5&lt;&gt;"", 'Field information 2'!$O$5&lt;&gt;"", 'Field information 2'!$Q$5&lt;&gt;""),
   IF(AND(Calc!BD6=0,Calc!BE6=0),
     IF('Waste results'!$P$23&lt;&gt;"", Calc!BC6*'Waste results'!$P$23, "no data"),
   IF(AND(Calc!BC6=0,Calc!BE6=0),
     IF('Waste results'!$P$59&lt;&gt;"", Calc!BD6*'Waste results'!$P$59, "no data"),
   IF(AND(Calc!BC6=0,Calc!BD6=0),
     IF('Waste results'!$P$95&lt;&gt;"", Calc!BE6*'Waste results'!$P$95, "no data"),
   IF(Calc!BE6=0,
     IF(OR('Waste results'!$P$23&lt;&gt;"", 'Waste results'!$P$59&lt;&gt;""), Calc!BC6*'Waste results'!$P$23+ Calc!BD6*'Waste results'!$P$59, "no data"),
   IF(Calc!BD6=0,
     IF(OR('Waste results'!$P$23&lt;&gt;"", 'Waste results'!$P$95&lt;&gt;""), Calc!BC6*'Waste results'!$P$23+ Calc!BE6*'Waste results'!$P$95, "no data"),
   IF(Calc!BC6=0,
     IF(OR('Waste results'!$P$59&lt;&gt;"", 'Waste results'!$P$95&lt;&gt;""), Calc!BD6*'Waste results'!$P$59+Calc!BE6*'Waste results'!$P$95, "no data"),
   IF(OR('Waste results'!$P$23&lt;&gt;"", 'Waste results'!$P$59&lt;&gt;"", 'Waste results'!$P$95&lt;&gt;""), Calc!BC6*'Waste results'!$P$23+Calc!BD6*'Waste results'!$P$59+ Calc!BE6*'Waste results'!$P$95, "no data")))))))))))</f>
        <v/>
      </c>
      <c r="Z8" s="7" t="str">
        <f ca="1">IF(OR(ISBLANK('Soil results'!I$7),ISBLANK('Soil results'!I11),'Soil results'!B11=""),"",
VLOOKUP(Calc!BI6,'Fertiliser recommendations'!$A$4:$AM$63,39,FALSE))</f>
        <v/>
      </c>
      <c r="AA8" s="91" t="str">
        <f t="shared" ref="AA8:AA71" ca="1" si="4">IF(OR(Y8="no data",Z8=""),"",Y8-Z8)</f>
        <v/>
      </c>
      <c r="AB8" s="9" t="str">
        <f t="shared" ref="AB8:AB71" ca="1" si="5">IF(OR(B8="",Y8="no data",Z8=""),"",
IF(T8=0,"n/a",
IF(Z8=0,"no requirement",
IF(Y8&lt;0.1*Z8,"no benefit",
IF(Y8&lt;0.3*Z8,"limited benefit",
IF(Y8&gt;1.5*Z8,"excessive",
"benefit"))))))</f>
        <v/>
      </c>
      <c r="AD8" s="48" t="str">
        <f>IF(ISBLANK('Soil results'!F11),"",'Soil results'!F11)</f>
        <v/>
      </c>
      <c r="AE8" s="49" t="str">
        <f ca="1">IF(B8="","",
IF(AND(Calc!BJ6="g", VLOOKUP(LEFT($B8,LEN($B8)-2),'Field information 2'!$B$12:$P$111,9,FALSE)&lt;&gt;"yes"),
 IF(Calc!BG6="10-25% OM", 5.9, IF(Calc!BG6="&gt;25% OM", 5.5, 6.2)),
IF(OR(Calc!BJ6="a", VLOOKUP(LEFT($B8,LEN($B8)-2),'Field information 2'!$B$12:$P$111,9,FALSE)="yes"),
 IF(Calc!BG6="10-25% OM", 6.4, IF(Calc!BG6="&gt;25% OM", 6, 6.7)), "")))</f>
        <v/>
      </c>
      <c r="AF8" s="91" t="str">
        <f ca="1">IF(B8="","",
IF('Waste results'!$Q$33="","no (significant) liming properties",
IF('Waste results'!Q$33&gt;100,"no (significant) liming properties",
IF(AD8="","",
IF(AD8&gt;=AE8,0,ROUNDDOWN((AE8-AD8)*Calc!BK6*'Waste results'!$Q$33+0.2,0))))))</f>
        <v/>
      </c>
      <c r="AG8" s="9" t="str">
        <f ca="1">IF(B8="","",
IF(T8=0,"n/a",
IF(AD8="","data missing",
IF(AND(AD8&lt;5,AF8="no (significant) liming properties"),"no waste application - pH too low",
IF(AND(AD8&gt;5.1,AF8="no (significant) liming properties",Calc!BH6&gt;25, LEFT(Calc!BI6,4)="graz"),"ok",
IF(AND(AD8&lt;=5.2,AF8="no (significant) liming properties"),"liming highly recommended",
IF(AF8=0,"no waste application - liming not required",
IF(AF8&lt;Calc!BC6,"application rate too high - exceeds liming requirement",
"ok"))))))))</f>
        <v/>
      </c>
      <c r="AI8" s="91" t="str">
        <f ca="1">IF(B8="","",
IF(AND('Field information 2'!$O$5="", 'Field information 2'!$Q$5=""),
   IF('Waste results'!$P$10&lt;&gt;"data missing", Calc!BC6*'Waste results'!$P$10, "data missing"),
IF('Field information 2'!$Q$5="",
   IF(Calc!BD6=0,
     IF('Waste results'!$P$10&lt;&gt;"data missing", Calc!BC6*'Waste results'!$P$10, "data missing"),
   IF(Calc!BC6=0,
     IF('Waste results'!$P$45&lt;&gt;"data missing", Calc!BD6*'Waste results'!$P$45, "data missing"),
   IF(OR('Waste results'!$P$10&lt;&gt;"data missing", 'Waste results'!$P$45&lt;&gt;"data missing"), Calc!BC6*'Waste results'!$P$10+ Calc!BD6*'Waste results'!$P$45, "data missing"))),
IF(AND('Field information 2'!$M$5&lt;&gt;"", 'Field information 2'!$O$5&lt;&gt;"", 'Field information 2'!$Q$5&lt;&gt;""),
   IF(AND(Calc!BD6=0,Calc!BE6=0),
     IF('Waste results'!$P$10&lt;&gt;"data missing", Calc!BC6*'Waste results'!$P$10, "data missing"),
   IF(AND(Calc!BC6=0,Calc!BE6=0),
     IF('Waste results'!$P$45&lt;&gt;"data missing", Calc!BD6*'Waste results'!$P$45, "data missing"),
   IF(AND(Calc!BC6=0,Calc!BD6=0),
     IF('Waste results'!$P$82&lt;&gt;"data missing", Calc!BE6*'Waste results'!$P$82, "data missing"),
   IF(Calc!BE6=0,
     IF(OR('Waste results'!$P$10&lt;&gt;"data missing", 'Waste results'!$P$45&lt;&gt;"data missing"), Calc!BC6*'Waste results'!$P$10+ Calc!BD6*'Waste results'!$P$45, "data missing"),
   IF(Calc!BD6=0,
     IF(OR('Waste results'!$P$10&lt;&gt;"data missing", 'Waste results'!$P$82&lt;&gt;"data missing"), Calc!BC6*'Waste results'!$P$10+ Calc!BE6*'Waste results'!$P$82, "data missing"),
   IF(Calc!BC6=0,
     IF(OR('Waste results'!$P$45&lt;&gt;"data missing", 'Waste results'!$P$82&lt;&gt;"data missing"), Calc!BD6*'Waste results'!$P$45+Calc!BE6*'Waste results'!$P$82, "data missing"),
   IF(OR('Waste results'!$P$10&lt;&gt;"data missing", 'Waste results'!$P$45&lt;&gt;"data missing", 'Waste results'!$P$82&lt;&gt;"data missing"), Calc!BC6*'Waste results'!$P$10+Calc!BD6*'Waste results'!$P$45+ Calc!BE6*'Waste results'!$P$82, "data missing")))))))))))</f>
        <v/>
      </c>
      <c r="AJ8" s="237" t="str">
        <f ca="1">IF(B8="","",
IF(AI8="data missing","data missing",
IF(Calc!BF6=0,"n/a",
IF(AND(Calc!BH6&gt;=8,AI8&lt;500),"no benefit",
IF(OR(AND(Calc!BH6&lt;=4,AI8&gt;=500),AND(Calc!BH6&lt;8,AI8&gt;5000)),"benefit",
"limited benefit")))))</f>
        <v/>
      </c>
      <c r="AL8" s="238" t="str">
        <f ca="1">IF(B8="","",
IF(AND('Field information 2'!$O$5="", 'Field information 2'!$Q$5=""),
   IF('Waste results'!$S$25&lt;&gt;"data missing", Calc!BC6*'Waste results'!$S$25, "data missing"),
IF('Field information 2'!$Q$5="",
   IF(Calc!BD6=0,
     IF('Waste results'!$S$25&lt;&gt;"data missing", Calc!BC6*'Waste results'!$S$25, "data missing"),
   IF(Calc!BC6=0,
     IF('Waste results'!$S$61&lt;&gt;"data missing", Calc!BD6*'Waste results'!$S$61, "data missing"),
   IF(OR('Waste results'!$S$25&lt;&gt;"data missing", 'Waste results'!$S$61&lt;&gt;"data missing"), Calc!BC6*'Waste results'!$S$25+ Calc!BD6*'Waste results'!$S$61, "data missing"))),
IF(AND('Field information 2'!$M$5&lt;&gt;"", 'Field information 2'!$O$5&lt;&gt;"", 'Field information 2'!$Q$5&lt;&gt;""),
   IF(AND(Calc!BD6=0,Calc!BE6=0),
     IF('Waste results'!$S$25&lt;&gt;"data missing", Calc!BC6*'Waste results'!$S$25, "data missing"),
   IF(AND(Calc!BC6=0,Calc!BE6=0),
     IF('Waste results'!$S$61&lt;&gt;"data missing", Calc!BD6*'Waste results'!$S$61, "data missing"),
   IF(AND(Calc!BC6=0,Calc!BD6=0),
     IF('Waste results'!$S$97&lt;&gt;"data missing", Calc!BE6*'Waste results'!$S$97, "data missing"),
   IF(Calc!BE6=0,
     IF(OR('Waste results'!$S$25&lt;&gt;"data missing", 'Waste results'!$S$61&lt;&gt;"data missing"), Calc!BC6*'Waste results'!$S$25+ Calc!BD6*'Waste results'!$S$61, "data missing"),
   IF(Calc!BD6=0,
     IF(OR('Waste results'!$S$25&lt;&gt;"data missing", 'Waste results'!$S$97&lt;&gt;"data missing"), Calc!BC6*'Waste results'!$S$25+ Calc!BE6*'Waste results'!$S$97, "data missing"),
   IF(Calc!BC6=0,
     IF(OR('Waste results'!$S$61&lt;&gt;"data missing", 'Waste results'!$S$97&lt;&gt;"data missing"), Calc!BD6*'Waste results'!$S$61+Calc!BE6*'Waste results'!$S$97, "data missing"),
   IF(OR('Waste results'!$S$25&lt;&gt;"data missing", 'Waste results'!$S$61&lt;&gt;"data missing", 'Waste results'!$S$97&lt;&gt;"data missing"), Calc!BC6*'Waste results'!$S$25+Calc!BD6*'Waste results'!$S$61+ Calc!BE6*'Waste results'!$S$97, "data missing")))))))))))</f>
        <v/>
      </c>
      <c r="AM8" s="239" t="str">
        <f ca="1">IF($B8="","",
IF(ISBLANK('Soil results'!K11),"data missing",'Soil results'!K11))</f>
        <v/>
      </c>
      <c r="AN8" s="239" t="str">
        <f t="shared" ref="AN8:AN71" ca="1" si="6">IF(OR($B8="",AM8="data missing"),"",AL8*1000/3000+AM8)</f>
        <v/>
      </c>
      <c r="AO8" s="9" t="str">
        <f t="shared" ref="AO8:AO71" ca="1" si="7">IF(B8="","",
IF(AL8=0,"n/a",
IF(OR(AL8="data missing",AM8="data missing"),"data missing",
IF(AL8&gt;0.15,"application rate too high - permissible rate exceeds limit",
IF(AM8&gt;3,"no application - soil conc. already above limit",
IF(AN8&gt;3,"application rate too high - soil conc. will exceed limit",
IF(AM8&gt;3*0.9,"soil conc. is at or above 90% of the limit",
IF(10*AL8*1000/3000+AM8&gt;3,"soil limit likely to be exceeded in 10yrs",
IF(50*AL8*1000/3000+AM8&gt;3,"soil limit likely to be exceeded in 50yrs","ok")))))))))</f>
        <v/>
      </c>
      <c r="AQ8" s="240" t="str">
        <f ca="1">IF(B8="","",
IF(AND('Field information 2'!$O$5="", 'Field information 2'!$Q$5=""),
   IF('Waste results'!$S$26&lt;&gt;"data missing", Calc!BC6*'Waste results'!$S$26, "data missing"),
IF('Field information 2'!$Q$5="",
   IF(Calc!BD6=0,
     IF('Waste results'!$S$26&lt;&gt;"data missing", Calc!BC6*'Waste results'!$S$26, "data missing"),
   IF(Calc!BC6=0,
     IF('Waste results'!$S$62&lt;&gt;"data missing", Calc!BD6*'Waste results'!$S$62, "data missing"),
   IF(OR('Waste results'!$S$26&lt;&gt;"data missing", 'Waste results'!$S$62&lt;&gt;"data missing"), Calc!BC6*'Waste results'!$S$26+ Calc!BD6*'Waste results'!$S$62, "data missing"))),
IF(AND('Field information 2'!$M$5&lt;&gt;"", 'Field information 2'!$O$5&lt;&gt;"", 'Field information 2'!$Q$5&lt;&gt;""),
   IF(AND(Calc!BD6=0,Calc!BE6=0),
     IF('Waste results'!$S$26&lt;&gt;"data missing", Calc!BC6*'Waste results'!$S$26, "data missing"),
   IF(AND(Calc!BC6=0,Calc!BE6=0),
     IF('Waste results'!$S$62&lt;&gt;"data missing", Calc!BD6*'Waste results'!$S$62, "data missing"),
   IF(AND(Calc!BC6=0,Calc!BD6=0),
     IF('Waste results'!$S$98&lt;&gt;"data missing", Calc!BE6*'Waste results'!$S$98, "data missing"),
   IF(Calc!BE6=0,
     IF(OR('Waste results'!$S$26&lt;&gt;"data missing", 'Waste results'!$S$62&lt;&gt;"data missing"), Calc!BC6*'Waste results'!$S$26+ Calc!BD6*'Waste results'!$S$62, "data missing"),
   IF(Calc!BD6=0,
     IF(OR('Waste results'!$S$26&lt;&gt;"data missing", 'Waste results'!$S$98&lt;&gt;"data missing"), Calc!BC6*'Waste results'!$S$26+ Calc!BE6*'Waste results'!$S$98, "data missing"),
   IF(Calc!BC6=0,
     IF(OR('Waste results'!$S$62&lt;&gt;"data missing", 'Waste results'!$S$98&lt;&gt;"data missing"), Calc!BD6*'Waste results'!$S$62+Calc!BE6*'Waste results'!$S$98, "data missing"),
   IF(OR('Waste results'!$S$26&lt;&gt;"data missing", 'Waste results'!$S$62&lt;&gt;"data missing", 'Waste results'!$S$98&lt;&gt;"data missing"), Calc!BC6*'Waste results'!$S$26+Calc!BD6*'Waste results'!$S$62+ Calc!BE6*'Waste results'!$S$98, "data missing")))))))))))</f>
        <v/>
      </c>
      <c r="AR8" s="241" t="str">
        <f ca="1">IF($B8="","",
IF(ISBLANK('Soil results'!L11),"data missing",'Soil results'!L11))</f>
        <v/>
      </c>
      <c r="AS8" s="241" t="str">
        <f t="shared" ref="AS8:AS71" ca="1" si="8">IF(OR($B8="",AR8="data missing"),"",AQ8*1000/3000+AR8)</f>
        <v/>
      </c>
      <c r="AT8" s="66" t="str">
        <f t="shared" ref="AT8:AT71" ca="1" si="9">IF(B8="","",
IF(AQ8=0,"n/a",
IF(OR(AQ8="data missing",AR8="data missing"),"data missing",
IF(AQ8&gt;15,"application rate too high - permissible rate exceeds limit",
IF(AR8&gt;400,"no application - soil conc. already above limit",
IF(AS8&gt;400,"application rate too high - soil conc. will exceed limit",
IF(AR8&gt;400*0.9,"soil conc. is at or above 90% of the limit",
IF(10*AQ8*1000/3000+AR8&gt;400,"soil limit likely to be exceeded in 10yrs",
IF(50*AQ8*1000/3000+AR8&gt;400,"soil limit likely to be exceeded in 50yrs","ok")))))))))</f>
        <v/>
      </c>
      <c r="AV8" s="238" t="str">
        <f ca="1">IF(B8="","",
IF(AND('Field information 2'!$O$5="", 'Field information 2'!$Q$5=""),
   IF('Waste results'!$S$27&lt;&gt;"data missing", Calc!BC6*'Waste results'!$S$27, "data missing"),
IF('Field information 2'!$Q$5="",
   IF(Calc!BD6=0,
     IF('Waste results'!$S$27&lt;&gt;"data missing", Calc!BC6*'Waste results'!$S$27, "data missing"),
   IF(Calc!BC6=0,
     IF('Waste results'!$S$63&lt;&gt;"data missing", Calc!BD6*'Waste results'!$S$63, "data missing"),
   IF(OR('Waste results'!$S$27&lt;&gt;"data missing", 'Waste results'!$S$63&lt;&gt;"data missing"), Calc!BC6*'Waste results'!$S$27+ Calc!BD6*'Waste results'!$S$63, "data missing"))),
IF(AND('Field information 2'!$M$5&lt;&gt;"", 'Field information 2'!$O$5&lt;&gt;"", 'Field information 2'!$Q$5&lt;&gt;""),
   IF(AND(Calc!BD6=0,Calc!BE6=0),
     IF('Waste results'!$S$27&lt;&gt;"data missing", Calc!BC6*'Waste results'!$S$27, "data missing"),
   IF(AND(Calc!BC6=0,Calc!BE6=0),
     IF('Waste results'!$S$63&lt;&gt;"data missing", Calc!BD6*'Waste results'!$S$63, "data missing"),
   IF(AND(Calc!BC6=0,Calc!BD6=0),
     IF('Waste results'!$S$99&lt;&gt;"data missing", Calc!BE6*'Waste results'!$S$99, "data missing"),
   IF(Calc!BE6=0,
     IF(OR('Waste results'!$S$27&lt;&gt;"data missing", 'Waste results'!$S$63&lt;&gt;"data missing"), Calc!BC6*'Waste results'!$S$27+ Calc!BD6*'Waste results'!$S$63, "data missing"),
   IF(Calc!BD6=0,
     IF(OR('Waste results'!$S$27&lt;&gt;"data missing", 'Waste results'!$S$99&lt;&gt;"data missing"), Calc!BC6*'Waste results'!$S$27+ Calc!BE6*'Waste results'!$S$99, "data missing"),
   IF(Calc!BC6=0,
     IF(OR('Waste results'!$S$63&lt;&gt;"data missing", 'Waste results'!$S$99&lt;&gt;"data missing"), Calc!BD6*'Waste results'!$S$63+Calc!BE6*'Waste results'!$S$99, "data missing"),
   IF(OR('Waste results'!$S$27&lt;&gt;"data missing", 'Waste results'!$S$63&lt;&gt;"data missing", 'Waste results'!$S$99&lt;&gt;"data missing"), Calc!BC6*'Waste results'!$S$27+Calc!BD6*'Waste results'!$S$63+ Calc!BE6*'Waste results'!$S$99, "data missing")))))))))))</f>
        <v/>
      </c>
      <c r="AW8" s="239" t="str">
        <f ca="1">IF($B8="","",
IF(ISBLANK('Soil results'!M11),"data missing",'Soil results'!M11))</f>
        <v/>
      </c>
      <c r="AX8" s="239" t="str">
        <f t="shared" ref="AX8:AX71" ca="1" si="10">IF(OR($B8="",AW8="data missing"),"",AV8*1000/3000+AW8)</f>
        <v/>
      </c>
      <c r="AY8" s="9" t="str">
        <f ca="1">IF(B8="","",
IF(AV8=0,"n/a",
IF(OR(AV8="data missing",AW8="data missing"),"data missing",
IF(AV8&gt;7.5,"application rate too high - permissible rate exceeds limit",
IF('Soil results'!$F11&lt;=5.5,
  IF(AW8&gt;80,"no application - soil conc. already above limit",
  IF(AX8&gt;80,"application rate too high - soil conc. will exceed limit",
  IF(AW8&gt;80*0.9,"soil conc. is at or above 90% of the limit",
  IF(10*AV8*1000/3000+AW8&gt;80,"soil limit likely to be exceeded in 10yrs",
  IF(50*AV8*1000/3000+AW8&gt;80,"soil limit likely to be exceeded in 50yrs","ok"))))),
IF('Soil results'!$F11&lt;=6,
  IF(AW8&gt;100,"no application - soil conc. already above limit",
  IF(AX8&gt;100,"application rate too high - soil conc. will exceed limit",
  IF(AW8&gt;100*0.9,"soil conc. is at or above 90% of the limit",
  IF(10*AV8*1000/3000+AW8&gt;100,"soil limit likely to be exceeded in 10yrs",
  IF(50*AV8*1000/3000+AW8&gt;100,"soil limit likely to be exceeded in 50yrs","ok"))))),
IF('Soil results'!$F11&lt;=7,
  IF(AW8&gt;135,"no application - soil conc. already above limit",
  IF(AX8&gt;135,"application rate too high - soil conc. will exceed limit",
  IF(AW8&gt;135*0.9,"soil conc. is at or above 90% of the limit",
  IF(10*AV8*1000/3000+AW8&gt;135,"soil limit likely to be exceeded in 10yrs",
  IF(50*AV8*1000/3000+AW8&gt;135,"soil limit likely to be exceeded in 50yrs","ok"))))),
IF('Soil results'!$F11&gt;7,
  IF(AW8&gt;200,"no application - soil conc. already above limit",
  IF(AX8&gt;200,"application too high - soil conc. will exceed limit",
  IF(AW8&gt;200*0.9,"soil conc. is at or above 90% of the limit",
  IF(10*AV8*1000/3000+AW8&gt;200,"soil limit likely to be exceeded in 10yrs",
  IF(50*AV8*1000/3000+AW8&gt;200,"soil limit likely to be exceeded in 50yrs","ok")))))
))))))))</f>
        <v/>
      </c>
      <c r="BA8" s="238" t="str">
        <f ca="1">IF(B8="","",
IF(AND('Field information 2'!$O$5="", 'Field information 2'!$Q$5=""),
   IF('Waste results'!$S$28&lt;&gt;"data missing", Calc!BC6*'Waste results'!$S$28, "data missing"),
IF('Field information 2'!$Q$5="",
   IF(Calc!BD6=0,
     IF('Waste results'!$S$28&lt;&gt;"data missing", Calc!BC6*'Waste results'!$S$28, "data missing"),
   IF(Calc!BC6=0,
     IF('Waste results'!$S$64&lt;&gt;"data missing", Calc!BD6*'Waste results'!$S$64, "data missing"),
   IF(OR('Waste results'!$S$28&lt;&gt;"data missing", 'Waste results'!$S$64&lt;&gt;"data missing"), Calc!BC6*'Waste results'!$S$28+ Calc!BD6*'Waste results'!$S$64, "data missing"))),
IF(AND('Field information 2'!$M$5&lt;&gt;"", 'Field information 2'!$O$5&lt;&gt;"", 'Field information 2'!$Q$5&lt;&gt;""),
   IF(AND(Calc!BD6=0,Calc!BE6=0),
     IF('Waste results'!$S$28&lt;&gt;"data missing", Calc!BC6*'Waste results'!$S$28, "data missing"),
   IF(AND(Calc!BC6=0,Calc!BE6=0),
     IF('Waste results'!$S$64&lt;&gt;"data missing", Calc!BD6*'Waste results'!$S$64, "data missing"),
   IF(AND(Calc!BC6=0,Calc!BD6=0),
     IF('Waste results'!$S$100&lt;&gt;"data missing", Calc!BE6*'Waste results'!$S$100, "data missing"),
   IF(Calc!BE6=0,
     IF(OR('Waste results'!$S$28&lt;&gt;"data missing", 'Waste results'!$S$64&lt;&gt;"data missing"), Calc!BC6*'Waste results'!$S$28+ Calc!BD6*'Waste results'!$S$64, "data missing"),
   IF(Calc!BD6=0,
     IF(OR('Waste results'!$S$28&lt;&gt;"data missing", 'Waste results'!$S$100&lt;&gt;"data missing"), Calc!BC6*'Waste results'!$S$28+ Calc!BE6*'Waste results'!$S$100, "data missing"),
   IF(Calc!BC6=0,
     IF(OR('Waste results'!$S$64&lt;&gt;"data missing", 'Waste results'!$S$100&lt;&gt;"data missing"), Calc!BD6*'Waste results'!$S$64+Calc!BE6*'Waste results'!$S$100, "data missing"),
   IF(OR('Waste results'!$S$28&lt;&gt;"data missing", 'Waste results'!$S$64&lt;&gt;"data missing", 'Waste results'!$S$100&lt;&gt;"data missing"), Calc!BC6*'Waste results'!$S$28+Calc!BD6*'Waste results'!$S$64+ Calc!BE6*'Waste results'!$S$100, "data missing")))))))))))</f>
        <v/>
      </c>
      <c r="BB8" s="239" t="str">
        <f ca="1">IF($B8="","",
IF(ISBLANK('Soil results'!N11),"data missing",'Soil results'!N11))</f>
        <v/>
      </c>
      <c r="BC8" s="239" t="str">
        <f t="shared" ref="BC8:BC71" ca="1" si="11">IF(OR($B8="",BB8="data missing"),"",BA8*1000/3000+BB8)</f>
        <v/>
      </c>
      <c r="BD8" s="9" t="str">
        <f t="shared" ref="BD8:BD71" ca="1" si="12">IF(B8="","",
IF(BA8=0,"n/a",
IF(OR(BA8="data missing",BB8="data missing"),"data missing",
IF(BA8&gt;0.1,"application rate too high - permissible rate exceeds limit",
IF(BB8&gt;1,"no application - soil conc. already above limit",
IF(BC8&gt;1,"application rate too high - soil conc. will exceed limit",
IF(BB8&gt;1*0.9,"soil conc. is at or above 90% of the limit",
IF(10*BA8*1000/3000+BB8&gt;1,"soil limit likely to be exceeded in 10yrs",
IF(50*BA8*1000/3000+BB8&gt;1,"soil limit likely to be exceeded in 50yrs","ok")))))))))</f>
        <v/>
      </c>
      <c r="BF8" s="238" t="str">
        <f ca="1">IF(B8="","",
IF(AND('Field information 2'!$O$5="", 'Field information 2'!$Q$5=""),
   IF('Waste results'!$S$29&lt;&gt;"data missing", Calc!BC6*'Waste results'!$S$29, "data missing"),
IF('Field information 2'!$Q$5="",
   IF(Calc!BD6=0,
     IF('Waste results'!$S$29&lt;&gt;"data missing", Calc!BC6*'Waste results'!$S$29, "data missing"),
   IF(Calc!BC6=0,
     IF('Waste results'!$S$65&lt;&gt;"data missing", Calc!BD6*'Waste results'!$S$65, "data missing"),
   IF(OR('Waste results'!$S$29&lt;&gt;"data missing", 'Waste results'!$S$65&lt;&gt;"data missing"), Calc!BC6*'Waste results'!$S$29+ Calc!BD6*'Waste results'!$S$65, "data missing"))),
IF(AND('Field information 2'!$M$5&lt;&gt;"", 'Field information 2'!$O$5&lt;&gt;"", 'Field information 2'!$Q$5&lt;&gt;""),
   IF(AND(Calc!BD6=0,Calc!BE6=0),
     IF('Waste results'!$S$29&lt;&gt;"data missing", Calc!BC6*'Waste results'!$S$29, "data missing"),
   IF(AND(Calc!BC6=0,Calc!BE6=0),
     IF('Waste results'!$S$65&lt;&gt;"data missing", Calc!BD6*'Waste results'!$S$65, "data missing"),
   IF(AND(Calc!BC6=0,Calc!BD6=0),
     IF('Waste results'!$S$101&lt;&gt;"data missing", Calc!BE6*'Waste results'!$S$101, "data missing"),
   IF(Calc!BE6=0,
     IF(OR('Waste results'!$S$29&lt;&gt;"data missing", 'Waste results'!$S$65&lt;&gt;"data missing"), Calc!BC6*'Waste results'!$S$29+ Calc!BD6*'Waste results'!$S$65, "data missing"),
   IF(Calc!BD6=0,
     IF(OR('Waste results'!$S$29&lt;&gt;"data missing", 'Waste results'!$S$101&lt;&gt;"data missing"), Calc!BC6*'Waste results'!$S$29+ Calc!BE6*'Waste results'!$S$101, "data missing"),
   IF(Calc!BC6=0,
     IF(OR('Waste results'!$S$65&lt;&gt;"data missing", 'Waste results'!$S$101&lt;&gt;"data missing"), Calc!BD6*'Waste results'!$S$65+Calc!BE6*'Waste results'!$S$101, "data missing"),
   IF(OR('Waste results'!$S$29&lt;&gt;"data missing", 'Waste results'!$S$65&lt;&gt;"data missing", 'Waste results'!$S$101&lt;&gt;"data missing"), Calc!BC6*'Waste results'!$S$29+Calc!BD6*'Waste results'!$S$65+ Calc!BE6*'Waste results'!$S$101, "data missing")))))))))))</f>
        <v/>
      </c>
      <c r="BG8" s="239" t="str">
        <f ca="1">IF($B8="","",
IF(ISBLANK('Soil results'!O11),"data missing",'Soil results'!O11))</f>
        <v/>
      </c>
      <c r="BH8" s="239" t="str">
        <f t="shared" ref="BH8:BH71" ca="1" si="13">IF(OR($B8="",BG8="data missing"),"",BF8*1000/3000+BG8)</f>
        <v/>
      </c>
      <c r="BI8" s="9" t="str">
        <f ca="1">IF(B8="","",
IF(BF8=0,"n/a",
IF(OR(BF8="data missing",BG8="data missing"),"data missing",
IF(BF8&gt;3,"application rate too high - permissible rate exceeds limit",
IF('Soil results'!F11&lt;=5.5,
  IF(BG8&gt;50,"no application - soil conc. already above limit",
  IF(BH8&gt;50,"application rate too high - soil conc. will exceed limit",
  IF(BG8&gt;50*0.9,"soil conc. is at or above 90% of the limit",
  IF(10*BF8*1000/3000+BG8&gt;50,"soil limit likely to be exceeded in 10yrs",
  IF(50*BF8*1000/3000+BG8&gt;50,"soil limit likely to be exceeded in 50yrs","ok"))))),
IF('Soil results'!F11&lt;=6,
  IF(BG8&gt;60,"no application - soil conc. already above limit",
  IF(BH8&gt;60,"application rate too high - soil conc. will exceed limit",
  IF(BG8&gt;60*0.9,"soil conc. is at or above 90% of the limit",
  IF(10*BF8*1000/3000+BG8&gt;60,"soil limit likely to be exceeded in 10yrs",
  IF(50*BF8*1000/3000+BG8&gt;60,"soil limit likely to be exceeded in 50yrs","ok"))))),
IF('Soil results'!F11&lt;=7,
  IF(BG8&gt;75,"no application - soil conc. already above limit",
  IF(BH8&gt;75,"application rate too high - soil conc. will exceed limit",
  IF(BG8&gt;75*0.9,"soil conc. is at or above 90% of the limit",
  IF(10*BF8*1000/3000+BG8&gt;75,"soil limit likely to be exceeded in 10yrs",
  IF(50*BF8*1000/3000+BG8&gt;75,"soil limit likely to be exceeded in 50yrs","ok"))))),
IF('Soil results'!F11&gt;7,
  IF(BG8&gt;100,"no application - soil conc. already above limit",
  IF(BH8&gt;100,"application rate too high - soil conc. will exceed limit",
  IF(BG8&gt;100*0.9,"soil conc. is at or above 90% of the limit",
  IF(10*BF8*1000/3000+BG8&gt;100,"soil limit likely to be exceeded in 10yrs",
  IF(50*BF8*1000/3000+BG8&gt;100,"soil limit likely to beexceeded in 50yrs","ok")))))
))))))))</f>
        <v/>
      </c>
      <c r="BK8" s="240" t="str">
        <f ca="1">IF(B8="","",
IF(AND('Field information 2'!$O$5="", 'Field information 2'!$Q$5=""),
   IF('Waste results'!$S$30&lt;&gt;"data missing", Calc!BC6*'Waste results'!$S$30, "data missing"),
IF('Field information 2'!$Q$5="",
   IF(Calc!BD6=0,
     IF('Waste results'!$S$30&lt;&gt;"data missing", Calc!BC6*'Waste results'!$S$30, "data missing"),
   IF(Calc!BC6=0,
     IF('Waste results'!$S$66&lt;&gt;"data missing", Calc!BD6*'Waste results'!$S$66, "data missing"),
   IF(OR('Waste results'!$S$30&lt;&gt;"data missing", 'Waste results'!$S$66&lt;&gt;"data missing"), Calc!BC6*'Waste results'!$S$30+ Calc!BD6*'Waste results'!$S$66, "data missing"))),
IF(AND('Field information 2'!$M$5&lt;&gt;"", 'Field information 2'!$O$5&lt;&gt;"", 'Field information 2'!$Q$5&lt;&gt;""),
   IF(AND(Calc!BD6=0,Calc!BE6=0),
     IF('Waste results'!$S$30&lt;&gt;"data missing", Calc!BC6*'Waste results'!$S$30, "data missing"),
   IF(AND(Calc!BC6=0,Calc!BE6=0),
     IF('Waste results'!$S$66&lt;&gt;"data missing", Calc!BD6*'Waste results'!$S$66, "data missing"),
   IF(AND(Calc!BC6=0,Calc!BD6=0),
     IF('Waste results'!$S$102&lt;&gt;"data missing", Calc!BE6*'Waste results'!$S$102, "data missing"),
   IF(Calc!BE6=0,
     IF(OR('Waste results'!$S$30&lt;&gt;"data missing", 'Waste results'!$S$66&lt;&gt;"data missing"), Calc!BC6*'Waste results'!$S$30+ Calc!BD6*'Waste results'!$S$66, "data missing"),
   IF(Calc!BD6=0,
     IF(OR('Waste results'!$S$30&lt;&gt;"data missing", 'Waste results'!$S$102&lt;&gt;"data missing"), Calc!BC6*'Waste results'!$S$30+ Calc!BE6*'Waste results'!$S$102, "data missing"),
   IF(Calc!BC6=0,
     IF(OR('Waste results'!$S$66&lt;&gt;"data missing", 'Waste results'!$S$102&lt;&gt;"data missing"), Calc!BD6*'Waste results'!$S$66+Calc!BE6*'Waste results'!$S$102, "data missing"),
   IF(OR('Waste results'!$S$30&lt;&gt;"data missing", 'Waste results'!$S$66&lt;&gt;"data missing", 'Waste results'!$S$102&lt;&gt;"data missing"), Calc!BC6*'Waste results'!$S$30+Calc!BD6*'Waste results'!$S$66+ Calc!BE6*'Waste results'!$S$102, "data missing")))))))))))</f>
        <v/>
      </c>
      <c r="BL8" s="241" t="str">
        <f ca="1">IF($B8="","",
IF(ISBLANK('Soil results'!P11),"data missing",'Soil results'!P11))</f>
        <v/>
      </c>
      <c r="BM8" s="241" t="str">
        <f t="shared" ref="BM8:BM71" ca="1" si="14">IF(OR($B8="",BL8="data missing"),"",BK8*1000/3000+BL8)</f>
        <v/>
      </c>
      <c r="BN8" s="66" t="str">
        <f t="shared" ref="BN8:BN71" ca="1" si="15">IF(B8="","",
IF(BK8=0,"n/a",
IF(OR(BK8="data missing",BL8="data missing"),"data missing",
IF(BK8&gt;15,"application rate too high - permissible rate exceeds limit",
IF(BL8&gt;300,"no application - soil conc. already above limit",
IF(BM8&gt;300,"application rate too high - soil conc. will exceed limit",
IF(BL8&gt;300*0.9,"soil conc. is at or above 90% of the limit",
IF(10*BK8*1000/3000+BL8&gt;300,"soil limit likely to be exceeded in 10yrs",
IF(50*BK8*1000/3000+BL8&gt;300,"soil limit likely to be exceeded in 50yrs","ok")))))))))</f>
        <v/>
      </c>
      <c r="BP8" s="238" t="str">
        <f ca="1">IF(B8="","",
IF(AND('Field information 2'!$O$5="", 'Field information 2'!$Q$5=""),
   IF('Waste results'!$S$31&lt;&gt;"data missing", Calc!BC6*'Waste results'!$S$31, "data missing"),
IF('Field information 2'!$Q$5="",
   IF(Calc!BD6=0,
     IF('Waste results'!$S$31&lt;&gt;"data missing", Calc!BC6*'Waste results'!$S$31, "data missing"),
   IF(Calc!BC6=0,
     IF('Waste results'!$S$67&lt;&gt;"data missing", Calc!BD6*'Waste results'!$S$67, "data missing"),
   IF(OR('Waste results'!$S$31&lt;&gt;"data missing", 'Waste results'!$S$67&lt;&gt;"data missing"), Calc!BC6*'Waste results'!$S$31+ Calc!BD6*'Waste results'!$S$67, "data missing"))),
IF(AND('Field information 2'!$M$5&lt;&gt;"", 'Field information 2'!$O$5&lt;&gt;"", 'Field information 2'!$Q$5&lt;&gt;""),
   IF(AND(Calc!BD6=0,Calc!BE6=0),
     IF('Waste results'!$S$31&lt;&gt;"data missing", Calc!BC6*'Waste results'!$S$31, "data missing"),
   IF(AND(Calc!BC6=0,Calc!BE6=0),
     IF('Waste results'!$S$67&lt;&gt;"data missing", Calc!BD6*'Waste results'!$S$67, "data missing"),
   IF(AND(Calc!BC6=0,Calc!BD6=0),
     IF('Waste results'!$S$103&lt;&gt;"data missing", Calc!BE6*'Waste results'!$S$103, "data missing"),
   IF(Calc!BE6=0,
     IF(OR('Waste results'!$S$31&lt;&gt;"data missing", 'Waste results'!$S$67&lt;&gt;"data missing"), Calc!BC6*'Waste results'!$S$31+ Calc!BD6*'Waste results'!$S$67, "data missing"),
   IF(Calc!BD6=0,
     IF(OR('Waste results'!$S$31&lt;&gt;"data missing", 'Waste results'!$S$103&lt;&gt;"data missing"), Calc!BC6*'Waste results'!$S$31+ Calc!BE6*'Waste results'!$S$103, "data missing"),
   IF(Calc!BC6=0,
     IF(OR('Waste results'!$S$67&lt;&gt;"data missing", 'Waste results'!$S$103&lt;&gt;"data missing"), Calc!BD6*'Waste results'!$S$67+Calc!BE6*'Waste results'!$S$103, "data missing"),
   IF(OR('Waste results'!$S$31&lt;&gt;"data missing", 'Waste results'!$S$67&lt;&gt;"data missing", 'Waste results'!$S$103&lt;&gt;"data missing"), Calc!BC6*'Waste results'!$S$31+Calc!BD6*'Waste results'!$S$67+ Calc!BE6*'Waste results'!$S$103, "data missing")))))))))))</f>
        <v/>
      </c>
      <c r="BQ8" s="239" t="str">
        <f ca="1">IF($B8="","",
IF(ISBLANK('Soil results'!Q11),"data missing",'Soil results'!Q11))</f>
        <v/>
      </c>
      <c r="BR8" s="239" t="str">
        <f t="shared" ref="BR8:BR71" ca="1" si="16">IF(OR($B8="",BQ8="data missing"),"",BP8*1000/3000+BQ8)</f>
        <v/>
      </c>
      <c r="BS8" s="9" t="str">
        <f ca="1">IF(B8="","",
IF(BP8=0,"n/a",
IF(OR(BP8="data missing",BQ8=""),"data missing",
IF(BP8&gt;15,"application rate too high - permissible rate exceeds limit",
IF('Soil results'!F11&lt;=5.5,
  IF(BQ8&gt;200,"no application - soil conc. already above limit",
  IF(BR8&gt;200,"application rate too high - soil conc. will exceed limit",
  IF(BQ8&gt;200*0.9,"soil conc. is at or above 90% of the limit",
  IF(10*BP8*1000/3000+BQ8&gt;200,"soil limit likely to be exceeded in 10yrs",
  IF(50*BP8*1000/3000+BQ8&gt;200,"soil limit likely to be exceeded in 50yrs","ok"))))),
IF('Soil results'!F11&lt;=6,
  IF(BQ8&gt;250,"no application - soil conc. already above limit",
  IF(BR8&gt;250,"application rate too high - soil conc. will exceed limit",
  IF(BQ8&gt;250*0.9,"soil conc. is at or above 90% of the limit",
  IF(10*BP8*1000/3000+BQ8&gt;250,"soil limit likely to be exceeded in 10yrs",
  IF(50*BP8*1000/3000+BQ8&gt;250,"soil limit likely to be exceeded in 50yrs","ok"))))),
IF('Soil results'!F11&lt;=7,
  IF(BQ8&gt;300,"no application - soil conc. already above limit",
  IF(BR8&gt;300,"application rate too high - soil conc. will exceed limit",
  IF(BQ8&gt;300*0.9,"soil conc. is at or above 90% of the limit",
  IF(10*BP8*1000/3000+BQ8&gt;300,"soil limit likey to be exceeded in 10yrs",
  IF(50*BP8*1000/3000+BQ8&gt;300,"soil limit likely to be exceeded in 50yrs","ok"))))),
IF('Soil results'!F11&gt;7,
  IF(BQ8&gt;450,"no application - soil conc. already above limit",
  IF(BR8&gt;450,"application rate too high - soil conc. will exceed limit",
  IF(AW8&gt;450*0.9,"soil conc. is at or above 90% of the limit",
  IF(10*BP8*1000/3000+BQ8&gt;450,"soil limit likely to be exceeded in 10yrs",
  IF(50*BP8*1000/3000+BQ8&gt;450,"soil limit likely to be exceeded in 50yrs","ok")))))
))))))))</f>
        <v/>
      </c>
    </row>
    <row r="9" spans="1:71" s="9" customFormat="1" x14ac:dyDescent="0.35">
      <c r="B9" s="236" t="str">
        <f ca="1">'Soil results'!B12</f>
        <v/>
      </c>
      <c r="C9" s="91" t="str">
        <f ca="1">IF(B9="","",
IF(AND('Field information 2'!$O$5="", 'Field information 2'!$Q$5=""),
   IF('Waste results'!$S$12&lt;&gt;"data missing", Calc!BC7*'Waste results'!$S$12, "data missing"),
IF('Field information 2'!$Q$5="",
   IF(Calc!BD7=0,
     IF('Waste results'!$S$12&lt;&gt;"data missing", Calc!BC7*'Waste results'!$S$12, "data missing"),
   IF(Calc!BC7=0,
     IF('Waste results'!$S$48&lt;&gt;"data missing", Calc!BD7*'Waste results'!$S$48, "data missing"),
   IF(OR('Waste results'!$S$12&lt;&gt;"data missing", 'Waste results'!$S$48&lt;&gt;"data missing"), Calc!BC7*'Waste results'!$S$12+ Calc!BD7*'Waste results'!$S$48, "data missing"))),
IF(AND('Field information 2'!$M$5&lt;&gt;"", 'Field information 2'!$O$5&lt;&gt;"", 'Field information 2'!$Q$5&lt;&gt;""),
   IF(AND(Calc!BD7=0,Calc!BE7=0),
     IF('Waste results'!$S$12&lt;&gt;"data missing", Calc!BC7*'Waste results'!$S$12, "data missing"),
   IF(AND(Calc!BC7=0,Calc!BE7=0),
     IF('Waste results'!$S$48&lt;&gt;"data missing", Calc!BD7*'Waste results'!$S$48, "data missing"),
   IF(AND(Calc!BC7=0,Calc!BD7=0),
     IF('Waste results'!$S$84&lt;&gt;"data missing", Calc!BE7*'Waste results'!$S$84, "data missing"),
   IF(Calc!BE7=0,
     IF(OR('Waste results'!$S$12&lt;&gt;"data missing", 'Waste results'!$S$48&lt;&gt;"data missing"), Calc!BC7*'Waste results'!$S$12+ Calc!BD7*'Waste results'!$S$48, "data missing"),
   IF(Calc!BD7=0,
     IF(OR('Waste results'!$S$12&lt;&gt;"data missing", 'Waste results'!$S$84&lt;&gt;"data missing"), Calc!BC7*'Waste results'!$S$12+ Calc!BE7*'Waste results'!$S$84, "data missing"),
   IF(Calc!BC7=0,
     IF(OR('Waste results'!$S$48&lt;&gt;"data missing", 'Waste results'!$S$84&lt;&gt;"data missing"), Calc!BD7*'Waste results'!$S$48+Calc!BE7*'Waste results'!$S$84, "data missing"),
   IF(OR('Waste results'!$S$12&lt;&gt;"data missing", 'Waste results'!$S$48&lt;&gt;"data missing", 'Waste results'!$S$84&lt;&gt;"data missing"), Calc!BC7*'Waste results'!$S$12+Calc!BD7*'Waste results'!$S$48+ Calc!BE7*'Waste results'!$S$84, "data missing")))))))))))</f>
        <v/>
      </c>
      <c r="D9" s="161" t="str">
        <f ca="1">IF(B9="","",
IF(Calc!BG7="","soil texture missing",
IF(OR(Calc!BG7="SL; SZL; ZL",Calc!BG7="SCL; CL; ZCL; SC; ZC; C"),VLOOKUP(Calc!BI7,'Fertiliser recommendations'!$A$4:$C$63,3,FALSE),
IF(Calc!BG7="S; LS",VLOOKUP(Calc!BI7,'Fertiliser recommendations'!$A$4:$C$63,3,FALSE)+VLOOKUP(Calc!BI7,'Fertiliser recommendations'!$A$4:$D$63,4,FALSE),
IF(Calc!BG7="10-25% OM",VLOOKUP(Calc!BI7,'Fertiliser recommendations'!$A$4:$C$63,3,FALSE)+VLOOKUP(Calc!BI7,'Fertiliser recommendations'!$A$4:$E$63,5,FALSE),
IF(Calc!BG7="&gt;25% OM",VLOOKUP(Calc!BI7,'Fertiliser recommendations'!$A$4:$C$63,3,FALSE)+VLOOKUP(Calc!BI7,'Fertiliser recommendations'!$A$4:$F$63,6,FALSE),
""))))))</f>
        <v/>
      </c>
      <c r="E9" s="91" t="str">
        <f t="shared" ca="1" si="0"/>
        <v/>
      </c>
      <c r="F9" s="9" t="str">
        <f ca="1">IF(B9="","",
IF(OR(C9="data missing",D9="soil texture missing"),"data missing",
IF(Calc!BF7=0,"n/a",
IF(C9&lt;0.1*D9,"no benefit",
IF(C9&lt;0.3*D9,"limited benefit",
IF(C9&gt;250,"exceeds limit",
IF(OR(AND(D9=0,C9&gt;75),C9&gt;1.25*D9),"excessive",
IF(D9=0, "no requirement",
"benefit"))))))))</f>
        <v/>
      </c>
      <c r="H9" s="91" t="str">
        <f ca="1">IF(B9="","",
IF(AND('Field information 2'!$O$5="", 'Field information 2'!$Q$5=""),
   IF('Waste results'!$S$17&lt;&gt;"data missing", Calc!BC7*'Waste results'!$S$17, "data missing"),
IF('Field information 2'!$Q$5="",
   IF(Calc!BD7=0,
     IF('Waste results'!$S$17&lt;&gt;"data missing", Calc!BC7*'Waste results'!$S$17, "data missing"),
   IF(Calc!BC7=0,
     IF('Waste results'!$S$53&lt;&gt;"data missing", Calc!BD7*'Waste results'!$S$53, "data missing"),
   IF(OR('Waste results'!$S$17&lt;&gt;"data missing", 'Waste results'!$S$53&lt;&gt;"data missing"), Calc!BC7*'Waste results'!$S$17+ Calc!BD7*'Waste results'!$S$53, "data missing"))),
IF(AND('Field information 2'!$M$5&lt;&gt;"", 'Field information 2'!$O$5&lt;&gt;"", 'Field information 2'!$Q$5&lt;&gt;""),
   IF(AND(Calc!BD7=0,Calc!BE7=0),
     IF('Waste results'!$S$17&lt;&gt;"data missing", Calc!BC7*'Waste results'!$S$17, "data missing"),
   IF(AND(Calc!BC7=0,Calc!BE7=0),
     IF('Waste results'!$S$53&lt;&gt;"data missing", Calc!BD7*'Waste results'!$S$53, "data missing"),
   IF(AND(Calc!BC7=0,Calc!BD7=0),
     IF('Waste results'!$S$89&lt;&gt;"data missing", Calc!BE7*'Waste results'!$S$89, "data missing"),
   IF(Calc!BE7=0,
     IF(OR('Waste results'!$S$17&lt;&gt;"data missing", 'Waste results'!$S$53&lt;&gt;"data missing"), Calc!BC7*'Waste results'!$S$17+ Calc!BD7*'Waste results'!$S$53, "data missing"),
   IF(Calc!BD7=0,
     IF(OR('Waste results'!$S$17&lt;&gt;"data missing", 'Waste results'!$S$89&lt;&gt;"data missing"), Calc!BC7*'Waste results'!$S$17+ Calc!BE7*'Waste results'!$S$89, "data missing"),
   IF(Calc!BC7=0,
     IF(OR('Waste results'!$S$53&lt;&gt;"data missing", 'Waste results'!$S$89&lt;&gt;"data missing"), Calc!BD7*'Waste results'!$S$53+Calc!BE7*'Waste results'!$S$89, "data missing"),
   IF(OR('Waste results'!$S$17&lt;&gt;"data missing", 'Waste results'!$S$53&lt;&gt;"data missing", 'Waste results'!$S$89&lt;&gt;"data missing"), Calc!BC7*'Waste results'!$S$17+Calc!BD7*'Waste results'!$S$53+ Calc!BE7*'Waste results'!$S$89, "data missing")))))))))))</f>
        <v/>
      </c>
      <c r="I9" s="195" t="str">
        <f ca="1">IF(B9="","",
IF(OR(ISBLANK('Soil results'!G12), ISBLANK('Soil results'!G$7)),"data missing",
IF(OR(AND('Soil results'!G$7="Olsen (ADAS)",'Soil results'!G12&lt;16),AND('Soil results'!G$7="modified Morgan (SAC)",'Soil results'!G12&lt;4.5)),50,100)))</f>
        <v/>
      </c>
      <c r="J9" s="49" t="str">
        <f ca="1">IF(B9="","",
IF(OR(ISBLANK('Soil results'!G$7),ISBLANK('Soil results'!G12)),"data missing",
IF(OR(AND('Soil results'!G$7="Olsen (ADAS)",'Soil results'!G12&gt;45),AND('Soil results'!G$7="modified Morgan (SAC)",'Soil results'!G12&gt;30)),0,
IF(OR(AND('Soil results'!G$7="Olsen (ADAS)",'Soil results'!G12&gt;=16,'Soil results'!G12&lt;=20),AND('Soil results'!G$7="modified Morgan (SAC)",'Soil results'!G12&gt;=4.5,'Soil results'!G12&lt;=9.4)),VLOOKUP(Calc!BI7,'Fertiliser recommendations'!$A$4:$I$63,9,FALSE),
IF(OR(AND('Soil results'!G$7="Olsen (ADAS)",'Soil results'!G12&lt;10),AND('Soil results'!G$7="modified Morgan (SAC)",'Soil results'!G12&lt;1.8)),VLOOKUP(Calc!BI7,'Fertiliser recommendations'!$A$4:$I$63,9,FALSE)+VLOOKUP(Calc!BI7,'Fertiliser recommendations'!$A$4:$J$63,10,FALSE),
IF(OR(AND('Soil results'!G$7="Olsen (ADAS)",'Soil results'!G12&lt;16),AND('Soil results'!G$7="modified Morgan (SAC)",'Soil results'!G12&lt;4.5)),VLOOKUP(Calc!BI7,'Fertiliser recommendations'!$A$4:$I$63,9,FALSE)+VLOOKUP(Calc!BI7,'Fertiliser recommendations'!$A$4:$K$63,11,FALSE),
IF(OR(AND('Soil results'!G$7="Olsen (ADAS)",'Soil results'!G12&lt;26),AND('Soil results'!G$7="modified Morgan (SAC)",'Soil results'!G12&lt;13.5)),VLOOKUP(Calc!BI7,'Fertiliser recommendations'!$A$4:$I$63,9,FALSE)+VLOOKUP(Calc!BI7,'Fertiliser recommendations'!$A$4:$L$63,12,FALSE),
IF(OR(AND('Soil results'!G$7="Olsen (ADAS)",'Soil results'!G12&lt;=45),AND('Soil results'!G$7="modified Morgan (SAC)",'Soil results'!G12&lt;=30)),VLOOKUP(Calc!BI7,'Fertiliser recommendations'!$A$4:$I$63,9,FALSE)+VLOOKUP(Calc!BI7,'Fertiliser recommendations'!$A$4:$M$63,13,FALSE),
""))))))))</f>
        <v/>
      </c>
      <c r="K9" s="161" t="str">
        <f t="shared" ca="1" si="1"/>
        <v/>
      </c>
      <c r="L9" s="47" t="str">
        <f ca="1">IF(OR(ISBLANK('Soil results'!G$7),ISBLANK('Soil results'!G12),B9="", H9="data missing"),"",
IF('Soil results'!G$7="Olsen (ADAS)",
IF(((H9*Calc!BM7/2.291-(VLOOKUP(Calc!BI7,'Fertiliser recommendations'!$A$4:$I$63,9,FALSE))/2.291)*10/(400/2.291)+'Soil results'!G12)&lt;10,"0 (VL)",
IF(((H9*Calc!BM7/2.291-(VLOOKUP(Calc!BI7,'Fertiliser recommendations'!$A$4:$I$63,9,FALSE))/2.291)*10/(400/2.291)+'Soil results'!G12)&lt;16,"1 (L)",
IF(((H9*Calc!BM7/2.291-(VLOOKUP(Calc!BI7,'Fertiliser recommendations'!$A$4:$I$63,9,FALSE))/2.291)*10/(400/2.291)+'Soil results'!G12)&lt;21,"2 (M-)",
IF(((H9*Calc!BM7/2.291-(VLOOKUP(Calc!BI7,'Fertiliser recommendations'!$A$4:$I$63,9,FALSE))/2.291)*10/(400/2.291)+'Soil results'!G12)&lt;26,"2 (M+)",
IF(((H9*Calc!BM7/2.291-(VLOOKUP(Calc!BI7,'Fertiliser recommendations'!$A$4:$I$63,9,FALSE))/2.291)*10/(400/2.291)+'Soil results'!G12)&lt;45,"3 (H)","&gt;3 (VH)"))))),
IF('Soil results'!G$7="modified Morgan (SAC)",
IF('Soil results'!G12&gt;=6,
IF(((H9*Calc!BM7/2.291-(VLOOKUP(Calc!BI7,'Fertiliser recommendations'!$A$4:$I$63,9,FALSE))/2.291)*5/(147/2.291)+'Soil results'!G12)&lt;9.5,"2 (M-)",
IF(((H9*Calc!BM7/2.291-(VLOOKUP(Calc!BI7,'Fertiliser recommendations'!$A$4:$I$63,9,FALSE))/2.291)*5/(147/2.291)+'Soil results'!G12)&lt;13.5,"2 (M+)",
IF(((H9*Calc!BM7/2.291-(VLOOKUP(Calc!BI7,'Fertiliser recommendations'!$A$4:$I$63,9,FALSE))/2.291)*5/(147/2.291)+'Soil results'!G12)&lt;30,"3 (H)","4 (VH)"))),
IF(((H9*Calc!BM7/2.291-(VLOOKUP(Calc!BI7,'Fertiliser recommendations'!$A$4:$I$63,9,FALSE))/2.291)*5/(346/2.291)+'Soil results'!G12)&lt;1.8,"0 (VL)",
IF(((H9*Calc!BM7/2.291-(VLOOKUP(Calc!BI7,'Fertiliser recommendations'!$A$4:$I$63,9,FALSE))/2.291)*5/(147/2.291)+'Soil results'!G12)&lt;4.5,"1 (L)","2 (M-)"))))))</f>
        <v/>
      </c>
      <c r="M9" s="9" t="str">
        <f ca="1">IF(B9="","",
IF(OR(H9="data missing",I9="data missing",J9="data missing"),"data missing",
IF(Calc!BF7=0,"n/a",
IF(OR(AND('Soil results'!G$7="Olsen (ADAS)",'Soil results'!G12&gt;45),AND('Soil results'!G$7="modified Morgan (SAC)",'Soil results'!G12&gt;30)),
IF(H9&gt;2,"too high, not acceptable","no requirement"),IF(OR(AND('Soil results'!G$7="Olsen (ADAS)",'Soil results'!G12&gt;25),AND('Soil results'!G$7="modified Morgan (SAC)",'Soil results'!G12&gt;13.4)),
IF(H9*(I9/100)&lt;0.1*J9,"no benefit",
IF(H9*(I9/100)&lt;0.3*J9,"limited benefit",
IF(H9*(I9/100)&lt;1.1*J9,"benefit",
IF(H9*(I9/100)&lt;0.7*VLOOKUP(Calc!BI7,'Fertiliser recommendations'!$A$4:$I$63,9,FALSE),"excessive","too high, not acceptable")))),
IF(OR(AND('Soil results'!G$7="Olsen (ADAS)",'Soil results'!G12&gt;20),AND('Soil results'!G$7="modified Morgan (SAC)",'Soil results'!G12&gt;9.4)),
IF(H9*Calc!BM7*(I9/100)&lt;0.1*J9,"no benefit",
IF(H9*Calc!BM7*(I9/100)&lt;0.3*J9,"limited benefit",
IF(H9*Calc!BM7*(I9/100)&lt;1.1*J9,"benefit",
IF(L9="3 (H)","too high, not acceptable","excessive")))),
IF(OR(AND('Soil results'!G$7="Olsen (ADAS)",'Soil results'!G12&gt;15),AND('Soil results'!G$7="modified Morgan (SAC)",'Soil results'!G12&gt;4.4)),
IF(H9*Calc!BM7*(I9/100)&lt;0.1*VLOOKUP(Calc!BI7,'Fertiliser recommendations'!$A$4:$I$63,9,FALSE),"no benefit",
IF(H9*Calc!BM7*(I9/100)&lt;0.3*VLOOKUP(Calc!BI7,'Fertiliser recommendations'!$A$4:$I$63,9,FALSE),"limited benefit",
IF(H9*Calc!BM7*(I9/100)&lt;1.1*VLOOKUP(Calc!BI7,'Fertiliser recommendations'!$A$4:$I$63,9,FALSE),"benefit",
IF(L9="3 (H)", "too high, not acceptable", "excessive")))),
IF(OR(AND('Soil results'!G$7="Olsen (ADAS)",'Soil results'!G12&lt;=15),AND('Soil results'!G$7="modified Morgan (SAC)",'Soil results'!G12&lt;=4.4)),
IF(H9*Calc!BM7*(I9/100)&lt;0.1*VLOOKUP(Calc!BI7,'Fertiliser recommendations'!$A$4:$I$63,9,FALSE),"no benefit",
IF(H9*Calc!BM7*(I9/100)&lt;0.3*VLOOKUP(Calc!BI7,'Fertiliser recommendations'!$A$4:$I$63,9,FALSE),"limited benefit",
IF(H9*Calc!BM7*(I9/100)&lt;1.1*J9,"benefit","excessive")))))))))))</f>
        <v/>
      </c>
      <c r="O9" s="91" t="str">
        <f ca="1">IF(B9="","",
IF(AND('Field information 2'!$O$5="", 'Field information 2'!$Q$5=""),
   IF('Waste results'!$S$19&lt;&gt;"data missing", Calc!BC7*'Waste results'!$S$19, "data missing"),
IF('Field information 2'!$Q$5="",
   IF(Calc!BD7=0,
     IF('Waste results'!$S$19&lt;&gt;"data missing", Calc!BC7*'Waste results'!$S$19, "data missing"),
   IF(Calc!BC7=0,
     IF('Waste results'!$S$55&lt;&gt;"data missing", Calc!BD7*'Waste results'!$S$55, "data missing"),
   IF(OR('Waste results'!$S$19&lt;&gt;"data missing", 'Waste results'!$S$55&lt;&gt;"data missing"), Calc!BC7*'Waste results'!$S$19+ Calc!BD7*'Waste results'!$S$55, "data missing"))),
IF(AND('Field information 2'!$M$5&lt;&gt;"", 'Field information 2'!$O$5&lt;&gt;"", 'Field information 2'!$Q$5&lt;&gt;""),
   IF(AND(Calc!BD7=0,Calc!BE7=0),
     IF('Waste results'!$S$19&lt;&gt;"data missing", Calc!BC7*'Waste results'!$S$19, "data missing"),
   IF(AND(Calc!BC7=0,Calc!BE7=0),
     IF('Waste results'!$S$55&lt;&gt;"data missing", Calc!BD7*'Waste results'!$S$55, "data missing"),
   IF(AND(Calc!BC7=0,Calc!BD7=0),
     IF('Waste results'!$S$91&lt;&gt;"data missing", Calc!BE7*'Waste results'!$S$91, "data missing"),
   IF(Calc!BE7=0,
     IF(OR('Waste results'!$S$19&lt;&gt;"data missing", 'Waste results'!$S$55&lt;&gt;"data missing"), Calc!BC7*'Waste results'!$S$19+ Calc!BD7*'Waste results'!$S$55, "data missing"),
   IF(Calc!BD7=0,
     IF(OR('Waste results'!$S$19&lt;&gt;"data missing", 'Waste results'!$S$91&lt;&gt;"data missing"), Calc!BC7*'Waste results'!$S$19+ Calc!BE7*'Waste results'!$S$91, "data missing"),
   IF(Calc!BC7=0,
     IF(OR('Waste results'!$S$55&lt;&gt;"data missing", 'Waste results'!$S$91&lt;&gt;"data missing"), Calc!BD7*'Waste results'!$S$55+Calc!BE7*'Waste results'!$S$91, "data missing"),
   IF(OR('Waste results'!$S$19&lt;&gt;"data missing", 'Waste results'!$S$55&lt;&gt;"data missing", 'Waste results'!$S$91&lt;&gt;"data missing"), Calc!BC7*'Waste results'!$S$19+Calc!BD7*'Waste results'!$S$55+ Calc!BE7*'Waste results'!$S$91, "data missing")))))))))))</f>
        <v/>
      </c>
      <c r="P9" s="91" t="str">
        <f ca="1">IF(B9="","",
IF(OR(ISBLANK('Soil results'!H$7),ISBLANK('Soil results'!H12)),"data missing",
IF(OR(AND('Soil results'!H$7="ammonium nitrate (ADAS)",'Soil results'!H12&gt;400),AND('Soil results'!H$7="modified Morgan (SAC)",'Soil results'!H12&gt;400)),0,
IF(OR(AND('Soil results'!H$7="ammonium nitrate (ADAS)",'Soil results'!H12&gt;=121,'Soil results'!H12&lt;=180),AND('Soil results'!H$7="modified Morgan (SAC)",'Soil results'!H12&gt;=76,'Soil results'!H12&lt;=140)),VLOOKUP(Calc!BI7,'Fertiliser recommendations'!$A$4:$Z$63,26,FALSE),
IF(OR(AND('Soil results'!H$7="ammonium nitrate (ADAS)",'Soil results'!H12&lt;61),AND('Soil results'!H$7="modified Morgan (SAC)",'Soil results'!H12&lt;40)),VLOOKUP(Calc!BI7,'Fertiliser recommendations'!$A$4:$Z$63,26,FALSE)+VLOOKUP(Calc!BI7,'Fertiliser recommendations'!$A$4:$AA$63,27,FALSE),
IF(OR(AND('Soil results'!H$7="ammonium nitrate (ADAS)",'Soil results'!H12&lt;121),AND('Soil results'!H$7="modified Morgan (SAC)",'Soil results'!H12&lt;76)),VLOOKUP(Calc!BI7,'Fertiliser recommendations'!$A$4:$Z$63,26,FALSE)+VLOOKUP(Calc!BI7,'Fertiliser recommendations'!$A$4:$AB$63,28,FALSE),
IF(OR(AND('Soil results'!H$7="ammonium nitrate (ADAS)",'Soil results'!H12&lt;241),AND('Soil results'!H$7="modified Morgan (SAC)",'Soil results'!H12&lt;201)),VLOOKUP(Calc!BI7,'Fertiliser recommendations'!$A$4:$Z$63,26,FALSE)+VLOOKUP(Calc!BI7,'Fertiliser recommendations'!$A$4:$AC$63,29,FALSE),
IF(OR(AND('Soil results'!H$7="ammonium nitrate (ADAS)",'Soil results'!H12&lt;=400),AND('Soil results'!H$7="modified Morgan (SAC)",'Soil results'!H12&lt;=400)),VLOOKUP(Calc!BI7,'Fertiliser recommendations'!$A$4:$Z$63,26,FALSE)+VLOOKUP(Calc!BI7,'Fertiliser recommendations'!$A$4:$AD$63,30,FALSE),
"??"))))))))</f>
        <v/>
      </c>
      <c r="Q9" s="91" t="str">
        <f t="shared" ca="1" si="2"/>
        <v/>
      </c>
      <c r="R9" s="9" t="str">
        <f ca="1">IF(B9="","",
IF(OR(O9="data missing",P9="data missing"),"data missing",
IF(Calc!BF7=0,"n/a",
IF(P9=0, "no requirement",
IF(O9&lt;0.1*P9,"no benefit",
IF(O9&lt;0.3*P9,"limited benefit",
IF(O9&gt;1.25*P9,"excessive",
"benefit")))))))</f>
        <v/>
      </c>
      <c r="T9" s="91" t="str">
        <f ca="1">IF(B9="","",
IF(AND('Field information 2'!$O$5="", 'Field information 2'!$Q$5=""),
   IF('Waste results'!$S$21&lt;&gt;"data missing", Calc!BC7*'Waste results'!$S$21, "data missing"),
IF('Field information 2'!$Q$5="",
   IF(Calc!BD7=0,
     IF('Waste results'!$S$21&lt;&gt;"data missing", Calc!BC7*'Waste results'!$S$21, "data missing"),
   IF(Calc!BC7=0,
     IF('Waste results'!$S$57&lt;&gt;"data missing", Calc!BD7*'Waste results'!$S$57, "data missing"),
   IF(OR('Waste results'!$S$21&lt;&gt;"data missing", 'Waste results'!$S$57&lt;&gt;"data missing"), Calc!BC7*'Waste results'!$S$21+ Calc!BD7*'Waste results'!$S$57, "data missing"))),
IF(AND('Field information 2'!$M$5&lt;&gt;"", 'Field information 2'!$O$5&lt;&gt;"", 'Field information 2'!$Q$5&lt;&gt;""),
   IF(AND(Calc!BD7=0,Calc!BE7=0),
     IF('Waste results'!$S$21&lt;&gt;"data missing", Calc!BC7*'Waste results'!$S$21, "data missing"),
   IF(AND(Calc!BC7=0,Calc!BE7=0),
     IF('Waste results'!$S$57&lt;&gt;"data missing", Calc!BD7*'Waste results'!$S$57, "data missing"),
   IF(AND(Calc!BC7=0,Calc!BD7=0),
     IF('Waste results'!$S$93&lt;&gt;"data missing", Calc!BE7*'Waste results'!$S$93, "data missing"),
   IF(Calc!BE7=0,
     IF(OR('Waste results'!$S$21&lt;&gt;"data missing", 'Waste results'!$S$57&lt;&gt;"data missing"), Calc!BC7*'Waste results'!$S$21+ Calc!BD7*'Waste results'!$S$57, "data missing"),
   IF(Calc!BD7=0,
     IF(OR('Waste results'!$S$21&lt;&gt;"data missing", 'Waste results'!$S$93&lt;&gt;"data missing"), Calc!BC7*'Waste results'!$S$21+ Calc!BE7*'Waste results'!$S$93, "data missing"),
   IF(Calc!BC7=0,
     IF(OR('Waste results'!$S$57&lt;&gt;"data missing", 'Waste results'!$S$93&lt;&gt;"data missing"), Calc!BD7*'Waste results'!$S$57+Calc!BE7*'Waste results'!$S$93, "data missing"),
   IF(OR('Waste results'!$S$21&lt;&gt;"data missing", 'Waste results'!$S$57&lt;&gt;"data missing", 'Waste results'!$S$93&lt;&gt;"data missing"), Calc!BC7*'Waste results'!$S$21+Calc!BD7*'Waste results'!$S$57+ Calc!BE7*'Waste results'!$S$93, "data missing")))))))))))</f>
        <v/>
      </c>
      <c r="U9" s="7" t="str">
        <f ca="1">IF(B9="","",
IF(OR(ISBLANK('Soil results'!I$7),ISBLANK('Soil results'!I12)),"data missing",
IF(OR(AND('Soil results'!I$7="ammonium nitrate (ADAS)",'Soil results'!I12&gt;51),AND('Soil results'!I$7="modified Morgan (SAC)",'Soil results'!I12&gt;61)),0,
IF(OR(AND('Soil results'!I$7="ammonium nitrate (ADAS)",'Soil results'!I12&lt;25),AND('Soil results'!I$7="modified Morgan (SAC)",'Soil results'!I12&lt;19)),VLOOKUP(Calc!BI7,'Fertiliser recommendations'!$A$4:$AH$63,34,FALSE),
IF(OR(AND('Soil results'!I$7="ammonium nitrate (ADAS)",'Soil results'!I12&lt;=51),AND('Soil results'!I$7="modified Morgan (SAC)",'Soil results'!I12&lt;=61)),VLOOKUP(Calc!BI7,'Fertiliser recommendations'!$A$4:$AI$63,35,FALSE),
"")))))</f>
        <v/>
      </c>
      <c r="V9" s="91" t="str">
        <f t="shared" ca="1" si="3"/>
        <v/>
      </c>
      <c r="W9" s="9" t="str">
        <f ca="1">IF(B9="","",
IF(OR(T9="data missing",U9="data missing"),"data missing",
IF(Calc!BF7=0,"n/a",
IF(U9=0,"no requirement",
IF(T9&lt;0.1*U9,"no benefit",
IF(T9&lt;0.3*U9,"limited benefit",
IF(OR(T9&gt;1.5*U9,AND(Calc!BJ7="g",T9&gt;100)),"excessive",
"benefit")))))))</f>
        <v/>
      </c>
      <c r="Y9" s="91" t="str">
        <f ca="1">IF(B9="","",
IF(AND('Field information 2'!$O$5="", 'Field information 2'!$Q$5=""),
   IF('Waste results'!$P$23&lt;&gt;"", Calc!BC7*'Waste results'!$P$23, "no data"),
IF('Field information 2'!$Q$5="",
   IF(Calc!BD7=0,
     IF('Waste results'!$P$23&lt;&gt;"", Calc!BC7*'Waste results'!$P$23, "no data"),
   IF(Calc!BC7=0,
     IF('Waste results'!$P$59&lt;&gt;"", Calc!BD7*'Waste results'!$P$59, "no data"),
   IF(OR('Waste results'!$P$23&lt;&gt;"", 'Waste results'!$P$59&lt;&gt;""), Calc!BC7*'Waste results'!$P$23+ Calc!BD7*'Waste results'!$P$59, "no data"))),
IF(AND('Field information 2'!$M$5&lt;&gt;"", 'Field information 2'!$O$5&lt;&gt;"", 'Field information 2'!$Q$5&lt;&gt;""),
   IF(AND(Calc!BD7=0,Calc!BE7=0),
     IF('Waste results'!$P$23&lt;&gt;"", Calc!BC7*'Waste results'!$P$23, "no data"),
   IF(AND(Calc!BC7=0,Calc!BE7=0),
     IF('Waste results'!$P$59&lt;&gt;"", Calc!BD7*'Waste results'!$P$59, "no data"),
   IF(AND(Calc!BC7=0,Calc!BD7=0),
     IF('Waste results'!$P$95&lt;&gt;"", Calc!BE7*'Waste results'!$P$95, "no data"),
   IF(Calc!BE7=0,
     IF(OR('Waste results'!$P$23&lt;&gt;"", 'Waste results'!$P$59&lt;&gt;""), Calc!BC7*'Waste results'!$P$23+ Calc!BD7*'Waste results'!$P$59, "no data"),
   IF(Calc!BD7=0,
     IF(OR('Waste results'!$P$23&lt;&gt;"", 'Waste results'!$P$95&lt;&gt;""), Calc!BC7*'Waste results'!$P$23+ Calc!BE7*'Waste results'!$P$95, "no data"),
   IF(Calc!BC7=0,
     IF(OR('Waste results'!$P$59&lt;&gt;"", 'Waste results'!$P$95&lt;&gt;""), Calc!BD7*'Waste results'!$P$59+Calc!BE7*'Waste results'!$P$95, "no data"),
   IF(OR('Waste results'!$P$23&lt;&gt;"", 'Waste results'!$P$59&lt;&gt;"", 'Waste results'!$P$95&lt;&gt;""), Calc!BC7*'Waste results'!$P$23+Calc!BD7*'Waste results'!$P$59+ Calc!BE7*'Waste results'!$P$95, "no data")))))))))))</f>
        <v/>
      </c>
      <c r="Z9" s="7" t="str">
        <f ca="1">IF(OR(ISBLANK('Soil results'!I$7),ISBLANK('Soil results'!I12),'Soil results'!B12=""),"",
VLOOKUP(Calc!BI7,'Fertiliser recommendations'!$A$4:$AM$63,39,FALSE))</f>
        <v/>
      </c>
      <c r="AA9" s="91" t="str">
        <f t="shared" ca="1" si="4"/>
        <v/>
      </c>
      <c r="AB9" s="9" t="str">
        <f t="shared" ca="1" si="5"/>
        <v/>
      </c>
      <c r="AD9" s="48" t="str">
        <f>IF(ISBLANK('Soil results'!F12),"",'Soil results'!F12)</f>
        <v/>
      </c>
      <c r="AE9" s="49" t="str">
        <f ca="1">IF(B9="","",
IF(AND(Calc!BJ7="g", VLOOKUP(LEFT($B9,LEN($B9)-2),'Field information 2'!$B$12:$P$111,9,FALSE)&lt;&gt;"yes"),
 IF(Calc!BG7="10-25% OM", 5.9, IF(Calc!BG7="&gt;25% OM", 5.5, 6.2)),
IF(OR(Calc!BJ7="a", VLOOKUP(LEFT($B9,LEN($B9)-2),'Field information 2'!$B$12:$P$111,9,FALSE)="yes"),
 IF(Calc!BG7="10-25% OM", 6.4, IF(Calc!BG7="&gt;25% OM", 6, 6.7)), "")))</f>
        <v/>
      </c>
      <c r="AF9" s="91" t="str">
        <f ca="1">IF(B9="","",
IF('Waste results'!$Q$33="","no (significant) liming properties",
IF('Waste results'!Q$33&gt;100,"no (significant) liming properties",
IF(AD9="","",
IF(AD9&gt;=AE9,0,ROUNDDOWN((AE9-AD9)*Calc!BK7*'Waste results'!$Q$33+0.2,0))))))</f>
        <v/>
      </c>
      <c r="AG9" s="9" t="str">
        <f ca="1">IF(B9="","",
IF(T9=0,"n/a",
IF(AD9="","data missing",
IF(AND(AD9&lt;5,AF9="no (significant) liming properties"),"no waste application - pH too low",
IF(AND(AD9&gt;5.1,AF9="no (significant) liming properties",Calc!BH7&gt;25, LEFT(Calc!BI7,4)="graz"),"ok",
IF(AND(AD9&lt;=5.2,AF9="no (significant) liming properties"),"liming highly recommended",
IF(AF9=0,"no waste application - liming not required",
IF(AF9&lt;Calc!BC7,"application rate too high - exceeds liming requirement",
"ok"))))))))</f>
        <v/>
      </c>
      <c r="AI9" s="91" t="str">
        <f ca="1">IF(B9="","",
IF(AND('Field information 2'!$O$5="", 'Field information 2'!$Q$5=""),
   IF('Waste results'!$P$10&lt;&gt;"data missing", Calc!BC7*'Waste results'!$P$10, "data missing"),
IF('Field information 2'!$Q$5="",
   IF(Calc!BD7=0,
     IF('Waste results'!$P$10&lt;&gt;"data missing", Calc!BC7*'Waste results'!$P$10, "data missing"),
   IF(Calc!BC7=0,
     IF('Waste results'!$P$45&lt;&gt;"data missing", Calc!BD7*'Waste results'!$P$45, "data missing"),
   IF(OR('Waste results'!$P$10&lt;&gt;"data missing", 'Waste results'!$P$45&lt;&gt;"data missing"), Calc!BC7*'Waste results'!$P$10+ Calc!BD7*'Waste results'!$P$45, "data missing"))),
IF(AND('Field information 2'!$M$5&lt;&gt;"", 'Field information 2'!$O$5&lt;&gt;"", 'Field information 2'!$Q$5&lt;&gt;""),
   IF(AND(Calc!BD7=0,Calc!BE7=0),
     IF('Waste results'!$P$10&lt;&gt;"data missing", Calc!BC7*'Waste results'!$P$10, "data missing"),
   IF(AND(Calc!BC7=0,Calc!BE7=0),
     IF('Waste results'!$P$45&lt;&gt;"data missing", Calc!BD7*'Waste results'!$P$45, "data missing"),
   IF(AND(Calc!BC7=0,Calc!BD7=0),
     IF('Waste results'!$P$82&lt;&gt;"data missing", Calc!BE7*'Waste results'!$P$82, "data missing"),
   IF(Calc!BE7=0,
     IF(OR('Waste results'!$P$10&lt;&gt;"data missing", 'Waste results'!$P$45&lt;&gt;"data missing"), Calc!BC7*'Waste results'!$P$10+ Calc!BD7*'Waste results'!$P$45, "data missing"),
   IF(Calc!BD7=0,
     IF(OR('Waste results'!$P$10&lt;&gt;"data missing", 'Waste results'!$P$82&lt;&gt;"data missing"), Calc!BC7*'Waste results'!$P$10+ Calc!BE7*'Waste results'!$P$82, "data missing"),
   IF(Calc!BC7=0,
     IF(OR('Waste results'!$P$45&lt;&gt;"data missing", 'Waste results'!$P$82&lt;&gt;"data missing"), Calc!BD7*'Waste results'!$P$45+Calc!BE7*'Waste results'!$P$82, "data missing"),
   IF(OR('Waste results'!$P$10&lt;&gt;"data missing", 'Waste results'!$P$45&lt;&gt;"data missing", 'Waste results'!$P$82&lt;&gt;"data missing"), Calc!BC7*'Waste results'!$P$10+Calc!BD7*'Waste results'!$P$45+ Calc!BE7*'Waste results'!$P$82, "data missing")))))))))))</f>
        <v/>
      </c>
      <c r="AJ9" s="237" t="str">
        <f ca="1">IF(B9="","",
IF(AI9="data missing","data missing",
IF(Calc!BF7=0,"n/a",
IF(AND(Calc!BH7&gt;=8,AI9&lt;500),"no benefit",
IF(OR(AND(Calc!BH7&lt;=4,AI9&gt;=500),AND(Calc!BH7&lt;8,AI9&gt;5000)),"benefit",
"limited benefit")))))</f>
        <v/>
      </c>
      <c r="AL9" s="238" t="str">
        <f ca="1">IF(B9="","",
IF(AND('Field information 2'!$O$5="", 'Field information 2'!$Q$5=""),
   IF('Waste results'!$S$25&lt;&gt;"data missing", Calc!BC7*'Waste results'!$S$25, "data missing"),
IF('Field information 2'!$Q$5="",
   IF(Calc!BD7=0,
     IF('Waste results'!$S$25&lt;&gt;"data missing", Calc!BC7*'Waste results'!$S$25, "data missing"),
   IF(Calc!BC7=0,
     IF('Waste results'!$S$61&lt;&gt;"data missing", Calc!BD7*'Waste results'!$S$61, "data missing"),
   IF(OR('Waste results'!$S$25&lt;&gt;"data missing", 'Waste results'!$S$61&lt;&gt;"data missing"), Calc!BC7*'Waste results'!$S$25+ Calc!BD7*'Waste results'!$S$61, "data missing"))),
IF(AND('Field information 2'!$M$5&lt;&gt;"", 'Field information 2'!$O$5&lt;&gt;"", 'Field information 2'!$Q$5&lt;&gt;""),
   IF(AND(Calc!BD7=0,Calc!BE7=0),
     IF('Waste results'!$S$25&lt;&gt;"data missing", Calc!BC7*'Waste results'!$S$25, "data missing"),
   IF(AND(Calc!BC7=0,Calc!BE7=0),
     IF('Waste results'!$S$61&lt;&gt;"data missing", Calc!BD7*'Waste results'!$S$61, "data missing"),
   IF(AND(Calc!BC7=0,Calc!BD7=0),
     IF('Waste results'!$S$97&lt;&gt;"data missing", Calc!BE7*'Waste results'!$S$97, "data missing"),
   IF(Calc!BE7=0,
     IF(OR('Waste results'!$S$25&lt;&gt;"data missing", 'Waste results'!$S$61&lt;&gt;"data missing"), Calc!BC7*'Waste results'!$S$25+ Calc!BD7*'Waste results'!$S$61, "data missing"),
   IF(Calc!BD7=0,
     IF(OR('Waste results'!$S$25&lt;&gt;"data missing", 'Waste results'!$S$97&lt;&gt;"data missing"), Calc!BC7*'Waste results'!$S$25+ Calc!BE7*'Waste results'!$S$97, "data missing"),
   IF(Calc!BC7=0,
     IF(OR('Waste results'!$S$61&lt;&gt;"data missing", 'Waste results'!$S$97&lt;&gt;"data missing"), Calc!BD7*'Waste results'!$S$61+Calc!BE7*'Waste results'!$S$97, "data missing"),
   IF(OR('Waste results'!$S$25&lt;&gt;"data missing", 'Waste results'!$S$61&lt;&gt;"data missing", 'Waste results'!$S$97&lt;&gt;"data missing"), Calc!BC7*'Waste results'!$S$25+Calc!BD7*'Waste results'!$S$61+ Calc!BE7*'Waste results'!$S$97, "data missing")))))))))))</f>
        <v/>
      </c>
      <c r="AM9" s="239" t="str">
        <f ca="1">IF($B9="","",
IF(ISBLANK('Soil results'!K12),"data missing",'Soil results'!K12))</f>
        <v/>
      </c>
      <c r="AN9" s="239" t="str">
        <f t="shared" ca="1" si="6"/>
        <v/>
      </c>
      <c r="AO9" s="9" t="str">
        <f t="shared" ca="1" si="7"/>
        <v/>
      </c>
      <c r="AQ9" s="240" t="str">
        <f ca="1">IF(B9="","",
IF(AND('Field information 2'!$O$5="", 'Field information 2'!$Q$5=""),
   IF('Waste results'!$S$26&lt;&gt;"data missing", Calc!BC7*'Waste results'!$S$26, "data missing"),
IF('Field information 2'!$Q$5="",
   IF(Calc!BD7=0,
     IF('Waste results'!$S$26&lt;&gt;"data missing", Calc!BC7*'Waste results'!$S$26, "data missing"),
   IF(Calc!BC7=0,
     IF('Waste results'!$S$62&lt;&gt;"data missing", Calc!BD7*'Waste results'!$S$62, "data missing"),
   IF(OR('Waste results'!$S$26&lt;&gt;"data missing", 'Waste results'!$S$62&lt;&gt;"data missing"), Calc!BC7*'Waste results'!$S$26+ Calc!BD7*'Waste results'!$S$62, "data missing"))),
IF(AND('Field information 2'!$M$5&lt;&gt;"", 'Field information 2'!$O$5&lt;&gt;"", 'Field information 2'!$Q$5&lt;&gt;""),
   IF(AND(Calc!BD7=0,Calc!BE7=0),
     IF('Waste results'!$S$26&lt;&gt;"data missing", Calc!BC7*'Waste results'!$S$26, "data missing"),
   IF(AND(Calc!BC7=0,Calc!BE7=0),
     IF('Waste results'!$S$62&lt;&gt;"data missing", Calc!BD7*'Waste results'!$S$62, "data missing"),
   IF(AND(Calc!BC7=0,Calc!BD7=0),
     IF('Waste results'!$S$98&lt;&gt;"data missing", Calc!BE7*'Waste results'!$S$98, "data missing"),
   IF(Calc!BE7=0,
     IF(OR('Waste results'!$S$26&lt;&gt;"data missing", 'Waste results'!$S$62&lt;&gt;"data missing"), Calc!BC7*'Waste results'!$S$26+ Calc!BD7*'Waste results'!$S$62, "data missing"),
   IF(Calc!BD7=0,
     IF(OR('Waste results'!$S$26&lt;&gt;"data missing", 'Waste results'!$S$98&lt;&gt;"data missing"), Calc!BC7*'Waste results'!$S$26+ Calc!BE7*'Waste results'!$S$98, "data missing"),
   IF(Calc!BC7=0,
     IF(OR('Waste results'!$S$62&lt;&gt;"data missing", 'Waste results'!$S$98&lt;&gt;"data missing"), Calc!BD7*'Waste results'!$S$62+Calc!BE7*'Waste results'!$S$98, "data missing"),
   IF(OR('Waste results'!$S$26&lt;&gt;"data missing", 'Waste results'!$S$62&lt;&gt;"data missing", 'Waste results'!$S$98&lt;&gt;"data missing"), Calc!BC7*'Waste results'!$S$26+Calc!BD7*'Waste results'!$S$62+ Calc!BE7*'Waste results'!$S$98, "data missing")))))))))))</f>
        <v/>
      </c>
      <c r="AR9" s="241" t="str">
        <f ca="1">IF($B9="","",
IF(ISBLANK('Soil results'!L12),"data missing",'Soil results'!L12))</f>
        <v/>
      </c>
      <c r="AS9" s="241" t="str">
        <f t="shared" ca="1" si="8"/>
        <v/>
      </c>
      <c r="AT9" s="66" t="str">
        <f t="shared" ca="1" si="9"/>
        <v/>
      </c>
      <c r="AV9" s="238" t="str">
        <f ca="1">IF(B9="","",
IF(AND('Field information 2'!$O$5="", 'Field information 2'!$Q$5=""),
   IF('Waste results'!$S$27&lt;&gt;"data missing", Calc!BC7*'Waste results'!$S$27, "data missing"),
IF('Field information 2'!$Q$5="",
   IF(Calc!BD7=0,
     IF('Waste results'!$S$27&lt;&gt;"data missing", Calc!BC7*'Waste results'!$S$27, "data missing"),
   IF(Calc!BC7=0,
     IF('Waste results'!$S$63&lt;&gt;"data missing", Calc!BD7*'Waste results'!$S$63, "data missing"),
   IF(OR('Waste results'!$S$27&lt;&gt;"data missing", 'Waste results'!$S$63&lt;&gt;"data missing"), Calc!BC7*'Waste results'!$S$27+ Calc!BD7*'Waste results'!$S$63, "data missing"))),
IF(AND('Field information 2'!$M$5&lt;&gt;"", 'Field information 2'!$O$5&lt;&gt;"", 'Field information 2'!$Q$5&lt;&gt;""),
   IF(AND(Calc!BD7=0,Calc!BE7=0),
     IF('Waste results'!$S$27&lt;&gt;"data missing", Calc!BC7*'Waste results'!$S$27, "data missing"),
   IF(AND(Calc!BC7=0,Calc!BE7=0),
     IF('Waste results'!$S$63&lt;&gt;"data missing", Calc!BD7*'Waste results'!$S$63, "data missing"),
   IF(AND(Calc!BC7=0,Calc!BD7=0),
     IF('Waste results'!$S$99&lt;&gt;"data missing", Calc!BE7*'Waste results'!$S$99, "data missing"),
   IF(Calc!BE7=0,
     IF(OR('Waste results'!$S$27&lt;&gt;"data missing", 'Waste results'!$S$63&lt;&gt;"data missing"), Calc!BC7*'Waste results'!$S$27+ Calc!BD7*'Waste results'!$S$63, "data missing"),
   IF(Calc!BD7=0,
     IF(OR('Waste results'!$S$27&lt;&gt;"data missing", 'Waste results'!$S$99&lt;&gt;"data missing"), Calc!BC7*'Waste results'!$S$27+ Calc!BE7*'Waste results'!$S$99, "data missing"),
   IF(Calc!BC7=0,
     IF(OR('Waste results'!$S$63&lt;&gt;"data missing", 'Waste results'!$S$99&lt;&gt;"data missing"), Calc!BD7*'Waste results'!$S$63+Calc!BE7*'Waste results'!$S$99, "data missing"),
   IF(OR('Waste results'!$S$27&lt;&gt;"data missing", 'Waste results'!$S$63&lt;&gt;"data missing", 'Waste results'!$S$99&lt;&gt;"data missing"), Calc!BC7*'Waste results'!$S$27+Calc!BD7*'Waste results'!$S$63+ Calc!BE7*'Waste results'!$S$99, "data missing")))))))))))</f>
        <v/>
      </c>
      <c r="AW9" s="239" t="str">
        <f ca="1">IF($B9="","",
IF(ISBLANK('Soil results'!M12),"data missing",'Soil results'!M12))</f>
        <v/>
      </c>
      <c r="AX9" s="239" t="str">
        <f t="shared" ca="1" si="10"/>
        <v/>
      </c>
      <c r="AY9" s="9" t="str">
        <f ca="1">IF(B9="","",
IF(AV9=0,"n/a",
IF(OR(AV9="data missing",AW9="data missing"),"data missing",
IF(AV9&gt;7.5,"application rate too high - permissible rate exceeds limit",
IF('Soil results'!$F12&lt;=5.5,
  IF(AW9&gt;80,"no application - soil conc. already above limit",
  IF(AX9&gt;80,"application rate too high - soil conc. will exceed limit",
  IF(AW9&gt;80*0.9,"soil conc. is at or above 90% of the limit",
  IF(10*AV9*1000/3000+AW9&gt;80,"soil limit likely to be exceeded in 10yrs",
  IF(50*AV9*1000/3000+AW9&gt;80,"soil limit likely to be exceeded in 50yrs","ok"))))),
IF('Soil results'!$F12&lt;=6,
  IF(AW9&gt;100,"no application - soil conc. already above limit",
  IF(AX9&gt;100,"application rate too high - soil conc. will exceed limit",
  IF(AW9&gt;100*0.9,"soil conc. is at or above 90% of the limit",
  IF(10*AV9*1000/3000+AW9&gt;100,"soil limit likely to be exceeded in 10yrs",
  IF(50*AV9*1000/3000+AW9&gt;100,"soil limit likely to be exceeded in 50yrs","ok"))))),
IF('Soil results'!$F12&lt;=7,
  IF(AW9&gt;135,"no application - soil conc. already above limit",
  IF(AX9&gt;135,"application rate too high - soil conc. will exceed limit",
  IF(AW9&gt;135*0.9,"soil conc. is at or above 90% of the limit",
  IF(10*AV9*1000/3000+AW9&gt;135,"soil limit likely to be exceeded in 10yrs",
  IF(50*AV9*1000/3000+AW9&gt;135,"soil limit likely to be exceeded in 50yrs","ok"))))),
IF('Soil results'!$F12&gt;7,
  IF(AW9&gt;200,"no application - soil conc. already above limit",
  IF(AX9&gt;200,"application too high - soil conc. will exceed limit",
  IF(AW9&gt;200*0.9,"soil conc. is at or above 90% of the limit",
  IF(10*AV9*1000/3000+AW9&gt;200,"soil limit likely to be exceeded in 10yrs",
  IF(50*AV9*1000/3000+AW9&gt;200,"soil limit likely to be exceeded in 50yrs","ok")))))
))))))))</f>
        <v/>
      </c>
      <c r="BA9" s="238" t="str">
        <f ca="1">IF(B9="","",
IF(AND('Field information 2'!$O$5="", 'Field information 2'!$Q$5=""),
   IF('Waste results'!$S$28&lt;&gt;"data missing", Calc!BC7*'Waste results'!$S$28, "data missing"),
IF('Field information 2'!$Q$5="",
   IF(Calc!BD7=0,
     IF('Waste results'!$S$28&lt;&gt;"data missing", Calc!BC7*'Waste results'!$S$28, "data missing"),
   IF(Calc!BC7=0,
     IF('Waste results'!$S$64&lt;&gt;"data missing", Calc!BD7*'Waste results'!$S$64, "data missing"),
   IF(OR('Waste results'!$S$28&lt;&gt;"data missing", 'Waste results'!$S$64&lt;&gt;"data missing"), Calc!BC7*'Waste results'!$S$28+ Calc!BD7*'Waste results'!$S$64, "data missing"))),
IF(AND('Field information 2'!$M$5&lt;&gt;"", 'Field information 2'!$O$5&lt;&gt;"", 'Field information 2'!$Q$5&lt;&gt;""),
   IF(AND(Calc!BD7=0,Calc!BE7=0),
     IF('Waste results'!$S$28&lt;&gt;"data missing", Calc!BC7*'Waste results'!$S$28, "data missing"),
   IF(AND(Calc!BC7=0,Calc!BE7=0),
     IF('Waste results'!$S$64&lt;&gt;"data missing", Calc!BD7*'Waste results'!$S$64, "data missing"),
   IF(AND(Calc!BC7=0,Calc!BD7=0),
     IF('Waste results'!$S$100&lt;&gt;"data missing", Calc!BE7*'Waste results'!$S$100, "data missing"),
   IF(Calc!BE7=0,
     IF(OR('Waste results'!$S$28&lt;&gt;"data missing", 'Waste results'!$S$64&lt;&gt;"data missing"), Calc!BC7*'Waste results'!$S$28+ Calc!BD7*'Waste results'!$S$64, "data missing"),
   IF(Calc!BD7=0,
     IF(OR('Waste results'!$S$28&lt;&gt;"data missing", 'Waste results'!$S$100&lt;&gt;"data missing"), Calc!BC7*'Waste results'!$S$28+ Calc!BE7*'Waste results'!$S$100, "data missing"),
   IF(Calc!BC7=0,
     IF(OR('Waste results'!$S$64&lt;&gt;"data missing", 'Waste results'!$S$100&lt;&gt;"data missing"), Calc!BD7*'Waste results'!$S$64+Calc!BE7*'Waste results'!$S$100, "data missing"),
   IF(OR('Waste results'!$S$28&lt;&gt;"data missing", 'Waste results'!$S$64&lt;&gt;"data missing", 'Waste results'!$S$100&lt;&gt;"data missing"), Calc!BC7*'Waste results'!$S$28+Calc!BD7*'Waste results'!$S$64+ Calc!BE7*'Waste results'!$S$100, "data missing")))))))))))</f>
        <v/>
      </c>
      <c r="BB9" s="239" t="str">
        <f ca="1">IF($B9="","",
IF(ISBLANK('Soil results'!N12),"data missing",'Soil results'!N12))</f>
        <v/>
      </c>
      <c r="BC9" s="239" t="str">
        <f t="shared" ca="1" si="11"/>
        <v/>
      </c>
      <c r="BD9" s="9" t="str">
        <f t="shared" ca="1" si="12"/>
        <v/>
      </c>
      <c r="BF9" s="238" t="str">
        <f ca="1">IF(B9="","",
IF(AND('Field information 2'!$O$5="", 'Field information 2'!$Q$5=""),
   IF('Waste results'!$S$29&lt;&gt;"data missing", Calc!BC7*'Waste results'!$S$29, "data missing"),
IF('Field information 2'!$Q$5="",
   IF(Calc!BD7=0,
     IF('Waste results'!$S$29&lt;&gt;"data missing", Calc!BC7*'Waste results'!$S$29, "data missing"),
   IF(Calc!BC7=0,
     IF('Waste results'!$S$65&lt;&gt;"data missing", Calc!BD7*'Waste results'!$S$65, "data missing"),
   IF(OR('Waste results'!$S$29&lt;&gt;"data missing", 'Waste results'!$S$65&lt;&gt;"data missing"), Calc!BC7*'Waste results'!$S$29+ Calc!BD7*'Waste results'!$S$65, "data missing"))),
IF(AND('Field information 2'!$M$5&lt;&gt;"", 'Field information 2'!$O$5&lt;&gt;"", 'Field information 2'!$Q$5&lt;&gt;""),
   IF(AND(Calc!BD7=0,Calc!BE7=0),
     IF('Waste results'!$S$29&lt;&gt;"data missing", Calc!BC7*'Waste results'!$S$29, "data missing"),
   IF(AND(Calc!BC7=0,Calc!BE7=0),
     IF('Waste results'!$S$65&lt;&gt;"data missing", Calc!BD7*'Waste results'!$S$65, "data missing"),
   IF(AND(Calc!BC7=0,Calc!BD7=0),
     IF('Waste results'!$S$101&lt;&gt;"data missing", Calc!BE7*'Waste results'!$S$101, "data missing"),
   IF(Calc!BE7=0,
     IF(OR('Waste results'!$S$29&lt;&gt;"data missing", 'Waste results'!$S$65&lt;&gt;"data missing"), Calc!BC7*'Waste results'!$S$29+ Calc!BD7*'Waste results'!$S$65, "data missing"),
   IF(Calc!BD7=0,
     IF(OR('Waste results'!$S$29&lt;&gt;"data missing", 'Waste results'!$S$101&lt;&gt;"data missing"), Calc!BC7*'Waste results'!$S$29+ Calc!BE7*'Waste results'!$S$101, "data missing"),
   IF(Calc!BC7=0,
     IF(OR('Waste results'!$S$65&lt;&gt;"data missing", 'Waste results'!$S$101&lt;&gt;"data missing"), Calc!BD7*'Waste results'!$S$65+Calc!BE7*'Waste results'!$S$101, "data missing"),
   IF(OR('Waste results'!$S$29&lt;&gt;"data missing", 'Waste results'!$S$65&lt;&gt;"data missing", 'Waste results'!$S$101&lt;&gt;"data missing"), Calc!BC7*'Waste results'!$S$29+Calc!BD7*'Waste results'!$S$65+ Calc!BE7*'Waste results'!$S$101, "data missing")))))))))))</f>
        <v/>
      </c>
      <c r="BG9" s="239" t="str">
        <f ca="1">IF($B9="","",
IF(ISBLANK('Soil results'!O12),"data missing",'Soil results'!O12))</f>
        <v/>
      </c>
      <c r="BH9" s="239" t="str">
        <f t="shared" ca="1" si="13"/>
        <v/>
      </c>
      <c r="BI9" s="9" t="str">
        <f ca="1">IF(B9="","",
IF(BF9=0,"n/a",
IF(OR(BF9="data missing",BG9="data missing"),"data missing",
IF(BF9&gt;3,"application rate too high - permissible rate exceeds limit",
IF('Soil results'!F12&lt;=5.5,
  IF(BG9&gt;50,"no application - soil conc. already above limit",
  IF(BH9&gt;50,"application rate too high - soil conc. will exceed limit",
  IF(BG9&gt;50*0.9,"soil conc. is at or above 90% of the limit",
  IF(10*BF9*1000/3000+BG9&gt;50,"soil limit likely to be exceeded in 10yrs",
  IF(50*BF9*1000/3000+BG9&gt;50,"soil limit likely to be exceeded in 50yrs","ok"))))),
IF('Soil results'!F12&lt;=6,
  IF(BG9&gt;60,"no application - soil conc. already above limit",
  IF(BH9&gt;60,"application rate too high - soil conc. will exceed limit",
  IF(BG9&gt;60*0.9,"soil conc. is at or above 90% of the limit",
  IF(10*BF9*1000/3000+BG9&gt;60,"soil limit likely to be exceeded in 10yrs",
  IF(50*BF9*1000/3000+BG9&gt;60,"soil limit likely to be exceeded in 50yrs","ok"))))),
IF('Soil results'!F12&lt;=7,
  IF(BG9&gt;75,"no application - soil conc. already above limit",
  IF(BH9&gt;75,"application rate too high - soil conc. will exceed limit",
  IF(BG9&gt;75*0.9,"soil conc. is at or above 90% of the limit",
  IF(10*BF9*1000/3000+BG9&gt;75,"soil limit likely to be exceeded in 10yrs",
  IF(50*BF9*1000/3000+BG9&gt;75,"soil limit likely to be exceeded in 50yrs","ok"))))),
IF('Soil results'!F12&gt;7,
  IF(BG9&gt;100,"no application - soil conc. already above limit",
  IF(BH9&gt;100,"application rate too high - soil conc. will exceed limit",
  IF(BG9&gt;100*0.9,"soil conc. is at or above 90% of the limit",
  IF(10*BF9*1000/3000+BG9&gt;100,"soil limit likely to be exceeded in 10yrs",
  IF(50*BF9*1000/3000+BG9&gt;100,"soil limit likely to beexceeded in 50yrs","ok")))))
))))))))</f>
        <v/>
      </c>
      <c r="BK9" s="240" t="str">
        <f ca="1">IF(B9="","",
IF(AND('Field information 2'!$O$5="", 'Field information 2'!$Q$5=""),
   IF('Waste results'!$S$30&lt;&gt;"data missing", Calc!BC7*'Waste results'!$S$30, "data missing"),
IF('Field information 2'!$Q$5="",
   IF(Calc!BD7=0,
     IF('Waste results'!$S$30&lt;&gt;"data missing", Calc!BC7*'Waste results'!$S$30, "data missing"),
   IF(Calc!BC7=0,
     IF('Waste results'!$S$66&lt;&gt;"data missing", Calc!BD7*'Waste results'!$S$66, "data missing"),
   IF(OR('Waste results'!$S$30&lt;&gt;"data missing", 'Waste results'!$S$66&lt;&gt;"data missing"), Calc!BC7*'Waste results'!$S$30+ Calc!BD7*'Waste results'!$S$66, "data missing"))),
IF(AND('Field information 2'!$M$5&lt;&gt;"", 'Field information 2'!$O$5&lt;&gt;"", 'Field information 2'!$Q$5&lt;&gt;""),
   IF(AND(Calc!BD7=0,Calc!BE7=0),
     IF('Waste results'!$S$30&lt;&gt;"data missing", Calc!BC7*'Waste results'!$S$30, "data missing"),
   IF(AND(Calc!BC7=0,Calc!BE7=0),
     IF('Waste results'!$S$66&lt;&gt;"data missing", Calc!BD7*'Waste results'!$S$66, "data missing"),
   IF(AND(Calc!BC7=0,Calc!BD7=0),
     IF('Waste results'!$S$102&lt;&gt;"data missing", Calc!BE7*'Waste results'!$S$102, "data missing"),
   IF(Calc!BE7=0,
     IF(OR('Waste results'!$S$30&lt;&gt;"data missing", 'Waste results'!$S$66&lt;&gt;"data missing"), Calc!BC7*'Waste results'!$S$30+ Calc!BD7*'Waste results'!$S$66, "data missing"),
   IF(Calc!BD7=0,
     IF(OR('Waste results'!$S$30&lt;&gt;"data missing", 'Waste results'!$S$102&lt;&gt;"data missing"), Calc!BC7*'Waste results'!$S$30+ Calc!BE7*'Waste results'!$S$102, "data missing"),
   IF(Calc!BC7=0,
     IF(OR('Waste results'!$S$66&lt;&gt;"data missing", 'Waste results'!$S$102&lt;&gt;"data missing"), Calc!BD7*'Waste results'!$S$66+Calc!BE7*'Waste results'!$S$102, "data missing"),
   IF(OR('Waste results'!$S$30&lt;&gt;"data missing", 'Waste results'!$S$66&lt;&gt;"data missing", 'Waste results'!$S$102&lt;&gt;"data missing"), Calc!BC7*'Waste results'!$S$30+Calc!BD7*'Waste results'!$S$66+ Calc!BE7*'Waste results'!$S$102, "data missing")))))))))))</f>
        <v/>
      </c>
      <c r="BL9" s="241" t="str">
        <f ca="1">IF($B9="","",
IF(ISBLANK('Soil results'!P12),"data missing",'Soil results'!P12))</f>
        <v/>
      </c>
      <c r="BM9" s="241" t="str">
        <f t="shared" ca="1" si="14"/>
        <v/>
      </c>
      <c r="BN9" s="66" t="str">
        <f t="shared" ca="1" si="15"/>
        <v/>
      </c>
      <c r="BP9" s="238" t="str">
        <f ca="1">IF(B9="","",
IF(AND('Field information 2'!$O$5="", 'Field information 2'!$Q$5=""),
   IF('Waste results'!$S$31&lt;&gt;"data missing", Calc!BC7*'Waste results'!$S$31, "data missing"),
IF('Field information 2'!$Q$5="",
   IF(Calc!BD7=0,
     IF('Waste results'!$S$31&lt;&gt;"data missing", Calc!BC7*'Waste results'!$S$31, "data missing"),
   IF(Calc!BC7=0,
     IF('Waste results'!$S$67&lt;&gt;"data missing", Calc!BD7*'Waste results'!$S$67, "data missing"),
   IF(OR('Waste results'!$S$31&lt;&gt;"data missing", 'Waste results'!$S$67&lt;&gt;"data missing"), Calc!BC7*'Waste results'!$S$31+ Calc!BD7*'Waste results'!$S$67, "data missing"))),
IF(AND('Field information 2'!$M$5&lt;&gt;"", 'Field information 2'!$O$5&lt;&gt;"", 'Field information 2'!$Q$5&lt;&gt;""),
   IF(AND(Calc!BD7=0,Calc!BE7=0),
     IF('Waste results'!$S$31&lt;&gt;"data missing", Calc!BC7*'Waste results'!$S$31, "data missing"),
   IF(AND(Calc!BC7=0,Calc!BE7=0),
     IF('Waste results'!$S$67&lt;&gt;"data missing", Calc!BD7*'Waste results'!$S$67, "data missing"),
   IF(AND(Calc!BC7=0,Calc!BD7=0),
     IF('Waste results'!$S$103&lt;&gt;"data missing", Calc!BE7*'Waste results'!$S$103, "data missing"),
   IF(Calc!BE7=0,
     IF(OR('Waste results'!$S$31&lt;&gt;"data missing", 'Waste results'!$S$67&lt;&gt;"data missing"), Calc!BC7*'Waste results'!$S$31+ Calc!BD7*'Waste results'!$S$67, "data missing"),
   IF(Calc!BD7=0,
     IF(OR('Waste results'!$S$31&lt;&gt;"data missing", 'Waste results'!$S$103&lt;&gt;"data missing"), Calc!BC7*'Waste results'!$S$31+ Calc!BE7*'Waste results'!$S$103, "data missing"),
   IF(Calc!BC7=0,
     IF(OR('Waste results'!$S$67&lt;&gt;"data missing", 'Waste results'!$S$103&lt;&gt;"data missing"), Calc!BD7*'Waste results'!$S$67+Calc!BE7*'Waste results'!$S$103, "data missing"),
   IF(OR('Waste results'!$S$31&lt;&gt;"data missing", 'Waste results'!$S$67&lt;&gt;"data missing", 'Waste results'!$S$103&lt;&gt;"data missing"), Calc!BC7*'Waste results'!$S$31+Calc!BD7*'Waste results'!$S$67+ Calc!BE7*'Waste results'!$S$103, "data missing")))))))))))</f>
        <v/>
      </c>
      <c r="BQ9" s="239" t="str">
        <f ca="1">IF($B9="","",
IF(ISBLANK('Soil results'!Q12),"data missing",'Soil results'!Q12))</f>
        <v/>
      </c>
      <c r="BR9" s="239" t="str">
        <f t="shared" ca="1" si="16"/>
        <v/>
      </c>
      <c r="BS9" s="9" t="str">
        <f ca="1">IF(B9="","",
IF(BP9=0,"n/a",
IF(OR(BP9="data missing",BQ9=""),"data missing",
IF(BP9&gt;15,"application rate too high - permissible rate exceeds limit",
IF('Soil results'!F12&lt;=5.5,
  IF(BQ9&gt;200,"no application - soil conc. already above limit",
  IF(BR9&gt;200,"application rate too high - soil conc. will exceed limit",
  IF(BQ9&gt;200*0.9,"soil conc. is at or above 90% of the limit",
  IF(10*BP9*1000/3000+BQ9&gt;200,"soil limit likely to be exceeded in 10yrs",
  IF(50*BP9*1000/3000+BQ9&gt;200,"soil limit likely to be exceeded in 50yrs","ok"))))),
IF('Soil results'!F12&lt;=6,
  IF(BQ9&gt;250,"no application - soil conc. already above limit",
  IF(BR9&gt;250,"application rate too high - soil conc. will exceed limit",
  IF(BQ9&gt;250*0.9,"soil conc. is at or above 90% of the limit",
  IF(10*BP9*1000/3000+BQ9&gt;250,"soil limit likely to be exceeded in 10yrs",
  IF(50*BP9*1000/3000+BQ9&gt;250,"soil limit likely to be exceeded in 50yrs","ok"))))),
IF('Soil results'!F12&lt;=7,
  IF(BQ9&gt;300,"no application - soil conc. already above limit",
  IF(BR9&gt;300,"application rate too high - soil conc. will exceed limit",
  IF(BQ9&gt;300*0.9,"soil conc. is at or above 90% of the limit",
  IF(10*BP9*1000/3000+BQ9&gt;300,"soil limit likey to be exceeded in 10yrs",
  IF(50*BP9*1000/3000+BQ9&gt;300,"soil limit likely to be exceeded in 50yrs","ok"))))),
IF('Soil results'!F12&gt;7,
  IF(BQ9&gt;450,"no application - soil conc. already above limit",
  IF(BR9&gt;450,"application rate too high - soil conc. will exceed limit",
  IF(AW9&gt;450*0.9,"soil conc. is at or above 90% of the limit",
  IF(10*BP9*1000/3000+BQ9&gt;450,"soil limit likely to be exceeded in 10yrs",
  IF(50*BP9*1000/3000+BQ9&gt;450,"soil limit likely to be exceeded in 50yrs","ok")))))
))))))))</f>
        <v/>
      </c>
    </row>
    <row r="10" spans="1:71" s="9" customFormat="1" x14ac:dyDescent="0.35">
      <c r="B10" s="236" t="str">
        <f ca="1">'Soil results'!B13</f>
        <v/>
      </c>
      <c r="C10" s="91" t="str">
        <f ca="1">IF(B10="","",
IF(AND('Field information 2'!$O$5="", 'Field information 2'!$Q$5=""),
   IF('Waste results'!$S$12&lt;&gt;"data missing", Calc!BC8*'Waste results'!$S$12, "data missing"),
IF('Field information 2'!$Q$5="",
   IF(Calc!BD8=0,
     IF('Waste results'!$S$12&lt;&gt;"data missing", Calc!BC8*'Waste results'!$S$12, "data missing"),
   IF(Calc!BC8=0,
     IF('Waste results'!$S$48&lt;&gt;"data missing", Calc!BD8*'Waste results'!$S$48, "data missing"),
   IF(OR('Waste results'!$S$12&lt;&gt;"data missing", 'Waste results'!$S$48&lt;&gt;"data missing"), Calc!BC8*'Waste results'!$S$12+ Calc!BD8*'Waste results'!$S$48, "data missing"))),
IF(AND('Field information 2'!$M$5&lt;&gt;"", 'Field information 2'!$O$5&lt;&gt;"", 'Field information 2'!$Q$5&lt;&gt;""),
   IF(AND(Calc!BD8=0,Calc!BE8=0),
     IF('Waste results'!$S$12&lt;&gt;"data missing", Calc!BC8*'Waste results'!$S$12, "data missing"),
   IF(AND(Calc!BC8=0,Calc!BE8=0),
     IF('Waste results'!$S$48&lt;&gt;"data missing", Calc!BD8*'Waste results'!$S$48, "data missing"),
   IF(AND(Calc!BC8=0,Calc!BD8=0),
     IF('Waste results'!$S$84&lt;&gt;"data missing", Calc!BE8*'Waste results'!$S$84, "data missing"),
   IF(Calc!BE8=0,
     IF(OR('Waste results'!$S$12&lt;&gt;"data missing", 'Waste results'!$S$48&lt;&gt;"data missing"), Calc!BC8*'Waste results'!$S$12+ Calc!BD8*'Waste results'!$S$48, "data missing"),
   IF(Calc!BD8=0,
     IF(OR('Waste results'!$S$12&lt;&gt;"data missing", 'Waste results'!$S$84&lt;&gt;"data missing"), Calc!BC8*'Waste results'!$S$12+ Calc!BE8*'Waste results'!$S$84, "data missing"),
   IF(Calc!BC8=0,
     IF(OR('Waste results'!$S$48&lt;&gt;"data missing", 'Waste results'!$S$84&lt;&gt;"data missing"), Calc!BD8*'Waste results'!$S$48+Calc!BE8*'Waste results'!$S$84, "data missing"),
   IF(OR('Waste results'!$S$12&lt;&gt;"data missing", 'Waste results'!$S$48&lt;&gt;"data missing", 'Waste results'!$S$84&lt;&gt;"data missing"), Calc!BC8*'Waste results'!$S$12+Calc!BD8*'Waste results'!$S$48+ Calc!BE8*'Waste results'!$S$84, "data missing")))))))))))</f>
        <v/>
      </c>
      <c r="D10" s="161" t="str">
        <f ca="1">IF(B10="","",
IF(Calc!BG8="","soil texture missing",
IF(OR(Calc!BG8="SL; SZL; ZL",Calc!BG8="SCL; CL; ZCL; SC; ZC; C"),VLOOKUP(Calc!BI8,'Fertiliser recommendations'!$A$4:$C$63,3,FALSE),
IF(Calc!BG8="S; LS",VLOOKUP(Calc!BI8,'Fertiliser recommendations'!$A$4:$C$63,3,FALSE)+VLOOKUP(Calc!BI8,'Fertiliser recommendations'!$A$4:$D$63,4,FALSE),
IF(Calc!BG8="10-25% OM",VLOOKUP(Calc!BI8,'Fertiliser recommendations'!$A$4:$C$63,3,FALSE)+VLOOKUP(Calc!BI8,'Fertiliser recommendations'!$A$4:$E$63,5,FALSE),
IF(Calc!BG8="&gt;25% OM",VLOOKUP(Calc!BI8,'Fertiliser recommendations'!$A$4:$C$63,3,FALSE)+VLOOKUP(Calc!BI8,'Fertiliser recommendations'!$A$4:$F$63,6,FALSE),
""))))))</f>
        <v/>
      </c>
      <c r="E10" s="91" t="str">
        <f t="shared" ca="1" si="0"/>
        <v/>
      </c>
      <c r="F10" s="9" t="str">
        <f ca="1">IF(B10="","",
IF(OR(C10="data missing",D10="soil texture missing"),"data missing",
IF(Calc!BF8=0,"n/a",
IF(C10&lt;0.1*D10,"no benefit",
IF(C10&lt;0.3*D10,"limited benefit",
IF(C10&gt;250,"exceeds limit",
IF(OR(AND(D10=0,C10&gt;75),C10&gt;1.25*D10),"excessive",
IF(D10=0, "no requirement",
"benefit"))))))))</f>
        <v/>
      </c>
      <c r="H10" s="91" t="str">
        <f ca="1">IF(B10="","",
IF(AND('Field information 2'!$O$5="", 'Field information 2'!$Q$5=""),
   IF('Waste results'!$S$17&lt;&gt;"data missing", Calc!BC8*'Waste results'!$S$17, "data missing"),
IF('Field information 2'!$Q$5="",
   IF(Calc!BD8=0,
     IF('Waste results'!$S$17&lt;&gt;"data missing", Calc!BC8*'Waste results'!$S$17, "data missing"),
   IF(Calc!BC8=0,
     IF('Waste results'!$S$53&lt;&gt;"data missing", Calc!BD8*'Waste results'!$S$53, "data missing"),
   IF(OR('Waste results'!$S$17&lt;&gt;"data missing", 'Waste results'!$S$53&lt;&gt;"data missing"), Calc!BC8*'Waste results'!$S$17+ Calc!BD8*'Waste results'!$S$53, "data missing"))),
IF(AND('Field information 2'!$M$5&lt;&gt;"", 'Field information 2'!$O$5&lt;&gt;"", 'Field information 2'!$Q$5&lt;&gt;""),
   IF(AND(Calc!BD8=0,Calc!BE8=0),
     IF('Waste results'!$S$17&lt;&gt;"data missing", Calc!BC8*'Waste results'!$S$17, "data missing"),
   IF(AND(Calc!BC8=0,Calc!BE8=0),
     IF('Waste results'!$S$53&lt;&gt;"data missing", Calc!BD8*'Waste results'!$S$53, "data missing"),
   IF(AND(Calc!BC8=0,Calc!BD8=0),
     IF('Waste results'!$S$89&lt;&gt;"data missing", Calc!BE8*'Waste results'!$S$89, "data missing"),
   IF(Calc!BE8=0,
     IF(OR('Waste results'!$S$17&lt;&gt;"data missing", 'Waste results'!$S$53&lt;&gt;"data missing"), Calc!BC8*'Waste results'!$S$17+ Calc!BD8*'Waste results'!$S$53, "data missing"),
   IF(Calc!BD8=0,
     IF(OR('Waste results'!$S$17&lt;&gt;"data missing", 'Waste results'!$S$89&lt;&gt;"data missing"), Calc!BC8*'Waste results'!$S$17+ Calc!BE8*'Waste results'!$S$89, "data missing"),
   IF(Calc!BC8=0,
     IF(OR('Waste results'!$S$53&lt;&gt;"data missing", 'Waste results'!$S$89&lt;&gt;"data missing"), Calc!BD8*'Waste results'!$S$53+Calc!BE8*'Waste results'!$S$89, "data missing"),
   IF(OR('Waste results'!$S$17&lt;&gt;"data missing", 'Waste results'!$S$53&lt;&gt;"data missing", 'Waste results'!$S$89&lt;&gt;"data missing"), Calc!BC8*'Waste results'!$S$17+Calc!BD8*'Waste results'!$S$53+ Calc!BE8*'Waste results'!$S$89, "data missing")))))))))))</f>
        <v/>
      </c>
      <c r="I10" s="195" t="str">
        <f ca="1">IF(B10="","",
IF(OR(ISBLANK('Soil results'!G13), ISBLANK('Soil results'!G$7)),"data missing",
IF(OR(AND('Soil results'!G$7="Olsen (ADAS)",'Soil results'!G13&lt;16),AND('Soil results'!G$7="modified Morgan (SAC)",'Soil results'!G13&lt;4.5)),50,100)))</f>
        <v/>
      </c>
      <c r="J10" s="49" t="str">
        <f ca="1">IF(B10="","",
IF(OR(ISBLANK('Soil results'!G$7),ISBLANK('Soil results'!G13)),"data missing",
IF(OR(AND('Soil results'!G$7="Olsen (ADAS)",'Soil results'!G13&gt;45),AND('Soil results'!G$7="modified Morgan (SAC)",'Soil results'!G13&gt;30)),0,
IF(OR(AND('Soil results'!G$7="Olsen (ADAS)",'Soil results'!G13&gt;=16,'Soil results'!G13&lt;=20),AND('Soil results'!G$7="modified Morgan (SAC)",'Soil results'!G13&gt;=4.5,'Soil results'!G13&lt;=9.4)),VLOOKUP(Calc!BI8,'Fertiliser recommendations'!$A$4:$I$63,9,FALSE),
IF(OR(AND('Soil results'!G$7="Olsen (ADAS)",'Soil results'!G13&lt;10),AND('Soil results'!G$7="modified Morgan (SAC)",'Soil results'!G13&lt;1.8)),VLOOKUP(Calc!BI8,'Fertiliser recommendations'!$A$4:$I$63,9,FALSE)+VLOOKUP(Calc!BI8,'Fertiliser recommendations'!$A$4:$J$63,10,FALSE),
IF(OR(AND('Soil results'!G$7="Olsen (ADAS)",'Soil results'!G13&lt;16),AND('Soil results'!G$7="modified Morgan (SAC)",'Soil results'!G13&lt;4.5)),VLOOKUP(Calc!BI8,'Fertiliser recommendations'!$A$4:$I$63,9,FALSE)+VLOOKUP(Calc!BI8,'Fertiliser recommendations'!$A$4:$K$63,11,FALSE),
IF(OR(AND('Soil results'!G$7="Olsen (ADAS)",'Soil results'!G13&lt;26),AND('Soil results'!G$7="modified Morgan (SAC)",'Soil results'!G13&lt;13.5)),VLOOKUP(Calc!BI8,'Fertiliser recommendations'!$A$4:$I$63,9,FALSE)+VLOOKUP(Calc!BI8,'Fertiliser recommendations'!$A$4:$L$63,12,FALSE),
IF(OR(AND('Soil results'!G$7="Olsen (ADAS)",'Soil results'!G13&lt;=45),AND('Soil results'!G$7="modified Morgan (SAC)",'Soil results'!G13&lt;=30)),VLOOKUP(Calc!BI8,'Fertiliser recommendations'!$A$4:$I$63,9,FALSE)+VLOOKUP(Calc!BI8,'Fertiliser recommendations'!$A$4:$M$63,13,FALSE),
""))))))))</f>
        <v/>
      </c>
      <c r="K10" s="161" t="str">
        <f t="shared" ca="1" si="1"/>
        <v/>
      </c>
      <c r="L10" s="47" t="str">
        <f ca="1">IF(OR(ISBLANK('Soil results'!G$7),ISBLANK('Soil results'!G13),B10="", H10="data missing"),"",
IF('Soil results'!G$7="Olsen (ADAS)",
IF(((H10*Calc!BM8/2.291-(VLOOKUP(Calc!BI8,'Fertiliser recommendations'!$A$4:$I$63,9,FALSE))/2.291)*10/(400/2.291)+'Soil results'!G13)&lt;10,"0 (VL)",
IF(((H10*Calc!BM8/2.291-(VLOOKUP(Calc!BI8,'Fertiliser recommendations'!$A$4:$I$63,9,FALSE))/2.291)*10/(400/2.291)+'Soil results'!G13)&lt;16,"1 (L)",
IF(((H10*Calc!BM8/2.291-(VLOOKUP(Calc!BI8,'Fertiliser recommendations'!$A$4:$I$63,9,FALSE))/2.291)*10/(400/2.291)+'Soil results'!G13)&lt;21,"2 (M-)",
IF(((H10*Calc!BM8/2.291-(VLOOKUP(Calc!BI8,'Fertiliser recommendations'!$A$4:$I$63,9,FALSE))/2.291)*10/(400/2.291)+'Soil results'!G13)&lt;26,"2 (M+)",
IF(((H10*Calc!BM8/2.291-(VLOOKUP(Calc!BI8,'Fertiliser recommendations'!$A$4:$I$63,9,FALSE))/2.291)*10/(400/2.291)+'Soil results'!G13)&lt;45,"3 (H)","&gt;3 (VH)"))))),
IF('Soil results'!G$7="modified Morgan (SAC)",
IF('Soil results'!G13&gt;=6,
IF(((H10*Calc!BM8/2.291-(VLOOKUP(Calc!BI8,'Fertiliser recommendations'!$A$4:$I$63,9,FALSE))/2.291)*5/(147/2.291)+'Soil results'!G13)&lt;9.5,"2 (M-)",
IF(((H10*Calc!BM8/2.291-(VLOOKUP(Calc!BI8,'Fertiliser recommendations'!$A$4:$I$63,9,FALSE))/2.291)*5/(147/2.291)+'Soil results'!G13)&lt;13.5,"2 (M+)",
IF(((H10*Calc!BM8/2.291-(VLOOKUP(Calc!BI8,'Fertiliser recommendations'!$A$4:$I$63,9,FALSE))/2.291)*5/(147/2.291)+'Soil results'!G13)&lt;30,"3 (H)","4 (VH)"))),
IF(((H10*Calc!BM8/2.291-(VLOOKUP(Calc!BI8,'Fertiliser recommendations'!$A$4:$I$63,9,FALSE))/2.291)*5/(346/2.291)+'Soil results'!G13)&lt;1.8,"0 (VL)",
IF(((H10*Calc!BM8/2.291-(VLOOKUP(Calc!BI8,'Fertiliser recommendations'!$A$4:$I$63,9,FALSE))/2.291)*5/(147/2.291)+'Soil results'!G13)&lt;4.5,"1 (L)","2 (M-)"))))))</f>
        <v/>
      </c>
      <c r="M10" s="9" t="str">
        <f ca="1">IF(B10="","",
IF(OR(H10="data missing",I10="data missing",J10="data missing"),"data missing",
IF(Calc!BF8=0,"n/a",
IF(OR(AND('Soil results'!G$7="Olsen (ADAS)",'Soil results'!G13&gt;45),AND('Soil results'!G$7="modified Morgan (SAC)",'Soil results'!G13&gt;30)),
IF(H10&gt;2,"too high, not acceptable","no requirement"),IF(OR(AND('Soil results'!G$7="Olsen (ADAS)",'Soil results'!G13&gt;25),AND('Soil results'!G$7="modified Morgan (SAC)",'Soil results'!G13&gt;13.4)),
IF(H10*(I10/100)&lt;0.1*J10,"no benefit",
IF(H10*(I10/100)&lt;0.3*J10,"limited benefit",
IF(H10*(I10/100)&lt;1.1*J10,"benefit",
IF(H10*(I10/100)&lt;0.7*VLOOKUP(Calc!BI8,'Fertiliser recommendations'!$A$4:$I$63,9,FALSE),"excessive","too high, not acceptable")))),
IF(OR(AND('Soil results'!G$7="Olsen (ADAS)",'Soil results'!G13&gt;20),AND('Soil results'!G$7="modified Morgan (SAC)",'Soil results'!G13&gt;9.4)),
IF(H10*Calc!BM8*(I10/100)&lt;0.1*J10,"no benefit",
IF(H10*Calc!BM8*(I10/100)&lt;0.3*J10,"limited benefit",
IF(H10*Calc!BM8*(I10/100)&lt;1.1*J10,"benefit",
IF(L10="3 (H)","too high, not acceptable","excessive")))),
IF(OR(AND('Soil results'!G$7="Olsen (ADAS)",'Soil results'!G13&gt;15),AND('Soil results'!G$7="modified Morgan (SAC)",'Soil results'!G13&gt;4.4)),
IF(H10*Calc!BM8*(I10/100)&lt;0.1*VLOOKUP(Calc!BI8,'Fertiliser recommendations'!$A$4:$I$63,9,FALSE),"no benefit",
IF(H10*Calc!BM8*(I10/100)&lt;0.3*VLOOKUP(Calc!BI8,'Fertiliser recommendations'!$A$4:$I$63,9,FALSE),"limited benefit",
IF(H10*Calc!BM8*(I10/100)&lt;1.1*VLOOKUP(Calc!BI8,'Fertiliser recommendations'!$A$4:$I$63,9,FALSE),"benefit",
IF(L10="3 (H)", "too high, not acceptable", "excessive")))),
IF(OR(AND('Soil results'!G$7="Olsen (ADAS)",'Soil results'!G13&lt;=15),AND('Soil results'!G$7="modified Morgan (SAC)",'Soil results'!G13&lt;=4.4)),
IF(H10*Calc!BM8*(I10/100)&lt;0.1*VLOOKUP(Calc!BI8,'Fertiliser recommendations'!$A$4:$I$63,9,FALSE),"no benefit",
IF(H10*Calc!BM8*(I10/100)&lt;0.3*VLOOKUP(Calc!BI8,'Fertiliser recommendations'!$A$4:$I$63,9,FALSE),"limited benefit",
IF(H10*Calc!BM8*(I10/100)&lt;1.1*J10,"benefit","excessive")))))))))))</f>
        <v/>
      </c>
      <c r="O10" s="91" t="str">
        <f ca="1">IF(B10="","",
IF(AND('Field information 2'!$O$5="", 'Field information 2'!$Q$5=""),
   IF('Waste results'!$S$19&lt;&gt;"data missing", Calc!BC8*'Waste results'!$S$19, "data missing"),
IF('Field information 2'!$Q$5="",
   IF(Calc!BD8=0,
     IF('Waste results'!$S$19&lt;&gt;"data missing", Calc!BC8*'Waste results'!$S$19, "data missing"),
   IF(Calc!BC8=0,
     IF('Waste results'!$S$55&lt;&gt;"data missing", Calc!BD8*'Waste results'!$S$55, "data missing"),
   IF(OR('Waste results'!$S$19&lt;&gt;"data missing", 'Waste results'!$S$55&lt;&gt;"data missing"), Calc!BC8*'Waste results'!$S$19+ Calc!BD8*'Waste results'!$S$55, "data missing"))),
IF(AND('Field information 2'!$M$5&lt;&gt;"", 'Field information 2'!$O$5&lt;&gt;"", 'Field information 2'!$Q$5&lt;&gt;""),
   IF(AND(Calc!BD8=0,Calc!BE8=0),
     IF('Waste results'!$S$19&lt;&gt;"data missing", Calc!BC8*'Waste results'!$S$19, "data missing"),
   IF(AND(Calc!BC8=0,Calc!BE8=0),
     IF('Waste results'!$S$55&lt;&gt;"data missing", Calc!BD8*'Waste results'!$S$55, "data missing"),
   IF(AND(Calc!BC8=0,Calc!BD8=0),
     IF('Waste results'!$S$91&lt;&gt;"data missing", Calc!BE8*'Waste results'!$S$91, "data missing"),
   IF(Calc!BE8=0,
     IF(OR('Waste results'!$S$19&lt;&gt;"data missing", 'Waste results'!$S$55&lt;&gt;"data missing"), Calc!BC8*'Waste results'!$S$19+ Calc!BD8*'Waste results'!$S$55, "data missing"),
   IF(Calc!BD8=0,
     IF(OR('Waste results'!$S$19&lt;&gt;"data missing", 'Waste results'!$S$91&lt;&gt;"data missing"), Calc!BC8*'Waste results'!$S$19+ Calc!BE8*'Waste results'!$S$91, "data missing"),
   IF(Calc!BC8=0,
     IF(OR('Waste results'!$S$55&lt;&gt;"data missing", 'Waste results'!$S$91&lt;&gt;"data missing"), Calc!BD8*'Waste results'!$S$55+Calc!BE8*'Waste results'!$S$91, "data missing"),
   IF(OR('Waste results'!$S$19&lt;&gt;"data missing", 'Waste results'!$S$55&lt;&gt;"data missing", 'Waste results'!$S$91&lt;&gt;"data missing"), Calc!BC8*'Waste results'!$S$19+Calc!BD8*'Waste results'!$S$55+ Calc!BE8*'Waste results'!$S$91, "data missing")))))))))))</f>
        <v/>
      </c>
      <c r="P10" s="91" t="str">
        <f ca="1">IF(B10="","",
IF(OR(ISBLANK('Soil results'!H$7),ISBLANK('Soil results'!H13)),"data missing",
IF(OR(AND('Soil results'!H$7="ammonium nitrate (ADAS)",'Soil results'!H13&gt;400),AND('Soil results'!H$7="modified Morgan (SAC)",'Soil results'!H13&gt;400)),0,
IF(OR(AND('Soil results'!H$7="ammonium nitrate (ADAS)",'Soil results'!H13&gt;=121,'Soil results'!H13&lt;=180),AND('Soil results'!H$7="modified Morgan (SAC)",'Soil results'!H13&gt;=76,'Soil results'!H13&lt;=140)),VLOOKUP(Calc!BI8,'Fertiliser recommendations'!$A$4:$Z$63,26,FALSE),
IF(OR(AND('Soil results'!H$7="ammonium nitrate (ADAS)",'Soil results'!H13&lt;61),AND('Soil results'!H$7="modified Morgan (SAC)",'Soil results'!H13&lt;40)),VLOOKUP(Calc!BI8,'Fertiliser recommendations'!$A$4:$Z$63,26,FALSE)+VLOOKUP(Calc!BI8,'Fertiliser recommendations'!$A$4:$AA$63,27,FALSE),
IF(OR(AND('Soil results'!H$7="ammonium nitrate (ADAS)",'Soil results'!H13&lt;121),AND('Soil results'!H$7="modified Morgan (SAC)",'Soil results'!H13&lt;76)),VLOOKUP(Calc!BI8,'Fertiliser recommendations'!$A$4:$Z$63,26,FALSE)+VLOOKUP(Calc!BI8,'Fertiliser recommendations'!$A$4:$AB$63,28,FALSE),
IF(OR(AND('Soil results'!H$7="ammonium nitrate (ADAS)",'Soil results'!H13&lt;241),AND('Soil results'!H$7="modified Morgan (SAC)",'Soil results'!H13&lt;201)),VLOOKUP(Calc!BI8,'Fertiliser recommendations'!$A$4:$Z$63,26,FALSE)+VLOOKUP(Calc!BI8,'Fertiliser recommendations'!$A$4:$AC$63,29,FALSE),
IF(OR(AND('Soil results'!H$7="ammonium nitrate (ADAS)",'Soil results'!H13&lt;=400),AND('Soil results'!H$7="modified Morgan (SAC)",'Soil results'!H13&lt;=400)),VLOOKUP(Calc!BI8,'Fertiliser recommendations'!$A$4:$Z$63,26,FALSE)+VLOOKUP(Calc!BI8,'Fertiliser recommendations'!$A$4:$AD$63,30,FALSE),
"??"))))))))</f>
        <v/>
      </c>
      <c r="Q10" s="91" t="str">
        <f t="shared" ca="1" si="2"/>
        <v/>
      </c>
      <c r="R10" s="9" t="str">
        <f ca="1">IF(B10="","",
IF(OR(O10="data missing",P10="data missing"),"data missing",
IF(Calc!BF8=0,"n/a",
IF(P10=0, "no requirement",
IF(O10&lt;0.1*P10,"no benefit",
IF(O10&lt;0.3*P10,"limited benefit",
IF(O10&gt;1.25*P10,"excessive",
"benefit")))))))</f>
        <v/>
      </c>
      <c r="T10" s="91" t="str">
        <f ca="1">IF(B10="","",
IF(AND('Field information 2'!$O$5="", 'Field information 2'!$Q$5=""),
   IF('Waste results'!$S$21&lt;&gt;"data missing", Calc!BC8*'Waste results'!$S$21, "data missing"),
IF('Field information 2'!$Q$5="",
   IF(Calc!BD8=0,
     IF('Waste results'!$S$21&lt;&gt;"data missing", Calc!BC8*'Waste results'!$S$21, "data missing"),
   IF(Calc!BC8=0,
     IF('Waste results'!$S$57&lt;&gt;"data missing", Calc!BD8*'Waste results'!$S$57, "data missing"),
   IF(OR('Waste results'!$S$21&lt;&gt;"data missing", 'Waste results'!$S$57&lt;&gt;"data missing"), Calc!BC8*'Waste results'!$S$21+ Calc!BD8*'Waste results'!$S$57, "data missing"))),
IF(AND('Field information 2'!$M$5&lt;&gt;"", 'Field information 2'!$O$5&lt;&gt;"", 'Field information 2'!$Q$5&lt;&gt;""),
   IF(AND(Calc!BD8=0,Calc!BE8=0),
     IF('Waste results'!$S$21&lt;&gt;"data missing", Calc!BC8*'Waste results'!$S$21, "data missing"),
   IF(AND(Calc!BC8=0,Calc!BE8=0),
     IF('Waste results'!$S$57&lt;&gt;"data missing", Calc!BD8*'Waste results'!$S$57, "data missing"),
   IF(AND(Calc!BC8=0,Calc!BD8=0),
     IF('Waste results'!$S$93&lt;&gt;"data missing", Calc!BE8*'Waste results'!$S$93, "data missing"),
   IF(Calc!BE8=0,
     IF(OR('Waste results'!$S$21&lt;&gt;"data missing", 'Waste results'!$S$57&lt;&gt;"data missing"), Calc!BC8*'Waste results'!$S$21+ Calc!BD8*'Waste results'!$S$57, "data missing"),
   IF(Calc!BD8=0,
     IF(OR('Waste results'!$S$21&lt;&gt;"data missing", 'Waste results'!$S$93&lt;&gt;"data missing"), Calc!BC8*'Waste results'!$S$21+ Calc!BE8*'Waste results'!$S$93, "data missing"),
   IF(Calc!BC8=0,
     IF(OR('Waste results'!$S$57&lt;&gt;"data missing", 'Waste results'!$S$93&lt;&gt;"data missing"), Calc!BD8*'Waste results'!$S$57+Calc!BE8*'Waste results'!$S$93, "data missing"),
   IF(OR('Waste results'!$S$21&lt;&gt;"data missing", 'Waste results'!$S$57&lt;&gt;"data missing", 'Waste results'!$S$93&lt;&gt;"data missing"), Calc!BC8*'Waste results'!$S$21+Calc!BD8*'Waste results'!$S$57+ Calc!BE8*'Waste results'!$S$93, "data missing")))))))))))</f>
        <v/>
      </c>
      <c r="U10" s="7" t="str">
        <f ca="1">IF(B10="","",
IF(OR(ISBLANK('Soil results'!I$7),ISBLANK('Soil results'!I13)),"data missing",
IF(OR(AND('Soil results'!I$7="ammonium nitrate (ADAS)",'Soil results'!I13&gt;51),AND('Soil results'!I$7="modified Morgan (SAC)",'Soil results'!I13&gt;61)),0,
IF(OR(AND('Soil results'!I$7="ammonium nitrate (ADAS)",'Soil results'!I13&lt;25),AND('Soil results'!I$7="modified Morgan (SAC)",'Soil results'!I13&lt;19)),VLOOKUP(Calc!BI8,'Fertiliser recommendations'!$A$4:$AH$63,34,FALSE),
IF(OR(AND('Soil results'!I$7="ammonium nitrate (ADAS)",'Soil results'!I13&lt;=51),AND('Soil results'!I$7="modified Morgan (SAC)",'Soil results'!I13&lt;=61)),VLOOKUP(Calc!BI8,'Fertiliser recommendations'!$A$4:$AI$63,35,FALSE),
"")))))</f>
        <v/>
      </c>
      <c r="V10" s="91" t="str">
        <f t="shared" ca="1" si="3"/>
        <v/>
      </c>
      <c r="W10" s="9" t="str">
        <f ca="1">IF(B10="","",
IF(OR(T10="data missing",U10="data missing"),"data missing",
IF(Calc!BF8=0,"n/a",
IF(U10=0,"no requirement",
IF(T10&lt;0.1*U10,"no benefit",
IF(T10&lt;0.3*U10,"limited benefit",
IF(OR(T10&gt;1.5*U10,AND(Calc!BJ8="g",T10&gt;100)),"excessive",
"benefit")))))))</f>
        <v/>
      </c>
      <c r="Y10" s="91" t="str">
        <f ca="1">IF(B10="","",
IF(AND('Field information 2'!$O$5="", 'Field information 2'!$Q$5=""),
   IF('Waste results'!$P$23&lt;&gt;"", Calc!BC8*'Waste results'!$P$23, "no data"),
IF('Field information 2'!$Q$5="",
   IF(Calc!BD8=0,
     IF('Waste results'!$P$23&lt;&gt;"", Calc!BC8*'Waste results'!$P$23, "no data"),
   IF(Calc!BC8=0,
     IF('Waste results'!$P$59&lt;&gt;"", Calc!BD8*'Waste results'!$P$59, "no data"),
   IF(OR('Waste results'!$P$23&lt;&gt;"", 'Waste results'!$P$59&lt;&gt;""), Calc!BC8*'Waste results'!$P$23+ Calc!BD8*'Waste results'!$P$59, "no data"))),
IF(AND('Field information 2'!$M$5&lt;&gt;"", 'Field information 2'!$O$5&lt;&gt;"", 'Field information 2'!$Q$5&lt;&gt;""),
   IF(AND(Calc!BD8=0,Calc!BE8=0),
     IF('Waste results'!$P$23&lt;&gt;"", Calc!BC8*'Waste results'!$P$23, "no data"),
   IF(AND(Calc!BC8=0,Calc!BE8=0),
     IF('Waste results'!$P$59&lt;&gt;"", Calc!BD8*'Waste results'!$P$59, "no data"),
   IF(AND(Calc!BC8=0,Calc!BD8=0),
     IF('Waste results'!$P$95&lt;&gt;"", Calc!BE8*'Waste results'!$P$95, "no data"),
   IF(Calc!BE8=0,
     IF(OR('Waste results'!$P$23&lt;&gt;"", 'Waste results'!$P$59&lt;&gt;""), Calc!BC8*'Waste results'!$P$23+ Calc!BD8*'Waste results'!$P$59, "no data"),
   IF(Calc!BD8=0,
     IF(OR('Waste results'!$P$23&lt;&gt;"", 'Waste results'!$P$95&lt;&gt;""), Calc!BC8*'Waste results'!$P$23+ Calc!BE8*'Waste results'!$P$95, "no data"),
   IF(Calc!BC8=0,
     IF(OR('Waste results'!$P$59&lt;&gt;"", 'Waste results'!$P$95&lt;&gt;""), Calc!BD8*'Waste results'!$P$59+Calc!BE8*'Waste results'!$P$95, "no data"),
   IF(OR('Waste results'!$P$23&lt;&gt;"", 'Waste results'!$P$59&lt;&gt;"", 'Waste results'!$P$95&lt;&gt;""), Calc!BC8*'Waste results'!$P$23+Calc!BD8*'Waste results'!$P$59+ Calc!BE8*'Waste results'!$P$95, "no data")))))))))))</f>
        <v/>
      </c>
      <c r="Z10" s="7" t="str">
        <f ca="1">IF(OR(ISBLANK('Soil results'!I$7),ISBLANK('Soil results'!I13),'Soil results'!B13=""),"",
VLOOKUP(Calc!BI8,'Fertiliser recommendations'!$A$4:$AM$63,39,FALSE))</f>
        <v/>
      </c>
      <c r="AA10" s="91" t="str">
        <f t="shared" ca="1" si="4"/>
        <v/>
      </c>
      <c r="AB10" s="9" t="str">
        <f t="shared" ca="1" si="5"/>
        <v/>
      </c>
      <c r="AD10" s="48" t="str">
        <f>IF(ISBLANK('Soil results'!F13),"",'Soil results'!F13)</f>
        <v/>
      </c>
      <c r="AE10" s="49" t="str">
        <f ca="1">IF(B10="","",
IF(AND(Calc!BJ8="g", VLOOKUP(LEFT($B10,LEN($B10)-2),'Field information 2'!$B$12:$P$111,9,FALSE)&lt;&gt;"yes"),
 IF(Calc!BG8="10-25% OM", 5.9, IF(Calc!BG8="&gt;25% OM", 5.5, 6.2)),
IF(OR(Calc!BJ8="a", VLOOKUP(LEFT($B10,LEN($B10)-2),'Field information 2'!$B$12:$P$111,9,FALSE)="yes"),
 IF(Calc!BG8="10-25% OM", 6.4, IF(Calc!BG8="&gt;25% OM", 6, 6.7)), "")))</f>
        <v/>
      </c>
      <c r="AF10" s="91" t="str">
        <f ca="1">IF(B10="","",
IF('Waste results'!$Q$33="","no (significant) liming properties",
IF('Waste results'!Q$33&gt;100,"no (significant) liming properties",
IF(AD10="","",
IF(AD10&gt;=AE10,0,ROUNDDOWN((AE10-AD10)*Calc!BK8*'Waste results'!$Q$33+0.2,0))))))</f>
        <v/>
      </c>
      <c r="AG10" s="9" t="str">
        <f ca="1">IF(B10="","",
IF(T10=0,"n/a",
IF(AD10="","data missing",
IF(AND(AD10&lt;5,AF10="no (significant) liming properties"),"no waste application - pH too low",
IF(AND(AD10&gt;5.1,AF10="no (significant) liming properties",Calc!BH8&gt;25, LEFT(Calc!BI8,4)="graz"),"ok",
IF(AND(AD10&lt;=5.2,AF10="no (significant) liming properties"),"liming highly recommended",
IF(AF10=0,"no waste application - liming not required",
IF(AF10&lt;Calc!BC8,"application rate too high - exceeds liming requirement",
"ok"))))))))</f>
        <v/>
      </c>
      <c r="AI10" s="91" t="str">
        <f ca="1">IF(B10="","",
IF(AND('Field information 2'!$O$5="", 'Field information 2'!$Q$5=""),
   IF('Waste results'!$P$10&lt;&gt;"data missing", Calc!BC8*'Waste results'!$P$10, "data missing"),
IF('Field information 2'!$Q$5="",
   IF(Calc!BD8=0,
     IF('Waste results'!$P$10&lt;&gt;"data missing", Calc!BC8*'Waste results'!$P$10, "data missing"),
   IF(Calc!BC8=0,
     IF('Waste results'!$P$45&lt;&gt;"data missing", Calc!BD8*'Waste results'!$P$45, "data missing"),
   IF(OR('Waste results'!$P$10&lt;&gt;"data missing", 'Waste results'!$P$45&lt;&gt;"data missing"), Calc!BC8*'Waste results'!$P$10+ Calc!BD8*'Waste results'!$P$45, "data missing"))),
IF(AND('Field information 2'!$M$5&lt;&gt;"", 'Field information 2'!$O$5&lt;&gt;"", 'Field information 2'!$Q$5&lt;&gt;""),
   IF(AND(Calc!BD8=0,Calc!BE8=0),
     IF('Waste results'!$P$10&lt;&gt;"data missing", Calc!BC8*'Waste results'!$P$10, "data missing"),
   IF(AND(Calc!BC8=0,Calc!BE8=0),
     IF('Waste results'!$P$45&lt;&gt;"data missing", Calc!BD8*'Waste results'!$P$45, "data missing"),
   IF(AND(Calc!BC8=0,Calc!BD8=0),
     IF('Waste results'!$P$82&lt;&gt;"data missing", Calc!BE8*'Waste results'!$P$82, "data missing"),
   IF(Calc!BE8=0,
     IF(OR('Waste results'!$P$10&lt;&gt;"data missing", 'Waste results'!$P$45&lt;&gt;"data missing"), Calc!BC8*'Waste results'!$P$10+ Calc!BD8*'Waste results'!$P$45, "data missing"),
   IF(Calc!BD8=0,
     IF(OR('Waste results'!$P$10&lt;&gt;"data missing", 'Waste results'!$P$82&lt;&gt;"data missing"), Calc!BC8*'Waste results'!$P$10+ Calc!BE8*'Waste results'!$P$82, "data missing"),
   IF(Calc!BC8=0,
     IF(OR('Waste results'!$P$45&lt;&gt;"data missing", 'Waste results'!$P$82&lt;&gt;"data missing"), Calc!BD8*'Waste results'!$P$45+Calc!BE8*'Waste results'!$P$82, "data missing"),
   IF(OR('Waste results'!$P$10&lt;&gt;"data missing", 'Waste results'!$P$45&lt;&gt;"data missing", 'Waste results'!$P$82&lt;&gt;"data missing"), Calc!BC8*'Waste results'!$P$10+Calc!BD8*'Waste results'!$P$45+ Calc!BE8*'Waste results'!$P$82, "data missing")))))))))))</f>
        <v/>
      </c>
      <c r="AJ10" s="237" t="str">
        <f ca="1">IF(B10="","",
IF(AI10="data missing","data missing",
IF(Calc!BF8=0,"n/a",
IF(AND(Calc!BH8&gt;=8,AI10&lt;500),"no benefit",
IF(OR(AND(Calc!BH8&lt;=4,AI10&gt;=500),AND(Calc!BH8&lt;8,AI10&gt;5000)),"benefit",
"limited benefit")))))</f>
        <v/>
      </c>
      <c r="AL10" s="238" t="str">
        <f ca="1">IF(B10="","",
IF(AND('Field information 2'!$O$5="", 'Field information 2'!$Q$5=""),
   IF('Waste results'!$S$25&lt;&gt;"data missing", Calc!BC8*'Waste results'!$S$25, "data missing"),
IF('Field information 2'!$Q$5="",
   IF(Calc!BD8=0,
     IF('Waste results'!$S$25&lt;&gt;"data missing", Calc!BC8*'Waste results'!$S$25, "data missing"),
   IF(Calc!BC8=0,
     IF('Waste results'!$S$61&lt;&gt;"data missing", Calc!BD8*'Waste results'!$S$61, "data missing"),
   IF(OR('Waste results'!$S$25&lt;&gt;"data missing", 'Waste results'!$S$61&lt;&gt;"data missing"), Calc!BC8*'Waste results'!$S$25+ Calc!BD8*'Waste results'!$S$61, "data missing"))),
IF(AND('Field information 2'!$M$5&lt;&gt;"", 'Field information 2'!$O$5&lt;&gt;"", 'Field information 2'!$Q$5&lt;&gt;""),
   IF(AND(Calc!BD8=0,Calc!BE8=0),
     IF('Waste results'!$S$25&lt;&gt;"data missing", Calc!BC8*'Waste results'!$S$25, "data missing"),
   IF(AND(Calc!BC8=0,Calc!BE8=0),
     IF('Waste results'!$S$61&lt;&gt;"data missing", Calc!BD8*'Waste results'!$S$61, "data missing"),
   IF(AND(Calc!BC8=0,Calc!BD8=0),
     IF('Waste results'!$S$97&lt;&gt;"data missing", Calc!BE8*'Waste results'!$S$97, "data missing"),
   IF(Calc!BE8=0,
     IF(OR('Waste results'!$S$25&lt;&gt;"data missing", 'Waste results'!$S$61&lt;&gt;"data missing"), Calc!BC8*'Waste results'!$S$25+ Calc!BD8*'Waste results'!$S$61, "data missing"),
   IF(Calc!BD8=0,
     IF(OR('Waste results'!$S$25&lt;&gt;"data missing", 'Waste results'!$S$97&lt;&gt;"data missing"), Calc!BC8*'Waste results'!$S$25+ Calc!BE8*'Waste results'!$S$97, "data missing"),
   IF(Calc!BC8=0,
     IF(OR('Waste results'!$S$61&lt;&gt;"data missing", 'Waste results'!$S$97&lt;&gt;"data missing"), Calc!BD8*'Waste results'!$S$61+Calc!BE8*'Waste results'!$S$97, "data missing"),
   IF(OR('Waste results'!$S$25&lt;&gt;"data missing", 'Waste results'!$S$61&lt;&gt;"data missing", 'Waste results'!$S$97&lt;&gt;"data missing"), Calc!BC8*'Waste results'!$S$25+Calc!BD8*'Waste results'!$S$61+ Calc!BE8*'Waste results'!$S$97, "data missing")))))))))))</f>
        <v/>
      </c>
      <c r="AM10" s="239" t="str">
        <f ca="1">IF($B10="","",
IF(ISBLANK('Soil results'!K13),"data missing",'Soil results'!K13))</f>
        <v/>
      </c>
      <c r="AN10" s="239" t="str">
        <f t="shared" ca="1" si="6"/>
        <v/>
      </c>
      <c r="AO10" s="9" t="str">
        <f t="shared" ca="1" si="7"/>
        <v/>
      </c>
      <c r="AQ10" s="240" t="str">
        <f ca="1">IF(B10="","",
IF(AND('Field information 2'!$O$5="", 'Field information 2'!$Q$5=""),
   IF('Waste results'!$S$26&lt;&gt;"data missing", Calc!BC8*'Waste results'!$S$26, "data missing"),
IF('Field information 2'!$Q$5="",
   IF(Calc!BD8=0,
     IF('Waste results'!$S$26&lt;&gt;"data missing", Calc!BC8*'Waste results'!$S$26, "data missing"),
   IF(Calc!BC8=0,
     IF('Waste results'!$S$62&lt;&gt;"data missing", Calc!BD8*'Waste results'!$S$62, "data missing"),
   IF(OR('Waste results'!$S$26&lt;&gt;"data missing", 'Waste results'!$S$62&lt;&gt;"data missing"), Calc!BC8*'Waste results'!$S$26+ Calc!BD8*'Waste results'!$S$62, "data missing"))),
IF(AND('Field information 2'!$M$5&lt;&gt;"", 'Field information 2'!$O$5&lt;&gt;"", 'Field information 2'!$Q$5&lt;&gt;""),
   IF(AND(Calc!BD8=0,Calc!BE8=0),
     IF('Waste results'!$S$26&lt;&gt;"data missing", Calc!BC8*'Waste results'!$S$26, "data missing"),
   IF(AND(Calc!BC8=0,Calc!BE8=0),
     IF('Waste results'!$S$62&lt;&gt;"data missing", Calc!BD8*'Waste results'!$S$62, "data missing"),
   IF(AND(Calc!BC8=0,Calc!BD8=0),
     IF('Waste results'!$S$98&lt;&gt;"data missing", Calc!BE8*'Waste results'!$S$98, "data missing"),
   IF(Calc!BE8=0,
     IF(OR('Waste results'!$S$26&lt;&gt;"data missing", 'Waste results'!$S$62&lt;&gt;"data missing"), Calc!BC8*'Waste results'!$S$26+ Calc!BD8*'Waste results'!$S$62, "data missing"),
   IF(Calc!BD8=0,
     IF(OR('Waste results'!$S$26&lt;&gt;"data missing", 'Waste results'!$S$98&lt;&gt;"data missing"), Calc!BC8*'Waste results'!$S$26+ Calc!BE8*'Waste results'!$S$98, "data missing"),
   IF(Calc!BC8=0,
     IF(OR('Waste results'!$S$62&lt;&gt;"data missing", 'Waste results'!$S$98&lt;&gt;"data missing"), Calc!BD8*'Waste results'!$S$62+Calc!BE8*'Waste results'!$S$98, "data missing"),
   IF(OR('Waste results'!$S$26&lt;&gt;"data missing", 'Waste results'!$S$62&lt;&gt;"data missing", 'Waste results'!$S$98&lt;&gt;"data missing"), Calc!BC8*'Waste results'!$S$26+Calc!BD8*'Waste results'!$S$62+ Calc!BE8*'Waste results'!$S$98, "data missing")))))))))))</f>
        <v/>
      </c>
      <c r="AR10" s="241" t="str">
        <f ca="1">IF($B10="","",
IF(ISBLANK('Soil results'!L13),"data missing",'Soil results'!L13))</f>
        <v/>
      </c>
      <c r="AS10" s="241" t="str">
        <f t="shared" ca="1" si="8"/>
        <v/>
      </c>
      <c r="AT10" s="66" t="str">
        <f t="shared" ca="1" si="9"/>
        <v/>
      </c>
      <c r="AV10" s="238" t="str">
        <f ca="1">IF(B10="","",
IF(AND('Field information 2'!$O$5="", 'Field information 2'!$Q$5=""),
   IF('Waste results'!$S$27&lt;&gt;"data missing", Calc!BC8*'Waste results'!$S$27, "data missing"),
IF('Field information 2'!$Q$5="",
   IF(Calc!BD8=0,
     IF('Waste results'!$S$27&lt;&gt;"data missing", Calc!BC8*'Waste results'!$S$27, "data missing"),
   IF(Calc!BC8=0,
     IF('Waste results'!$S$63&lt;&gt;"data missing", Calc!BD8*'Waste results'!$S$63, "data missing"),
   IF(OR('Waste results'!$S$27&lt;&gt;"data missing", 'Waste results'!$S$63&lt;&gt;"data missing"), Calc!BC8*'Waste results'!$S$27+ Calc!BD8*'Waste results'!$S$63, "data missing"))),
IF(AND('Field information 2'!$M$5&lt;&gt;"", 'Field information 2'!$O$5&lt;&gt;"", 'Field information 2'!$Q$5&lt;&gt;""),
   IF(AND(Calc!BD8=0,Calc!BE8=0),
     IF('Waste results'!$S$27&lt;&gt;"data missing", Calc!BC8*'Waste results'!$S$27, "data missing"),
   IF(AND(Calc!BC8=0,Calc!BE8=0),
     IF('Waste results'!$S$63&lt;&gt;"data missing", Calc!BD8*'Waste results'!$S$63, "data missing"),
   IF(AND(Calc!BC8=0,Calc!BD8=0),
     IF('Waste results'!$S$99&lt;&gt;"data missing", Calc!BE8*'Waste results'!$S$99, "data missing"),
   IF(Calc!BE8=0,
     IF(OR('Waste results'!$S$27&lt;&gt;"data missing", 'Waste results'!$S$63&lt;&gt;"data missing"), Calc!BC8*'Waste results'!$S$27+ Calc!BD8*'Waste results'!$S$63, "data missing"),
   IF(Calc!BD8=0,
     IF(OR('Waste results'!$S$27&lt;&gt;"data missing", 'Waste results'!$S$99&lt;&gt;"data missing"), Calc!BC8*'Waste results'!$S$27+ Calc!BE8*'Waste results'!$S$99, "data missing"),
   IF(Calc!BC8=0,
     IF(OR('Waste results'!$S$63&lt;&gt;"data missing", 'Waste results'!$S$99&lt;&gt;"data missing"), Calc!BD8*'Waste results'!$S$63+Calc!BE8*'Waste results'!$S$99, "data missing"),
   IF(OR('Waste results'!$S$27&lt;&gt;"data missing", 'Waste results'!$S$63&lt;&gt;"data missing", 'Waste results'!$S$99&lt;&gt;"data missing"), Calc!BC8*'Waste results'!$S$27+Calc!BD8*'Waste results'!$S$63+ Calc!BE8*'Waste results'!$S$99, "data missing")))))))))))</f>
        <v/>
      </c>
      <c r="AW10" s="239" t="str">
        <f ca="1">IF($B10="","",
IF(ISBLANK('Soil results'!M13),"data missing",'Soil results'!M13))</f>
        <v/>
      </c>
      <c r="AX10" s="239" t="str">
        <f t="shared" ca="1" si="10"/>
        <v/>
      </c>
      <c r="AY10" s="9" t="str">
        <f ca="1">IF(B10="","",
IF(AV10=0,"n/a",
IF(OR(AV10="data missing",AW10="data missing"),"data missing",
IF(AV10&gt;7.5,"application rate too high - permissible rate exceeds limit",
IF('Soil results'!$F13&lt;=5.5,
  IF(AW10&gt;80,"no application - soil conc. already above limit",
  IF(AX10&gt;80,"application rate too high - soil conc. will exceed limit",
  IF(AW10&gt;80*0.9,"soil conc. is at or above 90% of the limit",
  IF(10*AV10*1000/3000+AW10&gt;80,"soil limit likely to be exceeded in 10yrs",
  IF(50*AV10*1000/3000+AW10&gt;80,"soil limit likely to be exceeded in 50yrs","ok"))))),
IF('Soil results'!$F13&lt;=6,
  IF(AW10&gt;100,"no application - soil conc. already above limit",
  IF(AX10&gt;100,"application rate too high - soil conc. will exceed limit",
  IF(AW10&gt;100*0.9,"soil conc. is at or above 90% of the limit",
  IF(10*AV10*1000/3000+AW10&gt;100,"soil limit likely to be exceeded in 10yrs",
  IF(50*AV10*1000/3000+AW10&gt;100,"soil limit likely to be exceeded in 50yrs","ok"))))),
IF('Soil results'!$F13&lt;=7,
  IF(AW10&gt;135,"no application - soil conc. already above limit",
  IF(AX10&gt;135,"application rate too high - soil conc. will exceed limit",
  IF(AW10&gt;135*0.9,"soil conc. is at or above 90% of the limit",
  IF(10*AV10*1000/3000+AW10&gt;135,"soil limit likely to be exceeded in 10yrs",
  IF(50*AV10*1000/3000+AW10&gt;135,"soil limit likely to be exceeded in 50yrs","ok"))))),
IF('Soil results'!$F13&gt;7,
  IF(AW10&gt;200,"no application - soil conc. already above limit",
  IF(AX10&gt;200,"application too high - soil conc. will exceed limit",
  IF(AW10&gt;200*0.9,"soil conc. is at or above 90% of the limit",
  IF(10*AV10*1000/3000+AW10&gt;200,"soil limit likely to be exceeded in 10yrs",
  IF(50*AV10*1000/3000+AW10&gt;200,"soil limit likely to be exceeded in 50yrs","ok")))))
))))))))</f>
        <v/>
      </c>
      <c r="BA10" s="238" t="str">
        <f ca="1">IF(B10="","",
IF(AND('Field information 2'!$O$5="", 'Field information 2'!$Q$5=""),
   IF('Waste results'!$S$28&lt;&gt;"data missing", Calc!BC8*'Waste results'!$S$28, "data missing"),
IF('Field information 2'!$Q$5="",
   IF(Calc!BD8=0,
     IF('Waste results'!$S$28&lt;&gt;"data missing", Calc!BC8*'Waste results'!$S$28, "data missing"),
   IF(Calc!BC8=0,
     IF('Waste results'!$S$64&lt;&gt;"data missing", Calc!BD8*'Waste results'!$S$64, "data missing"),
   IF(OR('Waste results'!$S$28&lt;&gt;"data missing", 'Waste results'!$S$64&lt;&gt;"data missing"), Calc!BC8*'Waste results'!$S$28+ Calc!BD8*'Waste results'!$S$64, "data missing"))),
IF(AND('Field information 2'!$M$5&lt;&gt;"", 'Field information 2'!$O$5&lt;&gt;"", 'Field information 2'!$Q$5&lt;&gt;""),
   IF(AND(Calc!BD8=0,Calc!BE8=0),
     IF('Waste results'!$S$28&lt;&gt;"data missing", Calc!BC8*'Waste results'!$S$28, "data missing"),
   IF(AND(Calc!BC8=0,Calc!BE8=0),
     IF('Waste results'!$S$64&lt;&gt;"data missing", Calc!BD8*'Waste results'!$S$64, "data missing"),
   IF(AND(Calc!BC8=0,Calc!BD8=0),
     IF('Waste results'!$S$100&lt;&gt;"data missing", Calc!BE8*'Waste results'!$S$100, "data missing"),
   IF(Calc!BE8=0,
     IF(OR('Waste results'!$S$28&lt;&gt;"data missing", 'Waste results'!$S$64&lt;&gt;"data missing"), Calc!BC8*'Waste results'!$S$28+ Calc!BD8*'Waste results'!$S$64, "data missing"),
   IF(Calc!BD8=0,
     IF(OR('Waste results'!$S$28&lt;&gt;"data missing", 'Waste results'!$S$100&lt;&gt;"data missing"), Calc!BC8*'Waste results'!$S$28+ Calc!BE8*'Waste results'!$S$100, "data missing"),
   IF(Calc!BC8=0,
     IF(OR('Waste results'!$S$64&lt;&gt;"data missing", 'Waste results'!$S$100&lt;&gt;"data missing"), Calc!BD8*'Waste results'!$S$64+Calc!BE8*'Waste results'!$S$100, "data missing"),
   IF(OR('Waste results'!$S$28&lt;&gt;"data missing", 'Waste results'!$S$64&lt;&gt;"data missing", 'Waste results'!$S$100&lt;&gt;"data missing"), Calc!BC8*'Waste results'!$S$28+Calc!BD8*'Waste results'!$S$64+ Calc!BE8*'Waste results'!$S$100, "data missing")))))))))))</f>
        <v/>
      </c>
      <c r="BB10" s="239" t="str">
        <f ca="1">IF($B10="","",
IF(ISBLANK('Soil results'!N13),"data missing",'Soil results'!N13))</f>
        <v/>
      </c>
      <c r="BC10" s="239" t="str">
        <f t="shared" ca="1" si="11"/>
        <v/>
      </c>
      <c r="BD10" s="9" t="str">
        <f t="shared" ca="1" si="12"/>
        <v/>
      </c>
      <c r="BF10" s="238" t="str">
        <f ca="1">IF(B10="","",
IF(AND('Field information 2'!$O$5="", 'Field information 2'!$Q$5=""),
   IF('Waste results'!$S$29&lt;&gt;"data missing", Calc!BC8*'Waste results'!$S$29, "data missing"),
IF('Field information 2'!$Q$5="",
   IF(Calc!BD8=0,
     IF('Waste results'!$S$29&lt;&gt;"data missing", Calc!BC8*'Waste results'!$S$29, "data missing"),
   IF(Calc!BC8=0,
     IF('Waste results'!$S$65&lt;&gt;"data missing", Calc!BD8*'Waste results'!$S$65, "data missing"),
   IF(OR('Waste results'!$S$29&lt;&gt;"data missing", 'Waste results'!$S$65&lt;&gt;"data missing"), Calc!BC8*'Waste results'!$S$29+ Calc!BD8*'Waste results'!$S$65, "data missing"))),
IF(AND('Field information 2'!$M$5&lt;&gt;"", 'Field information 2'!$O$5&lt;&gt;"", 'Field information 2'!$Q$5&lt;&gt;""),
   IF(AND(Calc!BD8=0,Calc!BE8=0),
     IF('Waste results'!$S$29&lt;&gt;"data missing", Calc!BC8*'Waste results'!$S$29, "data missing"),
   IF(AND(Calc!BC8=0,Calc!BE8=0),
     IF('Waste results'!$S$65&lt;&gt;"data missing", Calc!BD8*'Waste results'!$S$65, "data missing"),
   IF(AND(Calc!BC8=0,Calc!BD8=0),
     IF('Waste results'!$S$101&lt;&gt;"data missing", Calc!BE8*'Waste results'!$S$101, "data missing"),
   IF(Calc!BE8=0,
     IF(OR('Waste results'!$S$29&lt;&gt;"data missing", 'Waste results'!$S$65&lt;&gt;"data missing"), Calc!BC8*'Waste results'!$S$29+ Calc!BD8*'Waste results'!$S$65, "data missing"),
   IF(Calc!BD8=0,
     IF(OR('Waste results'!$S$29&lt;&gt;"data missing", 'Waste results'!$S$101&lt;&gt;"data missing"), Calc!BC8*'Waste results'!$S$29+ Calc!BE8*'Waste results'!$S$101, "data missing"),
   IF(Calc!BC8=0,
     IF(OR('Waste results'!$S$65&lt;&gt;"data missing", 'Waste results'!$S$101&lt;&gt;"data missing"), Calc!BD8*'Waste results'!$S$65+Calc!BE8*'Waste results'!$S$101, "data missing"),
   IF(OR('Waste results'!$S$29&lt;&gt;"data missing", 'Waste results'!$S$65&lt;&gt;"data missing", 'Waste results'!$S$101&lt;&gt;"data missing"), Calc!BC8*'Waste results'!$S$29+Calc!BD8*'Waste results'!$S$65+ Calc!BE8*'Waste results'!$S$101, "data missing")))))))))))</f>
        <v/>
      </c>
      <c r="BG10" s="239" t="str">
        <f ca="1">IF($B10="","",
IF(ISBLANK('Soil results'!O13),"data missing",'Soil results'!O13))</f>
        <v/>
      </c>
      <c r="BH10" s="239" t="str">
        <f t="shared" ca="1" si="13"/>
        <v/>
      </c>
      <c r="BI10" s="9" t="str">
        <f ca="1">IF(B10="","",
IF(BF10=0,"n/a",
IF(OR(BF10="data missing",BG10="data missing"),"data missing",
IF(BF10&gt;3,"application rate too high - permissible rate exceeds limit",
IF('Soil results'!F13&lt;=5.5,
  IF(BG10&gt;50,"no application - soil conc. already above limit",
  IF(BH10&gt;50,"application rate too high - soil conc. will exceed limit",
  IF(BG10&gt;50*0.9,"soil conc. is at or above 90% of the limit",
  IF(10*BF10*1000/3000+BG10&gt;50,"soil limit likely to be exceeded in 10yrs",
  IF(50*BF10*1000/3000+BG10&gt;50,"soil limit likely to be exceeded in 50yrs","ok"))))),
IF('Soil results'!F13&lt;=6,
  IF(BG10&gt;60,"no application - soil conc. already above limit",
  IF(BH10&gt;60,"application rate too high - soil conc. will exceed limit",
  IF(BG10&gt;60*0.9,"soil conc. is at or above 90% of the limit",
  IF(10*BF10*1000/3000+BG10&gt;60,"soil limit likely to be exceeded in 10yrs",
  IF(50*BF10*1000/3000+BG10&gt;60,"soil limit likely to be exceeded in 50yrs","ok"))))),
IF('Soil results'!F13&lt;=7,
  IF(BG10&gt;75,"no application - soil conc. already above limit",
  IF(BH10&gt;75,"application rate too high - soil conc. will exceed limit",
  IF(BG10&gt;75*0.9,"soil conc. is at or above 90% of the limit",
  IF(10*BF10*1000/3000+BG10&gt;75,"soil limit likely to be exceeded in 10yrs",
  IF(50*BF10*1000/3000+BG10&gt;75,"soil limit likely to be exceeded in 50yrs","ok"))))),
IF('Soil results'!F13&gt;7,
  IF(BG10&gt;100,"no application - soil conc. already above limit",
  IF(BH10&gt;100,"application rate too high - soil conc. will exceed limit",
  IF(BG10&gt;100*0.9,"soil conc. is at or above 90% of the limit",
  IF(10*BF10*1000/3000+BG10&gt;100,"soil limit likely to be exceeded in 10yrs",
  IF(50*BF10*1000/3000+BG10&gt;100,"soil limit likely to beexceeded in 50yrs","ok")))))
))))))))</f>
        <v/>
      </c>
      <c r="BK10" s="240" t="str">
        <f ca="1">IF(B10="","",
IF(AND('Field information 2'!$O$5="", 'Field information 2'!$Q$5=""),
   IF('Waste results'!$S$30&lt;&gt;"data missing", Calc!BC8*'Waste results'!$S$30, "data missing"),
IF('Field information 2'!$Q$5="",
   IF(Calc!BD8=0,
     IF('Waste results'!$S$30&lt;&gt;"data missing", Calc!BC8*'Waste results'!$S$30, "data missing"),
   IF(Calc!BC8=0,
     IF('Waste results'!$S$66&lt;&gt;"data missing", Calc!BD8*'Waste results'!$S$66, "data missing"),
   IF(OR('Waste results'!$S$30&lt;&gt;"data missing", 'Waste results'!$S$66&lt;&gt;"data missing"), Calc!BC8*'Waste results'!$S$30+ Calc!BD8*'Waste results'!$S$66, "data missing"))),
IF(AND('Field information 2'!$M$5&lt;&gt;"", 'Field information 2'!$O$5&lt;&gt;"", 'Field information 2'!$Q$5&lt;&gt;""),
   IF(AND(Calc!BD8=0,Calc!BE8=0),
     IF('Waste results'!$S$30&lt;&gt;"data missing", Calc!BC8*'Waste results'!$S$30, "data missing"),
   IF(AND(Calc!BC8=0,Calc!BE8=0),
     IF('Waste results'!$S$66&lt;&gt;"data missing", Calc!BD8*'Waste results'!$S$66, "data missing"),
   IF(AND(Calc!BC8=0,Calc!BD8=0),
     IF('Waste results'!$S$102&lt;&gt;"data missing", Calc!BE8*'Waste results'!$S$102, "data missing"),
   IF(Calc!BE8=0,
     IF(OR('Waste results'!$S$30&lt;&gt;"data missing", 'Waste results'!$S$66&lt;&gt;"data missing"), Calc!BC8*'Waste results'!$S$30+ Calc!BD8*'Waste results'!$S$66, "data missing"),
   IF(Calc!BD8=0,
     IF(OR('Waste results'!$S$30&lt;&gt;"data missing", 'Waste results'!$S$102&lt;&gt;"data missing"), Calc!BC8*'Waste results'!$S$30+ Calc!BE8*'Waste results'!$S$102, "data missing"),
   IF(Calc!BC8=0,
     IF(OR('Waste results'!$S$66&lt;&gt;"data missing", 'Waste results'!$S$102&lt;&gt;"data missing"), Calc!BD8*'Waste results'!$S$66+Calc!BE8*'Waste results'!$S$102, "data missing"),
   IF(OR('Waste results'!$S$30&lt;&gt;"data missing", 'Waste results'!$S$66&lt;&gt;"data missing", 'Waste results'!$S$102&lt;&gt;"data missing"), Calc!BC8*'Waste results'!$S$30+Calc!BD8*'Waste results'!$S$66+ Calc!BE8*'Waste results'!$S$102, "data missing")))))))))))</f>
        <v/>
      </c>
      <c r="BL10" s="241" t="str">
        <f ca="1">IF($B10="","",
IF(ISBLANK('Soil results'!P13),"data missing",'Soil results'!P13))</f>
        <v/>
      </c>
      <c r="BM10" s="241" t="str">
        <f t="shared" ca="1" si="14"/>
        <v/>
      </c>
      <c r="BN10" s="66" t="str">
        <f t="shared" ca="1" si="15"/>
        <v/>
      </c>
      <c r="BP10" s="238" t="str">
        <f ca="1">IF(B10="","",
IF(AND('Field information 2'!$O$5="", 'Field information 2'!$Q$5=""),
   IF('Waste results'!$S$31&lt;&gt;"data missing", Calc!BC8*'Waste results'!$S$31, "data missing"),
IF('Field information 2'!$Q$5="",
   IF(Calc!BD8=0,
     IF('Waste results'!$S$31&lt;&gt;"data missing", Calc!BC8*'Waste results'!$S$31, "data missing"),
   IF(Calc!BC8=0,
     IF('Waste results'!$S$67&lt;&gt;"data missing", Calc!BD8*'Waste results'!$S$67, "data missing"),
   IF(OR('Waste results'!$S$31&lt;&gt;"data missing", 'Waste results'!$S$67&lt;&gt;"data missing"), Calc!BC8*'Waste results'!$S$31+ Calc!BD8*'Waste results'!$S$67, "data missing"))),
IF(AND('Field information 2'!$M$5&lt;&gt;"", 'Field information 2'!$O$5&lt;&gt;"", 'Field information 2'!$Q$5&lt;&gt;""),
   IF(AND(Calc!BD8=0,Calc!BE8=0),
     IF('Waste results'!$S$31&lt;&gt;"data missing", Calc!BC8*'Waste results'!$S$31, "data missing"),
   IF(AND(Calc!BC8=0,Calc!BE8=0),
     IF('Waste results'!$S$67&lt;&gt;"data missing", Calc!BD8*'Waste results'!$S$67, "data missing"),
   IF(AND(Calc!BC8=0,Calc!BD8=0),
     IF('Waste results'!$S$103&lt;&gt;"data missing", Calc!BE8*'Waste results'!$S$103, "data missing"),
   IF(Calc!BE8=0,
     IF(OR('Waste results'!$S$31&lt;&gt;"data missing", 'Waste results'!$S$67&lt;&gt;"data missing"), Calc!BC8*'Waste results'!$S$31+ Calc!BD8*'Waste results'!$S$67, "data missing"),
   IF(Calc!BD8=0,
     IF(OR('Waste results'!$S$31&lt;&gt;"data missing", 'Waste results'!$S$103&lt;&gt;"data missing"), Calc!BC8*'Waste results'!$S$31+ Calc!BE8*'Waste results'!$S$103, "data missing"),
   IF(Calc!BC8=0,
     IF(OR('Waste results'!$S$67&lt;&gt;"data missing", 'Waste results'!$S$103&lt;&gt;"data missing"), Calc!BD8*'Waste results'!$S$67+Calc!BE8*'Waste results'!$S$103, "data missing"),
   IF(OR('Waste results'!$S$31&lt;&gt;"data missing", 'Waste results'!$S$67&lt;&gt;"data missing", 'Waste results'!$S$103&lt;&gt;"data missing"), Calc!BC8*'Waste results'!$S$31+Calc!BD8*'Waste results'!$S$67+ Calc!BE8*'Waste results'!$S$103, "data missing")))))))))))</f>
        <v/>
      </c>
      <c r="BQ10" s="239" t="str">
        <f ca="1">IF($B10="","",
IF(ISBLANK('Soil results'!Q13),"data missing",'Soil results'!Q13))</f>
        <v/>
      </c>
      <c r="BR10" s="239" t="str">
        <f t="shared" ca="1" si="16"/>
        <v/>
      </c>
      <c r="BS10" s="9" t="str">
        <f ca="1">IF(B10="","",
IF(BP10=0,"n/a",
IF(OR(BP10="data missing",BQ10=""),"data missing",
IF(BP10&gt;15,"application rate too high - permissible rate exceeds limit",
IF('Soil results'!F13&lt;=5.5,
  IF(BQ10&gt;200,"no application - soil conc. already above limit",
  IF(BR10&gt;200,"application rate too high - soil conc. will exceed limit",
  IF(BQ10&gt;200*0.9,"soil conc. is at or above 90% of the limit",
  IF(10*BP10*1000/3000+BQ10&gt;200,"soil limit likely to be exceeded in 10yrs",
  IF(50*BP10*1000/3000+BQ10&gt;200,"soil limit likely to be exceeded in 50yrs","ok"))))),
IF('Soil results'!F13&lt;=6,
  IF(BQ10&gt;250,"no application - soil conc. already above limit",
  IF(BR10&gt;250,"application rate too high - soil conc. will exceed limit",
  IF(BQ10&gt;250*0.9,"soil conc. is at or above 90% of the limit",
  IF(10*BP10*1000/3000+BQ10&gt;250,"soil limit likely to be exceeded in 10yrs",
  IF(50*BP10*1000/3000+BQ10&gt;250,"soil limit likely to be exceeded in 50yrs","ok"))))),
IF('Soil results'!F13&lt;=7,
  IF(BQ10&gt;300,"no application - soil conc. already above limit",
  IF(BR10&gt;300,"application rate too high - soil conc. will exceed limit",
  IF(BQ10&gt;300*0.9,"soil conc. is at or above 90% of the limit",
  IF(10*BP10*1000/3000+BQ10&gt;300,"soil limit likey to be exceeded in 10yrs",
  IF(50*BP10*1000/3000+BQ10&gt;300,"soil limit likely to be exceeded in 50yrs","ok"))))),
IF('Soil results'!F13&gt;7,
  IF(BQ10&gt;450,"no application - soil conc. already above limit",
  IF(BR10&gt;450,"application rate too high - soil conc. will exceed limit",
  IF(AW10&gt;450*0.9,"soil conc. is at or above 90% of the limit",
  IF(10*BP10*1000/3000+BQ10&gt;450,"soil limit likely to be exceeded in 10yrs",
  IF(50*BP10*1000/3000+BQ10&gt;450,"soil limit likely to be exceeded in 50yrs","ok")))))
))))))))</f>
        <v/>
      </c>
    </row>
    <row r="11" spans="1:71" s="9" customFormat="1" x14ac:dyDescent="0.35">
      <c r="B11" s="236" t="str">
        <f ca="1">'Soil results'!B14</f>
        <v/>
      </c>
      <c r="C11" s="91" t="str">
        <f ca="1">IF(B11="","",
IF(AND('Field information 2'!$O$5="", 'Field information 2'!$Q$5=""),
   IF('Waste results'!$S$12&lt;&gt;"data missing", Calc!BC9*'Waste results'!$S$12, "data missing"),
IF('Field information 2'!$Q$5="",
   IF(Calc!BD9=0,
     IF('Waste results'!$S$12&lt;&gt;"data missing", Calc!BC9*'Waste results'!$S$12, "data missing"),
   IF(Calc!BC9=0,
     IF('Waste results'!$S$48&lt;&gt;"data missing", Calc!BD9*'Waste results'!$S$48, "data missing"),
   IF(OR('Waste results'!$S$12&lt;&gt;"data missing", 'Waste results'!$S$48&lt;&gt;"data missing"), Calc!BC9*'Waste results'!$S$12+ Calc!BD9*'Waste results'!$S$48, "data missing"))),
IF(AND('Field information 2'!$M$5&lt;&gt;"", 'Field information 2'!$O$5&lt;&gt;"", 'Field information 2'!$Q$5&lt;&gt;""),
   IF(AND(Calc!BD9=0,Calc!BE9=0),
     IF('Waste results'!$S$12&lt;&gt;"data missing", Calc!BC9*'Waste results'!$S$12, "data missing"),
   IF(AND(Calc!BC9=0,Calc!BE9=0),
     IF('Waste results'!$S$48&lt;&gt;"data missing", Calc!BD9*'Waste results'!$S$48, "data missing"),
   IF(AND(Calc!BC9=0,Calc!BD9=0),
     IF('Waste results'!$S$84&lt;&gt;"data missing", Calc!BE9*'Waste results'!$S$84, "data missing"),
   IF(Calc!BE9=0,
     IF(OR('Waste results'!$S$12&lt;&gt;"data missing", 'Waste results'!$S$48&lt;&gt;"data missing"), Calc!BC9*'Waste results'!$S$12+ Calc!BD9*'Waste results'!$S$48, "data missing"),
   IF(Calc!BD9=0,
     IF(OR('Waste results'!$S$12&lt;&gt;"data missing", 'Waste results'!$S$84&lt;&gt;"data missing"), Calc!BC9*'Waste results'!$S$12+ Calc!BE9*'Waste results'!$S$84, "data missing"),
   IF(Calc!BC9=0,
     IF(OR('Waste results'!$S$48&lt;&gt;"data missing", 'Waste results'!$S$84&lt;&gt;"data missing"), Calc!BD9*'Waste results'!$S$48+Calc!BE9*'Waste results'!$S$84, "data missing"),
   IF(OR('Waste results'!$S$12&lt;&gt;"data missing", 'Waste results'!$S$48&lt;&gt;"data missing", 'Waste results'!$S$84&lt;&gt;"data missing"), Calc!BC9*'Waste results'!$S$12+Calc!BD9*'Waste results'!$S$48+ Calc!BE9*'Waste results'!$S$84, "data missing")))))))))))</f>
        <v/>
      </c>
      <c r="D11" s="161" t="str">
        <f ca="1">IF(B11="","",
IF(Calc!BG9="","soil texture missing",
IF(OR(Calc!BG9="SL; SZL; ZL",Calc!BG9="SCL; CL; ZCL; SC; ZC; C"),VLOOKUP(Calc!BI9,'Fertiliser recommendations'!$A$4:$C$63,3,FALSE),
IF(Calc!BG9="S; LS",VLOOKUP(Calc!BI9,'Fertiliser recommendations'!$A$4:$C$63,3,FALSE)+VLOOKUP(Calc!BI9,'Fertiliser recommendations'!$A$4:$D$63,4,FALSE),
IF(Calc!BG9="10-25% OM",VLOOKUP(Calc!BI9,'Fertiliser recommendations'!$A$4:$C$63,3,FALSE)+VLOOKUP(Calc!BI9,'Fertiliser recommendations'!$A$4:$E$63,5,FALSE),
IF(Calc!BG9="&gt;25% OM",VLOOKUP(Calc!BI9,'Fertiliser recommendations'!$A$4:$C$63,3,FALSE)+VLOOKUP(Calc!BI9,'Fertiliser recommendations'!$A$4:$F$63,6,FALSE),
""))))))</f>
        <v/>
      </c>
      <c r="E11" s="91" t="str">
        <f t="shared" ca="1" si="0"/>
        <v/>
      </c>
      <c r="F11" s="9" t="str">
        <f ca="1">IF(B11="","",
IF(OR(C11="data missing",D11="soil texture missing"),"data missing",
IF(Calc!BF9=0,"n/a",
IF(C11&lt;0.1*D11,"no benefit",
IF(C11&lt;0.3*D11,"limited benefit",
IF(C11&gt;250,"exceeds limit",
IF(OR(AND(D11=0,C11&gt;75),C11&gt;1.25*D11),"excessive",
IF(D11=0, "no requirement",
"benefit"))))))))</f>
        <v/>
      </c>
      <c r="H11" s="91" t="str">
        <f ca="1">IF(B11="","",
IF(AND('Field information 2'!$O$5="", 'Field information 2'!$Q$5=""),
   IF('Waste results'!$S$17&lt;&gt;"data missing", Calc!BC9*'Waste results'!$S$17, "data missing"),
IF('Field information 2'!$Q$5="",
   IF(Calc!BD9=0,
     IF('Waste results'!$S$17&lt;&gt;"data missing", Calc!BC9*'Waste results'!$S$17, "data missing"),
   IF(Calc!BC9=0,
     IF('Waste results'!$S$53&lt;&gt;"data missing", Calc!BD9*'Waste results'!$S$53, "data missing"),
   IF(OR('Waste results'!$S$17&lt;&gt;"data missing", 'Waste results'!$S$53&lt;&gt;"data missing"), Calc!BC9*'Waste results'!$S$17+ Calc!BD9*'Waste results'!$S$53, "data missing"))),
IF(AND('Field information 2'!$M$5&lt;&gt;"", 'Field information 2'!$O$5&lt;&gt;"", 'Field information 2'!$Q$5&lt;&gt;""),
   IF(AND(Calc!BD9=0,Calc!BE9=0),
     IF('Waste results'!$S$17&lt;&gt;"data missing", Calc!BC9*'Waste results'!$S$17, "data missing"),
   IF(AND(Calc!BC9=0,Calc!BE9=0),
     IF('Waste results'!$S$53&lt;&gt;"data missing", Calc!BD9*'Waste results'!$S$53, "data missing"),
   IF(AND(Calc!BC9=0,Calc!BD9=0),
     IF('Waste results'!$S$89&lt;&gt;"data missing", Calc!BE9*'Waste results'!$S$89, "data missing"),
   IF(Calc!BE9=0,
     IF(OR('Waste results'!$S$17&lt;&gt;"data missing", 'Waste results'!$S$53&lt;&gt;"data missing"), Calc!BC9*'Waste results'!$S$17+ Calc!BD9*'Waste results'!$S$53, "data missing"),
   IF(Calc!BD9=0,
     IF(OR('Waste results'!$S$17&lt;&gt;"data missing", 'Waste results'!$S$89&lt;&gt;"data missing"), Calc!BC9*'Waste results'!$S$17+ Calc!BE9*'Waste results'!$S$89, "data missing"),
   IF(Calc!BC9=0,
     IF(OR('Waste results'!$S$53&lt;&gt;"data missing", 'Waste results'!$S$89&lt;&gt;"data missing"), Calc!BD9*'Waste results'!$S$53+Calc!BE9*'Waste results'!$S$89, "data missing"),
   IF(OR('Waste results'!$S$17&lt;&gt;"data missing", 'Waste results'!$S$53&lt;&gt;"data missing", 'Waste results'!$S$89&lt;&gt;"data missing"), Calc!BC9*'Waste results'!$S$17+Calc!BD9*'Waste results'!$S$53+ Calc!BE9*'Waste results'!$S$89, "data missing")))))))))))</f>
        <v/>
      </c>
      <c r="I11" s="195" t="str">
        <f ca="1">IF(B11="","",
IF(OR(ISBLANK('Soil results'!G14), ISBLANK('Soil results'!G$7)),"data missing",
IF(OR(AND('Soil results'!G$7="Olsen (ADAS)",'Soil results'!G14&lt;16),AND('Soil results'!G$7="modified Morgan (SAC)",'Soil results'!G14&lt;4.5)),50,100)))</f>
        <v/>
      </c>
      <c r="J11" s="49" t="str">
        <f ca="1">IF(B11="","",
IF(OR(ISBLANK('Soil results'!G$7),ISBLANK('Soil results'!G14)),"data missing",
IF(OR(AND('Soil results'!G$7="Olsen (ADAS)",'Soil results'!G14&gt;45),AND('Soil results'!G$7="modified Morgan (SAC)",'Soil results'!G14&gt;30)),0,
IF(OR(AND('Soil results'!G$7="Olsen (ADAS)",'Soil results'!G14&gt;=16,'Soil results'!G14&lt;=20),AND('Soil results'!G$7="modified Morgan (SAC)",'Soil results'!G14&gt;=4.5,'Soil results'!G14&lt;=9.4)),VLOOKUP(Calc!BI9,'Fertiliser recommendations'!$A$4:$I$63,9,FALSE),
IF(OR(AND('Soil results'!G$7="Olsen (ADAS)",'Soil results'!G14&lt;10),AND('Soil results'!G$7="modified Morgan (SAC)",'Soil results'!G14&lt;1.8)),VLOOKUP(Calc!BI9,'Fertiliser recommendations'!$A$4:$I$63,9,FALSE)+VLOOKUP(Calc!BI9,'Fertiliser recommendations'!$A$4:$J$63,10,FALSE),
IF(OR(AND('Soil results'!G$7="Olsen (ADAS)",'Soil results'!G14&lt;16),AND('Soil results'!G$7="modified Morgan (SAC)",'Soil results'!G14&lt;4.5)),VLOOKUP(Calc!BI9,'Fertiliser recommendations'!$A$4:$I$63,9,FALSE)+VLOOKUP(Calc!BI9,'Fertiliser recommendations'!$A$4:$K$63,11,FALSE),
IF(OR(AND('Soil results'!G$7="Olsen (ADAS)",'Soil results'!G14&lt;26),AND('Soil results'!G$7="modified Morgan (SAC)",'Soil results'!G14&lt;13.5)),VLOOKUP(Calc!BI9,'Fertiliser recommendations'!$A$4:$I$63,9,FALSE)+VLOOKUP(Calc!BI9,'Fertiliser recommendations'!$A$4:$L$63,12,FALSE),
IF(OR(AND('Soil results'!G$7="Olsen (ADAS)",'Soil results'!G14&lt;=45),AND('Soil results'!G$7="modified Morgan (SAC)",'Soil results'!G14&lt;=30)),VLOOKUP(Calc!BI9,'Fertiliser recommendations'!$A$4:$I$63,9,FALSE)+VLOOKUP(Calc!BI9,'Fertiliser recommendations'!$A$4:$M$63,13,FALSE),
""))))))))</f>
        <v/>
      </c>
      <c r="K11" s="161" t="str">
        <f t="shared" ca="1" si="1"/>
        <v/>
      </c>
      <c r="L11" s="47" t="str">
        <f ca="1">IF(OR(ISBLANK('Soil results'!G$7),ISBLANK('Soil results'!G14),B11="", H11="data missing"),"",
IF('Soil results'!G$7="Olsen (ADAS)",
IF(((H11*Calc!BM9/2.291-(VLOOKUP(Calc!BI9,'Fertiliser recommendations'!$A$4:$I$63,9,FALSE))/2.291)*10/(400/2.291)+'Soil results'!G14)&lt;10,"0 (VL)",
IF(((H11*Calc!BM9/2.291-(VLOOKUP(Calc!BI9,'Fertiliser recommendations'!$A$4:$I$63,9,FALSE))/2.291)*10/(400/2.291)+'Soil results'!G14)&lt;16,"1 (L)",
IF(((H11*Calc!BM9/2.291-(VLOOKUP(Calc!BI9,'Fertiliser recommendations'!$A$4:$I$63,9,FALSE))/2.291)*10/(400/2.291)+'Soil results'!G14)&lt;21,"2 (M-)",
IF(((H11*Calc!BM9/2.291-(VLOOKUP(Calc!BI9,'Fertiliser recommendations'!$A$4:$I$63,9,FALSE))/2.291)*10/(400/2.291)+'Soil results'!G14)&lt;26,"2 (M+)",
IF(((H11*Calc!BM9/2.291-(VLOOKUP(Calc!BI9,'Fertiliser recommendations'!$A$4:$I$63,9,FALSE))/2.291)*10/(400/2.291)+'Soil results'!G14)&lt;45,"3 (H)","&gt;3 (VH)"))))),
IF('Soil results'!G$7="modified Morgan (SAC)",
IF('Soil results'!G14&gt;=6,
IF(((H11*Calc!BM9/2.291-(VLOOKUP(Calc!BI9,'Fertiliser recommendations'!$A$4:$I$63,9,FALSE))/2.291)*5/(147/2.291)+'Soil results'!G14)&lt;9.5,"2 (M-)",
IF(((H11*Calc!BM9/2.291-(VLOOKUP(Calc!BI9,'Fertiliser recommendations'!$A$4:$I$63,9,FALSE))/2.291)*5/(147/2.291)+'Soil results'!G14)&lt;13.5,"2 (M+)",
IF(((H11*Calc!BM9/2.291-(VLOOKUP(Calc!BI9,'Fertiliser recommendations'!$A$4:$I$63,9,FALSE))/2.291)*5/(147/2.291)+'Soil results'!G14)&lt;30,"3 (H)","4 (VH)"))),
IF(((H11*Calc!BM9/2.291-(VLOOKUP(Calc!BI9,'Fertiliser recommendations'!$A$4:$I$63,9,FALSE))/2.291)*5/(346/2.291)+'Soil results'!G14)&lt;1.8,"0 (VL)",
IF(((H11*Calc!BM9/2.291-(VLOOKUP(Calc!BI9,'Fertiliser recommendations'!$A$4:$I$63,9,FALSE))/2.291)*5/(147/2.291)+'Soil results'!G14)&lt;4.5,"1 (L)","2 (M-)"))))))</f>
        <v/>
      </c>
      <c r="M11" s="9" t="str">
        <f ca="1">IF(B11="","",
IF(OR(H11="data missing",I11="data missing",J11="data missing"),"data missing",
IF(Calc!BF9=0,"n/a",
IF(OR(AND('Soil results'!G$7="Olsen (ADAS)",'Soil results'!G14&gt;45),AND('Soil results'!G$7="modified Morgan (SAC)",'Soil results'!G14&gt;30)),
IF(H11&gt;2,"too high, not acceptable","no requirement"),IF(OR(AND('Soil results'!G$7="Olsen (ADAS)",'Soil results'!G14&gt;25),AND('Soil results'!G$7="modified Morgan (SAC)",'Soil results'!G14&gt;13.4)),
IF(H11*(I11/100)&lt;0.1*J11,"no benefit",
IF(H11*(I11/100)&lt;0.3*J11,"limited benefit",
IF(H11*(I11/100)&lt;1.1*J11,"benefit",
IF(H11*(I11/100)&lt;0.7*VLOOKUP(Calc!BI9,'Fertiliser recommendations'!$A$4:$I$63,9,FALSE),"excessive","too high, not acceptable")))),
IF(OR(AND('Soil results'!G$7="Olsen (ADAS)",'Soil results'!G14&gt;20),AND('Soil results'!G$7="modified Morgan (SAC)",'Soil results'!G14&gt;9.4)),
IF(H11*Calc!BM9*(I11/100)&lt;0.1*J11,"no benefit",
IF(H11*Calc!BM9*(I11/100)&lt;0.3*J11,"limited benefit",
IF(H11*Calc!BM9*(I11/100)&lt;1.1*J11,"benefit",
IF(L11="3 (H)","too high, not acceptable","excessive")))),
IF(OR(AND('Soil results'!G$7="Olsen (ADAS)",'Soil results'!G14&gt;15),AND('Soil results'!G$7="modified Morgan (SAC)",'Soil results'!G14&gt;4.4)),
IF(H11*Calc!BM9*(I11/100)&lt;0.1*VLOOKUP(Calc!BI9,'Fertiliser recommendations'!$A$4:$I$63,9,FALSE),"no benefit",
IF(H11*Calc!BM9*(I11/100)&lt;0.3*VLOOKUP(Calc!BI9,'Fertiliser recommendations'!$A$4:$I$63,9,FALSE),"limited benefit",
IF(H11*Calc!BM9*(I11/100)&lt;1.1*VLOOKUP(Calc!BI9,'Fertiliser recommendations'!$A$4:$I$63,9,FALSE),"benefit",
IF(L11="3 (H)", "too high, not acceptable", "excessive")))),
IF(OR(AND('Soil results'!G$7="Olsen (ADAS)",'Soil results'!G14&lt;=15),AND('Soil results'!G$7="modified Morgan (SAC)",'Soil results'!G14&lt;=4.4)),
IF(H11*Calc!BM9*(I11/100)&lt;0.1*VLOOKUP(Calc!BI9,'Fertiliser recommendations'!$A$4:$I$63,9,FALSE),"no benefit",
IF(H11*Calc!BM9*(I11/100)&lt;0.3*VLOOKUP(Calc!BI9,'Fertiliser recommendations'!$A$4:$I$63,9,FALSE),"limited benefit",
IF(H11*Calc!BM9*(I11/100)&lt;1.1*J11,"benefit","excessive")))))))))))</f>
        <v/>
      </c>
      <c r="O11" s="91" t="str">
        <f ca="1">IF(B11="","",
IF(AND('Field information 2'!$O$5="", 'Field information 2'!$Q$5=""),
   IF('Waste results'!$S$19&lt;&gt;"data missing", Calc!BC9*'Waste results'!$S$19, "data missing"),
IF('Field information 2'!$Q$5="",
   IF(Calc!BD9=0,
     IF('Waste results'!$S$19&lt;&gt;"data missing", Calc!BC9*'Waste results'!$S$19, "data missing"),
   IF(Calc!BC9=0,
     IF('Waste results'!$S$55&lt;&gt;"data missing", Calc!BD9*'Waste results'!$S$55, "data missing"),
   IF(OR('Waste results'!$S$19&lt;&gt;"data missing", 'Waste results'!$S$55&lt;&gt;"data missing"), Calc!BC9*'Waste results'!$S$19+ Calc!BD9*'Waste results'!$S$55, "data missing"))),
IF(AND('Field information 2'!$M$5&lt;&gt;"", 'Field information 2'!$O$5&lt;&gt;"", 'Field information 2'!$Q$5&lt;&gt;""),
   IF(AND(Calc!BD9=0,Calc!BE9=0),
     IF('Waste results'!$S$19&lt;&gt;"data missing", Calc!BC9*'Waste results'!$S$19, "data missing"),
   IF(AND(Calc!BC9=0,Calc!BE9=0),
     IF('Waste results'!$S$55&lt;&gt;"data missing", Calc!BD9*'Waste results'!$S$55, "data missing"),
   IF(AND(Calc!BC9=0,Calc!BD9=0),
     IF('Waste results'!$S$91&lt;&gt;"data missing", Calc!BE9*'Waste results'!$S$91, "data missing"),
   IF(Calc!BE9=0,
     IF(OR('Waste results'!$S$19&lt;&gt;"data missing", 'Waste results'!$S$55&lt;&gt;"data missing"), Calc!BC9*'Waste results'!$S$19+ Calc!BD9*'Waste results'!$S$55, "data missing"),
   IF(Calc!BD9=0,
     IF(OR('Waste results'!$S$19&lt;&gt;"data missing", 'Waste results'!$S$91&lt;&gt;"data missing"), Calc!BC9*'Waste results'!$S$19+ Calc!BE9*'Waste results'!$S$91, "data missing"),
   IF(Calc!BC9=0,
     IF(OR('Waste results'!$S$55&lt;&gt;"data missing", 'Waste results'!$S$91&lt;&gt;"data missing"), Calc!BD9*'Waste results'!$S$55+Calc!BE9*'Waste results'!$S$91, "data missing"),
   IF(OR('Waste results'!$S$19&lt;&gt;"data missing", 'Waste results'!$S$55&lt;&gt;"data missing", 'Waste results'!$S$91&lt;&gt;"data missing"), Calc!BC9*'Waste results'!$S$19+Calc!BD9*'Waste results'!$S$55+ Calc!BE9*'Waste results'!$S$91, "data missing")))))))))))</f>
        <v/>
      </c>
      <c r="P11" s="91" t="str">
        <f ca="1">IF(B11="","",
IF(OR(ISBLANK('Soil results'!H$7),ISBLANK('Soil results'!H14)),"data missing",
IF(OR(AND('Soil results'!H$7="ammonium nitrate (ADAS)",'Soil results'!H14&gt;400),AND('Soil results'!H$7="modified Morgan (SAC)",'Soil results'!H14&gt;400)),0,
IF(OR(AND('Soil results'!H$7="ammonium nitrate (ADAS)",'Soil results'!H14&gt;=121,'Soil results'!H14&lt;=180),AND('Soil results'!H$7="modified Morgan (SAC)",'Soil results'!H14&gt;=76,'Soil results'!H14&lt;=140)),VLOOKUP(Calc!BI9,'Fertiliser recommendations'!$A$4:$Z$63,26,FALSE),
IF(OR(AND('Soil results'!H$7="ammonium nitrate (ADAS)",'Soil results'!H14&lt;61),AND('Soil results'!H$7="modified Morgan (SAC)",'Soil results'!H14&lt;40)),VLOOKUP(Calc!BI9,'Fertiliser recommendations'!$A$4:$Z$63,26,FALSE)+VLOOKUP(Calc!BI9,'Fertiliser recommendations'!$A$4:$AA$63,27,FALSE),
IF(OR(AND('Soil results'!H$7="ammonium nitrate (ADAS)",'Soil results'!H14&lt;121),AND('Soil results'!H$7="modified Morgan (SAC)",'Soil results'!H14&lt;76)),VLOOKUP(Calc!BI9,'Fertiliser recommendations'!$A$4:$Z$63,26,FALSE)+VLOOKUP(Calc!BI9,'Fertiliser recommendations'!$A$4:$AB$63,28,FALSE),
IF(OR(AND('Soil results'!H$7="ammonium nitrate (ADAS)",'Soil results'!H14&lt;241),AND('Soil results'!H$7="modified Morgan (SAC)",'Soil results'!H14&lt;201)),VLOOKUP(Calc!BI9,'Fertiliser recommendations'!$A$4:$Z$63,26,FALSE)+VLOOKUP(Calc!BI9,'Fertiliser recommendations'!$A$4:$AC$63,29,FALSE),
IF(OR(AND('Soil results'!H$7="ammonium nitrate (ADAS)",'Soil results'!H14&lt;=400),AND('Soil results'!H$7="modified Morgan (SAC)",'Soil results'!H14&lt;=400)),VLOOKUP(Calc!BI9,'Fertiliser recommendations'!$A$4:$Z$63,26,FALSE)+VLOOKUP(Calc!BI9,'Fertiliser recommendations'!$A$4:$AD$63,30,FALSE),
"??"))))))))</f>
        <v/>
      </c>
      <c r="Q11" s="91" t="str">
        <f t="shared" ca="1" si="2"/>
        <v/>
      </c>
      <c r="R11" s="9" t="str">
        <f ca="1">IF(B11="","",
IF(OR(O11="data missing",P11="data missing"),"data missing",
IF(Calc!BF9=0,"n/a",
IF(P11=0, "no requirement",
IF(O11&lt;0.1*P11,"no benefit",
IF(O11&lt;0.3*P11,"limited benefit",
IF(O11&gt;1.25*P11,"excessive",
"benefit")))))))</f>
        <v/>
      </c>
      <c r="T11" s="91" t="str">
        <f ca="1">IF(B11="","",
IF(AND('Field information 2'!$O$5="", 'Field information 2'!$Q$5=""),
   IF('Waste results'!$S$21&lt;&gt;"data missing", Calc!BC9*'Waste results'!$S$21, "data missing"),
IF('Field information 2'!$Q$5="",
   IF(Calc!BD9=0,
     IF('Waste results'!$S$21&lt;&gt;"data missing", Calc!BC9*'Waste results'!$S$21, "data missing"),
   IF(Calc!BC9=0,
     IF('Waste results'!$S$57&lt;&gt;"data missing", Calc!BD9*'Waste results'!$S$57, "data missing"),
   IF(OR('Waste results'!$S$21&lt;&gt;"data missing", 'Waste results'!$S$57&lt;&gt;"data missing"), Calc!BC9*'Waste results'!$S$21+ Calc!BD9*'Waste results'!$S$57, "data missing"))),
IF(AND('Field information 2'!$M$5&lt;&gt;"", 'Field information 2'!$O$5&lt;&gt;"", 'Field information 2'!$Q$5&lt;&gt;""),
   IF(AND(Calc!BD9=0,Calc!BE9=0),
     IF('Waste results'!$S$21&lt;&gt;"data missing", Calc!BC9*'Waste results'!$S$21, "data missing"),
   IF(AND(Calc!BC9=0,Calc!BE9=0),
     IF('Waste results'!$S$57&lt;&gt;"data missing", Calc!BD9*'Waste results'!$S$57, "data missing"),
   IF(AND(Calc!BC9=0,Calc!BD9=0),
     IF('Waste results'!$S$93&lt;&gt;"data missing", Calc!BE9*'Waste results'!$S$93, "data missing"),
   IF(Calc!BE9=0,
     IF(OR('Waste results'!$S$21&lt;&gt;"data missing", 'Waste results'!$S$57&lt;&gt;"data missing"), Calc!BC9*'Waste results'!$S$21+ Calc!BD9*'Waste results'!$S$57, "data missing"),
   IF(Calc!BD9=0,
     IF(OR('Waste results'!$S$21&lt;&gt;"data missing", 'Waste results'!$S$93&lt;&gt;"data missing"), Calc!BC9*'Waste results'!$S$21+ Calc!BE9*'Waste results'!$S$93, "data missing"),
   IF(Calc!BC9=0,
     IF(OR('Waste results'!$S$57&lt;&gt;"data missing", 'Waste results'!$S$93&lt;&gt;"data missing"), Calc!BD9*'Waste results'!$S$57+Calc!BE9*'Waste results'!$S$93, "data missing"),
   IF(OR('Waste results'!$S$21&lt;&gt;"data missing", 'Waste results'!$S$57&lt;&gt;"data missing", 'Waste results'!$S$93&lt;&gt;"data missing"), Calc!BC9*'Waste results'!$S$21+Calc!BD9*'Waste results'!$S$57+ Calc!BE9*'Waste results'!$S$93, "data missing")))))))))))</f>
        <v/>
      </c>
      <c r="U11" s="7" t="str">
        <f ca="1">IF(B11="","",
IF(OR(ISBLANK('Soil results'!I$7),ISBLANK('Soil results'!I14)),"data missing",
IF(OR(AND('Soil results'!I$7="ammonium nitrate (ADAS)",'Soil results'!I14&gt;51),AND('Soil results'!I$7="modified Morgan (SAC)",'Soil results'!I14&gt;61)),0,
IF(OR(AND('Soil results'!I$7="ammonium nitrate (ADAS)",'Soil results'!I14&lt;25),AND('Soil results'!I$7="modified Morgan (SAC)",'Soil results'!I14&lt;19)),VLOOKUP(Calc!BI9,'Fertiliser recommendations'!$A$4:$AH$63,34,FALSE),
IF(OR(AND('Soil results'!I$7="ammonium nitrate (ADAS)",'Soil results'!I14&lt;=51),AND('Soil results'!I$7="modified Morgan (SAC)",'Soil results'!I14&lt;=61)),VLOOKUP(Calc!BI9,'Fertiliser recommendations'!$A$4:$AI$63,35,FALSE),
"")))))</f>
        <v/>
      </c>
      <c r="V11" s="91" t="str">
        <f t="shared" ca="1" si="3"/>
        <v/>
      </c>
      <c r="W11" s="9" t="str">
        <f ca="1">IF(B11="","",
IF(OR(T11="data missing",U11="data missing"),"data missing",
IF(Calc!BF9=0,"n/a",
IF(U11=0,"no requirement",
IF(T11&lt;0.1*U11,"no benefit",
IF(T11&lt;0.3*U11,"limited benefit",
IF(OR(T11&gt;1.5*U11,AND(Calc!BJ9="g",T11&gt;100)),"excessive",
"benefit")))))))</f>
        <v/>
      </c>
      <c r="Y11" s="91" t="str">
        <f ca="1">IF(B11="","",
IF(AND('Field information 2'!$O$5="", 'Field information 2'!$Q$5=""),
   IF('Waste results'!$P$23&lt;&gt;"", Calc!BC9*'Waste results'!$P$23, "no data"),
IF('Field information 2'!$Q$5="",
   IF(Calc!BD9=0,
     IF('Waste results'!$P$23&lt;&gt;"", Calc!BC9*'Waste results'!$P$23, "no data"),
   IF(Calc!BC9=0,
     IF('Waste results'!$P$59&lt;&gt;"", Calc!BD9*'Waste results'!$P$59, "no data"),
   IF(OR('Waste results'!$P$23&lt;&gt;"", 'Waste results'!$P$59&lt;&gt;""), Calc!BC9*'Waste results'!$P$23+ Calc!BD9*'Waste results'!$P$59, "no data"))),
IF(AND('Field information 2'!$M$5&lt;&gt;"", 'Field information 2'!$O$5&lt;&gt;"", 'Field information 2'!$Q$5&lt;&gt;""),
   IF(AND(Calc!BD9=0,Calc!BE9=0),
     IF('Waste results'!$P$23&lt;&gt;"", Calc!BC9*'Waste results'!$P$23, "no data"),
   IF(AND(Calc!BC9=0,Calc!BE9=0),
     IF('Waste results'!$P$59&lt;&gt;"", Calc!BD9*'Waste results'!$P$59, "no data"),
   IF(AND(Calc!BC9=0,Calc!BD9=0),
     IF('Waste results'!$P$95&lt;&gt;"", Calc!BE9*'Waste results'!$P$95, "no data"),
   IF(Calc!BE9=0,
     IF(OR('Waste results'!$P$23&lt;&gt;"", 'Waste results'!$P$59&lt;&gt;""), Calc!BC9*'Waste results'!$P$23+ Calc!BD9*'Waste results'!$P$59, "no data"),
   IF(Calc!BD9=0,
     IF(OR('Waste results'!$P$23&lt;&gt;"", 'Waste results'!$P$95&lt;&gt;""), Calc!BC9*'Waste results'!$P$23+ Calc!BE9*'Waste results'!$P$95, "no data"),
   IF(Calc!BC9=0,
     IF(OR('Waste results'!$P$59&lt;&gt;"", 'Waste results'!$P$95&lt;&gt;""), Calc!BD9*'Waste results'!$P$59+Calc!BE9*'Waste results'!$P$95, "no data"),
   IF(OR('Waste results'!$P$23&lt;&gt;"", 'Waste results'!$P$59&lt;&gt;"", 'Waste results'!$P$95&lt;&gt;""), Calc!BC9*'Waste results'!$P$23+Calc!BD9*'Waste results'!$P$59+ Calc!BE9*'Waste results'!$P$95, "no data")))))))))))</f>
        <v/>
      </c>
      <c r="Z11" s="7" t="str">
        <f ca="1">IF(OR(ISBLANK('Soil results'!I$7),ISBLANK('Soil results'!I14),'Soil results'!B14=""),"",
VLOOKUP(Calc!BI9,'Fertiliser recommendations'!$A$4:$AM$63,39,FALSE))</f>
        <v/>
      </c>
      <c r="AA11" s="91" t="str">
        <f t="shared" ca="1" si="4"/>
        <v/>
      </c>
      <c r="AB11" s="9" t="str">
        <f t="shared" ca="1" si="5"/>
        <v/>
      </c>
      <c r="AD11" s="48" t="str">
        <f>IF(ISBLANK('Soil results'!F14),"",'Soil results'!F14)</f>
        <v/>
      </c>
      <c r="AE11" s="49" t="str">
        <f ca="1">IF(B11="","",
IF(AND(Calc!BJ9="g", VLOOKUP(LEFT($B11,LEN($B11)-2),'Field information 2'!$B$12:$P$111,9,FALSE)&lt;&gt;"yes"),
 IF(Calc!BG9="10-25% OM", 5.9, IF(Calc!BG9="&gt;25% OM", 5.5, 6.2)),
IF(OR(Calc!BJ9="a", VLOOKUP(LEFT($B11,LEN($B11)-2),'Field information 2'!$B$12:$P$111,9,FALSE)="yes"),
 IF(Calc!BG9="10-25% OM", 6.4, IF(Calc!BG9="&gt;25% OM", 6, 6.7)), "")))</f>
        <v/>
      </c>
      <c r="AF11" s="91" t="str">
        <f ca="1">IF(B11="","",
IF('Waste results'!$Q$33="","no (significant) liming properties",
IF('Waste results'!Q$33&gt;100,"no (significant) liming properties",
IF(AD11="","",
IF(AD11&gt;=AE11,0,ROUNDDOWN((AE11-AD11)*Calc!BK9*'Waste results'!$Q$33+0.2,0))))))</f>
        <v/>
      </c>
      <c r="AG11" s="9" t="str">
        <f ca="1">IF(B11="","",
IF(T11=0,"n/a",
IF(AD11="","data missing",
IF(AND(AD11&lt;5,AF11="no (significant) liming properties"),"no waste application - pH too low",
IF(AND(AD11&gt;5.1,AF11="no (significant) liming properties",Calc!BH9&gt;25, LEFT(Calc!BI9,4)="graz"),"ok",
IF(AND(AD11&lt;=5.2,AF11="no (significant) liming properties"),"liming highly recommended",
IF(AF11=0,"no waste application - liming not required",
IF(AF11&lt;Calc!BC9,"application rate too high - exceeds liming requirement",
"ok"))))))))</f>
        <v/>
      </c>
      <c r="AI11" s="91" t="str">
        <f ca="1">IF(B11="","",
IF(AND('Field information 2'!$O$5="", 'Field information 2'!$Q$5=""),
   IF('Waste results'!$P$10&lt;&gt;"data missing", Calc!BC9*'Waste results'!$P$10, "data missing"),
IF('Field information 2'!$Q$5="",
   IF(Calc!BD9=0,
     IF('Waste results'!$P$10&lt;&gt;"data missing", Calc!BC9*'Waste results'!$P$10, "data missing"),
   IF(Calc!BC9=0,
     IF('Waste results'!$P$45&lt;&gt;"data missing", Calc!BD9*'Waste results'!$P$45, "data missing"),
   IF(OR('Waste results'!$P$10&lt;&gt;"data missing", 'Waste results'!$P$45&lt;&gt;"data missing"), Calc!BC9*'Waste results'!$P$10+ Calc!BD9*'Waste results'!$P$45, "data missing"))),
IF(AND('Field information 2'!$M$5&lt;&gt;"", 'Field information 2'!$O$5&lt;&gt;"", 'Field information 2'!$Q$5&lt;&gt;""),
   IF(AND(Calc!BD9=0,Calc!BE9=0),
     IF('Waste results'!$P$10&lt;&gt;"data missing", Calc!BC9*'Waste results'!$P$10, "data missing"),
   IF(AND(Calc!BC9=0,Calc!BE9=0),
     IF('Waste results'!$P$45&lt;&gt;"data missing", Calc!BD9*'Waste results'!$P$45, "data missing"),
   IF(AND(Calc!BC9=0,Calc!BD9=0),
     IF('Waste results'!$P$82&lt;&gt;"data missing", Calc!BE9*'Waste results'!$P$82, "data missing"),
   IF(Calc!BE9=0,
     IF(OR('Waste results'!$P$10&lt;&gt;"data missing", 'Waste results'!$P$45&lt;&gt;"data missing"), Calc!BC9*'Waste results'!$P$10+ Calc!BD9*'Waste results'!$P$45, "data missing"),
   IF(Calc!BD9=0,
     IF(OR('Waste results'!$P$10&lt;&gt;"data missing", 'Waste results'!$P$82&lt;&gt;"data missing"), Calc!BC9*'Waste results'!$P$10+ Calc!BE9*'Waste results'!$P$82, "data missing"),
   IF(Calc!BC9=0,
     IF(OR('Waste results'!$P$45&lt;&gt;"data missing", 'Waste results'!$P$82&lt;&gt;"data missing"), Calc!BD9*'Waste results'!$P$45+Calc!BE9*'Waste results'!$P$82, "data missing"),
   IF(OR('Waste results'!$P$10&lt;&gt;"data missing", 'Waste results'!$P$45&lt;&gt;"data missing", 'Waste results'!$P$82&lt;&gt;"data missing"), Calc!BC9*'Waste results'!$P$10+Calc!BD9*'Waste results'!$P$45+ Calc!BE9*'Waste results'!$P$82, "data missing")))))))))))</f>
        <v/>
      </c>
      <c r="AJ11" s="237" t="str">
        <f ca="1">IF(B11="","",
IF(AI11="data missing","data missing",
IF(Calc!BF9=0,"n/a",
IF(AND(Calc!BH9&gt;=8,AI11&lt;500),"no benefit",
IF(OR(AND(Calc!BH9&lt;=4,AI11&gt;=500),AND(Calc!BH9&lt;8,AI11&gt;5000)),"benefit",
"limited benefit")))))</f>
        <v/>
      </c>
      <c r="AL11" s="238" t="str">
        <f ca="1">IF(B11="","",
IF(AND('Field information 2'!$O$5="", 'Field information 2'!$Q$5=""),
   IF('Waste results'!$S$25&lt;&gt;"data missing", Calc!BC9*'Waste results'!$S$25, "data missing"),
IF('Field information 2'!$Q$5="",
   IF(Calc!BD9=0,
     IF('Waste results'!$S$25&lt;&gt;"data missing", Calc!BC9*'Waste results'!$S$25, "data missing"),
   IF(Calc!BC9=0,
     IF('Waste results'!$S$61&lt;&gt;"data missing", Calc!BD9*'Waste results'!$S$61, "data missing"),
   IF(OR('Waste results'!$S$25&lt;&gt;"data missing", 'Waste results'!$S$61&lt;&gt;"data missing"), Calc!BC9*'Waste results'!$S$25+ Calc!BD9*'Waste results'!$S$61, "data missing"))),
IF(AND('Field information 2'!$M$5&lt;&gt;"", 'Field information 2'!$O$5&lt;&gt;"", 'Field information 2'!$Q$5&lt;&gt;""),
   IF(AND(Calc!BD9=0,Calc!BE9=0),
     IF('Waste results'!$S$25&lt;&gt;"data missing", Calc!BC9*'Waste results'!$S$25, "data missing"),
   IF(AND(Calc!BC9=0,Calc!BE9=0),
     IF('Waste results'!$S$61&lt;&gt;"data missing", Calc!BD9*'Waste results'!$S$61, "data missing"),
   IF(AND(Calc!BC9=0,Calc!BD9=0),
     IF('Waste results'!$S$97&lt;&gt;"data missing", Calc!BE9*'Waste results'!$S$97, "data missing"),
   IF(Calc!BE9=0,
     IF(OR('Waste results'!$S$25&lt;&gt;"data missing", 'Waste results'!$S$61&lt;&gt;"data missing"), Calc!BC9*'Waste results'!$S$25+ Calc!BD9*'Waste results'!$S$61, "data missing"),
   IF(Calc!BD9=0,
     IF(OR('Waste results'!$S$25&lt;&gt;"data missing", 'Waste results'!$S$97&lt;&gt;"data missing"), Calc!BC9*'Waste results'!$S$25+ Calc!BE9*'Waste results'!$S$97, "data missing"),
   IF(Calc!BC9=0,
     IF(OR('Waste results'!$S$61&lt;&gt;"data missing", 'Waste results'!$S$97&lt;&gt;"data missing"), Calc!BD9*'Waste results'!$S$61+Calc!BE9*'Waste results'!$S$97, "data missing"),
   IF(OR('Waste results'!$S$25&lt;&gt;"data missing", 'Waste results'!$S$61&lt;&gt;"data missing", 'Waste results'!$S$97&lt;&gt;"data missing"), Calc!BC9*'Waste results'!$S$25+Calc!BD9*'Waste results'!$S$61+ Calc!BE9*'Waste results'!$S$97, "data missing")))))))))))</f>
        <v/>
      </c>
      <c r="AM11" s="239" t="str">
        <f ca="1">IF($B11="","",
IF(ISBLANK('Soil results'!K14),"data missing",'Soil results'!K14))</f>
        <v/>
      </c>
      <c r="AN11" s="239" t="str">
        <f t="shared" ca="1" si="6"/>
        <v/>
      </c>
      <c r="AO11" s="9" t="str">
        <f t="shared" ca="1" si="7"/>
        <v/>
      </c>
      <c r="AQ11" s="240" t="str">
        <f ca="1">IF(B11="","",
IF(AND('Field information 2'!$O$5="", 'Field information 2'!$Q$5=""),
   IF('Waste results'!$S$26&lt;&gt;"data missing", Calc!BC9*'Waste results'!$S$26, "data missing"),
IF('Field information 2'!$Q$5="",
   IF(Calc!BD9=0,
     IF('Waste results'!$S$26&lt;&gt;"data missing", Calc!BC9*'Waste results'!$S$26, "data missing"),
   IF(Calc!BC9=0,
     IF('Waste results'!$S$62&lt;&gt;"data missing", Calc!BD9*'Waste results'!$S$62, "data missing"),
   IF(OR('Waste results'!$S$26&lt;&gt;"data missing", 'Waste results'!$S$62&lt;&gt;"data missing"), Calc!BC9*'Waste results'!$S$26+ Calc!BD9*'Waste results'!$S$62, "data missing"))),
IF(AND('Field information 2'!$M$5&lt;&gt;"", 'Field information 2'!$O$5&lt;&gt;"", 'Field information 2'!$Q$5&lt;&gt;""),
   IF(AND(Calc!BD9=0,Calc!BE9=0),
     IF('Waste results'!$S$26&lt;&gt;"data missing", Calc!BC9*'Waste results'!$S$26, "data missing"),
   IF(AND(Calc!BC9=0,Calc!BE9=0),
     IF('Waste results'!$S$62&lt;&gt;"data missing", Calc!BD9*'Waste results'!$S$62, "data missing"),
   IF(AND(Calc!BC9=0,Calc!BD9=0),
     IF('Waste results'!$S$98&lt;&gt;"data missing", Calc!BE9*'Waste results'!$S$98, "data missing"),
   IF(Calc!BE9=0,
     IF(OR('Waste results'!$S$26&lt;&gt;"data missing", 'Waste results'!$S$62&lt;&gt;"data missing"), Calc!BC9*'Waste results'!$S$26+ Calc!BD9*'Waste results'!$S$62, "data missing"),
   IF(Calc!BD9=0,
     IF(OR('Waste results'!$S$26&lt;&gt;"data missing", 'Waste results'!$S$98&lt;&gt;"data missing"), Calc!BC9*'Waste results'!$S$26+ Calc!BE9*'Waste results'!$S$98, "data missing"),
   IF(Calc!BC9=0,
     IF(OR('Waste results'!$S$62&lt;&gt;"data missing", 'Waste results'!$S$98&lt;&gt;"data missing"), Calc!BD9*'Waste results'!$S$62+Calc!BE9*'Waste results'!$S$98, "data missing"),
   IF(OR('Waste results'!$S$26&lt;&gt;"data missing", 'Waste results'!$S$62&lt;&gt;"data missing", 'Waste results'!$S$98&lt;&gt;"data missing"), Calc!BC9*'Waste results'!$S$26+Calc!BD9*'Waste results'!$S$62+ Calc!BE9*'Waste results'!$S$98, "data missing")))))))))))</f>
        <v/>
      </c>
      <c r="AR11" s="241" t="str">
        <f ca="1">IF($B11="","",
IF(ISBLANK('Soil results'!L14),"data missing",'Soil results'!L14))</f>
        <v/>
      </c>
      <c r="AS11" s="241" t="str">
        <f t="shared" ca="1" si="8"/>
        <v/>
      </c>
      <c r="AT11" s="66" t="str">
        <f t="shared" ca="1" si="9"/>
        <v/>
      </c>
      <c r="AV11" s="238" t="str">
        <f ca="1">IF(B11="","",
IF(AND('Field information 2'!$O$5="", 'Field information 2'!$Q$5=""),
   IF('Waste results'!$S$27&lt;&gt;"data missing", Calc!BC9*'Waste results'!$S$27, "data missing"),
IF('Field information 2'!$Q$5="",
   IF(Calc!BD9=0,
     IF('Waste results'!$S$27&lt;&gt;"data missing", Calc!BC9*'Waste results'!$S$27, "data missing"),
   IF(Calc!BC9=0,
     IF('Waste results'!$S$63&lt;&gt;"data missing", Calc!BD9*'Waste results'!$S$63, "data missing"),
   IF(OR('Waste results'!$S$27&lt;&gt;"data missing", 'Waste results'!$S$63&lt;&gt;"data missing"), Calc!BC9*'Waste results'!$S$27+ Calc!BD9*'Waste results'!$S$63, "data missing"))),
IF(AND('Field information 2'!$M$5&lt;&gt;"", 'Field information 2'!$O$5&lt;&gt;"", 'Field information 2'!$Q$5&lt;&gt;""),
   IF(AND(Calc!BD9=0,Calc!BE9=0),
     IF('Waste results'!$S$27&lt;&gt;"data missing", Calc!BC9*'Waste results'!$S$27, "data missing"),
   IF(AND(Calc!BC9=0,Calc!BE9=0),
     IF('Waste results'!$S$63&lt;&gt;"data missing", Calc!BD9*'Waste results'!$S$63, "data missing"),
   IF(AND(Calc!BC9=0,Calc!BD9=0),
     IF('Waste results'!$S$99&lt;&gt;"data missing", Calc!BE9*'Waste results'!$S$99, "data missing"),
   IF(Calc!BE9=0,
     IF(OR('Waste results'!$S$27&lt;&gt;"data missing", 'Waste results'!$S$63&lt;&gt;"data missing"), Calc!BC9*'Waste results'!$S$27+ Calc!BD9*'Waste results'!$S$63, "data missing"),
   IF(Calc!BD9=0,
     IF(OR('Waste results'!$S$27&lt;&gt;"data missing", 'Waste results'!$S$99&lt;&gt;"data missing"), Calc!BC9*'Waste results'!$S$27+ Calc!BE9*'Waste results'!$S$99, "data missing"),
   IF(Calc!BC9=0,
     IF(OR('Waste results'!$S$63&lt;&gt;"data missing", 'Waste results'!$S$99&lt;&gt;"data missing"), Calc!BD9*'Waste results'!$S$63+Calc!BE9*'Waste results'!$S$99, "data missing"),
   IF(OR('Waste results'!$S$27&lt;&gt;"data missing", 'Waste results'!$S$63&lt;&gt;"data missing", 'Waste results'!$S$99&lt;&gt;"data missing"), Calc!BC9*'Waste results'!$S$27+Calc!BD9*'Waste results'!$S$63+ Calc!BE9*'Waste results'!$S$99, "data missing")))))))))))</f>
        <v/>
      </c>
      <c r="AW11" s="239" t="str">
        <f ca="1">IF($B11="","",
IF(ISBLANK('Soil results'!M14),"data missing",'Soil results'!M14))</f>
        <v/>
      </c>
      <c r="AX11" s="239" t="str">
        <f t="shared" ca="1" si="10"/>
        <v/>
      </c>
      <c r="AY11" s="9" t="str">
        <f ca="1">IF(B11="","",
IF(AV11=0,"n/a",
IF(OR(AV11="data missing",AW11="data missing"),"data missing",
IF(AV11&gt;7.5,"application rate too high - permissible rate exceeds limit",
IF('Soil results'!$F14&lt;=5.5,
  IF(AW11&gt;80,"no application - soil conc. already above limit",
  IF(AX11&gt;80,"application rate too high - soil conc. will exceed limit",
  IF(AW11&gt;80*0.9,"soil conc. is at or above 90% of the limit",
  IF(10*AV11*1000/3000+AW11&gt;80,"soil limit likely to be exceeded in 10yrs",
  IF(50*AV11*1000/3000+AW11&gt;80,"soil limit likely to be exceeded in 50yrs","ok"))))),
IF('Soil results'!$F14&lt;=6,
  IF(AW11&gt;100,"no application - soil conc. already above limit",
  IF(AX11&gt;100,"application rate too high - soil conc. will exceed limit",
  IF(AW11&gt;100*0.9,"soil conc. is at or above 90% of the limit",
  IF(10*AV11*1000/3000+AW11&gt;100,"soil limit likely to be exceeded in 10yrs",
  IF(50*AV11*1000/3000+AW11&gt;100,"soil limit likely to be exceeded in 50yrs","ok"))))),
IF('Soil results'!$F14&lt;=7,
  IF(AW11&gt;135,"no application - soil conc. already above limit",
  IF(AX11&gt;135,"application rate too high - soil conc. will exceed limit",
  IF(AW11&gt;135*0.9,"soil conc. is at or above 90% of the limit",
  IF(10*AV11*1000/3000+AW11&gt;135,"soil limit likely to be exceeded in 10yrs",
  IF(50*AV11*1000/3000+AW11&gt;135,"soil limit likely to be exceeded in 50yrs","ok"))))),
IF('Soil results'!$F14&gt;7,
  IF(AW11&gt;200,"no application - soil conc. already above limit",
  IF(AX11&gt;200,"application too high - soil conc. will exceed limit",
  IF(AW11&gt;200*0.9,"soil conc. is at or above 90% of the limit",
  IF(10*AV11*1000/3000+AW11&gt;200,"soil limit likely to be exceeded in 10yrs",
  IF(50*AV11*1000/3000+AW11&gt;200,"soil limit likely to be exceeded in 50yrs","ok")))))
))))))))</f>
        <v/>
      </c>
      <c r="BA11" s="238" t="str">
        <f ca="1">IF(B11="","",
IF(AND('Field information 2'!$O$5="", 'Field information 2'!$Q$5=""),
   IF('Waste results'!$S$28&lt;&gt;"data missing", Calc!BC9*'Waste results'!$S$28, "data missing"),
IF('Field information 2'!$Q$5="",
   IF(Calc!BD9=0,
     IF('Waste results'!$S$28&lt;&gt;"data missing", Calc!BC9*'Waste results'!$S$28, "data missing"),
   IF(Calc!BC9=0,
     IF('Waste results'!$S$64&lt;&gt;"data missing", Calc!BD9*'Waste results'!$S$64, "data missing"),
   IF(OR('Waste results'!$S$28&lt;&gt;"data missing", 'Waste results'!$S$64&lt;&gt;"data missing"), Calc!BC9*'Waste results'!$S$28+ Calc!BD9*'Waste results'!$S$64, "data missing"))),
IF(AND('Field information 2'!$M$5&lt;&gt;"", 'Field information 2'!$O$5&lt;&gt;"", 'Field information 2'!$Q$5&lt;&gt;""),
   IF(AND(Calc!BD9=0,Calc!BE9=0),
     IF('Waste results'!$S$28&lt;&gt;"data missing", Calc!BC9*'Waste results'!$S$28, "data missing"),
   IF(AND(Calc!BC9=0,Calc!BE9=0),
     IF('Waste results'!$S$64&lt;&gt;"data missing", Calc!BD9*'Waste results'!$S$64, "data missing"),
   IF(AND(Calc!BC9=0,Calc!BD9=0),
     IF('Waste results'!$S$100&lt;&gt;"data missing", Calc!BE9*'Waste results'!$S$100, "data missing"),
   IF(Calc!BE9=0,
     IF(OR('Waste results'!$S$28&lt;&gt;"data missing", 'Waste results'!$S$64&lt;&gt;"data missing"), Calc!BC9*'Waste results'!$S$28+ Calc!BD9*'Waste results'!$S$64, "data missing"),
   IF(Calc!BD9=0,
     IF(OR('Waste results'!$S$28&lt;&gt;"data missing", 'Waste results'!$S$100&lt;&gt;"data missing"), Calc!BC9*'Waste results'!$S$28+ Calc!BE9*'Waste results'!$S$100, "data missing"),
   IF(Calc!BC9=0,
     IF(OR('Waste results'!$S$64&lt;&gt;"data missing", 'Waste results'!$S$100&lt;&gt;"data missing"), Calc!BD9*'Waste results'!$S$64+Calc!BE9*'Waste results'!$S$100, "data missing"),
   IF(OR('Waste results'!$S$28&lt;&gt;"data missing", 'Waste results'!$S$64&lt;&gt;"data missing", 'Waste results'!$S$100&lt;&gt;"data missing"), Calc!BC9*'Waste results'!$S$28+Calc!BD9*'Waste results'!$S$64+ Calc!BE9*'Waste results'!$S$100, "data missing")))))))))))</f>
        <v/>
      </c>
      <c r="BB11" s="239" t="str">
        <f ca="1">IF($B11="","",
IF(ISBLANK('Soil results'!N14),"data missing",'Soil results'!N14))</f>
        <v/>
      </c>
      <c r="BC11" s="239" t="str">
        <f t="shared" ca="1" si="11"/>
        <v/>
      </c>
      <c r="BD11" s="9" t="str">
        <f t="shared" ca="1" si="12"/>
        <v/>
      </c>
      <c r="BF11" s="238" t="str">
        <f ca="1">IF(B11="","",
IF(AND('Field information 2'!$O$5="", 'Field information 2'!$Q$5=""),
   IF('Waste results'!$S$29&lt;&gt;"data missing", Calc!BC9*'Waste results'!$S$29, "data missing"),
IF('Field information 2'!$Q$5="",
   IF(Calc!BD9=0,
     IF('Waste results'!$S$29&lt;&gt;"data missing", Calc!BC9*'Waste results'!$S$29, "data missing"),
   IF(Calc!BC9=0,
     IF('Waste results'!$S$65&lt;&gt;"data missing", Calc!BD9*'Waste results'!$S$65, "data missing"),
   IF(OR('Waste results'!$S$29&lt;&gt;"data missing", 'Waste results'!$S$65&lt;&gt;"data missing"), Calc!BC9*'Waste results'!$S$29+ Calc!BD9*'Waste results'!$S$65, "data missing"))),
IF(AND('Field information 2'!$M$5&lt;&gt;"", 'Field information 2'!$O$5&lt;&gt;"", 'Field information 2'!$Q$5&lt;&gt;""),
   IF(AND(Calc!BD9=0,Calc!BE9=0),
     IF('Waste results'!$S$29&lt;&gt;"data missing", Calc!BC9*'Waste results'!$S$29, "data missing"),
   IF(AND(Calc!BC9=0,Calc!BE9=0),
     IF('Waste results'!$S$65&lt;&gt;"data missing", Calc!BD9*'Waste results'!$S$65, "data missing"),
   IF(AND(Calc!BC9=0,Calc!BD9=0),
     IF('Waste results'!$S$101&lt;&gt;"data missing", Calc!BE9*'Waste results'!$S$101, "data missing"),
   IF(Calc!BE9=0,
     IF(OR('Waste results'!$S$29&lt;&gt;"data missing", 'Waste results'!$S$65&lt;&gt;"data missing"), Calc!BC9*'Waste results'!$S$29+ Calc!BD9*'Waste results'!$S$65, "data missing"),
   IF(Calc!BD9=0,
     IF(OR('Waste results'!$S$29&lt;&gt;"data missing", 'Waste results'!$S$101&lt;&gt;"data missing"), Calc!BC9*'Waste results'!$S$29+ Calc!BE9*'Waste results'!$S$101, "data missing"),
   IF(Calc!BC9=0,
     IF(OR('Waste results'!$S$65&lt;&gt;"data missing", 'Waste results'!$S$101&lt;&gt;"data missing"), Calc!BD9*'Waste results'!$S$65+Calc!BE9*'Waste results'!$S$101, "data missing"),
   IF(OR('Waste results'!$S$29&lt;&gt;"data missing", 'Waste results'!$S$65&lt;&gt;"data missing", 'Waste results'!$S$101&lt;&gt;"data missing"), Calc!BC9*'Waste results'!$S$29+Calc!BD9*'Waste results'!$S$65+ Calc!BE9*'Waste results'!$S$101, "data missing")))))))))))</f>
        <v/>
      </c>
      <c r="BG11" s="239" t="str">
        <f ca="1">IF($B11="","",
IF(ISBLANK('Soil results'!O14),"data missing",'Soil results'!O14))</f>
        <v/>
      </c>
      <c r="BH11" s="239" t="str">
        <f t="shared" ca="1" si="13"/>
        <v/>
      </c>
      <c r="BI11" s="9" t="str">
        <f ca="1">IF(B11="","",
IF(BF11=0,"n/a",
IF(OR(BF11="data missing",BG11="data missing"),"data missing",
IF(BF11&gt;3,"application rate too high - permissible rate exceeds limit",
IF('Soil results'!F14&lt;=5.5,
  IF(BG11&gt;50,"no application - soil conc. already above limit",
  IF(BH11&gt;50,"application rate too high - soil conc. will exceed limit",
  IF(BG11&gt;50*0.9,"soil conc. is at or above 90% of the limit",
  IF(10*BF11*1000/3000+BG11&gt;50,"soil limit likely to be exceeded in 10yrs",
  IF(50*BF11*1000/3000+BG11&gt;50,"soil limit likely to be exceeded in 50yrs","ok"))))),
IF('Soil results'!F14&lt;=6,
  IF(BG11&gt;60,"no application - soil conc. already above limit",
  IF(BH11&gt;60,"application rate too high - soil conc. will exceed limit",
  IF(BG11&gt;60*0.9,"soil conc. is at or above 90% of the limit",
  IF(10*BF11*1000/3000+BG11&gt;60,"soil limit likely to be exceeded in 10yrs",
  IF(50*BF11*1000/3000+BG11&gt;60,"soil limit likely to be exceeded in 50yrs","ok"))))),
IF('Soil results'!F14&lt;=7,
  IF(BG11&gt;75,"no application - soil conc. already above limit",
  IF(BH11&gt;75,"application rate too high - soil conc. will exceed limit",
  IF(BG11&gt;75*0.9,"soil conc. is at or above 90% of the limit",
  IF(10*BF11*1000/3000+BG11&gt;75,"soil limit likely to be exceeded in 10yrs",
  IF(50*BF11*1000/3000+BG11&gt;75,"soil limit likely to be exceeded in 50yrs","ok"))))),
IF('Soil results'!F14&gt;7,
  IF(BG11&gt;100,"no application - soil conc. already above limit",
  IF(BH11&gt;100,"application rate too high - soil conc. will exceed limit",
  IF(BG11&gt;100*0.9,"soil conc. is at or above 90% of the limit",
  IF(10*BF11*1000/3000+BG11&gt;100,"soil limit likely to be exceeded in 10yrs",
  IF(50*BF11*1000/3000+BG11&gt;100,"soil limit likely to beexceeded in 50yrs","ok")))))
))))))))</f>
        <v/>
      </c>
      <c r="BK11" s="240" t="str">
        <f ca="1">IF(B11="","",
IF(AND('Field information 2'!$O$5="", 'Field information 2'!$Q$5=""),
   IF('Waste results'!$S$30&lt;&gt;"data missing", Calc!BC9*'Waste results'!$S$30, "data missing"),
IF('Field information 2'!$Q$5="",
   IF(Calc!BD9=0,
     IF('Waste results'!$S$30&lt;&gt;"data missing", Calc!BC9*'Waste results'!$S$30, "data missing"),
   IF(Calc!BC9=0,
     IF('Waste results'!$S$66&lt;&gt;"data missing", Calc!BD9*'Waste results'!$S$66, "data missing"),
   IF(OR('Waste results'!$S$30&lt;&gt;"data missing", 'Waste results'!$S$66&lt;&gt;"data missing"), Calc!BC9*'Waste results'!$S$30+ Calc!BD9*'Waste results'!$S$66, "data missing"))),
IF(AND('Field information 2'!$M$5&lt;&gt;"", 'Field information 2'!$O$5&lt;&gt;"", 'Field information 2'!$Q$5&lt;&gt;""),
   IF(AND(Calc!BD9=0,Calc!BE9=0),
     IF('Waste results'!$S$30&lt;&gt;"data missing", Calc!BC9*'Waste results'!$S$30, "data missing"),
   IF(AND(Calc!BC9=0,Calc!BE9=0),
     IF('Waste results'!$S$66&lt;&gt;"data missing", Calc!BD9*'Waste results'!$S$66, "data missing"),
   IF(AND(Calc!BC9=0,Calc!BD9=0),
     IF('Waste results'!$S$102&lt;&gt;"data missing", Calc!BE9*'Waste results'!$S$102, "data missing"),
   IF(Calc!BE9=0,
     IF(OR('Waste results'!$S$30&lt;&gt;"data missing", 'Waste results'!$S$66&lt;&gt;"data missing"), Calc!BC9*'Waste results'!$S$30+ Calc!BD9*'Waste results'!$S$66, "data missing"),
   IF(Calc!BD9=0,
     IF(OR('Waste results'!$S$30&lt;&gt;"data missing", 'Waste results'!$S$102&lt;&gt;"data missing"), Calc!BC9*'Waste results'!$S$30+ Calc!BE9*'Waste results'!$S$102, "data missing"),
   IF(Calc!BC9=0,
     IF(OR('Waste results'!$S$66&lt;&gt;"data missing", 'Waste results'!$S$102&lt;&gt;"data missing"), Calc!BD9*'Waste results'!$S$66+Calc!BE9*'Waste results'!$S$102, "data missing"),
   IF(OR('Waste results'!$S$30&lt;&gt;"data missing", 'Waste results'!$S$66&lt;&gt;"data missing", 'Waste results'!$S$102&lt;&gt;"data missing"), Calc!BC9*'Waste results'!$S$30+Calc!BD9*'Waste results'!$S$66+ Calc!BE9*'Waste results'!$S$102, "data missing")))))))))))</f>
        <v/>
      </c>
      <c r="BL11" s="241" t="str">
        <f ca="1">IF($B11="","",
IF(ISBLANK('Soil results'!P14),"data missing",'Soil results'!P14))</f>
        <v/>
      </c>
      <c r="BM11" s="241" t="str">
        <f t="shared" ca="1" si="14"/>
        <v/>
      </c>
      <c r="BN11" s="66" t="str">
        <f t="shared" ca="1" si="15"/>
        <v/>
      </c>
      <c r="BP11" s="238" t="str">
        <f ca="1">IF(B11="","",
IF(AND('Field information 2'!$O$5="", 'Field information 2'!$Q$5=""),
   IF('Waste results'!$S$31&lt;&gt;"data missing", Calc!BC9*'Waste results'!$S$31, "data missing"),
IF('Field information 2'!$Q$5="",
   IF(Calc!BD9=0,
     IF('Waste results'!$S$31&lt;&gt;"data missing", Calc!BC9*'Waste results'!$S$31, "data missing"),
   IF(Calc!BC9=0,
     IF('Waste results'!$S$67&lt;&gt;"data missing", Calc!BD9*'Waste results'!$S$67, "data missing"),
   IF(OR('Waste results'!$S$31&lt;&gt;"data missing", 'Waste results'!$S$67&lt;&gt;"data missing"), Calc!BC9*'Waste results'!$S$31+ Calc!BD9*'Waste results'!$S$67, "data missing"))),
IF(AND('Field information 2'!$M$5&lt;&gt;"", 'Field information 2'!$O$5&lt;&gt;"", 'Field information 2'!$Q$5&lt;&gt;""),
   IF(AND(Calc!BD9=0,Calc!BE9=0),
     IF('Waste results'!$S$31&lt;&gt;"data missing", Calc!BC9*'Waste results'!$S$31, "data missing"),
   IF(AND(Calc!BC9=0,Calc!BE9=0),
     IF('Waste results'!$S$67&lt;&gt;"data missing", Calc!BD9*'Waste results'!$S$67, "data missing"),
   IF(AND(Calc!BC9=0,Calc!BD9=0),
     IF('Waste results'!$S$103&lt;&gt;"data missing", Calc!BE9*'Waste results'!$S$103, "data missing"),
   IF(Calc!BE9=0,
     IF(OR('Waste results'!$S$31&lt;&gt;"data missing", 'Waste results'!$S$67&lt;&gt;"data missing"), Calc!BC9*'Waste results'!$S$31+ Calc!BD9*'Waste results'!$S$67, "data missing"),
   IF(Calc!BD9=0,
     IF(OR('Waste results'!$S$31&lt;&gt;"data missing", 'Waste results'!$S$103&lt;&gt;"data missing"), Calc!BC9*'Waste results'!$S$31+ Calc!BE9*'Waste results'!$S$103, "data missing"),
   IF(Calc!BC9=0,
     IF(OR('Waste results'!$S$67&lt;&gt;"data missing", 'Waste results'!$S$103&lt;&gt;"data missing"), Calc!BD9*'Waste results'!$S$67+Calc!BE9*'Waste results'!$S$103, "data missing"),
   IF(OR('Waste results'!$S$31&lt;&gt;"data missing", 'Waste results'!$S$67&lt;&gt;"data missing", 'Waste results'!$S$103&lt;&gt;"data missing"), Calc!BC9*'Waste results'!$S$31+Calc!BD9*'Waste results'!$S$67+ Calc!BE9*'Waste results'!$S$103, "data missing")))))))))))</f>
        <v/>
      </c>
      <c r="BQ11" s="239" t="str">
        <f ca="1">IF($B11="","",
IF(ISBLANK('Soil results'!Q14),"data missing",'Soil results'!Q14))</f>
        <v/>
      </c>
      <c r="BR11" s="239" t="str">
        <f t="shared" ca="1" si="16"/>
        <v/>
      </c>
      <c r="BS11" s="9" t="str">
        <f ca="1">IF(B11="","",
IF(BP11=0,"n/a",
IF(OR(BP11="data missing",BQ11=""),"data missing",
IF(BP11&gt;15,"application rate too high - permissible rate exceeds limit",
IF('Soil results'!F14&lt;=5.5,
  IF(BQ11&gt;200,"no application - soil conc. already above limit",
  IF(BR11&gt;200,"application rate too high - soil conc. will exceed limit",
  IF(BQ11&gt;200*0.9,"soil conc. is at or above 90% of the limit",
  IF(10*BP11*1000/3000+BQ11&gt;200,"soil limit likely to be exceeded in 10yrs",
  IF(50*BP11*1000/3000+BQ11&gt;200,"soil limit likely to be exceeded in 50yrs","ok"))))),
IF('Soil results'!F14&lt;=6,
  IF(BQ11&gt;250,"no application - soil conc. already above limit",
  IF(BR11&gt;250,"application rate too high - soil conc. will exceed limit",
  IF(BQ11&gt;250*0.9,"soil conc. is at or above 90% of the limit",
  IF(10*BP11*1000/3000+BQ11&gt;250,"soil limit likely to be exceeded in 10yrs",
  IF(50*BP11*1000/3000+BQ11&gt;250,"soil limit likely to be exceeded in 50yrs","ok"))))),
IF('Soil results'!F14&lt;=7,
  IF(BQ11&gt;300,"no application - soil conc. already above limit",
  IF(BR11&gt;300,"application rate too high - soil conc. will exceed limit",
  IF(BQ11&gt;300*0.9,"soil conc. is at or above 90% of the limit",
  IF(10*BP11*1000/3000+BQ11&gt;300,"soil limit likey to be exceeded in 10yrs",
  IF(50*BP11*1000/3000+BQ11&gt;300,"soil limit likely to be exceeded in 50yrs","ok"))))),
IF('Soil results'!F14&gt;7,
  IF(BQ11&gt;450,"no application - soil conc. already above limit",
  IF(BR11&gt;450,"application rate too high - soil conc. will exceed limit",
  IF(AW11&gt;450*0.9,"soil conc. is at or above 90% of the limit",
  IF(10*BP11*1000/3000+BQ11&gt;450,"soil limit likely to be exceeded in 10yrs",
  IF(50*BP11*1000/3000+BQ11&gt;450,"soil limit likely to be exceeded in 50yrs","ok")))))
))))))))</f>
        <v/>
      </c>
    </row>
    <row r="12" spans="1:71" s="9" customFormat="1" x14ac:dyDescent="0.35">
      <c r="B12" s="236" t="str">
        <f ca="1">'Soil results'!B15</f>
        <v/>
      </c>
      <c r="C12" s="91" t="str">
        <f ca="1">IF(B12="","",
IF(AND('Field information 2'!$O$5="", 'Field information 2'!$Q$5=""),
   IF('Waste results'!$S$12&lt;&gt;"data missing", Calc!BC10*'Waste results'!$S$12, "data missing"),
IF('Field information 2'!$Q$5="",
   IF(Calc!BD10=0,
     IF('Waste results'!$S$12&lt;&gt;"data missing", Calc!BC10*'Waste results'!$S$12, "data missing"),
   IF(Calc!BC10=0,
     IF('Waste results'!$S$48&lt;&gt;"data missing", Calc!BD10*'Waste results'!$S$48, "data missing"),
   IF(OR('Waste results'!$S$12&lt;&gt;"data missing", 'Waste results'!$S$48&lt;&gt;"data missing"), Calc!BC10*'Waste results'!$S$12+ Calc!BD10*'Waste results'!$S$48, "data missing"))),
IF(AND('Field information 2'!$M$5&lt;&gt;"", 'Field information 2'!$O$5&lt;&gt;"", 'Field information 2'!$Q$5&lt;&gt;""),
   IF(AND(Calc!BD10=0,Calc!BE10=0),
     IF('Waste results'!$S$12&lt;&gt;"data missing", Calc!BC10*'Waste results'!$S$12, "data missing"),
   IF(AND(Calc!BC10=0,Calc!BE10=0),
     IF('Waste results'!$S$48&lt;&gt;"data missing", Calc!BD10*'Waste results'!$S$48, "data missing"),
   IF(AND(Calc!BC10=0,Calc!BD10=0),
     IF('Waste results'!$S$84&lt;&gt;"data missing", Calc!BE10*'Waste results'!$S$84, "data missing"),
   IF(Calc!BE10=0,
     IF(OR('Waste results'!$S$12&lt;&gt;"data missing", 'Waste results'!$S$48&lt;&gt;"data missing"), Calc!BC10*'Waste results'!$S$12+ Calc!BD10*'Waste results'!$S$48, "data missing"),
   IF(Calc!BD10=0,
     IF(OR('Waste results'!$S$12&lt;&gt;"data missing", 'Waste results'!$S$84&lt;&gt;"data missing"), Calc!BC10*'Waste results'!$S$12+ Calc!BE10*'Waste results'!$S$84, "data missing"),
   IF(Calc!BC10=0,
     IF(OR('Waste results'!$S$48&lt;&gt;"data missing", 'Waste results'!$S$84&lt;&gt;"data missing"), Calc!BD10*'Waste results'!$S$48+Calc!BE10*'Waste results'!$S$84, "data missing"),
   IF(OR('Waste results'!$S$12&lt;&gt;"data missing", 'Waste results'!$S$48&lt;&gt;"data missing", 'Waste results'!$S$84&lt;&gt;"data missing"), Calc!BC10*'Waste results'!$S$12+Calc!BD10*'Waste results'!$S$48+ Calc!BE10*'Waste results'!$S$84, "data missing")))))))))))</f>
        <v/>
      </c>
      <c r="D12" s="161" t="str">
        <f ca="1">IF(B12="","",
IF(Calc!BG10="","soil texture missing",
IF(OR(Calc!BG10="SL; SZL; ZL",Calc!BG10="SCL; CL; ZCL; SC; ZC; C"),VLOOKUP(Calc!BI10,'Fertiliser recommendations'!$A$4:$C$63,3,FALSE),
IF(Calc!BG10="S; LS",VLOOKUP(Calc!BI10,'Fertiliser recommendations'!$A$4:$C$63,3,FALSE)+VLOOKUP(Calc!BI10,'Fertiliser recommendations'!$A$4:$D$63,4,FALSE),
IF(Calc!BG10="10-25% OM",VLOOKUP(Calc!BI10,'Fertiliser recommendations'!$A$4:$C$63,3,FALSE)+VLOOKUP(Calc!BI10,'Fertiliser recommendations'!$A$4:$E$63,5,FALSE),
IF(Calc!BG10="&gt;25% OM",VLOOKUP(Calc!BI10,'Fertiliser recommendations'!$A$4:$C$63,3,FALSE)+VLOOKUP(Calc!BI10,'Fertiliser recommendations'!$A$4:$F$63,6,FALSE),
""))))))</f>
        <v/>
      </c>
      <c r="E12" s="91" t="str">
        <f t="shared" ca="1" si="0"/>
        <v/>
      </c>
      <c r="F12" s="9" t="str">
        <f ca="1">IF(B12="","",
IF(OR(C12="data missing",D12="soil texture missing"),"data missing",
IF(Calc!BF10=0,"n/a",
IF(C12&lt;0.1*D12,"no benefit",
IF(C12&lt;0.3*D12,"limited benefit",
IF(C12&gt;250,"exceeds limit",
IF(OR(AND(D12=0,C12&gt;75),C12&gt;1.25*D12),"excessive",
IF(D12=0, "no requirement",
"benefit"))))))))</f>
        <v/>
      </c>
      <c r="H12" s="91" t="str">
        <f ca="1">IF(B12="","",
IF(AND('Field information 2'!$O$5="", 'Field information 2'!$Q$5=""),
   IF('Waste results'!$S$17&lt;&gt;"data missing", Calc!BC10*'Waste results'!$S$17, "data missing"),
IF('Field information 2'!$Q$5="",
   IF(Calc!BD10=0,
     IF('Waste results'!$S$17&lt;&gt;"data missing", Calc!BC10*'Waste results'!$S$17, "data missing"),
   IF(Calc!BC10=0,
     IF('Waste results'!$S$53&lt;&gt;"data missing", Calc!BD10*'Waste results'!$S$53, "data missing"),
   IF(OR('Waste results'!$S$17&lt;&gt;"data missing", 'Waste results'!$S$53&lt;&gt;"data missing"), Calc!BC10*'Waste results'!$S$17+ Calc!BD10*'Waste results'!$S$53, "data missing"))),
IF(AND('Field information 2'!$M$5&lt;&gt;"", 'Field information 2'!$O$5&lt;&gt;"", 'Field information 2'!$Q$5&lt;&gt;""),
   IF(AND(Calc!BD10=0,Calc!BE10=0),
     IF('Waste results'!$S$17&lt;&gt;"data missing", Calc!BC10*'Waste results'!$S$17, "data missing"),
   IF(AND(Calc!BC10=0,Calc!BE10=0),
     IF('Waste results'!$S$53&lt;&gt;"data missing", Calc!BD10*'Waste results'!$S$53, "data missing"),
   IF(AND(Calc!BC10=0,Calc!BD10=0),
     IF('Waste results'!$S$89&lt;&gt;"data missing", Calc!BE10*'Waste results'!$S$89, "data missing"),
   IF(Calc!BE10=0,
     IF(OR('Waste results'!$S$17&lt;&gt;"data missing", 'Waste results'!$S$53&lt;&gt;"data missing"), Calc!BC10*'Waste results'!$S$17+ Calc!BD10*'Waste results'!$S$53, "data missing"),
   IF(Calc!BD10=0,
     IF(OR('Waste results'!$S$17&lt;&gt;"data missing", 'Waste results'!$S$89&lt;&gt;"data missing"), Calc!BC10*'Waste results'!$S$17+ Calc!BE10*'Waste results'!$S$89, "data missing"),
   IF(Calc!BC10=0,
     IF(OR('Waste results'!$S$53&lt;&gt;"data missing", 'Waste results'!$S$89&lt;&gt;"data missing"), Calc!BD10*'Waste results'!$S$53+Calc!BE10*'Waste results'!$S$89, "data missing"),
   IF(OR('Waste results'!$S$17&lt;&gt;"data missing", 'Waste results'!$S$53&lt;&gt;"data missing", 'Waste results'!$S$89&lt;&gt;"data missing"), Calc!BC10*'Waste results'!$S$17+Calc!BD10*'Waste results'!$S$53+ Calc!BE10*'Waste results'!$S$89, "data missing")))))))))))</f>
        <v/>
      </c>
      <c r="I12" s="195" t="str">
        <f ca="1">IF(B12="","",
IF(OR(ISBLANK('Soil results'!G15), ISBLANK('Soil results'!G$7)),"data missing",
IF(OR(AND('Soil results'!G$7="Olsen (ADAS)",'Soil results'!G15&lt;16),AND('Soil results'!G$7="modified Morgan (SAC)",'Soil results'!G15&lt;4.5)),50,100)))</f>
        <v/>
      </c>
      <c r="J12" s="49" t="str">
        <f ca="1">IF(B12="","",
IF(OR(ISBLANK('Soil results'!G$7),ISBLANK('Soil results'!G15)),"data missing",
IF(OR(AND('Soil results'!G$7="Olsen (ADAS)",'Soil results'!G15&gt;45),AND('Soil results'!G$7="modified Morgan (SAC)",'Soil results'!G15&gt;30)),0,
IF(OR(AND('Soil results'!G$7="Olsen (ADAS)",'Soil results'!G15&gt;=16,'Soil results'!G15&lt;=20),AND('Soil results'!G$7="modified Morgan (SAC)",'Soil results'!G15&gt;=4.5,'Soil results'!G15&lt;=9.4)),VLOOKUP(Calc!BI10,'Fertiliser recommendations'!$A$4:$I$63,9,FALSE),
IF(OR(AND('Soil results'!G$7="Olsen (ADAS)",'Soil results'!G15&lt;10),AND('Soil results'!G$7="modified Morgan (SAC)",'Soil results'!G15&lt;1.8)),VLOOKUP(Calc!BI10,'Fertiliser recommendations'!$A$4:$I$63,9,FALSE)+VLOOKUP(Calc!BI10,'Fertiliser recommendations'!$A$4:$J$63,10,FALSE),
IF(OR(AND('Soil results'!G$7="Olsen (ADAS)",'Soil results'!G15&lt;16),AND('Soil results'!G$7="modified Morgan (SAC)",'Soil results'!G15&lt;4.5)),VLOOKUP(Calc!BI10,'Fertiliser recommendations'!$A$4:$I$63,9,FALSE)+VLOOKUP(Calc!BI10,'Fertiliser recommendations'!$A$4:$K$63,11,FALSE),
IF(OR(AND('Soil results'!G$7="Olsen (ADAS)",'Soil results'!G15&lt;26),AND('Soil results'!G$7="modified Morgan (SAC)",'Soil results'!G15&lt;13.5)),VLOOKUP(Calc!BI10,'Fertiliser recommendations'!$A$4:$I$63,9,FALSE)+VLOOKUP(Calc!BI10,'Fertiliser recommendations'!$A$4:$L$63,12,FALSE),
IF(OR(AND('Soil results'!G$7="Olsen (ADAS)",'Soil results'!G15&lt;=45),AND('Soil results'!G$7="modified Morgan (SAC)",'Soil results'!G15&lt;=30)),VLOOKUP(Calc!BI10,'Fertiliser recommendations'!$A$4:$I$63,9,FALSE)+VLOOKUP(Calc!BI10,'Fertiliser recommendations'!$A$4:$M$63,13,FALSE),
""))))))))</f>
        <v/>
      </c>
      <c r="K12" s="161" t="str">
        <f t="shared" ca="1" si="1"/>
        <v/>
      </c>
      <c r="L12" s="47" t="str">
        <f ca="1">IF(OR(ISBLANK('Soil results'!G$7),ISBLANK('Soil results'!G15),B12="", H12="data missing"),"",
IF('Soil results'!G$7="Olsen (ADAS)",
IF(((H12*Calc!BM10/2.291-(VLOOKUP(Calc!BI10,'Fertiliser recommendations'!$A$4:$I$63,9,FALSE))/2.291)*10/(400/2.291)+'Soil results'!G15)&lt;10,"0 (VL)",
IF(((H12*Calc!BM10/2.291-(VLOOKUP(Calc!BI10,'Fertiliser recommendations'!$A$4:$I$63,9,FALSE))/2.291)*10/(400/2.291)+'Soil results'!G15)&lt;16,"1 (L)",
IF(((H12*Calc!BM10/2.291-(VLOOKUP(Calc!BI10,'Fertiliser recommendations'!$A$4:$I$63,9,FALSE))/2.291)*10/(400/2.291)+'Soil results'!G15)&lt;21,"2 (M-)",
IF(((H12*Calc!BM10/2.291-(VLOOKUP(Calc!BI10,'Fertiliser recommendations'!$A$4:$I$63,9,FALSE))/2.291)*10/(400/2.291)+'Soil results'!G15)&lt;26,"2 (M+)",
IF(((H12*Calc!BM10/2.291-(VLOOKUP(Calc!BI10,'Fertiliser recommendations'!$A$4:$I$63,9,FALSE))/2.291)*10/(400/2.291)+'Soil results'!G15)&lt;45,"3 (H)","&gt;3 (VH)"))))),
IF('Soil results'!G$7="modified Morgan (SAC)",
IF('Soil results'!G15&gt;=6,
IF(((H12*Calc!BM10/2.291-(VLOOKUP(Calc!BI10,'Fertiliser recommendations'!$A$4:$I$63,9,FALSE))/2.291)*5/(147/2.291)+'Soil results'!G15)&lt;9.5,"2 (M-)",
IF(((H12*Calc!BM10/2.291-(VLOOKUP(Calc!BI10,'Fertiliser recommendations'!$A$4:$I$63,9,FALSE))/2.291)*5/(147/2.291)+'Soil results'!G15)&lt;13.5,"2 (M+)",
IF(((H12*Calc!BM10/2.291-(VLOOKUP(Calc!BI10,'Fertiliser recommendations'!$A$4:$I$63,9,FALSE))/2.291)*5/(147/2.291)+'Soil results'!G15)&lt;30,"3 (H)","4 (VH)"))),
IF(((H12*Calc!BM10/2.291-(VLOOKUP(Calc!BI10,'Fertiliser recommendations'!$A$4:$I$63,9,FALSE))/2.291)*5/(346/2.291)+'Soil results'!G15)&lt;1.8,"0 (VL)",
IF(((H12*Calc!BM10/2.291-(VLOOKUP(Calc!BI10,'Fertiliser recommendations'!$A$4:$I$63,9,FALSE))/2.291)*5/(147/2.291)+'Soil results'!G15)&lt;4.5,"1 (L)","2 (M-)"))))))</f>
        <v/>
      </c>
      <c r="M12" s="9" t="str">
        <f ca="1">IF(B12="","",
IF(OR(H12="data missing",I12="data missing",J12="data missing"),"data missing",
IF(Calc!BF10=0,"n/a",
IF(OR(AND('Soil results'!G$7="Olsen (ADAS)",'Soil results'!G15&gt;45),AND('Soil results'!G$7="modified Morgan (SAC)",'Soil results'!G15&gt;30)),
IF(H12&gt;2,"too high, not acceptable","no requirement"),IF(OR(AND('Soil results'!G$7="Olsen (ADAS)",'Soil results'!G15&gt;25),AND('Soil results'!G$7="modified Morgan (SAC)",'Soil results'!G15&gt;13.4)),
IF(H12*(I12/100)&lt;0.1*J12,"no benefit",
IF(H12*(I12/100)&lt;0.3*J12,"limited benefit",
IF(H12*(I12/100)&lt;1.1*J12,"benefit",
IF(H12*(I12/100)&lt;0.7*VLOOKUP(Calc!BI10,'Fertiliser recommendations'!$A$4:$I$63,9,FALSE),"excessive","too high, not acceptable")))),
IF(OR(AND('Soil results'!G$7="Olsen (ADAS)",'Soil results'!G15&gt;20),AND('Soil results'!G$7="modified Morgan (SAC)",'Soil results'!G15&gt;9.4)),
IF(H12*Calc!BM10*(I12/100)&lt;0.1*J12,"no benefit",
IF(H12*Calc!BM10*(I12/100)&lt;0.3*J12,"limited benefit",
IF(H12*Calc!BM10*(I12/100)&lt;1.1*J12,"benefit",
IF(L12="3 (H)","too high, not acceptable","excessive")))),
IF(OR(AND('Soil results'!G$7="Olsen (ADAS)",'Soil results'!G15&gt;15),AND('Soil results'!G$7="modified Morgan (SAC)",'Soil results'!G15&gt;4.4)),
IF(H12*Calc!BM10*(I12/100)&lt;0.1*VLOOKUP(Calc!BI10,'Fertiliser recommendations'!$A$4:$I$63,9,FALSE),"no benefit",
IF(H12*Calc!BM10*(I12/100)&lt;0.3*VLOOKUP(Calc!BI10,'Fertiliser recommendations'!$A$4:$I$63,9,FALSE),"limited benefit",
IF(H12*Calc!BM10*(I12/100)&lt;1.1*VLOOKUP(Calc!BI10,'Fertiliser recommendations'!$A$4:$I$63,9,FALSE),"benefit",
IF(L12="3 (H)", "too high, not acceptable", "excessive")))),
IF(OR(AND('Soil results'!G$7="Olsen (ADAS)",'Soil results'!G15&lt;=15),AND('Soil results'!G$7="modified Morgan (SAC)",'Soil results'!G15&lt;=4.4)),
IF(H12*Calc!BM10*(I12/100)&lt;0.1*VLOOKUP(Calc!BI10,'Fertiliser recommendations'!$A$4:$I$63,9,FALSE),"no benefit",
IF(H12*Calc!BM10*(I12/100)&lt;0.3*VLOOKUP(Calc!BI10,'Fertiliser recommendations'!$A$4:$I$63,9,FALSE),"limited benefit",
IF(H12*Calc!BM10*(I12/100)&lt;1.1*J12,"benefit","excessive")))))))))))</f>
        <v/>
      </c>
      <c r="O12" s="91" t="str">
        <f ca="1">IF(B12="","",
IF(AND('Field information 2'!$O$5="", 'Field information 2'!$Q$5=""),
   IF('Waste results'!$S$19&lt;&gt;"data missing", Calc!BC10*'Waste results'!$S$19, "data missing"),
IF('Field information 2'!$Q$5="",
   IF(Calc!BD10=0,
     IF('Waste results'!$S$19&lt;&gt;"data missing", Calc!BC10*'Waste results'!$S$19, "data missing"),
   IF(Calc!BC10=0,
     IF('Waste results'!$S$55&lt;&gt;"data missing", Calc!BD10*'Waste results'!$S$55, "data missing"),
   IF(OR('Waste results'!$S$19&lt;&gt;"data missing", 'Waste results'!$S$55&lt;&gt;"data missing"), Calc!BC10*'Waste results'!$S$19+ Calc!BD10*'Waste results'!$S$55, "data missing"))),
IF(AND('Field information 2'!$M$5&lt;&gt;"", 'Field information 2'!$O$5&lt;&gt;"", 'Field information 2'!$Q$5&lt;&gt;""),
   IF(AND(Calc!BD10=0,Calc!BE10=0),
     IF('Waste results'!$S$19&lt;&gt;"data missing", Calc!BC10*'Waste results'!$S$19, "data missing"),
   IF(AND(Calc!BC10=0,Calc!BE10=0),
     IF('Waste results'!$S$55&lt;&gt;"data missing", Calc!BD10*'Waste results'!$S$55, "data missing"),
   IF(AND(Calc!BC10=0,Calc!BD10=0),
     IF('Waste results'!$S$91&lt;&gt;"data missing", Calc!BE10*'Waste results'!$S$91, "data missing"),
   IF(Calc!BE10=0,
     IF(OR('Waste results'!$S$19&lt;&gt;"data missing", 'Waste results'!$S$55&lt;&gt;"data missing"), Calc!BC10*'Waste results'!$S$19+ Calc!BD10*'Waste results'!$S$55, "data missing"),
   IF(Calc!BD10=0,
     IF(OR('Waste results'!$S$19&lt;&gt;"data missing", 'Waste results'!$S$91&lt;&gt;"data missing"), Calc!BC10*'Waste results'!$S$19+ Calc!BE10*'Waste results'!$S$91, "data missing"),
   IF(Calc!BC10=0,
     IF(OR('Waste results'!$S$55&lt;&gt;"data missing", 'Waste results'!$S$91&lt;&gt;"data missing"), Calc!BD10*'Waste results'!$S$55+Calc!BE10*'Waste results'!$S$91, "data missing"),
   IF(OR('Waste results'!$S$19&lt;&gt;"data missing", 'Waste results'!$S$55&lt;&gt;"data missing", 'Waste results'!$S$91&lt;&gt;"data missing"), Calc!BC10*'Waste results'!$S$19+Calc!BD10*'Waste results'!$S$55+ Calc!BE10*'Waste results'!$S$91, "data missing")))))))))))</f>
        <v/>
      </c>
      <c r="P12" s="91" t="str">
        <f ca="1">IF(B12="","",
IF(OR(ISBLANK('Soil results'!H$7),ISBLANK('Soil results'!H15)),"data missing",
IF(OR(AND('Soil results'!H$7="ammonium nitrate (ADAS)",'Soil results'!H15&gt;400),AND('Soil results'!H$7="modified Morgan (SAC)",'Soil results'!H15&gt;400)),0,
IF(OR(AND('Soil results'!H$7="ammonium nitrate (ADAS)",'Soil results'!H15&gt;=121,'Soil results'!H15&lt;=180),AND('Soil results'!H$7="modified Morgan (SAC)",'Soil results'!H15&gt;=76,'Soil results'!H15&lt;=140)),VLOOKUP(Calc!BI10,'Fertiliser recommendations'!$A$4:$Z$63,26,FALSE),
IF(OR(AND('Soil results'!H$7="ammonium nitrate (ADAS)",'Soil results'!H15&lt;61),AND('Soil results'!H$7="modified Morgan (SAC)",'Soil results'!H15&lt;40)),VLOOKUP(Calc!BI10,'Fertiliser recommendations'!$A$4:$Z$63,26,FALSE)+VLOOKUP(Calc!BI10,'Fertiliser recommendations'!$A$4:$AA$63,27,FALSE),
IF(OR(AND('Soil results'!H$7="ammonium nitrate (ADAS)",'Soil results'!H15&lt;121),AND('Soil results'!H$7="modified Morgan (SAC)",'Soil results'!H15&lt;76)),VLOOKUP(Calc!BI10,'Fertiliser recommendations'!$A$4:$Z$63,26,FALSE)+VLOOKUP(Calc!BI10,'Fertiliser recommendations'!$A$4:$AB$63,28,FALSE),
IF(OR(AND('Soil results'!H$7="ammonium nitrate (ADAS)",'Soil results'!H15&lt;241),AND('Soil results'!H$7="modified Morgan (SAC)",'Soil results'!H15&lt;201)),VLOOKUP(Calc!BI10,'Fertiliser recommendations'!$A$4:$Z$63,26,FALSE)+VLOOKUP(Calc!BI10,'Fertiliser recommendations'!$A$4:$AC$63,29,FALSE),
IF(OR(AND('Soil results'!H$7="ammonium nitrate (ADAS)",'Soil results'!H15&lt;=400),AND('Soil results'!H$7="modified Morgan (SAC)",'Soil results'!H15&lt;=400)),VLOOKUP(Calc!BI10,'Fertiliser recommendations'!$A$4:$Z$63,26,FALSE)+VLOOKUP(Calc!BI10,'Fertiliser recommendations'!$A$4:$AD$63,30,FALSE),
"??"))))))))</f>
        <v/>
      </c>
      <c r="Q12" s="91" t="str">
        <f t="shared" ca="1" si="2"/>
        <v/>
      </c>
      <c r="R12" s="9" t="str">
        <f ca="1">IF(B12="","",
IF(OR(O12="data missing",P12="data missing"),"data missing",
IF(Calc!BF10=0,"n/a",
IF(P12=0, "no requirement",
IF(O12&lt;0.1*P12,"no benefit",
IF(O12&lt;0.3*P12,"limited benefit",
IF(O12&gt;1.25*P12,"excessive",
"benefit")))))))</f>
        <v/>
      </c>
      <c r="T12" s="91" t="str">
        <f ca="1">IF(B12="","",
IF(AND('Field information 2'!$O$5="", 'Field information 2'!$Q$5=""),
   IF('Waste results'!$S$21&lt;&gt;"data missing", Calc!BC10*'Waste results'!$S$21, "data missing"),
IF('Field information 2'!$Q$5="",
   IF(Calc!BD10=0,
     IF('Waste results'!$S$21&lt;&gt;"data missing", Calc!BC10*'Waste results'!$S$21, "data missing"),
   IF(Calc!BC10=0,
     IF('Waste results'!$S$57&lt;&gt;"data missing", Calc!BD10*'Waste results'!$S$57, "data missing"),
   IF(OR('Waste results'!$S$21&lt;&gt;"data missing", 'Waste results'!$S$57&lt;&gt;"data missing"), Calc!BC10*'Waste results'!$S$21+ Calc!BD10*'Waste results'!$S$57, "data missing"))),
IF(AND('Field information 2'!$M$5&lt;&gt;"", 'Field information 2'!$O$5&lt;&gt;"", 'Field information 2'!$Q$5&lt;&gt;""),
   IF(AND(Calc!BD10=0,Calc!BE10=0),
     IF('Waste results'!$S$21&lt;&gt;"data missing", Calc!BC10*'Waste results'!$S$21, "data missing"),
   IF(AND(Calc!BC10=0,Calc!BE10=0),
     IF('Waste results'!$S$57&lt;&gt;"data missing", Calc!BD10*'Waste results'!$S$57, "data missing"),
   IF(AND(Calc!BC10=0,Calc!BD10=0),
     IF('Waste results'!$S$93&lt;&gt;"data missing", Calc!BE10*'Waste results'!$S$93, "data missing"),
   IF(Calc!BE10=0,
     IF(OR('Waste results'!$S$21&lt;&gt;"data missing", 'Waste results'!$S$57&lt;&gt;"data missing"), Calc!BC10*'Waste results'!$S$21+ Calc!BD10*'Waste results'!$S$57, "data missing"),
   IF(Calc!BD10=0,
     IF(OR('Waste results'!$S$21&lt;&gt;"data missing", 'Waste results'!$S$93&lt;&gt;"data missing"), Calc!BC10*'Waste results'!$S$21+ Calc!BE10*'Waste results'!$S$93, "data missing"),
   IF(Calc!BC10=0,
     IF(OR('Waste results'!$S$57&lt;&gt;"data missing", 'Waste results'!$S$93&lt;&gt;"data missing"), Calc!BD10*'Waste results'!$S$57+Calc!BE10*'Waste results'!$S$93, "data missing"),
   IF(OR('Waste results'!$S$21&lt;&gt;"data missing", 'Waste results'!$S$57&lt;&gt;"data missing", 'Waste results'!$S$93&lt;&gt;"data missing"), Calc!BC10*'Waste results'!$S$21+Calc!BD10*'Waste results'!$S$57+ Calc!BE10*'Waste results'!$S$93, "data missing")))))))))))</f>
        <v/>
      </c>
      <c r="U12" s="7" t="str">
        <f ca="1">IF(B12="","",
IF(OR(ISBLANK('Soil results'!I$7),ISBLANK('Soil results'!I15)),"data missing",
IF(OR(AND('Soil results'!I$7="ammonium nitrate (ADAS)",'Soil results'!I15&gt;51),AND('Soil results'!I$7="modified Morgan (SAC)",'Soil results'!I15&gt;61)),0,
IF(OR(AND('Soil results'!I$7="ammonium nitrate (ADAS)",'Soil results'!I15&lt;25),AND('Soil results'!I$7="modified Morgan (SAC)",'Soil results'!I15&lt;19)),VLOOKUP(Calc!BI10,'Fertiliser recommendations'!$A$4:$AH$63,34,FALSE),
IF(OR(AND('Soil results'!I$7="ammonium nitrate (ADAS)",'Soil results'!I15&lt;=51),AND('Soil results'!I$7="modified Morgan (SAC)",'Soil results'!I15&lt;=61)),VLOOKUP(Calc!BI10,'Fertiliser recommendations'!$A$4:$AI$63,35,FALSE),
"")))))</f>
        <v/>
      </c>
      <c r="V12" s="91" t="str">
        <f t="shared" ca="1" si="3"/>
        <v/>
      </c>
      <c r="W12" s="9" t="str">
        <f ca="1">IF(B12="","",
IF(OR(T12="data missing",U12="data missing"),"data missing",
IF(Calc!BF10=0,"n/a",
IF(U12=0,"no requirement",
IF(T12&lt;0.1*U12,"no benefit",
IF(T12&lt;0.3*U12,"limited benefit",
IF(OR(T12&gt;1.5*U12,AND(Calc!BJ10="g",T12&gt;100)),"excessive",
"benefit")))))))</f>
        <v/>
      </c>
      <c r="Y12" s="91" t="str">
        <f ca="1">IF(B12="","",
IF(AND('Field information 2'!$O$5="", 'Field information 2'!$Q$5=""),
   IF('Waste results'!$P$23&lt;&gt;"", Calc!BC10*'Waste results'!$P$23, "no data"),
IF('Field information 2'!$Q$5="",
   IF(Calc!BD10=0,
     IF('Waste results'!$P$23&lt;&gt;"", Calc!BC10*'Waste results'!$P$23, "no data"),
   IF(Calc!BC10=0,
     IF('Waste results'!$P$59&lt;&gt;"", Calc!BD10*'Waste results'!$P$59, "no data"),
   IF(OR('Waste results'!$P$23&lt;&gt;"", 'Waste results'!$P$59&lt;&gt;""), Calc!BC10*'Waste results'!$P$23+ Calc!BD10*'Waste results'!$P$59, "no data"))),
IF(AND('Field information 2'!$M$5&lt;&gt;"", 'Field information 2'!$O$5&lt;&gt;"", 'Field information 2'!$Q$5&lt;&gt;""),
   IF(AND(Calc!BD10=0,Calc!BE10=0),
     IF('Waste results'!$P$23&lt;&gt;"", Calc!BC10*'Waste results'!$P$23, "no data"),
   IF(AND(Calc!BC10=0,Calc!BE10=0),
     IF('Waste results'!$P$59&lt;&gt;"", Calc!BD10*'Waste results'!$P$59, "no data"),
   IF(AND(Calc!BC10=0,Calc!BD10=0),
     IF('Waste results'!$P$95&lt;&gt;"", Calc!BE10*'Waste results'!$P$95, "no data"),
   IF(Calc!BE10=0,
     IF(OR('Waste results'!$P$23&lt;&gt;"", 'Waste results'!$P$59&lt;&gt;""), Calc!BC10*'Waste results'!$P$23+ Calc!BD10*'Waste results'!$P$59, "no data"),
   IF(Calc!BD10=0,
     IF(OR('Waste results'!$P$23&lt;&gt;"", 'Waste results'!$P$95&lt;&gt;""), Calc!BC10*'Waste results'!$P$23+ Calc!BE10*'Waste results'!$P$95, "no data"),
   IF(Calc!BC10=0,
     IF(OR('Waste results'!$P$59&lt;&gt;"", 'Waste results'!$P$95&lt;&gt;""), Calc!BD10*'Waste results'!$P$59+Calc!BE10*'Waste results'!$P$95, "no data"),
   IF(OR('Waste results'!$P$23&lt;&gt;"", 'Waste results'!$P$59&lt;&gt;"", 'Waste results'!$P$95&lt;&gt;""), Calc!BC10*'Waste results'!$P$23+Calc!BD10*'Waste results'!$P$59+ Calc!BE10*'Waste results'!$P$95, "no data")))))))))))</f>
        <v/>
      </c>
      <c r="Z12" s="7" t="str">
        <f ca="1">IF(OR(ISBLANK('Soil results'!I$7),ISBLANK('Soil results'!I15),'Soil results'!B15=""),"",
VLOOKUP(Calc!BI10,'Fertiliser recommendations'!$A$4:$AM$63,39,FALSE))</f>
        <v/>
      </c>
      <c r="AA12" s="91" t="str">
        <f t="shared" ca="1" si="4"/>
        <v/>
      </c>
      <c r="AB12" s="9" t="str">
        <f t="shared" ca="1" si="5"/>
        <v/>
      </c>
      <c r="AD12" s="48" t="str">
        <f>IF(ISBLANK('Soil results'!F15),"",'Soil results'!F15)</f>
        <v/>
      </c>
      <c r="AE12" s="49" t="str">
        <f ca="1">IF(B12="","",
IF(AND(Calc!BJ10="g", VLOOKUP(LEFT($B12,LEN($B12)-2),'Field information 2'!$B$12:$P$111,9,FALSE)&lt;&gt;"yes"),
 IF(Calc!BG10="10-25% OM", 5.9, IF(Calc!BG10="&gt;25% OM", 5.5, 6.2)),
IF(OR(Calc!BJ10="a", VLOOKUP(LEFT($B12,LEN($B12)-2),'Field information 2'!$B$12:$P$111,9,FALSE)="yes"),
 IF(Calc!BG10="10-25% OM", 6.4, IF(Calc!BG10="&gt;25% OM", 6, 6.7)), "")))</f>
        <v/>
      </c>
      <c r="AF12" s="91" t="str">
        <f ca="1">IF(B12="","",
IF('Waste results'!$Q$33="","no (significant) liming properties",
IF('Waste results'!Q$33&gt;100,"no (significant) liming properties",
IF(AD12="","",
IF(AD12&gt;=AE12,0,ROUNDDOWN((AE12-AD12)*Calc!BK10*'Waste results'!$Q$33+0.2,0))))))</f>
        <v/>
      </c>
      <c r="AG12" s="9" t="str">
        <f ca="1">IF(B12="","",
IF(T12=0,"n/a",
IF(AD12="","data missing",
IF(AND(AD12&lt;5,AF12="no (significant) liming properties"),"no waste application - pH too low",
IF(AND(AD12&gt;5.1,AF12="no (significant) liming properties",Calc!BH10&gt;25, LEFT(Calc!BI10,4)="graz"),"ok",
IF(AND(AD12&lt;=5.2,AF12="no (significant) liming properties"),"liming highly recommended",
IF(AF12=0,"no waste application - liming not required",
IF(AF12&lt;Calc!BC10,"application rate too high - exceeds liming requirement",
"ok"))))))))</f>
        <v/>
      </c>
      <c r="AI12" s="91" t="str">
        <f ca="1">IF(B12="","",
IF(AND('Field information 2'!$O$5="", 'Field information 2'!$Q$5=""),
   IF('Waste results'!$P$10&lt;&gt;"data missing", Calc!BC10*'Waste results'!$P$10, "data missing"),
IF('Field information 2'!$Q$5="",
   IF(Calc!BD10=0,
     IF('Waste results'!$P$10&lt;&gt;"data missing", Calc!BC10*'Waste results'!$P$10, "data missing"),
   IF(Calc!BC10=0,
     IF('Waste results'!$P$45&lt;&gt;"data missing", Calc!BD10*'Waste results'!$P$45, "data missing"),
   IF(OR('Waste results'!$P$10&lt;&gt;"data missing", 'Waste results'!$P$45&lt;&gt;"data missing"), Calc!BC10*'Waste results'!$P$10+ Calc!BD10*'Waste results'!$P$45, "data missing"))),
IF(AND('Field information 2'!$M$5&lt;&gt;"", 'Field information 2'!$O$5&lt;&gt;"", 'Field information 2'!$Q$5&lt;&gt;""),
   IF(AND(Calc!BD10=0,Calc!BE10=0),
     IF('Waste results'!$P$10&lt;&gt;"data missing", Calc!BC10*'Waste results'!$P$10, "data missing"),
   IF(AND(Calc!BC10=0,Calc!BE10=0),
     IF('Waste results'!$P$45&lt;&gt;"data missing", Calc!BD10*'Waste results'!$P$45, "data missing"),
   IF(AND(Calc!BC10=0,Calc!BD10=0),
     IF('Waste results'!$P$82&lt;&gt;"data missing", Calc!BE10*'Waste results'!$P$82, "data missing"),
   IF(Calc!BE10=0,
     IF(OR('Waste results'!$P$10&lt;&gt;"data missing", 'Waste results'!$P$45&lt;&gt;"data missing"), Calc!BC10*'Waste results'!$P$10+ Calc!BD10*'Waste results'!$P$45, "data missing"),
   IF(Calc!BD10=0,
     IF(OR('Waste results'!$P$10&lt;&gt;"data missing", 'Waste results'!$P$82&lt;&gt;"data missing"), Calc!BC10*'Waste results'!$P$10+ Calc!BE10*'Waste results'!$P$82, "data missing"),
   IF(Calc!BC10=0,
     IF(OR('Waste results'!$P$45&lt;&gt;"data missing", 'Waste results'!$P$82&lt;&gt;"data missing"), Calc!BD10*'Waste results'!$P$45+Calc!BE10*'Waste results'!$P$82, "data missing"),
   IF(OR('Waste results'!$P$10&lt;&gt;"data missing", 'Waste results'!$P$45&lt;&gt;"data missing", 'Waste results'!$P$82&lt;&gt;"data missing"), Calc!BC10*'Waste results'!$P$10+Calc!BD10*'Waste results'!$P$45+ Calc!BE10*'Waste results'!$P$82, "data missing")))))))))))</f>
        <v/>
      </c>
      <c r="AJ12" s="237" t="str">
        <f ca="1">IF(B12="","",
IF(AI12="data missing","data missing",
IF(Calc!BF10=0,"n/a",
IF(AND(Calc!BH10&gt;=8,AI12&lt;500),"no benefit",
IF(OR(AND(Calc!BH10&lt;=4,AI12&gt;=500),AND(Calc!BH10&lt;8,AI12&gt;5000)),"benefit",
"limited benefit")))))</f>
        <v/>
      </c>
      <c r="AL12" s="238" t="str">
        <f ca="1">IF(B12="","",
IF(AND('Field information 2'!$O$5="", 'Field information 2'!$Q$5=""),
   IF('Waste results'!$S$25&lt;&gt;"data missing", Calc!BC10*'Waste results'!$S$25, "data missing"),
IF('Field information 2'!$Q$5="",
   IF(Calc!BD10=0,
     IF('Waste results'!$S$25&lt;&gt;"data missing", Calc!BC10*'Waste results'!$S$25, "data missing"),
   IF(Calc!BC10=0,
     IF('Waste results'!$S$61&lt;&gt;"data missing", Calc!BD10*'Waste results'!$S$61, "data missing"),
   IF(OR('Waste results'!$S$25&lt;&gt;"data missing", 'Waste results'!$S$61&lt;&gt;"data missing"), Calc!BC10*'Waste results'!$S$25+ Calc!BD10*'Waste results'!$S$61, "data missing"))),
IF(AND('Field information 2'!$M$5&lt;&gt;"", 'Field information 2'!$O$5&lt;&gt;"", 'Field information 2'!$Q$5&lt;&gt;""),
   IF(AND(Calc!BD10=0,Calc!BE10=0),
     IF('Waste results'!$S$25&lt;&gt;"data missing", Calc!BC10*'Waste results'!$S$25, "data missing"),
   IF(AND(Calc!BC10=0,Calc!BE10=0),
     IF('Waste results'!$S$61&lt;&gt;"data missing", Calc!BD10*'Waste results'!$S$61, "data missing"),
   IF(AND(Calc!BC10=0,Calc!BD10=0),
     IF('Waste results'!$S$97&lt;&gt;"data missing", Calc!BE10*'Waste results'!$S$97, "data missing"),
   IF(Calc!BE10=0,
     IF(OR('Waste results'!$S$25&lt;&gt;"data missing", 'Waste results'!$S$61&lt;&gt;"data missing"), Calc!BC10*'Waste results'!$S$25+ Calc!BD10*'Waste results'!$S$61, "data missing"),
   IF(Calc!BD10=0,
     IF(OR('Waste results'!$S$25&lt;&gt;"data missing", 'Waste results'!$S$97&lt;&gt;"data missing"), Calc!BC10*'Waste results'!$S$25+ Calc!BE10*'Waste results'!$S$97, "data missing"),
   IF(Calc!BC10=0,
     IF(OR('Waste results'!$S$61&lt;&gt;"data missing", 'Waste results'!$S$97&lt;&gt;"data missing"), Calc!BD10*'Waste results'!$S$61+Calc!BE10*'Waste results'!$S$97, "data missing"),
   IF(OR('Waste results'!$S$25&lt;&gt;"data missing", 'Waste results'!$S$61&lt;&gt;"data missing", 'Waste results'!$S$97&lt;&gt;"data missing"), Calc!BC10*'Waste results'!$S$25+Calc!BD10*'Waste results'!$S$61+ Calc!BE10*'Waste results'!$S$97, "data missing")))))))))))</f>
        <v/>
      </c>
      <c r="AM12" s="239" t="str">
        <f ca="1">IF($B12="","",
IF(ISBLANK('Soil results'!K15),"data missing",'Soil results'!K15))</f>
        <v/>
      </c>
      <c r="AN12" s="239" t="str">
        <f t="shared" ca="1" si="6"/>
        <v/>
      </c>
      <c r="AO12" s="9" t="str">
        <f t="shared" ca="1" si="7"/>
        <v/>
      </c>
      <c r="AQ12" s="240" t="str">
        <f ca="1">IF(B12="","",
IF(AND('Field information 2'!$O$5="", 'Field information 2'!$Q$5=""),
   IF('Waste results'!$S$26&lt;&gt;"data missing", Calc!BC10*'Waste results'!$S$26, "data missing"),
IF('Field information 2'!$Q$5="",
   IF(Calc!BD10=0,
     IF('Waste results'!$S$26&lt;&gt;"data missing", Calc!BC10*'Waste results'!$S$26, "data missing"),
   IF(Calc!BC10=0,
     IF('Waste results'!$S$62&lt;&gt;"data missing", Calc!BD10*'Waste results'!$S$62, "data missing"),
   IF(OR('Waste results'!$S$26&lt;&gt;"data missing", 'Waste results'!$S$62&lt;&gt;"data missing"), Calc!BC10*'Waste results'!$S$26+ Calc!BD10*'Waste results'!$S$62, "data missing"))),
IF(AND('Field information 2'!$M$5&lt;&gt;"", 'Field information 2'!$O$5&lt;&gt;"", 'Field information 2'!$Q$5&lt;&gt;""),
   IF(AND(Calc!BD10=0,Calc!BE10=0),
     IF('Waste results'!$S$26&lt;&gt;"data missing", Calc!BC10*'Waste results'!$S$26, "data missing"),
   IF(AND(Calc!BC10=0,Calc!BE10=0),
     IF('Waste results'!$S$62&lt;&gt;"data missing", Calc!BD10*'Waste results'!$S$62, "data missing"),
   IF(AND(Calc!BC10=0,Calc!BD10=0),
     IF('Waste results'!$S$98&lt;&gt;"data missing", Calc!BE10*'Waste results'!$S$98, "data missing"),
   IF(Calc!BE10=0,
     IF(OR('Waste results'!$S$26&lt;&gt;"data missing", 'Waste results'!$S$62&lt;&gt;"data missing"), Calc!BC10*'Waste results'!$S$26+ Calc!BD10*'Waste results'!$S$62, "data missing"),
   IF(Calc!BD10=0,
     IF(OR('Waste results'!$S$26&lt;&gt;"data missing", 'Waste results'!$S$98&lt;&gt;"data missing"), Calc!BC10*'Waste results'!$S$26+ Calc!BE10*'Waste results'!$S$98, "data missing"),
   IF(Calc!BC10=0,
     IF(OR('Waste results'!$S$62&lt;&gt;"data missing", 'Waste results'!$S$98&lt;&gt;"data missing"), Calc!BD10*'Waste results'!$S$62+Calc!BE10*'Waste results'!$S$98, "data missing"),
   IF(OR('Waste results'!$S$26&lt;&gt;"data missing", 'Waste results'!$S$62&lt;&gt;"data missing", 'Waste results'!$S$98&lt;&gt;"data missing"), Calc!BC10*'Waste results'!$S$26+Calc!BD10*'Waste results'!$S$62+ Calc!BE10*'Waste results'!$S$98, "data missing")))))))))))</f>
        <v/>
      </c>
      <c r="AR12" s="241" t="str">
        <f ca="1">IF($B12="","",
IF(ISBLANK('Soil results'!L15),"data missing",'Soil results'!L15))</f>
        <v/>
      </c>
      <c r="AS12" s="241" t="str">
        <f t="shared" ca="1" si="8"/>
        <v/>
      </c>
      <c r="AT12" s="66" t="str">
        <f t="shared" ca="1" si="9"/>
        <v/>
      </c>
      <c r="AV12" s="238" t="str">
        <f ca="1">IF(B12="","",
IF(AND('Field information 2'!$O$5="", 'Field information 2'!$Q$5=""),
   IF('Waste results'!$S$27&lt;&gt;"data missing", Calc!BC10*'Waste results'!$S$27, "data missing"),
IF('Field information 2'!$Q$5="",
   IF(Calc!BD10=0,
     IF('Waste results'!$S$27&lt;&gt;"data missing", Calc!BC10*'Waste results'!$S$27, "data missing"),
   IF(Calc!BC10=0,
     IF('Waste results'!$S$63&lt;&gt;"data missing", Calc!BD10*'Waste results'!$S$63, "data missing"),
   IF(OR('Waste results'!$S$27&lt;&gt;"data missing", 'Waste results'!$S$63&lt;&gt;"data missing"), Calc!BC10*'Waste results'!$S$27+ Calc!BD10*'Waste results'!$S$63, "data missing"))),
IF(AND('Field information 2'!$M$5&lt;&gt;"", 'Field information 2'!$O$5&lt;&gt;"", 'Field information 2'!$Q$5&lt;&gt;""),
   IF(AND(Calc!BD10=0,Calc!BE10=0),
     IF('Waste results'!$S$27&lt;&gt;"data missing", Calc!BC10*'Waste results'!$S$27, "data missing"),
   IF(AND(Calc!BC10=0,Calc!BE10=0),
     IF('Waste results'!$S$63&lt;&gt;"data missing", Calc!BD10*'Waste results'!$S$63, "data missing"),
   IF(AND(Calc!BC10=0,Calc!BD10=0),
     IF('Waste results'!$S$99&lt;&gt;"data missing", Calc!BE10*'Waste results'!$S$99, "data missing"),
   IF(Calc!BE10=0,
     IF(OR('Waste results'!$S$27&lt;&gt;"data missing", 'Waste results'!$S$63&lt;&gt;"data missing"), Calc!BC10*'Waste results'!$S$27+ Calc!BD10*'Waste results'!$S$63, "data missing"),
   IF(Calc!BD10=0,
     IF(OR('Waste results'!$S$27&lt;&gt;"data missing", 'Waste results'!$S$99&lt;&gt;"data missing"), Calc!BC10*'Waste results'!$S$27+ Calc!BE10*'Waste results'!$S$99, "data missing"),
   IF(Calc!BC10=0,
     IF(OR('Waste results'!$S$63&lt;&gt;"data missing", 'Waste results'!$S$99&lt;&gt;"data missing"), Calc!BD10*'Waste results'!$S$63+Calc!BE10*'Waste results'!$S$99, "data missing"),
   IF(OR('Waste results'!$S$27&lt;&gt;"data missing", 'Waste results'!$S$63&lt;&gt;"data missing", 'Waste results'!$S$99&lt;&gt;"data missing"), Calc!BC10*'Waste results'!$S$27+Calc!BD10*'Waste results'!$S$63+ Calc!BE10*'Waste results'!$S$99, "data missing")))))))))))</f>
        <v/>
      </c>
      <c r="AW12" s="239" t="str">
        <f ca="1">IF($B12="","",
IF(ISBLANK('Soil results'!M15),"data missing",'Soil results'!M15))</f>
        <v/>
      </c>
      <c r="AX12" s="239" t="str">
        <f t="shared" ca="1" si="10"/>
        <v/>
      </c>
      <c r="AY12" s="9" t="str">
        <f ca="1">IF(B12="","",
IF(AV12=0,"n/a",
IF(OR(AV12="data missing",AW12="data missing"),"data missing",
IF(AV12&gt;7.5,"application rate too high - permissible rate exceeds limit",
IF('Soil results'!$F15&lt;=5.5,
  IF(AW12&gt;80,"no application - soil conc. already above limit",
  IF(AX12&gt;80,"application rate too high - soil conc. will exceed limit",
  IF(AW12&gt;80*0.9,"soil conc. is at or above 90% of the limit",
  IF(10*AV12*1000/3000+AW12&gt;80,"soil limit likely to be exceeded in 10yrs",
  IF(50*AV12*1000/3000+AW12&gt;80,"soil limit likely to be exceeded in 50yrs","ok"))))),
IF('Soil results'!$F15&lt;=6,
  IF(AW12&gt;100,"no application - soil conc. already above limit",
  IF(AX12&gt;100,"application rate too high - soil conc. will exceed limit",
  IF(AW12&gt;100*0.9,"soil conc. is at or above 90% of the limit",
  IF(10*AV12*1000/3000+AW12&gt;100,"soil limit likely to be exceeded in 10yrs",
  IF(50*AV12*1000/3000+AW12&gt;100,"soil limit likely to be exceeded in 50yrs","ok"))))),
IF('Soil results'!$F15&lt;=7,
  IF(AW12&gt;135,"no application - soil conc. already above limit",
  IF(AX12&gt;135,"application rate too high - soil conc. will exceed limit",
  IF(AW12&gt;135*0.9,"soil conc. is at or above 90% of the limit",
  IF(10*AV12*1000/3000+AW12&gt;135,"soil limit likely to be exceeded in 10yrs",
  IF(50*AV12*1000/3000+AW12&gt;135,"soil limit likely to be exceeded in 50yrs","ok"))))),
IF('Soil results'!$F15&gt;7,
  IF(AW12&gt;200,"no application - soil conc. already above limit",
  IF(AX12&gt;200,"application too high - soil conc. will exceed limit",
  IF(AW12&gt;200*0.9,"soil conc. is at or above 90% of the limit",
  IF(10*AV12*1000/3000+AW12&gt;200,"soil limit likely to be exceeded in 10yrs",
  IF(50*AV12*1000/3000+AW12&gt;200,"soil limit likely to be exceeded in 50yrs","ok")))))
))))))))</f>
        <v/>
      </c>
      <c r="BA12" s="238" t="str">
        <f ca="1">IF(B12="","",
IF(AND('Field information 2'!$O$5="", 'Field information 2'!$Q$5=""),
   IF('Waste results'!$S$28&lt;&gt;"data missing", Calc!BC10*'Waste results'!$S$28, "data missing"),
IF('Field information 2'!$Q$5="",
   IF(Calc!BD10=0,
     IF('Waste results'!$S$28&lt;&gt;"data missing", Calc!BC10*'Waste results'!$S$28, "data missing"),
   IF(Calc!BC10=0,
     IF('Waste results'!$S$64&lt;&gt;"data missing", Calc!BD10*'Waste results'!$S$64, "data missing"),
   IF(OR('Waste results'!$S$28&lt;&gt;"data missing", 'Waste results'!$S$64&lt;&gt;"data missing"), Calc!BC10*'Waste results'!$S$28+ Calc!BD10*'Waste results'!$S$64, "data missing"))),
IF(AND('Field information 2'!$M$5&lt;&gt;"", 'Field information 2'!$O$5&lt;&gt;"", 'Field information 2'!$Q$5&lt;&gt;""),
   IF(AND(Calc!BD10=0,Calc!BE10=0),
     IF('Waste results'!$S$28&lt;&gt;"data missing", Calc!BC10*'Waste results'!$S$28, "data missing"),
   IF(AND(Calc!BC10=0,Calc!BE10=0),
     IF('Waste results'!$S$64&lt;&gt;"data missing", Calc!BD10*'Waste results'!$S$64, "data missing"),
   IF(AND(Calc!BC10=0,Calc!BD10=0),
     IF('Waste results'!$S$100&lt;&gt;"data missing", Calc!BE10*'Waste results'!$S$100, "data missing"),
   IF(Calc!BE10=0,
     IF(OR('Waste results'!$S$28&lt;&gt;"data missing", 'Waste results'!$S$64&lt;&gt;"data missing"), Calc!BC10*'Waste results'!$S$28+ Calc!BD10*'Waste results'!$S$64, "data missing"),
   IF(Calc!BD10=0,
     IF(OR('Waste results'!$S$28&lt;&gt;"data missing", 'Waste results'!$S$100&lt;&gt;"data missing"), Calc!BC10*'Waste results'!$S$28+ Calc!BE10*'Waste results'!$S$100, "data missing"),
   IF(Calc!BC10=0,
     IF(OR('Waste results'!$S$64&lt;&gt;"data missing", 'Waste results'!$S$100&lt;&gt;"data missing"), Calc!BD10*'Waste results'!$S$64+Calc!BE10*'Waste results'!$S$100, "data missing"),
   IF(OR('Waste results'!$S$28&lt;&gt;"data missing", 'Waste results'!$S$64&lt;&gt;"data missing", 'Waste results'!$S$100&lt;&gt;"data missing"), Calc!BC10*'Waste results'!$S$28+Calc!BD10*'Waste results'!$S$64+ Calc!BE10*'Waste results'!$S$100, "data missing")))))))))))</f>
        <v/>
      </c>
      <c r="BB12" s="239" t="str">
        <f ca="1">IF($B12="","",
IF(ISBLANK('Soil results'!N15),"data missing",'Soil results'!N15))</f>
        <v/>
      </c>
      <c r="BC12" s="239" t="str">
        <f t="shared" ca="1" si="11"/>
        <v/>
      </c>
      <c r="BD12" s="9" t="str">
        <f t="shared" ca="1" si="12"/>
        <v/>
      </c>
      <c r="BF12" s="238" t="str">
        <f ca="1">IF(B12="","",
IF(AND('Field information 2'!$O$5="", 'Field information 2'!$Q$5=""),
   IF('Waste results'!$S$29&lt;&gt;"data missing", Calc!BC10*'Waste results'!$S$29, "data missing"),
IF('Field information 2'!$Q$5="",
   IF(Calc!BD10=0,
     IF('Waste results'!$S$29&lt;&gt;"data missing", Calc!BC10*'Waste results'!$S$29, "data missing"),
   IF(Calc!BC10=0,
     IF('Waste results'!$S$65&lt;&gt;"data missing", Calc!BD10*'Waste results'!$S$65, "data missing"),
   IF(OR('Waste results'!$S$29&lt;&gt;"data missing", 'Waste results'!$S$65&lt;&gt;"data missing"), Calc!BC10*'Waste results'!$S$29+ Calc!BD10*'Waste results'!$S$65, "data missing"))),
IF(AND('Field information 2'!$M$5&lt;&gt;"", 'Field information 2'!$O$5&lt;&gt;"", 'Field information 2'!$Q$5&lt;&gt;""),
   IF(AND(Calc!BD10=0,Calc!BE10=0),
     IF('Waste results'!$S$29&lt;&gt;"data missing", Calc!BC10*'Waste results'!$S$29, "data missing"),
   IF(AND(Calc!BC10=0,Calc!BE10=0),
     IF('Waste results'!$S$65&lt;&gt;"data missing", Calc!BD10*'Waste results'!$S$65, "data missing"),
   IF(AND(Calc!BC10=0,Calc!BD10=0),
     IF('Waste results'!$S$101&lt;&gt;"data missing", Calc!BE10*'Waste results'!$S$101, "data missing"),
   IF(Calc!BE10=0,
     IF(OR('Waste results'!$S$29&lt;&gt;"data missing", 'Waste results'!$S$65&lt;&gt;"data missing"), Calc!BC10*'Waste results'!$S$29+ Calc!BD10*'Waste results'!$S$65, "data missing"),
   IF(Calc!BD10=0,
     IF(OR('Waste results'!$S$29&lt;&gt;"data missing", 'Waste results'!$S$101&lt;&gt;"data missing"), Calc!BC10*'Waste results'!$S$29+ Calc!BE10*'Waste results'!$S$101, "data missing"),
   IF(Calc!BC10=0,
     IF(OR('Waste results'!$S$65&lt;&gt;"data missing", 'Waste results'!$S$101&lt;&gt;"data missing"), Calc!BD10*'Waste results'!$S$65+Calc!BE10*'Waste results'!$S$101, "data missing"),
   IF(OR('Waste results'!$S$29&lt;&gt;"data missing", 'Waste results'!$S$65&lt;&gt;"data missing", 'Waste results'!$S$101&lt;&gt;"data missing"), Calc!BC10*'Waste results'!$S$29+Calc!BD10*'Waste results'!$S$65+ Calc!BE10*'Waste results'!$S$101, "data missing")))))))))))</f>
        <v/>
      </c>
      <c r="BG12" s="239" t="str">
        <f ca="1">IF($B12="","",
IF(ISBLANK('Soil results'!O15),"data missing",'Soil results'!O15))</f>
        <v/>
      </c>
      <c r="BH12" s="239" t="str">
        <f t="shared" ca="1" si="13"/>
        <v/>
      </c>
      <c r="BI12" s="9" t="str">
        <f ca="1">IF(B12="","",
IF(BF12=0,"n/a",
IF(OR(BF12="data missing",BG12="data missing"),"data missing",
IF(BF12&gt;3,"application rate too high - permissible rate exceeds limit",
IF('Soil results'!F15&lt;=5.5,
  IF(BG12&gt;50,"no application - soil conc. already above limit",
  IF(BH12&gt;50,"application rate too high - soil conc. will exceed limit",
  IF(BG12&gt;50*0.9,"soil conc. is at or above 90% of the limit",
  IF(10*BF12*1000/3000+BG12&gt;50,"soil limit likely to be exceeded in 10yrs",
  IF(50*BF12*1000/3000+BG12&gt;50,"soil limit likely to be exceeded in 50yrs","ok"))))),
IF('Soil results'!F15&lt;=6,
  IF(BG12&gt;60,"no application - soil conc. already above limit",
  IF(BH12&gt;60,"application rate too high - soil conc. will exceed limit",
  IF(BG12&gt;60*0.9,"soil conc. is at or above 90% of the limit",
  IF(10*BF12*1000/3000+BG12&gt;60,"soil limit likely to be exceeded in 10yrs",
  IF(50*BF12*1000/3000+BG12&gt;60,"soil limit likely to be exceeded in 50yrs","ok"))))),
IF('Soil results'!F15&lt;=7,
  IF(BG12&gt;75,"no application - soil conc. already above limit",
  IF(BH12&gt;75,"application rate too high - soil conc. will exceed limit",
  IF(BG12&gt;75*0.9,"soil conc. is at or above 90% of the limit",
  IF(10*BF12*1000/3000+BG12&gt;75,"soil limit likely to be exceeded in 10yrs",
  IF(50*BF12*1000/3000+BG12&gt;75,"soil limit likely to be exceeded in 50yrs","ok"))))),
IF('Soil results'!F15&gt;7,
  IF(BG12&gt;100,"no application - soil conc. already above limit",
  IF(BH12&gt;100,"application rate too high - soil conc. will exceed limit",
  IF(BG12&gt;100*0.9,"soil conc. is at or above 90% of the limit",
  IF(10*BF12*1000/3000+BG12&gt;100,"soil limit likely to be exceeded in 10yrs",
  IF(50*BF12*1000/3000+BG12&gt;100,"soil limit likely to beexceeded in 50yrs","ok")))))
))))))))</f>
        <v/>
      </c>
      <c r="BK12" s="240" t="str">
        <f ca="1">IF(B12="","",
IF(AND('Field information 2'!$O$5="", 'Field information 2'!$Q$5=""),
   IF('Waste results'!$S$30&lt;&gt;"data missing", Calc!BC10*'Waste results'!$S$30, "data missing"),
IF('Field information 2'!$Q$5="",
   IF(Calc!BD10=0,
     IF('Waste results'!$S$30&lt;&gt;"data missing", Calc!BC10*'Waste results'!$S$30, "data missing"),
   IF(Calc!BC10=0,
     IF('Waste results'!$S$66&lt;&gt;"data missing", Calc!BD10*'Waste results'!$S$66, "data missing"),
   IF(OR('Waste results'!$S$30&lt;&gt;"data missing", 'Waste results'!$S$66&lt;&gt;"data missing"), Calc!BC10*'Waste results'!$S$30+ Calc!BD10*'Waste results'!$S$66, "data missing"))),
IF(AND('Field information 2'!$M$5&lt;&gt;"", 'Field information 2'!$O$5&lt;&gt;"", 'Field information 2'!$Q$5&lt;&gt;""),
   IF(AND(Calc!BD10=0,Calc!BE10=0),
     IF('Waste results'!$S$30&lt;&gt;"data missing", Calc!BC10*'Waste results'!$S$30, "data missing"),
   IF(AND(Calc!BC10=0,Calc!BE10=0),
     IF('Waste results'!$S$66&lt;&gt;"data missing", Calc!BD10*'Waste results'!$S$66, "data missing"),
   IF(AND(Calc!BC10=0,Calc!BD10=0),
     IF('Waste results'!$S$102&lt;&gt;"data missing", Calc!BE10*'Waste results'!$S$102, "data missing"),
   IF(Calc!BE10=0,
     IF(OR('Waste results'!$S$30&lt;&gt;"data missing", 'Waste results'!$S$66&lt;&gt;"data missing"), Calc!BC10*'Waste results'!$S$30+ Calc!BD10*'Waste results'!$S$66, "data missing"),
   IF(Calc!BD10=0,
     IF(OR('Waste results'!$S$30&lt;&gt;"data missing", 'Waste results'!$S$102&lt;&gt;"data missing"), Calc!BC10*'Waste results'!$S$30+ Calc!BE10*'Waste results'!$S$102, "data missing"),
   IF(Calc!BC10=0,
     IF(OR('Waste results'!$S$66&lt;&gt;"data missing", 'Waste results'!$S$102&lt;&gt;"data missing"), Calc!BD10*'Waste results'!$S$66+Calc!BE10*'Waste results'!$S$102, "data missing"),
   IF(OR('Waste results'!$S$30&lt;&gt;"data missing", 'Waste results'!$S$66&lt;&gt;"data missing", 'Waste results'!$S$102&lt;&gt;"data missing"), Calc!BC10*'Waste results'!$S$30+Calc!BD10*'Waste results'!$S$66+ Calc!BE10*'Waste results'!$S$102, "data missing")))))))))))</f>
        <v/>
      </c>
      <c r="BL12" s="241" t="str">
        <f ca="1">IF($B12="","",
IF(ISBLANK('Soil results'!P15),"data missing",'Soil results'!P15))</f>
        <v/>
      </c>
      <c r="BM12" s="241" t="str">
        <f t="shared" ca="1" si="14"/>
        <v/>
      </c>
      <c r="BN12" s="66" t="str">
        <f t="shared" ca="1" si="15"/>
        <v/>
      </c>
      <c r="BP12" s="238" t="str">
        <f ca="1">IF(B12="","",
IF(AND('Field information 2'!$O$5="", 'Field information 2'!$Q$5=""),
   IF('Waste results'!$S$31&lt;&gt;"data missing", Calc!BC10*'Waste results'!$S$31, "data missing"),
IF('Field information 2'!$Q$5="",
   IF(Calc!BD10=0,
     IF('Waste results'!$S$31&lt;&gt;"data missing", Calc!BC10*'Waste results'!$S$31, "data missing"),
   IF(Calc!BC10=0,
     IF('Waste results'!$S$67&lt;&gt;"data missing", Calc!BD10*'Waste results'!$S$67, "data missing"),
   IF(OR('Waste results'!$S$31&lt;&gt;"data missing", 'Waste results'!$S$67&lt;&gt;"data missing"), Calc!BC10*'Waste results'!$S$31+ Calc!BD10*'Waste results'!$S$67, "data missing"))),
IF(AND('Field information 2'!$M$5&lt;&gt;"", 'Field information 2'!$O$5&lt;&gt;"", 'Field information 2'!$Q$5&lt;&gt;""),
   IF(AND(Calc!BD10=0,Calc!BE10=0),
     IF('Waste results'!$S$31&lt;&gt;"data missing", Calc!BC10*'Waste results'!$S$31, "data missing"),
   IF(AND(Calc!BC10=0,Calc!BE10=0),
     IF('Waste results'!$S$67&lt;&gt;"data missing", Calc!BD10*'Waste results'!$S$67, "data missing"),
   IF(AND(Calc!BC10=0,Calc!BD10=0),
     IF('Waste results'!$S$103&lt;&gt;"data missing", Calc!BE10*'Waste results'!$S$103, "data missing"),
   IF(Calc!BE10=0,
     IF(OR('Waste results'!$S$31&lt;&gt;"data missing", 'Waste results'!$S$67&lt;&gt;"data missing"), Calc!BC10*'Waste results'!$S$31+ Calc!BD10*'Waste results'!$S$67, "data missing"),
   IF(Calc!BD10=0,
     IF(OR('Waste results'!$S$31&lt;&gt;"data missing", 'Waste results'!$S$103&lt;&gt;"data missing"), Calc!BC10*'Waste results'!$S$31+ Calc!BE10*'Waste results'!$S$103, "data missing"),
   IF(Calc!BC10=0,
     IF(OR('Waste results'!$S$67&lt;&gt;"data missing", 'Waste results'!$S$103&lt;&gt;"data missing"), Calc!BD10*'Waste results'!$S$67+Calc!BE10*'Waste results'!$S$103, "data missing"),
   IF(OR('Waste results'!$S$31&lt;&gt;"data missing", 'Waste results'!$S$67&lt;&gt;"data missing", 'Waste results'!$S$103&lt;&gt;"data missing"), Calc!BC10*'Waste results'!$S$31+Calc!BD10*'Waste results'!$S$67+ Calc!BE10*'Waste results'!$S$103, "data missing")))))))))))</f>
        <v/>
      </c>
      <c r="BQ12" s="239" t="str">
        <f ca="1">IF($B12="","",
IF(ISBLANK('Soil results'!Q15),"data missing",'Soil results'!Q15))</f>
        <v/>
      </c>
      <c r="BR12" s="239" t="str">
        <f t="shared" ca="1" si="16"/>
        <v/>
      </c>
      <c r="BS12" s="9" t="str">
        <f ca="1">IF(B12="","",
IF(BP12=0,"n/a",
IF(OR(BP12="data missing",BQ12=""),"data missing",
IF(BP12&gt;15,"application rate too high - permissible rate exceeds limit",
IF('Soil results'!F15&lt;=5.5,
  IF(BQ12&gt;200,"no application - soil conc. already above limit",
  IF(BR12&gt;200,"application rate too high - soil conc. will exceed limit",
  IF(BQ12&gt;200*0.9,"soil conc. is at or above 90% of the limit",
  IF(10*BP12*1000/3000+BQ12&gt;200,"soil limit likely to be exceeded in 10yrs",
  IF(50*BP12*1000/3000+BQ12&gt;200,"soil limit likely to be exceeded in 50yrs","ok"))))),
IF('Soil results'!F15&lt;=6,
  IF(BQ12&gt;250,"no application - soil conc. already above limit",
  IF(BR12&gt;250,"application rate too high - soil conc. will exceed limit",
  IF(BQ12&gt;250*0.9,"soil conc. is at or above 90% of the limit",
  IF(10*BP12*1000/3000+BQ12&gt;250,"soil limit likely to be exceeded in 10yrs",
  IF(50*BP12*1000/3000+BQ12&gt;250,"soil limit likely to be exceeded in 50yrs","ok"))))),
IF('Soil results'!F15&lt;=7,
  IF(BQ12&gt;300,"no application - soil conc. already above limit",
  IF(BR12&gt;300,"application rate too high - soil conc. will exceed limit",
  IF(BQ12&gt;300*0.9,"soil conc. is at or above 90% of the limit",
  IF(10*BP12*1000/3000+BQ12&gt;300,"soil limit likey to be exceeded in 10yrs",
  IF(50*BP12*1000/3000+BQ12&gt;300,"soil limit likely to be exceeded in 50yrs","ok"))))),
IF('Soil results'!F15&gt;7,
  IF(BQ12&gt;450,"no application - soil conc. already above limit",
  IF(BR12&gt;450,"application rate too high - soil conc. will exceed limit",
  IF(AW12&gt;450*0.9,"soil conc. is at or above 90% of the limit",
  IF(10*BP12*1000/3000+BQ12&gt;450,"soil limit likely to be exceeded in 10yrs",
  IF(50*BP12*1000/3000+BQ12&gt;450,"soil limit likely to be exceeded in 50yrs","ok")))))
))))))))</f>
        <v/>
      </c>
    </row>
    <row r="13" spans="1:71" s="9" customFormat="1" x14ac:dyDescent="0.35">
      <c r="B13" s="236" t="str">
        <f ca="1">'Soil results'!B16</f>
        <v/>
      </c>
      <c r="C13" s="91" t="str">
        <f ca="1">IF(B13="","",
IF(AND('Field information 2'!$O$5="", 'Field information 2'!$Q$5=""),
   IF('Waste results'!$S$12&lt;&gt;"data missing", Calc!BC11*'Waste results'!$S$12, "data missing"),
IF('Field information 2'!$Q$5="",
   IF(Calc!BD11=0,
     IF('Waste results'!$S$12&lt;&gt;"data missing", Calc!BC11*'Waste results'!$S$12, "data missing"),
   IF(Calc!BC11=0,
     IF('Waste results'!$S$48&lt;&gt;"data missing", Calc!BD11*'Waste results'!$S$48, "data missing"),
   IF(OR('Waste results'!$S$12&lt;&gt;"data missing", 'Waste results'!$S$48&lt;&gt;"data missing"), Calc!BC11*'Waste results'!$S$12+ Calc!BD11*'Waste results'!$S$48, "data missing"))),
IF(AND('Field information 2'!$M$5&lt;&gt;"", 'Field information 2'!$O$5&lt;&gt;"", 'Field information 2'!$Q$5&lt;&gt;""),
   IF(AND(Calc!BD11=0,Calc!BE11=0),
     IF('Waste results'!$S$12&lt;&gt;"data missing", Calc!BC11*'Waste results'!$S$12, "data missing"),
   IF(AND(Calc!BC11=0,Calc!BE11=0),
     IF('Waste results'!$S$48&lt;&gt;"data missing", Calc!BD11*'Waste results'!$S$48, "data missing"),
   IF(AND(Calc!BC11=0,Calc!BD11=0),
     IF('Waste results'!$S$84&lt;&gt;"data missing", Calc!BE11*'Waste results'!$S$84, "data missing"),
   IF(Calc!BE11=0,
     IF(OR('Waste results'!$S$12&lt;&gt;"data missing", 'Waste results'!$S$48&lt;&gt;"data missing"), Calc!BC11*'Waste results'!$S$12+ Calc!BD11*'Waste results'!$S$48, "data missing"),
   IF(Calc!BD11=0,
     IF(OR('Waste results'!$S$12&lt;&gt;"data missing", 'Waste results'!$S$84&lt;&gt;"data missing"), Calc!BC11*'Waste results'!$S$12+ Calc!BE11*'Waste results'!$S$84, "data missing"),
   IF(Calc!BC11=0,
     IF(OR('Waste results'!$S$48&lt;&gt;"data missing", 'Waste results'!$S$84&lt;&gt;"data missing"), Calc!BD11*'Waste results'!$S$48+Calc!BE11*'Waste results'!$S$84, "data missing"),
   IF(OR('Waste results'!$S$12&lt;&gt;"data missing", 'Waste results'!$S$48&lt;&gt;"data missing", 'Waste results'!$S$84&lt;&gt;"data missing"), Calc!BC11*'Waste results'!$S$12+Calc!BD11*'Waste results'!$S$48+ Calc!BE11*'Waste results'!$S$84, "data missing")))))))))))</f>
        <v/>
      </c>
      <c r="D13" s="161" t="str">
        <f ca="1">IF(B13="","",
IF(Calc!BG11="","soil texture missing",
IF(OR(Calc!BG11="SL; SZL; ZL",Calc!BG11="SCL; CL; ZCL; SC; ZC; C"),VLOOKUP(Calc!BI11,'Fertiliser recommendations'!$A$4:$C$63,3,FALSE),
IF(Calc!BG11="S; LS",VLOOKUP(Calc!BI11,'Fertiliser recommendations'!$A$4:$C$63,3,FALSE)+VLOOKUP(Calc!BI11,'Fertiliser recommendations'!$A$4:$D$63,4,FALSE),
IF(Calc!BG11="10-25% OM",VLOOKUP(Calc!BI11,'Fertiliser recommendations'!$A$4:$C$63,3,FALSE)+VLOOKUP(Calc!BI11,'Fertiliser recommendations'!$A$4:$E$63,5,FALSE),
IF(Calc!BG11="&gt;25% OM",VLOOKUP(Calc!BI11,'Fertiliser recommendations'!$A$4:$C$63,3,FALSE)+VLOOKUP(Calc!BI11,'Fertiliser recommendations'!$A$4:$F$63,6,FALSE),
""))))))</f>
        <v/>
      </c>
      <c r="E13" s="91" t="str">
        <f t="shared" ca="1" si="0"/>
        <v/>
      </c>
      <c r="F13" s="9" t="str">
        <f ca="1">IF(B13="","",
IF(OR(C13="data missing",D13="soil texture missing"),"data missing",
IF(Calc!BF11=0,"n/a",
IF(C13&lt;0.1*D13,"no benefit",
IF(C13&lt;0.3*D13,"limited benefit",
IF(C13&gt;250,"exceeds limit",
IF(OR(AND(D13=0,C13&gt;75),C13&gt;1.25*D13),"excessive",
IF(D13=0, "no requirement",
"benefit"))))))))</f>
        <v/>
      </c>
      <c r="H13" s="91" t="str">
        <f ca="1">IF(B13="","",
IF(AND('Field information 2'!$O$5="", 'Field information 2'!$Q$5=""),
   IF('Waste results'!$S$17&lt;&gt;"data missing", Calc!BC11*'Waste results'!$S$17, "data missing"),
IF('Field information 2'!$Q$5="",
   IF(Calc!BD11=0,
     IF('Waste results'!$S$17&lt;&gt;"data missing", Calc!BC11*'Waste results'!$S$17, "data missing"),
   IF(Calc!BC11=0,
     IF('Waste results'!$S$53&lt;&gt;"data missing", Calc!BD11*'Waste results'!$S$53, "data missing"),
   IF(OR('Waste results'!$S$17&lt;&gt;"data missing", 'Waste results'!$S$53&lt;&gt;"data missing"), Calc!BC11*'Waste results'!$S$17+ Calc!BD11*'Waste results'!$S$53, "data missing"))),
IF(AND('Field information 2'!$M$5&lt;&gt;"", 'Field information 2'!$O$5&lt;&gt;"", 'Field information 2'!$Q$5&lt;&gt;""),
   IF(AND(Calc!BD11=0,Calc!BE11=0),
     IF('Waste results'!$S$17&lt;&gt;"data missing", Calc!BC11*'Waste results'!$S$17, "data missing"),
   IF(AND(Calc!BC11=0,Calc!BE11=0),
     IF('Waste results'!$S$53&lt;&gt;"data missing", Calc!BD11*'Waste results'!$S$53, "data missing"),
   IF(AND(Calc!BC11=0,Calc!BD11=0),
     IF('Waste results'!$S$89&lt;&gt;"data missing", Calc!BE11*'Waste results'!$S$89, "data missing"),
   IF(Calc!BE11=0,
     IF(OR('Waste results'!$S$17&lt;&gt;"data missing", 'Waste results'!$S$53&lt;&gt;"data missing"), Calc!BC11*'Waste results'!$S$17+ Calc!BD11*'Waste results'!$S$53, "data missing"),
   IF(Calc!BD11=0,
     IF(OR('Waste results'!$S$17&lt;&gt;"data missing", 'Waste results'!$S$89&lt;&gt;"data missing"), Calc!BC11*'Waste results'!$S$17+ Calc!BE11*'Waste results'!$S$89, "data missing"),
   IF(Calc!BC11=0,
     IF(OR('Waste results'!$S$53&lt;&gt;"data missing", 'Waste results'!$S$89&lt;&gt;"data missing"), Calc!BD11*'Waste results'!$S$53+Calc!BE11*'Waste results'!$S$89, "data missing"),
   IF(OR('Waste results'!$S$17&lt;&gt;"data missing", 'Waste results'!$S$53&lt;&gt;"data missing", 'Waste results'!$S$89&lt;&gt;"data missing"), Calc!BC11*'Waste results'!$S$17+Calc!BD11*'Waste results'!$S$53+ Calc!BE11*'Waste results'!$S$89, "data missing")))))))))))</f>
        <v/>
      </c>
      <c r="I13" s="195" t="str">
        <f ca="1">IF(B13="","",
IF(OR(ISBLANK('Soil results'!G16), ISBLANK('Soil results'!G$7)),"data missing",
IF(OR(AND('Soil results'!G$7="Olsen (ADAS)",'Soil results'!G16&lt;16),AND('Soil results'!G$7="modified Morgan (SAC)",'Soil results'!G16&lt;4.5)),50,100)))</f>
        <v/>
      </c>
      <c r="J13" s="49" t="str">
        <f ca="1">IF(B13="","",
IF(OR(ISBLANK('Soil results'!G$7),ISBLANK('Soil results'!G16)),"data missing",
IF(OR(AND('Soil results'!G$7="Olsen (ADAS)",'Soil results'!G16&gt;45),AND('Soil results'!G$7="modified Morgan (SAC)",'Soil results'!G16&gt;30)),0,
IF(OR(AND('Soil results'!G$7="Olsen (ADAS)",'Soil results'!G16&gt;=16,'Soil results'!G16&lt;=20),AND('Soil results'!G$7="modified Morgan (SAC)",'Soil results'!G16&gt;=4.5,'Soil results'!G16&lt;=9.4)),VLOOKUP(Calc!BI11,'Fertiliser recommendations'!$A$4:$I$63,9,FALSE),
IF(OR(AND('Soil results'!G$7="Olsen (ADAS)",'Soil results'!G16&lt;10),AND('Soil results'!G$7="modified Morgan (SAC)",'Soil results'!G16&lt;1.8)),VLOOKUP(Calc!BI11,'Fertiliser recommendations'!$A$4:$I$63,9,FALSE)+VLOOKUP(Calc!BI11,'Fertiliser recommendations'!$A$4:$J$63,10,FALSE),
IF(OR(AND('Soil results'!G$7="Olsen (ADAS)",'Soil results'!G16&lt;16),AND('Soil results'!G$7="modified Morgan (SAC)",'Soil results'!G16&lt;4.5)),VLOOKUP(Calc!BI11,'Fertiliser recommendations'!$A$4:$I$63,9,FALSE)+VLOOKUP(Calc!BI11,'Fertiliser recommendations'!$A$4:$K$63,11,FALSE),
IF(OR(AND('Soil results'!G$7="Olsen (ADAS)",'Soil results'!G16&lt;26),AND('Soil results'!G$7="modified Morgan (SAC)",'Soil results'!G16&lt;13.5)),VLOOKUP(Calc!BI11,'Fertiliser recommendations'!$A$4:$I$63,9,FALSE)+VLOOKUP(Calc!BI11,'Fertiliser recommendations'!$A$4:$L$63,12,FALSE),
IF(OR(AND('Soil results'!G$7="Olsen (ADAS)",'Soil results'!G16&lt;=45),AND('Soil results'!G$7="modified Morgan (SAC)",'Soil results'!G16&lt;=30)),VLOOKUP(Calc!BI11,'Fertiliser recommendations'!$A$4:$I$63,9,FALSE)+VLOOKUP(Calc!BI11,'Fertiliser recommendations'!$A$4:$M$63,13,FALSE),
""))))))))</f>
        <v/>
      </c>
      <c r="K13" s="161" t="str">
        <f t="shared" ca="1" si="1"/>
        <v/>
      </c>
      <c r="L13" s="47" t="str">
        <f ca="1">IF(OR(ISBLANK('Soil results'!G$7),ISBLANK('Soil results'!G16),B13="", H13="data missing"),"",
IF('Soil results'!G$7="Olsen (ADAS)",
IF(((H13*Calc!BM11/2.291-(VLOOKUP(Calc!BI11,'Fertiliser recommendations'!$A$4:$I$63,9,FALSE))/2.291)*10/(400/2.291)+'Soil results'!G16)&lt;10,"0 (VL)",
IF(((H13*Calc!BM11/2.291-(VLOOKUP(Calc!BI11,'Fertiliser recommendations'!$A$4:$I$63,9,FALSE))/2.291)*10/(400/2.291)+'Soil results'!G16)&lt;16,"1 (L)",
IF(((H13*Calc!BM11/2.291-(VLOOKUP(Calc!BI11,'Fertiliser recommendations'!$A$4:$I$63,9,FALSE))/2.291)*10/(400/2.291)+'Soil results'!G16)&lt;21,"2 (M-)",
IF(((H13*Calc!BM11/2.291-(VLOOKUP(Calc!BI11,'Fertiliser recommendations'!$A$4:$I$63,9,FALSE))/2.291)*10/(400/2.291)+'Soil results'!G16)&lt;26,"2 (M+)",
IF(((H13*Calc!BM11/2.291-(VLOOKUP(Calc!BI11,'Fertiliser recommendations'!$A$4:$I$63,9,FALSE))/2.291)*10/(400/2.291)+'Soil results'!G16)&lt;45,"3 (H)","&gt;3 (VH)"))))),
IF('Soil results'!G$7="modified Morgan (SAC)",
IF('Soil results'!G16&gt;=6,
IF(((H13*Calc!BM11/2.291-(VLOOKUP(Calc!BI11,'Fertiliser recommendations'!$A$4:$I$63,9,FALSE))/2.291)*5/(147/2.291)+'Soil results'!G16)&lt;9.5,"2 (M-)",
IF(((H13*Calc!BM11/2.291-(VLOOKUP(Calc!BI11,'Fertiliser recommendations'!$A$4:$I$63,9,FALSE))/2.291)*5/(147/2.291)+'Soil results'!G16)&lt;13.5,"2 (M+)",
IF(((H13*Calc!BM11/2.291-(VLOOKUP(Calc!BI11,'Fertiliser recommendations'!$A$4:$I$63,9,FALSE))/2.291)*5/(147/2.291)+'Soil results'!G16)&lt;30,"3 (H)","4 (VH)"))),
IF(((H13*Calc!BM11/2.291-(VLOOKUP(Calc!BI11,'Fertiliser recommendations'!$A$4:$I$63,9,FALSE))/2.291)*5/(346/2.291)+'Soil results'!G16)&lt;1.8,"0 (VL)",
IF(((H13*Calc!BM11/2.291-(VLOOKUP(Calc!BI11,'Fertiliser recommendations'!$A$4:$I$63,9,FALSE))/2.291)*5/(147/2.291)+'Soil results'!G16)&lt;4.5,"1 (L)","2 (M-)"))))))</f>
        <v/>
      </c>
      <c r="M13" s="9" t="str">
        <f ca="1">IF(B13="","",
IF(OR(H13="data missing",I13="data missing",J13="data missing"),"data missing",
IF(Calc!BF11=0,"n/a",
IF(OR(AND('Soil results'!G$7="Olsen (ADAS)",'Soil results'!G16&gt;45),AND('Soil results'!G$7="modified Morgan (SAC)",'Soil results'!G16&gt;30)),
IF(H13&gt;2,"too high, not acceptable","no requirement"),IF(OR(AND('Soil results'!G$7="Olsen (ADAS)",'Soil results'!G16&gt;25),AND('Soil results'!G$7="modified Morgan (SAC)",'Soil results'!G16&gt;13.4)),
IF(H13*(I13/100)&lt;0.1*J13,"no benefit",
IF(H13*(I13/100)&lt;0.3*J13,"limited benefit",
IF(H13*(I13/100)&lt;1.1*J13,"benefit",
IF(H13*(I13/100)&lt;0.7*VLOOKUP(Calc!BI11,'Fertiliser recommendations'!$A$4:$I$63,9,FALSE),"excessive","too high, not acceptable")))),
IF(OR(AND('Soil results'!G$7="Olsen (ADAS)",'Soil results'!G16&gt;20),AND('Soil results'!G$7="modified Morgan (SAC)",'Soil results'!G16&gt;9.4)),
IF(H13*Calc!BM11*(I13/100)&lt;0.1*J13,"no benefit",
IF(H13*Calc!BM11*(I13/100)&lt;0.3*J13,"limited benefit",
IF(H13*Calc!BM11*(I13/100)&lt;1.1*J13,"benefit",
IF(L13="3 (H)","too high, not acceptable","excessive")))),
IF(OR(AND('Soil results'!G$7="Olsen (ADAS)",'Soil results'!G16&gt;15),AND('Soil results'!G$7="modified Morgan (SAC)",'Soil results'!G16&gt;4.4)),
IF(H13*Calc!BM11*(I13/100)&lt;0.1*VLOOKUP(Calc!BI11,'Fertiliser recommendations'!$A$4:$I$63,9,FALSE),"no benefit",
IF(H13*Calc!BM11*(I13/100)&lt;0.3*VLOOKUP(Calc!BI11,'Fertiliser recommendations'!$A$4:$I$63,9,FALSE),"limited benefit",
IF(H13*Calc!BM11*(I13/100)&lt;1.1*VLOOKUP(Calc!BI11,'Fertiliser recommendations'!$A$4:$I$63,9,FALSE),"benefit",
IF(L13="3 (H)", "too high, not acceptable", "excessive")))),
IF(OR(AND('Soil results'!G$7="Olsen (ADAS)",'Soil results'!G16&lt;=15),AND('Soil results'!G$7="modified Morgan (SAC)",'Soil results'!G16&lt;=4.4)),
IF(H13*Calc!BM11*(I13/100)&lt;0.1*VLOOKUP(Calc!BI11,'Fertiliser recommendations'!$A$4:$I$63,9,FALSE),"no benefit",
IF(H13*Calc!BM11*(I13/100)&lt;0.3*VLOOKUP(Calc!BI11,'Fertiliser recommendations'!$A$4:$I$63,9,FALSE),"limited benefit",
IF(H13*Calc!BM11*(I13/100)&lt;1.1*J13,"benefit","excessive")))))))))))</f>
        <v/>
      </c>
      <c r="O13" s="91" t="str">
        <f ca="1">IF(B13="","",
IF(AND('Field information 2'!$O$5="", 'Field information 2'!$Q$5=""),
   IF('Waste results'!$S$19&lt;&gt;"data missing", Calc!BC11*'Waste results'!$S$19, "data missing"),
IF('Field information 2'!$Q$5="",
   IF(Calc!BD11=0,
     IF('Waste results'!$S$19&lt;&gt;"data missing", Calc!BC11*'Waste results'!$S$19, "data missing"),
   IF(Calc!BC11=0,
     IF('Waste results'!$S$55&lt;&gt;"data missing", Calc!BD11*'Waste results'!$S$55, "data missing"),
   IF(OR('Waste results'!$S$19&lt;&gt;"data missing", 'Waste results'!$S$55&lt;&gt;"data missing"), Calc!BC11*'Waste results'!$S$19+ Calc!BD11*'Waste results'!$S$55, "data missing"))),
IF(AND('Field information 2'!$M$5&lt;&gt;"", 'Field information 2'!$O$5&lt;&gt;"", 'Field information 2'!$Q$5&lt;&gt;""),
   IF(AND(Calc!BD11=0,Calc!BE11=0),
     IF('Waste results'!$S$19&lt;&gt;"data missing", Calc!BC11*'Waste results'!$S$19, "data missing"),
   IF(AND(Calc!BC11=0,Calc!BE11=0),
     IF('Waste results'!$S$55&lt;&gt;"data missing", Calc!BD11*'Waste results'!$S$55, "data missing"),
   IF(AND(Calc!BC11=0,Calc!BD11=0),
     IF('Waste results'!$S$91&lt;&gt;"data missing", Calc!BE11*'Waste results'!$S$91, "data missing"),
   IF(Calc!BE11=0,
     IF(OR('Waste results'!$S$19&lt;&gt;"data missing", 'Waste results'!$S$55&lt;&gt;"data missing"), Calc!BC11*'Waste results'!$S$19+ Calc!BD11*'Waste results'!$S$55, "data missing"),
   IF(Calc!BD11=0,
     IF(OR('Waste results'!$S$19&lt;&gt;"data missing", 'Waste results'!$S$91&lt;&gt;"data missing"), Calc!BC11*'Waste results'!$S$19+ Calc!BE11*'Waste results'!$S$91, "data missing"),
   IF(Calc!BC11=0,
     IF(OR('Waste results'!$S$55&lt;&gt;"data missing", 'Waste results'!$S$91&lt;&gt;"data missing"), Calc!BD11*'Waste results'!$S$55+Calc!BE11*'Waste results'!$S$91, "data missing"),
   IF(OR('Waste results'!$S$19&lt;&gt;"data missing", 'Waste results'!$S$55&lt;&gt;"data missing", 'Waste results'!$S$91&lt;&gt;"data missing"), Calc!BC11*'Waste results'!$S$19+Calc!BD11*'Waste results'!$S$55+ Calc!BE11*'Waste results'!$S$91, "data missing")))))))))))</f>
        <v/>
      </c>
      <c r="P13" s="91" t="str">
        <f ca="1">IF(B13="","",
IF(OR(ISBLANK('Soil results'!H$7),ISBLANK('Soil results'!H16)),"data missing",
IF(OR(AND('Soil results'!H$7="ammonium nitrate (ADAS)",'Soil results'!H16&gt;400),AND('Soil results'!H$7="modified Morgan (SAC)",'Soil results'!H16&gt;400)),0,
IF(OR(AND('Soil results'!H$7="ammonium nitrate (ADAS)",'Soil results'!H16&gt;=121,'Soil results'!H16&lt;=180),AND('Soil results'!H$7="modified Morgan (SAC)",'Soil results'!H16&gt;=76,'Soil results'!H16&lt;=140)),VLOOKUP(Calc!BI11,'Fertiliser recommendations'!$A$4:$Z$63,26,FALSE),
IF(OR(AND('Soil results'!H$7="ammonium nitrate (ADAS)",'Soil results'!H16&lt;61),AND('Soil results'!H$7="modified Morgan (SAC)",'Soil results'!H16&lt;40)),VLOOKUP(Calc!BI11,'Fertiliser recommendations'!$A$4:$Z$63,26,FALSE)+VLOOKUP(Calc!BI11,'Fertiliser recommendations'!$A$4:$AA$63,27,FALSE),
IF(OR(AND('Soil results'!H$7="ammonium nitrate (ADAS)",'Soil results'!H16&lt;121),AND('Soil results'!H$7="modified Morgan (SAC)",'Soil results'!H16&lt;76)),VLOOKUP(Calc!BI11,'Fertiliser recommendations'!$A$4:$Z$63,26,FALSE)+VLOOKUP(Calc!BI11,'Fertiliser recommendations'!$A$4:$AB$63,28,FALSE),
IF(OR(AND('Soil results'!H$7="ammonium nitrate (ADAS)",'Soil results'!H16&lt;241),AND('Soil results'!H$7="modified Morgan (SAC)",'Soil results'!H16&lt;201)),VLOOKUP(Calc!BI11,'Fertiliser recommendations'!$A$4:$Z$63,26,FALSE)+VLOOKUP(Calc!BI11,'Fertiliser recommendations'!$A$4:$AC$63,29,FALSE),
IF(OR(AND('Soil results'!H$7="ammonium nitrate (ADAS)",'Soil results'!H16&lt;=400),AND('Soil results'!H$7="modified Morgan (SAC)",'Soil results'!H16&lt;=400)),VLOOKUP(Calc!BI11,'Fertiliser recommendations'!$A$4:$Z$63,26,FALSE)+VLOOKUP(Calc!BI11,'Fertiliser recommendations'!$A$4:$AD$63,30,FALSE),
"??"))))))))</f>
        <v/>
      </c>
      <c r="Q13" s="91" t="str">
        <f t="shared" ca="1" si="2"/>
        <v/>
      </c>
      <c r="R13" s="9" t="str">
        <f ca="1">IF(B13="","",
IF(OR(O13="data missing",P13="data missing"),"data missing",
IF(Calc!BF11=0,"n/a",
IF(P13=0, "no requirement",
IF(O13&lt;0.1*P13,"no benefit",
IF(O13&lt;0.3*P13,"limited benefit",
IF(O13&gt;1.25*P13,"excessive",
"benefit")))))))</f>
        <v/>
      </c>
      <c r="T13" s="91" t="str">
        <f ca="1">IF(B13="","",
IF(AND('Field information 2'!$O$5="", 'Field information 2'!$Q$5=""),
   IF('Waste results'!$S$21&lt;&gt;"data missing", Calc!BC11*'Waste results'!$S$21, "data missing"),
IF('Field information 2'!$Q$5="",
   IF(Calc!BD11=0,
     IF('Waste results'!$S$21&lt;&gt;"data missing", Calc!BC11*'Waste results'!$S$21, "data missing"),
   IF(Calc!BC11=0,
     IF('Waste results'!$S$57&lt;&gt;"data missing", Calc!BD11*'Waste results'!$S$57, "data missing"),
   IF(OR('Waste results'!$S$21&lt;&gt;"data missing", 'Waste results'!$S$57&lt;&gt;"data missing"), Calc!BC11*'Waste results'!$S$21+ Calc!BD11*'Waste results'!$S$57, "data missing"))),
IF(AND('Field information 2'!$M$5&lt;&gt;"", 'Field information 2'!$O$5&lt;&gt;"", 'Field information 2'!$Q$5&lt;&gt;""),
   IF(AND(Calc!BD11=0,Calc!BE11=0),
     IF('Waste results'!$S$21&lt;&gt;"data missing", Calc!BC11*'Waste results'!$S$21, "data missing"),
   IF(AND(Calc!BC11=0,Calc!BE11=0),
     IF('Waste results'!$S$57&lt;&gt;"data missing", Calc!BD11*'Waste results'!$S$57, "data missing"),
   IF(AND(Calc!BC11=0,Calc!BD11=0),
     IF('Waste results'!$S$93&lt;&gt;"data missing", Calc!BE11*'Waste results'!$S$93, "data missing"),
   IF(Calc!BE11=0,
     IF(OR('Waste results'!$S$21&lt;&gt;"data missing", 'Waste results'!$S$57&lt;&gt;"data missing"), Calc!BC11*'Waste results'!$S$21+ Calc!BD11*'Waste results'!$S$57, "data missing"),
   IF(Calc!BD11=0,
     IF(OR('Waste results'!$S$21&lt;&gt;"data missing", 'Waste results'!$S$93&lt;&gt;"data missing"), Calc!BC11*'Waste results'!$S$21+ Calc!BE11*'Waste results'!$S$93, "data missing"),
   IF(Calc!BC11=0,
     IF(OR('Waste results'!$S$57&lt;&gt;"data missing", 'Waste results'!$S$93&lt;&gt;"data missing"), Calc!BD11*'Waste results'!$S$57+Calc!BE11*'Waste results'!$S$93, "data missing"),
   IF(OR('Waste results'!$S$21&lt;&gt;"data missing", 'Waste results'!$S$57&lt;&gt;"data missing", 'Waste results'!$S$93&lt;&gt;"data missing"), Calc!BC11*'Waste results'!$S$21+Calc!BD11*'Waste results'!$S$57+ Calc!BE11*'Waste results'!$S$93, "data missing")))))))))))</f>
        <v/>
      </c>
      <c r="U13" s="7" t="str">
        <f ca="1">IF(B13="","",
IF(OR(ISBLANK('Soil results'!I$7),ISBLANK('Soil results'!I16)),"data missing",
IF(OR(AND('Soil results'!I$7="ammonium nitrate (ADAS)",'Soil results'!I16&gt;51),AND('Soil results'!I$7="modified Morgan (SAC)",'Soil results'!I16&gt;61)),0,
IF(OR(AND('Soil results'!I$7="ammonium nitrate (ADAS)",'Soil results'!I16&lt;25),AND('Soil results'!I$7="modified Morgan (SAC)",'Soil results'!I16&lt;19)),VLOOKUP(Calc!BI11,'Fertiliser recommendations'!$A$4:$AH$63,34,FALSE),
IF(OR(AND('Soil results'!I$7="ammonium nitrate (ADAS)",'Soil results'!I16&lt;=51),AND('Soil results'!I$7="modified Morgan (SAC)",'Soil results'!I16&lt;=61)),VLOOKUP(Calc!BI11,'Fertiliser recommendations'!$A$4:$AI$63,35,FALSE),
"")))))</f>
        <v/>
      </c>
      <c r="V13" s="91" t="str">
        <f t="shared" ca="1" si="3"/>
        <v/>
      </c>
      <c r="W13" s="9" t="str">
        <f ca="1">IF(B13="","",
IF(OR(T13="data missing",U13="data missing"),"data missing",
IF(Calc!BF11=0,"n/a",
IF(U13=0,"no requirement",
IF(T13&lt;0.1*U13,"no benefit",
IF(T13&lt;0.3*U13,"limited benefit",
IF(OR(T13&gt;1.5*U13,AND(Calc!BJ11="g",T13&gt;100)),"excessive",
"benefit")))))))</f>
        <v/>
      </c>
      <c r="Y13" s="91" t="str">
        <f ca="1">IF(B13="","",
IF(AND('Field information 2'!$O$5="", 'Field information 2'!$Q$5=""),
   IF('Waste results'!$P$23&lt;&gt;"", Calc!BC11*'Waste results'!$P$23, "no data"),
IF('Field information 2'!$Q$5="",
   IF(Calc!BD11=0,
     IF('Waste results'!$P$23&lt;&gt;"", Calc!BC11*'Waste results'!$P$23, "no data"),
   IF(Calc!BC11=0,
     IF('Waste results'!$P$59&lt;&gt;"", Calc!BD11*'Waste results'!$P$59, "no data"),
   IF(OR('Waste results'!$P$23&lt;&gt;"", 'Waste results'!$P$59&lt;&gt;""), Calc!BC11*'Waste results'!$P$23+ Calc!BD11*'Waste results'!$P$59, "no data"))),
IF(AND('Field information 2'!$M$5&lt;&gt;"", 'Field information 2'!$O$5&lt;&gt;"", 'Field information 2'!$Q$5&lt;&gt;""),
   IF(AND(Calc!BD11=0,Calc!BE11=0),
     IF('Waste results'!$P$23&lt;&gt;"", Calc!BC11*'Waste results'!$P$23, "no data"),
   IF(AND(Calc!BC11=0,Calc!BE11=0),
     IF('Waste results'!$P$59&lt;&gt;"", Calc!BD11*'Waste results'!$P$59, "no data"),
   IF(AND(Calc!BC11=0,Calc!BD11=0),
     IF('Waste results'!$P$95&lt;&gt;"", Calc!BE11*'Waste results'!$P$95, "no data"),
   IF(Calc!BE11=0,
     IF(OR('Waste results'!$P$23&lt;&gt;"", 'Waste results'!$P$59&lt;&gt;""), Calc!BC11*'Waste results'!$P$23+ Calc!BD11*'Waste results'!$P$59, "no data"),
   IF(Calc!BD11=0,
     IF(OR('Waste results'!$P$23&lt;&gt;"", 'Waste results'!$P$95&lt;&gt;""), Calc!BC11*'Waste results'!$P$23+ Calc!BE11*'Waste results'!$P$95, "no data"),
   IF(Calc!BC11=0,
     IF(OR('Waste results'!$P$59&lt;&gt;"", 'Waste results'!$P$95&lt;&gt;""), Calc!BD11*'Waste results'!$P$59+Calc!BE11*'Waste results'!$P$95, "no data"),
   IF(OR('Waste results'!$P$23&lt;&gt;"", 'Waste results'!$P$59&lt;&gt;"", 'Waste results'!$P$95&lt;&gt;""), Calc!BC11*'Waste results'!$P$23+Calc!BD11*'Waste results'!$P$59+ Calc!BE11*'Waste results'!$P$95, "no data")))))))))))</f>
        <v/>
      </c>
      <c r="Z13" s="7" t="str">
        <f ca="1">IF(OR(ISBLANK('Soil results'!I$7),ISBLANK('Soil results'!I16),'Soil results'!B16=""),"",
VLOOKUP(Calc!BI11,'Fertiliser recommendations'!$A$4:$AM$63,39,FALSE))</f>
        <v/>
      </c>
      <c r="AA13" s="91" t="str">
        <f t="shared" ca="1" si="4"/>
        <v/>
      </c>
      <c r="AB13" s="9" t="str">
        <f t="shared" ca="1" si="5"/>
        <v/>
      </c>
      <c r="AD13" s="48" t="str">
        <f>IF(ISBLANK('Soil results'!F16),"",'Soil results'!F16)</f>
        <v/>
      </c>
      <c r="AE13" s="49" t="str">
        <f ca="1">IF(B13="","",
IF(AND(Calc!BJ11="g", VLOOKUP(LEFT($B13,LEN($B13)-2),'Field information 2'!$B$12:$P$111,9,FALSE)&lt;&gt;"yes"),
 IF(Calc!BG11="10-25% OM", 5.9, IF(Calc!BG11="&gt;25% OM", 5.5, 6.2)),
IF(OR(Calc!BJ11="a", VLOOKUP(LEFT($B13,LEN($B13)-2),'Field information 2'!$B$12:$P$111,9,FALSE)="yes"),
 IF(Calc!BG11="10-25% OM", 6.4, IF(Calc!BG11="&gt;25% OM", 6, 6.7)), "")))</f>
        <v/>
      </c>
      <c r="AF13" s="91" t="str">
        <f ca="1">IF(B13="","",
IF('Waste results'!$Q$33="","no (significant) liming properties",
IF('Waste results'!Q$33&gt;100,"no (significant) liming properties",
IF(AD13="","",
IF(AD13&gt;=AE13,0,ROUNDDOWN((AE13-AD13)*Calc!BK11*'Waste results'!$Q$33+0.2,0))))))</f>
        <v/>
      </c>
      <c r="AG13" s="9" t="str">
        <f ca="1">IF(B13="","",
IF(T13=0,"n/a",
IF(AD13="","data missing",
IF(AND(AD13&lt;5,AF13="no (significant) liming properties"),"no waste application - pH too low",
IF(AND(AD13&gt;5.1,AF13="no (significant) liming properties",Calc!BH11&gt;25, LEFT(Calc!BI11,4)="graz"),"ok",
IF(AND(AD13&lt;=5.2,AF13="no (significant) liming properties"),"liming highly recommended",
IF(AF13=0,"no waste application - liming not required",
IF(AF13&lt;Calc!BC11,"application rate too high - exceeds liming requirement",
"ok"))))))))</f>
        <v/>
      </c>
      <c r="AI13" s="91" t="str">
        <f ca="1">IF(B13="","",
IF(AND('Field information 2'!$O$5="", 'Field information 2'!$Q$5=""),
   IF('Waste results'!$P$10&lt;&gt;"data missing", Calc!BC11*'Waste results'!$P$10, "data missing"),
IF('Field information 2'!$Q$5="",
   IF(Calc!BD11=0,
     IF('Waste results'!$P$10&lt;&gt;"data missing", Calc!BC11*'Waste results'!$P$10, "data missing"),
   IF(Calc!BC11=0,
     IF('Waste results'!$P$45&lt;&gt;"data missing", Calc!BD11*'Waste results'!$P$45, "data missing"),
   IF(OR('Waste results'!$P$10&lt;&gt;"data missing", 'Waste results'!$P$45&lt;&gt;"data missing"), Calc!BC11*'Waste results'!$P$10+ Calc!BD11*'Waste results'!$P$45, "data missing"))),
IF(AND('Field information 2'!$M$5&lt;&gt;"", 'Field information 2'!$O$5&lt;&gt;"", 'Field information 2'!$Q$5&lt;&gt;""),
   IF(AND(Calc!BD11=0,Calc!BE11=0),
     IF('Waste results'!$P$10&lt;&gt;"data missing", Calc!BC11*'Waste results'!$P$10, "data missing"),
   IF(AND(Calc!BC11=0,Calc!BE11=0),
     IF('Waste results'!$P$45&lt;&gt;"data missing", Calc!BD11*'Waste results'!$P$45, "data missing"),
   IF(AND(Calc!BC11=0,Calc!BD11=0),
     IF('Waste results'!$P$82&lt;&gt;"data missing", Calc!BE11*'Waste results'!$P$82, "data missing"),
   IF(Calc!BE11=0,
     IF(OR('Waste results'!$P$10&lt;&gt;"data missing", 'Waste results'!$P$45&lt;&gt;"data missing"), Calc!BC11*'Waste results'!$P$10+ Calc!BD11*'Waste results'!$P$45, "data missing"),
   IF(Calc!BD11=0,
     IF(OR('Waste results'!$P$10&lt;&gt;"data missing", 'Waste results'!$P$82&lt;&gt;"data missing"), Calc!BC11*'Waste results'!$P$10+ Calc!BE11*'Waste results'!$P$82, "data missing"),
   IF(Calc!BC11=0,
     IF(OR('Waste results'!$P$45&lt;&gt;"data missing", 'Waste results'!$P$82&lt;&gt;"data missing"), Calc!BD11*'Waste results'!$P$45+Calc!BE11*'Waste results'!$P$82, "data missing"),
   IF(OR('Waste results'!$P$10&lt;&gt;"data missing", 'Waste results'!$P$45&lt;&gt;"data missing", 'Waste results'!$P$82&lt;&gt;"data missing"), Calc!BC11*'Waste results'!$P$10+Calc!BD11*'Waste results'!$P$45+ Calc!BE11*'Waste results'!$P$82, "data missing")))))))))))</f>
        <v/>
      </c>
      <c r="AJ13" s="237" t="str">
        <f ca="1">IF(B13="","",
IF(AI13="data missing","data missing",
IF(Calc!BF11=0,"n/a",
IF(AND(Calc!BH11&gt;=8,AI13&lt;500),"no benefit",
IF(OR(AND(Calc!BH11&lt;=4,AI13&gt;=500),AND(Calc!BH11&lt;8,AI13&gt;5000)),"benefit",
"limited benefit")))))</f>
        <v/>
      </c>
      <c r="AL13" s="238" t="str">
        <f ca="1">IF(B13="","",
IF(AND('Field information 2'!$O$5="", 'Field information 2'!$Q$5=""),
   IF('Waste results'!$S$25&lt;&gt;"data missing", Calc!BC11*'Waste results'!$S$25, "data missing"),
IF('Field information 2'!$Q$5="",
   IF(Calc!BD11=0,
     IF('Waste results'!$S$25&lt;&gt;"data missing", Calc!BC11*'Waste results'!$S$25, "data missing"),
   IF(Calc!BC11=0,
     IF('Waste results'!$S$61&lt;&gt;"data missing", Calc!BD11*'Waste results'!$S$61, "data missing"),
   IF(OR('Waste results'!$S$25&lt;&gt;"data missing", 'Waste results'!$S$61&lt;&gt;"data missing"), Calc!BC11*'Waste results'!$S$25+ Calc!BD11*'Waste results'!$S$61, "data missing"))),
IF(AND('Field information 2'!$M$5&lt;&gt;"", 'Field information 2'!$O$5&lt;&gt;"", 'Field information 2'!$Q$5&lt;&gt;""),
   IF(AND(Calc!BD11=0,Calc!BE11=0),
     IF('Waste results'!$S$25&lt;&gt;"data missing", Calc!BC11*'Waste results'!$S$25, "data missing"),
   IF(AND(Calc!BC11=0,Calc!BE11=0),
     IF('Waste results'!$S$61&lt;&gt;"data missing", Calc!BD11*'Waste results'!$S$61, "data missing"),
   IF(AND(Calc!BC11=0,Calc!BD11=0),
     IF('Waste results'!$S$97&lt;&gt;"data missing", Calc!BE11*'Waste results'!$S$97, "data missing"),
   IF(Calc!BE11=0,
     IF(OR('Waste results'!$S$25&lt;&gt;"data missing", 'Waste results'!$S$61&lt;&gt;"data missing"), Calc!BC11*'Waste results'!$S$25+ Calc!BD11*'Waste results'!$S$61, "data missing"),
   IF(Calc!BD11=0,
     IF(OR('Waste results'!$S$25&lt;&gt;"data missing", 'Waste results'!$S$97&lt;&gt;"data missing"), Calc!BC11*'Waste results'!$S$25+ Calc!BE11*'Waste results'!$S$97, "data missing"),
   IF(Calc!BC11=0,
     IF(OR('Waste results'!$S$61&lt;&gt;"data missing", 'Waste results'!$S$97&lt;&gt;"data missing"), Calc!BD11*'Waste results'!$S$61+Calc!BE11*'Waste results'!$S$97, "data missing"),
   IF(OR('Waste results'!$S$25&lt;&gt;"data missing", 'Waste results'!$S$61&lt;&gt;"data missing", 'Waste results'!$S$97&lt;&gt;"data missing"), Calc!BC11*'Waste results'!$S$25+Calc!BD11*'Waste results'!$S$61+ Calc!BE11*'Waste results'!$S$97, "data missing")))))))))))</f>
        <v/>
      </c>
      <c r="AM13" s="239" t="str">
        <f ca="1">IF($B13="","",
IF(ISBLANK('Soil results'!K16),"data missing",'Soil results'!K16))</f>
        <v/>
      </c>
      <c r="AN13" s="239" t="str">
        <f t="shared" ca="1" si="6"/>
        <v/>
      </c>
      <c r="AO13" s="9" t="str">
        <f t="shared" ca="1" si="7"/>
        <v/>
      </c>
      <c r="AQ13" s="240" t="str">
        <f ca="1">IF(B13="","",
IF(AND('Field information 2'!$O$5="", 'Field information 2'!$Q$5=""),
   IF('Waste results'!$S$26&lt;&gt;"data missing", Calc!BC11*'Waste results'!$S$26, "data missing"),
IF('Field information 2'!$Q$5="",
   IF(Calc!BD11=0,
     IF('Waste results'!$S$26&lt;&gt;"data missing", Calc!BC11*'Waste results'!$S$26, "data missing"),
   IF(Calc!BC11=0,
     IF('Waste results'!$S$62&lt;&gt;"data missing", Calc!BD11*'Waste results'!$S$62, "data missing"),
   IF(OR('Waste results'!$S$26&lt;&gt;"data missing", 'Waste results'!$S$62&lt;&gt;"data missing"), Calc!BC11*'Waste results'!$S$26+ Calc!BD11*'Waste results'!$S$62, "data missing"))),
IF(AND('Field information 2'!$M$5&lt;&gt;"", 'Field information 2'!$O$5&lt;&gt;"", 'Field information 2'!$Q$5&lt;&gt;""),
   IF(AND(Calc!BD11=0,Calc!BE11=0),
     IF('Waste results'!$S$26&lt;&gt;"data missing", Calc!BC11*'Waste results'!$S$26, "data missing"),
   IF(AND(Calc!BC11=0,Calc!BE11=0),
     IF('Waste results'!$S$62&lt;&gt;"data missing", Calc!BD11*'Waste results'!$S$62, "data missing"),
   IF(AND(Calc!BC11=0,Calc!BD11=0),
     IF('Waste results'!$S$98&lt;&gt;"data missing", Calc!BE11*'Waste results'!$S$98, "data missing"),
   IF(Calc!BE11=0,
     IF(OR('Waste results'!$S$26&lt;&gt;"data missing", 'Waste results'!$S$62&lt;&gt;"data missing"), Calc!BC11*'Waste results'!$S$26+ Calc!BD11*'Waste results'!$S$62, "data missing"),
   IF(Calc!BD11=0,
     IF(OR('Waste results'!$S$26&lt;&gt;"data missing", 'Waste results'!$S$98&lt;&gt;"data missing"), Calc!BC11*'Waste results'!$S$26+ Calc!BE11*'Waste results'!$S$98, "data missing"),
   IF(Calc!BC11=0,
     IF(OR('Waste results'!$S$62&lt;&gt;"data missing", 'Waste results'!$S$98&lt;&gt;"data missing"), Calc!BD11*'Waste results'!$S$62+Calc!BE11*'Waste results'!$S$98, "data missing"),
   IF(OR('Waste results'!$S$26&lt;&gt;"data missing", 'Waste results'!$S$62&lt;&gt;"data missing", 'Waste results'!$S$98&lt;&gt;"data missing"), Calc!BC11*'Waste results'!$S$26+Calc!BD11*'Waste results'!$S$62+ Calc!BE11*'Waste results'!$S$98, "data missing")))))))))))</f>
        <v/>
      </c>
      <c r="AR13" s="241" t="str">
        <f ca="1">IF($B13="","",
IF(ISBLANK('Soil results'!L16),"data missing",'Soil results'!L16))</f>
        <v/>
      </c>
      <c r="AS13" s="241" t="str">
        <f t="shared" ca="1" si="8"/>
        <v/>
      </c>
      <c r="AT13" s="66" t="str">
        <f t="shared" ca="1" si="9"/>
        <v/>
      </c>
      <c r="AV13" s="238" t="str">
        <f ca="1">IF(B13="","",
IF(AND('Field information 2'!$O$5="", 'Field information 2'!$Q$5=""),
   IF('Waste results'!$S$27&lt;&gt;"data missing", Calc!BC11*'Waste results'!$S$27, "data missing"),
IF('Field information 2'!$Q$5="",
   IF(Calc!BD11=0,
     IF('Waste results'!$S$27&lt;&gt;"data missing", Calc!BC11*'Waste results'!$S$27, "data missing"),
   IF(Calc!BC11=0,
     IF('Waste results'!$S$63&lt;&gt;"data missing", Calc!BD11*'Waste results'!$S$63, "data missing"),
   IF(OR('Waste results'!$S$27&lt;&gt;"data missing", 'Waste results'!$S$63&lt;&gt;"data missing"), Calc!BC11*'Waste results'!$S$27+ Calc!BD11*'Waste results'!$S$63, "data missing"))),
IF(AND('Field information 2'!$M$5&lt;&gt;"", 'Field information 2'!$O$5&lt;&gt;"", 'Field information 2'!$Q$5&lt;&gt;""),
   IF(AND(Calc!BD11=0,Calc!BE11=0),
     IF('Waste results'!$S$27&lt;&gt;"data missing", Calc!BC11*'Waste results'!$S$27, "data missing"),
   IF(AND(Calc!BC11=0,Calc!BE11=0),
     IF('Waste results'!$S$63&lt;&gt;"data missing", Calc!BD11*'Waste results'!$S$63, "data missing"),
   IF(AND(Calc!BC11=0,Calc!BD11=0),
     IF('Waste results'!$S$99&lt;&gt;"data missing", Calc!BE11*'Waste results'!$S$99, "data missing"),
   IF(Calc!BE11=0,
     IF(OR('Waste results'!$S$27&lt;&gt;"data missing", 'Waste results'!$S$63&lt;&gt;"data missing"), Calc!BC11*'Waste results'!$S$27+ Calc!BD11*'Waste results'!$S$63, "data missing"),
   IF(Calc!BD11=0,
     IF(OR('Waste results'!$S$27&lt;&gt;"data missing", 'Waste results'!$S$99&lt;&gt;"data missing"), Calc!BC11*'Waste results'!$S$27+ Calc!BE11*'Waste results'!$S$99, "data missing"),
   IF(Calc!BC11=0,
     IF(OR('Waste results'!$S$63&lt;&gt;"data missing", 'Waste results'!$S$99&lt;&gt;"data missing"), Calc!BD11*'Waste results'!$S$63+Calc!BE11*'Waste results'!$S$99, "data missing"),
   IF(OR('Waste results'!$S$27&lt;&gt;"data missing", 'Waste results'!$S$63&lt;&gt;"data missing", 'Waste results'!$S$99&lt;&gt;"data missing"), Calc!BC11*'Waste results'!$S$27+Calc!BD11*'Waste results'!$S$63+ Calc!BE11*'Waste results'!$S$99, "data missing")))))))))))</f>
        <v/>
      </c>
      <c r="AW13" s="239" t="str">
        <f ca="1">IF($B13="","",
IF(ISBLANK('Soil results'!M16),"data missing",'Soil results'!M16))</f>
        <v/>
      </c>
      <c r="AX13" s="239" t="str">
        <f t="shared" ca="1" si="10"/>
        <v/>
      </c>
      <c r="AY13" s="9" t="str">
        <f ca="1">IF(B13="","",
IF(AV13=0,"n/a",
IF(OR(AV13="data missing",AW13="data missing"),"data missing",
IF(AV13&gt;7.5,"application rate too high - permissible rate exceeds limit",
IF('Soil results'!$F16&lt;=5.5,
  IF(AW13&gt;80,"no application - soil conc. already above limit",
  IF(AX13&gt;80,"application rate too high - soil conc. will exceed limit",
  IF(AW13&gt;80*0.9,"soil conc. is at or above 90% of the limit",
  IF(10*AV13*1000/3000+AW13&gt;80,"soil limit likely to be exceeded in 10yrs",
  IF(50*AV13*1000/3000+AW13&gt;80,"soil limit likely to be exceeded in 50yrs","ok"))))),
IF('Soil results'!$F16&lt;=6,
  IF(AW13&gt;100,"no application - soil conc. already above limit",
  IF(AX13&gt;100,"application rate too high - soil conc. will exceed limit",
  IF(AW13&gt;100*0.9,"soil conc. is at or above 90% of the limit",
  IF(10*AV13*1000/3000+AW13&gt;100,"soil limit likely to be exceeded in 10yrs",
  IF(50*AV13*1000/3000+AW13&gt;100,"soil limit likely to be exceeded in 50yrs","ok"))))),
IF('Soil results'!$F16&lt;=7,
  IF(AW13&gt;135,"no application - soil conc. already above limit",
  IF(AX13&gt;135,"application rate too high - soil conc. will exceed limit",
  IF(AW13&gt;135*0.9,"soil conc. is at or above 90% of the limit",
  IF(10*AV13*1000/3000+AW13&gt;135,"soil limit likely to be exceeded in 10yrs",
  IF(50*AV13*1000/3000+AW13&gt;135,"soil limit likely to be exceeded in 50yrs","ok"))))),
IF('Soil results'!$F16&gt;7,
  IF(AW13&gt;200,"no application - soil conc. already above limit",
  IF(AX13&gt;200,"application too high - soil conc. will exceed limit",
  IF(AW13&gt;200*0.9,"soil conc. is at or above 90% of the limit",
  IF(10*AV13*1000/3000+AW13&gt;200,"soil limit likely to be exceeded in 10yrs",
  IF(50*AV13*1000/3000+AW13&gt;200,"soil limit likely to be exceeded in 50yrs","ok")))))
))))))))</f>
        <v/>
      </c>
      <c r="BA13" s="238" t="str">
        <f ca="1">IF(B13="","",
IF(AND('Field information 2'!$O$5="", 'Field information 2'!$Q$5=""),
   IF('Waste results'!$S$28&lt;&gt;"data missing", Calc!BC11*'Waste results'!$S$28, "data missing"),
IF('Field information 2'!$Q$5="",
   IF(Calc!BD11=0,
     IF('Waste results'!$S$28&lt;&gt;"data missing", Calc!BC11*'Waste results'!$S$28, "data missing"),
   IF(Calc!BC11=0,
     IF('Waste results'!$S$64&lt;&gt;"data missing", Calc!BD11*'Waste results'!$S$64, "data missing"),
   IF(OR('Waste results'!$S$28&lt;&gt;"data missing", 'Waste results'!$S$64&lt;&gt;"data missing"), Calc!BC11*'Waste results'!$S$28+ Calc!BD11*'Waste results'!$S$64, "data missing"))),
IF(AND('Field information 2'!$M$5&lt;&gt;"", 'Field information 2'!$O$5&lt;&gt;"", 'Field information 2'!$Q$5&lt;&gt;""),
   IF(AND(Calc!BD11=0,Calc!BE11=0),
     IF('Waste results'!$S$28&lt;&gt;"data missing", Calc!BC11*'Waste results'!$S$28, "data missing"),
   IF(AND(Calc!BC11=0,Calc!BE11=0),
     IF('Waste results'!$S$64&lt;&gt;"data missing", Calc!BD11*'Waste results'!$S$64, "data missing"),
   IF(AND(Calc!BC11=0,Calc!BD11=0),
     IF('Waste results'!$S$100&lt;&gt;"data missing", Calc!BE11*'Waste results'!$S$100, "data missing"),
   IF(Calc!BE11=0,
     IF(OR('Waste results'!$S$28&lt;&gt;"data missing", 'Waste results'!$S$64&lt;&gt;"data missing"), Calc!BC11*'Waste results'!$S$28+ Calc!BD11*'Waste results'!$S$64, "data missing"),
   IF(Calc!BD11=0,
     IF(OR('Waste results'!$S$28&lt;&gt;"data missing", 'Waste results'!$S$100&lt;&gt;"data missing"), Calc!BC11*'Waste results'!$S$28+ Calc!BE11*'Waste results'!$S$100, "data missing"),
   IF(Calc!BC11=0,
     IF(OR('Waste results'!$S$64&lt;&gt;"data missing", 'Waste results'!$S$100&lt;&gt;"data missing"), Calc!BD11*'Waste results'!$S$64+Calc!BE11*'Waste results'!$S$100, "data missing"),
   IF(OR('Waste results'!$S$28&lt;&gt;"data missing", 'Waste results'!$S$64&lt;&gt;"data missing", 'Waste results'!$S$100&lt;&gt;"data missing"), Calc!BC11*'Waste results'!$S$28+Calc!BD11*'Waste results'!$S$64+ Calc!BE11*'Waste results'!$S$100, "data missing")))))))))))</f>
        <v/>
      </c>
      <c r="BB13" s="239" t="str">
        <f ca="1">IF($B13="","",
IF(ISBLANK('Soil results'!N16),"data missing",'Soil results'!N16))</f>
        <v/>
      </c>
      <c r="BC13" s="239" t="str">
        <f t="shared" ca="1" si="11"/>
        <v/>
      </c>
      <c r="BD13" s="9" t="str">
        <f t="shared" ca="1" si="12"/>
        <v/>
      </c>
      <c r="BF13" s="238" t="str">
        <f ca="1">IF(B13="","",
IF(AND('Field information 2'!$O$5="", 'Field information 2'!$Q$5=""),
   IF('Waste results'!$S$29&lt;&gt;"data missing", Calc!BC11*'Waste results'!$S$29, "data missing"),
IF('Field information 2'!$Q$5="",
   IF(Calc!BD11=0,
     IF('Waste results'!$S$29&lt;&gt;"data missing", Calc!BC11*'Waste results'!$S$29, "data missing"),
   IF(Calc!BC11=0,
     IF('Waste results'!$S$65&lt;&gt;"data missing", Calc!BD11*'Waste results'!$S$65, "data missing"),
   IF(OR('Waste results'!$S$29&lt;&gt;"data missing", 'Waste results'!$S$65&lt;&gt;"data missing"), Calc!BC11*'Waste results'!$S$29+ Calc!BD11*'Waste results'!$S$65, "data missing"))),
IF(AND('Field information 2'!$M$5&lt;&gt;"", 'Field information 2'!$O$5&lt;&gt;"", 'Field information 2'!$Q$5&lt;&gt;""),
   IF(AND(Calc!BD11=0,Calc!BE11=0),
     IF('Waste results'!$S$29&lt;&gt;"data missing", Calc!BC11*'Waste results'!$S$29, "data missing"),
   IF(AND(Calc!BC11=0,Calc!BE11=0),
     IF('Waste results'!$S$65&lt;&gt;"data missing", Calc!BD11*'Waste results'!$S$65, "data missing"),
   IF(AND(Calc!BC11=0,Calc!BD11=0),
     IF('Waste results'!$S$101&lt;&gt;"data missing", Calc!BE11*'Waste results'!$S$101, "data missing"),
   IF(Calc!BE11=0,
     IF(OR('Waste results'!$S$29&lt;&gt;"data missing", 'Waste results'!$S$65&lt;&gt;"data missing"), Calc!BC11*'Waste results'!$S$29+ Calc!BD11*'Waste results'!$S$65, "data missing"),
   IF(Calc!BD11=0,
     IF(OR('Waste results'!$S$29&lt;&gt;"data missing", 'Waste results'!$S$101&lt;&gt;"data missing"), Calc!BC11*'Waste results'!$S$29+ Calc!BE11*'Waste results'!$S$101, "data missing"),
   IF(Calc!BC11=0,
     IF(OR('Waste results'!$S$65&lt;&gt;"data missing", 'Waste results'!$S$101&lt;&gt;"data missing"), Calc!BD11*'Waste results'!$S$65+Calc!BE11*'Waste results'!$S$101, "data missing"),
   IF(OR('Waste results'!$S$29&lt;&gt;"data missing", 'Waste results'!$S$65&lt;&gt;"data missing", 'Waste results'!$S$101&lt;&gt;"data missing"), Calc!BC11*'Waste results'!$S$29+Calc!BD11*'Waste results'!$S$65+ Calc!BE11*'Waste results'!$S$101, "data missing")))))))))))</f>
        <v/>
      </c>
      <c r="BG13" s="239" t="str">
        <f ca="1">IF($B13="","",
IF(ISBLANK('Soil results'!O16),"data missing",'Soil results'!O16))</f>
        <v/>
      </c>
      <c r="BH13" s="239" t="str">
        <f t="shared" ca="1" si="13"/>
        <v/>
      </c>
      <c r="BI13" s="9" t="str">
        <f ca="1">IF(B13="","",
IF(BF13=0,"n/a",
IF(OR(BF13="data missing",BG13="data missing"),"data missing",
IF(BF13&gt;3,"application rate too high - permissible rate exceeds limit",
IF('Soil results'!F16&lt;=5.5,
  IF(BG13&gt;50,"no application - soil conc. already above limit",
  IF(BH13&gt;50,"application rate too high - soil conc. will exceed limit",
  IF(BG13&gt;50*0.9,"soil conc. is at or above 90% of the limit",
  IF(10*BF13*1000/3000+BG13&gt;50,"soil limit likely to be exceeded in 10yrs",
  IF(50*BF13*1000/3000+BG13&gt;50,"soil limit likely to be exceeded in 50yrs","ok"))))),
IF('Soil results'!F16&lt;=6,
  IF(BG13&gt;60,"no application - soil conc. already above limit",
  IF(BH13&gt;60,"application rate too high - soil conc. will exceed limit",
  IF(BG13&gt;60*0.9,"soil conc. is at or above 90% of the limit",
  IF(10*BF13*1000/3000+BG13&gt;60,"soil limit likely to be exceeded in 10yrs",
  IF(50*BF13*1000/3000+BG13&gt;60,"soil limit likely to be exceeded in 50yrs","ok"))))),
IF('Soil results'!F16&lt;=7,
  IF(BG13&gt;75,"no application - soil conc. already above limit",
  IF(BH13&gt;75,"application rate too high - soil conc. will exceed limit",
  IF(BG13&gt;75*0.9,"soil conc. is at or above 90% of the limit",
  IF(10*BF13*1000/3000+BG13&gt;75,"soil limit likely to be exceeded in 10yrs",
  IF(50*BF13*1000/3000+BG13&gt;75,"soil limit likely to be exceeded in 50yrs","ok"))))),
IF('Soil results'!F16&gt;7,
  IF(BG13&gt;100,"no application - soil conc. already above limit",
  IF(BH13&gt;100,"application rate too high - soil conc. will exceed limit",
  IF(BG13&gt;100*0.9,"soil conc. is at or above 90% of the limit",
  IF(10*BF13*1000/3000+BG13&gt;100,"soil limit likely to be exceeded in 10yrs",
  IF(50*BF13*1000/3000+BG13&gt;100,"soil limit likely to beexceeded in 50yrs","ok")))))
))))))))</f>
        <v/>
      </c>
      <c r="BK13" s="240" t="str">
        <f ca="1">IF(B13="","",
IF(AND('Field information 2'!$O$5="", 'Field information 2'!$Q$5=""),
   IF('Waste results'!$S$30&lt;&gt;"data missing", Calc!BC11*'Waste results'!$S$30, "data missing"),
IF('Field information 2'!$Q$5="",
   IF(Calc!BD11=0,
     IF('Waste results'!$S$30&lt;&gt;"data missing", Calc!BC11*'Waste results'!$S$30, "data missing"),
   IF(Calc!BC11=0,
     IF('Waste results'!$S$66&lt;&gt;"data missing", Calc!BD11*'Waste results'!$S$66, "data missing"),
   IF(OR('Waste results'!$S$30&lt;&gt;"data missing", 'Waste results'!$S$66&lt;&gt;"data missing"), Calc!BC11*'Waste results'!$S$30+ Calc!BD11*'Waste results'!$S$66, "data missing"))),
IF(AND('Field information 2'!$M$5&lt;&gt;"", 'Field information 2'!$O$5&lt;&gt;"", 'Field information 2'!$Q$5&lt;&gt;""),
   IF(AND(Calc!BD11=0,Calc!BE11=0),
     IF('Waste results'!$S$30&lt;&gt;"data missing", Calc!BC11*'Waste results'!$S$30, "data missing"),
   IF(AND(Calc!BC11=0,Calc!BE11=0),
     IF('Waste results'!$S$66&lt;&gt;"data missing", Calc!BD11*'Waste results'!$S$66, "data missing"),
   IF(AND(Calc!BC11=0,Calc!BD11=0),
     IF('Waste results'!$S$102&lt;&gt;"data missing", Calc!BE11*'Waste results'!$S$102, "data missing"),
   IF(Calc!BE11=0,
     IF(OR('Waste results'!$S$30&lt;&gt;"data missing", 'Waste results'!$S$66&lt;&gt;"data missing"), Calc!BC11*'Waste results'!$S$30+ Calc!BD11*'Waste results'!$S$66, "data missing"),
   IF(Calc!BD11=0,
     IF(OR('Waste results'!$S$30&lt;&gt;"data missing", 'Waste results'!$S$102&lt;&gt;"data missing"), Calc!BC11*'Waste results'!$S$30+ Calc!BE11*'Waste results'!$S$102, "data missing"),
   IF(Calc!BC11=0,
     IF(OR('Waste results'!$S$66&lt;&gt;"data missing", 'Waste results'!$S$102&lt;&gt;"data missing"), Calc!BD11*'Waste results'!$S$66+Calc!BE11*'Waste results'!$S$102, "data missing"),
   IF(OR('Waste results'!$S$30&lt;&gt;"data missing", 'Waste results'!$S$66&lt;&gt;"data missing", 'Waste results'!$S$102&lt;&gt;"data missing"), Calc!BC11*'Waste results'!$S$30+Calc!BD11*'Waste results'!$S$66+ Calc!BE11*'Waste results'!$S$102, "data missing")))))))))))</f>
        <v/>
      </c>
      <c r="BL13" s="241" t="str">
        <f ca="1">IF($B13="","",
IF(ISBLANK('Soil results'!P16),"data missing",'Soil results'!P16))</f>
        <v/>
      </c>
      <c r="BM13" s="241" t="str">
        <f t="shared" ca="1" si="14"/>
        <v/>
      </c>
      <c r="BN13" s="66" t="str">
        <f t="shared" ca="1" si="15"/>
        <v/>
      </c>
      <c r="BP13" s="238" t="str">
        <f ca="1">IF(B13="","",
IF(AND('Field information 2'!$O$5="", 'Field information 2'!$Q$5=""),
   IF('Waste results'!$S$31&lt;&gt;"data missing", Calc!BC11*'Waste results'!$S$31, "data missing"),
IF('Field information 2'!$Q$5="",
   IF(Calc!BD11=0,
     IF('Waste results'!$S$31&lt;&gt;"data missing", Calc!BC11*'Waste results'!$S$31, "data missing"),
   IF(Calc!BC11=0,
     IF('Waste results'!$S$67&lt;&gt;"data missing", Calc!BD11*'Waste results'!$S$67, "data missing"),
   IF(OR('Waste results'!$S$31&lt;&gt;"data missing", 'Waste results'!$S$67&lt;&gt;"data missing"), Calc!BC11*'Waste results'!$S$31+ Calc!BD11*'Waste results'!$S$67, "data missing"))),
IF(AND('Field information 2'!$M$5&lt;&gt;"", 'Field information 2'!$O$5&lt;&gt;"", 'Field information 2'!$Q$5&lt;&gt;""),
   IF(AND(Calc!BD11=0,Calc!BE11=0),
     IF('Waste results'!$S$31&lt;&gt;"data missing", Calc!BC11*'Waste results'!$S$31, "data missing"),
   IF(AND(Calc!BC11=0,Calc!BE11=0),
     IF('Waste results'!$S$67&lt;&gt;"data missing", Calc!BD11*'Waste results'!$S$67, "data missing"),
   IF(AND(Calc!BC11=0,Calc!BD11=0),
     IF('Waste results'!$S$103&lt;&gt;"data missing", Calc!BE11*'Waste results'!$S$103, "data missing"),
   IF(Calc!BE11=0,
     IF(OR('Waste results'!$S$31&lt;&gt;"data missing", 'Waste results'!$S$67&lt;&gt;"data missing"), Calc!BC11*'Waste results'!$S$31+ Calc!BD11*'Waste results'!$S$67, "data missing"),
   IF(Calc!BD11=0,
     IF(OR('Waste results'!$S$31&lt;&gt;"data missing", 'Waste results'!$S$103&lt;&gt;"data missing"), Calc!BC11*'Waste results'!$S$31+ Calc!BE11*'Waste results'!$S$103, "data missing"),
   IF(Calc!BC11=0,
     IF(OR('Waste results'!$S$67&lt;&gt;"data missing", 'Waste results'!$S$103&lt;&gt;"data missing"), Calc!BD11*'Waste results'!$S$67+Calc!BE11*'Waste results'!$S$103, "data missing"),
   IF(OR('Waste results'!$S$31&lt;&gt;"data missing", 'Waste results'!$S$67&lt;&gt;"data missing", 'Waste results'!$S$103&lt;&gt;"data missing"), Calc!BC11*'Waste results'!$S$31+Calc!BD11*'Waste results'!$S$67+ Calc!BE11*'Waste results'!$S$103, "data missing")))))))))))</f>
        <v/>
      </c>
      <c r="BQ13" s="239" t="str">
        <f ca="1">IF($B13="","",
IF(ISBLANK('Soil results'!Q16),"data missing",'Soil results'!Q16))</f>
        <v/>
      </c>
      <c r="BR13" s="239" t="str">
        <f t="shared" ca="1" si="16"/>
        <v/>
      </c>
      <c r="BS13" s="9" t="str">
        <f ca="1">IF(B13="","",
IF(BP13=0,"n/a",
IF(OR(BP13="data missing",BQ13=""),"data missing",
IF(BP13&gt;15,"application rate too high - permissible rate exceeds limit",
IF('Soil results'!F16&lt;=5.5,
  IF(BQ13&gt;200,"no application - soil conc. already above limit",
  IF(BR13&gt;200,"application rate too high - soil conc. will exceed limit",
  IF(BQ13&gt;200*0.9,"soil conc. is at or above 90% of the limit",
  IF(10*BP13*1000/3000+BQ13&gt;200,"soil limit likely to be exceeded in 10yrs",
  IF(50*BP13*1000/3000+BQ13&gt;200,"soil limit likely to be exceeded in 50yrs","ok"))))),
IF('Soil results'!F16&lt;=6,
  IF(BQ13&gt;250,"no application - soil conc. already above limit",
  IF(BR13&gt;250,"application rate too high - soil conc. will exceed limit",
  IF(BQ13&gt;250*0.9,"soil conc. is at or above 90% of the limit",
  IF(10*BP13*1000/3000+BQ13&gt;250,"soil limit likely to be exceeded in 10yrs",
  IF(50*BP13*1000/3000+BQ13&gt;250,"soil limit likely to be exceeded in 50yrs","ok"))))),
IF('Soil results'!F16&lt;=7,
  IF(BQ13&gt;300,"no application - soil conc. already above limit",
  IF(BR13&gt;300,"application rate too high - soil conc. will exceed limit",
  IF(BQ13&gt;300*0.9,"soil conc. is at or above 90% of the limit",
  IF(10*BP13*1000/3000+BQ13&gt;300,"soil limit likey to be exceeded in 10yrs",
  IF(50*BP13*1000/3000+BQ13&gt;300,"soil limit likely to be exceeded in 50yrs","ok"))))),
IF('Soil results'!F16&gt;7,
  IF(BQ13&gt;450,"no application - soil conc. already above limit",
  IF(BR13&gt;450,"application rate too high - soil conc. will exceed limit",
  IF(AW13&gt;450*0.9,"soil conc. is at or above 90% of the limit",
  IF(10*BP13*1000/3000+BQ13&gt;450,"soil limit likely to be exceeded in 10yrs",
  IF(50*BP13*1000/3000+BQ13&gt;450,"soil limit likely to be exceeded in 50yrs","ok")))))
))))))))</f>
        <v/>
      </c>
    </row>
    <row r="14" spans="1:71" s="9" customFormat="1" x14ac:dyDescent="0.35">
      <c r="B14" s="236" t="str">
        <f ca="1">'Soil results'!B17</f>
        <v/>
      </c>
      <c r="C14" s="91" t="str">
        <f ca="1">IF(B14="","",
IF(AND('Field information 2'!$O$5="", 'Field information 2'!$Q$5=""),
   IF('Waste results'!$S$12&lt;&gt;"data missing", Calc!BC12*'Waste results'!$S$12, "data missing"),
IF('Field information 2'!$Q$5="",
   IF(Calc!BD12=0,
     IF('Waste results'!$S$12&lt;&gt;"data missing", Calc!BC12*'Waste results'!$S$12, "data missing"),
   IF(Calc!BC12=0,
     IF('Waste results'!$S$48&lt;&gt;"data missing", Calc!BD12*'Waste results'!$S$48, "data missing"),
   IF(OR('Waste results'!$S$12&lt;&gt;"data missing", 'Waste results'!$S$48&lt;&gt;"data missing"), Calc!BC12*'Waste results'!$S$12+ Calc!BD12*'Waste results'!$S$48, "data missing"))),
IF(AND('Field information 2'!$M$5&lt;&gt;"", 'Field information 2'!$O$5&lt;&gt;"", 'Field information 2'!$Q$5&lt;&gt;""),
   IF(AND(Calc!BD12=0,Calc!BE12=0),
     IF('Waste results'!$S$12&lt;&gt;"data missing", Calc!BC12*'Waste results'!$S$12, "data missing"),
   IF(AND(Calc!BC12=0,Calc!BE12=0),
     IF('Waste results'!$S$48&lt;&gt;"data missing", Calc!BD12*'Waste results'!$S$48, "data missing"),
   IF(AND(Calc!BC12=0,Calc!BD12=0),
     IF('Waste results'!$S$84&lt;&gt;"data missing", Calc!BE12*'Waste results'!$S$84, "data missing"),
   IF(Calc!BE12=0,
     IF(OR('Waste results'!$S$12&lt;&gt;"data missing", 'Waste results'!$S$48&lt;&gt;"data missing"), Calc!BC12*'Waste results'!$S$12+ Calc!BD12*'Waste results'!$S$48, "data missing"),
   IF(Calc!BD12=0,
     IF(OR('Waste results'!$S$12&lt;&gt;"data missing", 'Waste results'!$S$84&lt;&gt;"data missing"), Calc!BC12*'Waste results'!$S$12+ Calc!BE12*'Waste results'!$S$84, "data missing"),
   IF(Calc!BC12=0,
     IF(OR('Waste results'!$S$48&lt;&gt;"data missing", 'Waste results'!$S$84&lt;&gt;"data missing"), Calc!BD12*'Waste results'!$S$48+Calc!BE12*'Waste results'!$S$84, "data missing"),
   IF(OR('Waste results'!$S$12&lt;&gt;"data missing", 'Waste results'!$S$48&lt;&gt;"data missing", 'Waste results'!$S$84&lt;&gt;"data missing"), Calc!BC12*'Waste results'!$S$12+Calc!BD12*'Waste results'!$S$48+ Calc!BE12*'Waste results'!$S$84, "data missing")))))))))))</f>
        <v/>
      </c>
      <c r="D14" s="161" t="str">
        <f ca="1">IF(B14="","",
IF(Calc!BG12="","soil texture missing",
IF(OR(Calc!BG12="SL; SZL; ZL",Calc!BG12="SCL; CL; ZCL; SC; ZC; C"),VLOOKUP(Calc!BI12,'Fertiliser recommendations'!$A$4:$C$63,3,FALSE),
IF(Calc!BG12="S; LS",VLOOKUP(Calc!BI12,'Fertiliser recommendations'!$A$4:$C$63,3,FALSE)+VLOOKUP(Calc!BI12,'Fertiliser recommendations'!$A$4:$D$63,4,FALSE),
IF(Calc!BG12="10-25% OM",VLOOKUP(Calc!BI12,'Fertiliser recommendations'!$A$4:$C$63,3,FALSE)+VLOOKUP(Calc!BI12,'Fertiliser recommendations'!$A$4:$E$63,5,FALSE),
IF(Calc!BG12="&gt;25% OM",VLOOKUP(Calc!BI12,'Fertiliser recommendations'!$A$4:$C$63,3,FALSE)+VLOOKUP(Calc!BI12,'Fertiliser recommendations'!$A$4:$F$63,6,FALSE),
""))))))</f>
        <v/>
      </c>
      <c r="E14" s="91" t="str">
        <f t="shared" ca="1" si="0"/>
        <v/>
      </c>
      <c r="F14" s="9" t="str">
        <f ca="1">IF(B14="","",
IF(OR(C14="data missing",D14="soil texture missing"),"data missing",
IF(Calc!BF12=0,"n/a",
IF(C14&lt;0.1*D14,"no benefit",
IF(C14&lt;0.3*D14,"limited benefit",
IF(C14&gt;250,"exceeds limit",
IF(OR(AND(D14=0,C14&gt;75),C14&gt;1.25*D14),"excessive",
IF(D14=0, "no requirement",
"benefit"))))))))</f>
        <v/>
      </c>
      <c r="H14" s="91" t="str">
        <f ca="1">IF(B14="","",
IF(AND('Field information 2'!$O$5="", 'Field information 2'!$Q$5=""),
   IF('Waste results'!$S$17&lt;&gt;"data missing", Calc!BC12*'Waste results'!$S$17, "data missing"),
IF('Field information 2'!$Q$5="",
   IF(Calc!BD12=0,
     IF('Waste results'!$S$17&lt;&gt;"data missing", Calc!BC12*'Waste results'!$S$17, "data missing"),
   IF(Calc!BC12=0,
     IF('Waste results'!$S$53&lt;&gt;"data missing", Calc!BD12*'Waste results'!$S$53, "data missing"),
   IF(OR('Waste results'!$S$17&lt;&gt;"data missing", 'Waste results'!$S$53&lt;&gt;"data missing"), Calc!BC12*'Waste results'!$S$17+ Calc!BD12*'Waste results'!$S$53, "data missing"))),
IF(AND('Field information 2'!$M$5&lt;&gt;"", 'Field information 2'!$O$5&lt;&gt;"", 'Field information 2'!$Q$5&lt;&gt;""),
   IF(AND(Calc!BD12=0,Calc!BE12=0),
     IF('Waste results'!$S$17&lt;&gt;"data missing", Calc!BC12*'Waste results'!$S$17, "data missing"),
   IF(AND(Calc!BC12=0,Calc!BE12=0),
     IF('Waste results'!$S$53&lt;&gt;"data missing", Calc!BD12*'Waste results'!$S$53, "data missing"),
   IF(AND(Calc!BC12=0,Calc!BD12=0),
     IF('Waste results'!$S$89&lt;&gt;"data missing", Calc!BE12*'Waste results'!$S$89, "data missing"),
   IF(Calc!BE12=0,
     IF(OR('Waste results'!$S$17&lt;&gt;"data missing", 'Waste results'!$S$53&lt;&gt;"data missing"), Calc!BC12*'Waste results'!$S$17+ Calc!BD12*'Waste results'!$S$53, "data missing"),
   IF(Calc!BD12=0,
     IF(OR('Waste results'!$S$17&lt;&gt;"data missing", 'Waste results'!$S$89&lt;&gt;"data missing"), Calc!BC12*'Waste results'!$S$17+ Calc!BE12*'Waste results'!$S$89, "data missing"),
   IF(Calc!BC12=0,
     IF(OR('Waste results'!$S$53&lt;&gt;"data missing", 'Waste results'!$S$89&lt;&gt;"data missing"), Calc!BD12*'Waste results'!$S$53+Calc!BE12*'Waste results'!$S$89, "data missing"),
   IF(OR('Waste results'!$S$17&lt;&gt;"data missing", 'Waste results'!$S$53&lt;&gt;"data missing", 'Waste results'!$S$89&lt;&gt;"data missing"), Calc!BC12*'Waste results'!$S$17+Calc!BD12*'Waste results'!$S$53+ Calc!BE12*'Waste results'!$S$89, "data missing")))))))))))</f>
        <v/>
      </c>
      <c r="I14" s="195" t="str">
        <f ca="1">IF(B14="","",
IF(OR(ISBLANK('Soil results'!G17), ISBLANK('Soil results'!G$7)),"data missing",
IF(OR(AND('Soil results'!G$7="Olsen (ADAS)",'Soil results'!G17&lt;16),AND('Soil results'!G$7="modified Morgan (SAC)",'Soil results'!G17&lt;4.5)),50,100)))</f>
        <v/>
      </c>
      <c r="J14" s="49" t="str">
        <f ca="1">IF(B14="","",
IF(OR(ISBLANK('Soil results'!G$7),ISBLANK('Soil results'!G17)),"data missing",
IF(OR(AND('Soil results'!G$7="Olsen (ADAS)",'Soil results'!G17&gt;45),AND('Soil results'!G$7="modified Morgan (SAC)",'Soil results'!G17&gt;30)),0,
IF(OR(AND('Soil results'!G$7="Olsen (ADAS)",'Soil results'!G17&gt;=16,'Soil results'!G17&lt;=20),AND('Soil results'!G$7="modified Morgan (SAC)",'Soil results'!G17&gt;=4.5,'Soil results'!G17&lt;=9.4)),VLOOKUP(Calc!BI12,'Fertiliser recommendations'!$A$4:$I$63,9,FALSE),
IF(OR(AND('Soil results'!G$7="Olsen (ADAS)",'Soil results'!G17&lt;10),AND('Soil results'!G$7="modified Morgan (SAC)",'Soil results'!G17&lt;1.8)),VLOOKUP(Calc!BI12,'Fertiliser recommendations'!$A$4:$I$63,9,FALSE)+VLOOKUP(Calc!BI12,'Fertiliser recommendations'!$A$4:$J$63,10,FALSE),
IF(OR(AND('Soil results'!G$7="Olsen (ADAS)",'Soil results'!G17&lt;16),AND('Soil results'!G$7="modified Morgan (SAC)",'Soil results'!G17&lt;4.5)),VLOOKUP(Calc!BI12,'Fertiliser recommendations'!$A$4:$I$63,9,FALSE)+VLOOKUP(Calc!BI12,'Fertiliser recommendations'!$A$4:$K$63,11,FALSE),
IF(OR(AND('Soil results'!G$7="Olsen (ADAS)",'Soil results'!G17&lt;26),AND('Soil results'!G$7="modified Morgan (SAC)",'Soil results'!G17&lt;13.5)),VLOOKUP(Calc!BI12,'Fertiliser recommendations'!$A$4:$I$63,9,FALSE)+VLOOKUP(Calc!BI12,'Fertiliser recommendations'!$A$4:$L$63,12,FALSE),
IF(OR(AND('Soil results'!G$7="Olsen (ADAS)",'Soil results'!G17&lt;=45),AND('Soil results'!G$7="modified Morgan (SAC)",'Soil results'!G17&lt;=30)),VLOOKUP(Calc!BI12,'Fertiliser recommendations'!$A$4:$I$63,9,FALSE)+VLOOKUP(Calc!BI12,'Fertiliser recommendations'!$A$4:$M$63,13,FALSE),
""))))))))</f>
        <v/>
      </c>
      <c r="K14" s="161" t="str">
        <f t="shared" ca="1" si="1"/>
        <v/>
      </c>
      <c r="L14" s="47" t="str">
        <f ca="1">IF(OR(ISBLANK('Soil results'!G$7),ISBLANK('Soil results'!G17),B14="", H14="data missing"),"",
IF('Soil results'!G$7="Olsen (ADAS)",
IF(((H14*Calc!BM12/2.291-(VLOOKUP(Calc!BI12,'Fertiliser recommendations'!$A$4:$I$63,9,FALSE))/2.291)*10/(400/2.291)+'Soil results'!G17)&lt;10,"0 (VL)",
IF(((H14*Calc!BM12/2.291-(VLOOKUP(Calc!BI12,'Fertiliser recommendations'!$A$4:$I$63,9,FALSE))/2.291)*10/(400/2.291)+'Soil results'!G17)&lt;16,"1 (L)",
IF(((H14*Calc!BM12/2.291-(VLOOKUP(Calc!BI12,'Fertiliser recommendations'!$A$4:$I$63,9,FALSE))/2.291)*10/(400/2.291)+'Soil results'!G17)&lt;21,"2 (M-)",
IF(((H14*Calc!BM12/2.291-(VLOOKUP(Calc!BI12,'Fertiliser recommendations'!$A$4:$I$63,9,FALSE))/2.291)*10/(400/2.291)+'Soil results'!G17)&lt;26,"2 (M+)",
IF(((H14*Calc!BM12/2.291-(VLOOKUP(Calc!BI12,'Fertiliser recommendations'!$A$4:$I$63,9,FALSE))/2.291)*10/(400/2.291)+'Soil results'!G17)&lt;45,"3 (H)","&gt;3 (VH)"))))),
IF('Soil results'!G$7="modified Morgan (SAC)",
IF('Soil results'!G17&gt;=6,
IF(((H14*Calc!BM12/2.291-(VLOOKUP(Calc!BI12,'Fertiliser recommendations'!$A$4:$I$63,9,FALSE))/2.291)*5/(147/2.291)+'Soil results'!G17)&lt;9.5,"2 (M-)",
IF(((H14*Calc!BM12/2.291-(VLOOKUP(Calc!BI12,'Fertiliser recommendations'!$A$4:$I$63,9,FALSE))/2.291)*5/(147/2.291)+'Soil results'!G17)&lt;13.5,"2 (M+)",
IF(((H14*Calc!BM12/2.291-(VLOOKUP(Calc!BI12,'Fertiliser recommendations'!$A$4:$I$63,9,FALSE))/2.291)*5/(147/2.291)+'Soil results'!G17)&lt;30,"3 (H)","4 (VH)"))),
IF(((H14*Calc!BM12/2.291-(VLOOKUP(Calc!BI12,'Fertiliser recommendations'!$A$4:$I$63,9,FALSE))/2.291)*5/(346/2.291)+'Soil results'!G17)&lt;1.8,"0 (VL)",
IF(((H14*Calc!BM12/2.291-(VLOOKUP(Calc!BI12,'Fertiliser recommendations'!$A$4:$I$63,9,FALSE))/2.291)*5/(147/2.291)+'Soil results'!G17)&lt;4.5,"1 (L)","2 (M-)"))))))</f>
        <v/>
      </c>
      <c r="M14" s="9" t="str">
        <f ca="1">IF(B14="","",
IF(OR(H14="data missing",I14="data missing",J14="data missing"),"data missing",
IF(Calc!BF12=0,"n/a",
IF(OR(AND('Soil results'!G$7="Olsen (ADAS)",'Soil results'!G17&gt;45),AND('Soil results'!G$7="modified Morgan (SAC)",'Soil results'!G17&gt;30)),
IF(H14&gt;2,"too high, not acceptable","no requirement"),IF(OR(AND('Soil results'!G$7="Olsen (ADAS)",'Soil results'!G17&gt;25),AND('Soil results'!G$7="modified Morgan (SAC)",'Soil results'!G17&gt;13.4)),
IF(H14*(I14/100)&lt;0.1*J14,"no benefit",
IF(H14*(I14/100)&lt;0.3*J14,"limited benefit",
IF(H14*(I14/100)&lt;1.1*J14,"benefit",
IF(H14*(I14/100)&lt;0.7*VLOOKUP(Calc!BI12,'Fertiliser recommendations'!$A$4:$I$63,9,FALSE),"excessive","too high, not acceptable")))),
IF(OR(AND('Soil results'!G$7="Olsen (ADAS)",'Soil results'!G17&gt;20),AND('Soil results'!G$7="modified Morgan (SAC)",'Soil results'!G17&gt;9.4)),
IF(H14*Calc!BM12*(I14/100)&lt;0.1*J14,"no benefit",
IF(H14*Calc!BM12*(I14/100)&lt;0.3*J14,"limited benefit",
IF(H14*Calc!BM12*(I14/100)&lt;1.1*J14,"benefit",
IF(L14="3 (H)","too high, not acceptable","excessive")))),
IF(OR(AND('Soil results'!G$7="Olsen (ADAS)",'Soil results'!G17&gt;15),AND('Soil results'!G$7="modified Morgan (SAC)",'Soil results'!G17&gt;4.4)),
IF(H14*Calc!BM12*(I14/100)&lt;0.1*VLOOKUP(Calc!BI12,'Fertiliser recommendations'!$A$4:$I$63,9,FALSE),"no benefit",
IF(H14*Calc!BM12*(I14/100)&lt;0.3*VLOOKUP(Calc!BI12,'Fertiliser recommendations'!$A$4:$I$63,9,FALSE),"limited benefit",
IF(H14*Calc!BM12*(I14/100)&lt;1.1*VLOOKUP(Calc!BI12,'Fertiliser recommendations'!$A$4:$I$63,9,FALSE),"benefit",
IF(L14="3 (H)", "too high, not acceptable", "excessive")))),
IF(OR(AND('Soil results'!G$7="Olsen (ADAS)",'Soil results'!G17&lt;=15),AND('Soil results'!G$7="modified Morgan (SAC)",'Soil results'!G17&lt;=4.4)),
IF(H14*Calc!BM12*(I14/100)&lt;0.1*VLOOKUP(Calc!BI12,'Fertiliser recommendations'!$A$4:$I$63,9,FALSE),"no benefit",
IF(H14*Calc!BM12*(I14/100)&lt;0.3*VLOOKUP(Calc!BI12,'Fertiliser recommendations'!$A$4:$I$63,9,FALSE),"limited benefit",
IF(H14*Calc!BM12*(I14/100)&lt;1.1*J14,"benefit","excessive")))))))))))</f>
        <v/>
      </c>
      <c r="O14" s="91" t="str">
        <f ca="1">IF(B14="","",
IF(AND('Field information 2'!$O$5="", 'Field information 2'!$Q$5=""),
   IF('Waste results'!$S$19&lt;&gt;"data missing", Calc!BC12*'Waste results'!$S$19, "data missing"),
IF('Field information 2'!$Q$5="",
   IF(Calc!BD12=0,
     IF('Waste results'!$S$19&lt;&gt;"data missing", Calc!BC12*'Waste results'!$S$19, "data missing"),
   IF(Calc!BC12=0,
     IF('Waste results'!$S$55&lt;&gt;"data missing", Calc!BD12*'Waste results'!$S$55, "data missing"),
   IF(OR('Waste results'!$S$19&lt;&gt;"data missing", 'Waste results'!$S$55&lt;&gt;"data missing"), Calc!BC12*'Waste results'!$S$19+ Calc!BD12*'Waste results'!$S$55, "data missing"))),
IF(AND('Field information 2'!$M$5&lt;&gt;"", 'Field information 2'!$O$5&lt;&gt;"", 'Field information 2'!$Q$5&lt;&gt;""),
   IF(AND(Calc!BD12=0,Calc!BE12=0),
     IF('Waste results'!$S$19&lt;&gt;"data missing", Calc!BC12*'Waste results'!$S$19, "data missing"),
   IF(AND(Calc!BC12=0,Calc!BE12=0),
     IF('Waste results'!$S$55&lt;&gt;"data missing", Calc!BD12*'Waste results'!$S$55, "data missing"),
   IF(AND(Calc!BC12=0,Calc!BD12=0),
     IF('Waste results'!$S$91&lt;&gt;"data missing", Calc!BE12*'Waste results'!$S$91, "data missing"),
   IF(Calc!BE12=0,
     IF(OR('Waste results'!$S$19&lt;&gt;"data missing", 'Waste results'!$S$55&lt;&gt;"data missing"), Calc!BC12*'Waste results'!$S$19+ Calc!BD12*'Waste results'!$S$55, "data missing"),
   IF(Calc!BD12=0,
     IF(OR('Waste results'!$S$19&lt;&gt;"data missing", 'Waste results'!$S$91&lt;&gt;"data missing"), Calc!BC12*'Waste results'!$S$19+ Calc!BE12*'Waste results'!$S$91, "data missing"),
   IF(Calc!BC12=0,
     IF(OR('Waste results'!$S$55&lt;&gt;"data missing", 'Waste results'!$S$91&lt;&gt;"data missing"), Calc!BD12*'Waste results'!$S$55+Calc!BE12*'Waste results'!$S$91, "data missing"),
   IF(OR('Waste results'!$S$19&lt;&gt;"data missing", 'Waste results'!$S$55&lt;&gt;"data missing", 'Waste results'!$S$91&lt;&gt;"data missing"), Calc!BC12*'Waste results'!$S$19+Calc!BD12*'Waste results'!$S$55+ Calc!BE12*'Waste results'!$S$91, "data missing")))))))))))</f>
        <v/>
      </c>
      <c r="P14" s="91" t="str">
        <f ca="1">IF(B14="","",
IF(OR(ISBLANK('Soil results'!H$7),ISBLANK('Soil results'!H17)),"data missing",
IF(OR(AND('Soil results'!H$7="ammonium nitrate (ADAS)",'Soil results'!H17&gt;400),AND('Soil results'!H$7="modified Morgan (SAC)",'Soil results'!H17&gt;400)),0,
IF(OR(AND('Soil results'!H$7="ammonium nitrate (ADAS)",'Soil results'!H17&gt;=121,'Soil results'!H17&lt;=180),AND('Soil results'!H$7="modified Morgan (SAC)",'Soil results'!H17&gt;=76,'Soil results'!H17&lt;=140)),VLOOKUP(Calc!BI12,'Fertiliser recommendations'!$A$4:$Z$63,26,FALSE),
IF(OR(AND('Soil results'!H$7="ammonium nitrate (ADAS)",'Soil results'!H17&lt;61),AND('Soil results'!H$7="modified Morgan (SAC)",'Soil results'!H17&lt;40)),VLOOKUP(Calc!BI12,'Fertiliser recommendations'!$A$4:$Z$63,26,FALSE)+VLOOKUP(Calc!BI12,'Fertiliser recommendations'!$A$4:$AA$63,27,FALSE),
IF(OR(AND('Soil results'!H$7="ammonium nitrate (ADAS)",'Soil results'!H17&lt;121),AND('Soil results'!H$7="modified Morgan (SAC)",'Soil results'!H17&lt;76)),VLOOKUP(Calc!BI12,'Fertiliser recommendations'!$A$4:$Z$63,26,FALSE)+VLOOKUP(Calc!BI12,'Fertiliser recommendations'!$A$4:$AB$63,28,FALSE),
IF(OR(AND('Soil results'!H$7="ammonium nitrate (ADAS)",'Soil results'!H17&lt;241),AND('Soil results'!H$7="modified Morgan (SAC)",'Soil results'!H17&lt;201)),VLOOKUP(Calc!BI12,'Fertiliser recommendations'!$A$4:$Z$63,26,FALSE)+VLOOKUP(Calc!BI12,'Fertiliser recommendations'!$A$4:$AC$63,29,FALSE),
IF(OR(AND('Soil results'!H$7="ammonium nitrate (ADAS)",'Soil results'!H17&lt;=400),AND('Soil results'!H$7="modified Morgan (SAC)",'Soil results'!H17&lt;=400)),VLOOKUP(Calc!BI12,'Fertiliser recommendations'!$A$4:$Z$63,26,FALSE)+VLOOKUP(Calc!BI12,'Fertiliser recommendations'!$A$4:$AD$63,30,FALSE),
"??"))))))))</f>
        <v/>
      </c>
      <c r="Q14" s="91" t="str">
        <f t="shared" ca="1" si="2"/>
        <v/>
      </c>
      <c r="R14" s="9" t="str">
        <f ca="1">IF(B14="","",
IF(OR(O14="data missing",P14="data missing"),"data missing",
IF(Calc!BF12=0,"n/a",
IF(P14=0, "no requirement",
IF(O14&lt;0.1*P14,"no benefit",
IF(O14&lt;0.3*P14,"limited benefit",
IF(O14&gt;1.25*P14,"excessive",
"benefit")))))))</f>
        <v/>
      </c>
      <c r="T14" s="91" t="str">
        <f ca="1">IF(B14="","",
IF(AND('Field information 2'!$O$5="", 'Field information 2'!$Q$5=""),
   IF('Waste results'!$S$21&lt;&gt;"data missing", Calc!BC12*'Waste results'!$S$21, "data missing"),
IF('Field information 2'!$Q$5="",
   IF(Calc!BD12=0,
     IF('Waste results'!$S$21&lt;&gt;"data missing", Calc!BC12*'Waste results'!$S$21, "data missing"),
   IF(Calc!BC12=0,
     IF('Waste results'!$S$57&lt;&gt;"data missing", Calc!BD12*'Waste results'!$S$57, "data missing"),
   IF(OR('Waste results'!$S$21&lt;&gt;"data missing", 'Waste results'!$S$57&lt;&gt;"data missing"), Calc!BC12*'Waste results'!$S$21+ Calc!BD12*'Waste results'!$S$57, "data missing"))),
IF(AND('Field information 2'!$M$5&lt;&gt;"", 'Field information 2'!$O$5&lt;&gt;"", 'Field information 2'!$Q$5&lt;&gt;""),
   IF(AND(Calc!BD12=0,Calc!BE12=0),
     IF('Waste results'!$S$21&lt;&gt;"data missing", Calc!BC12*'Waste results'!$S$21, "data missing"),
   IF(AND(Calc!BC12=0,Calc!BE12=0),
     IF('Waste results'!$S$57&lt;&gt;"data missing", Calc!BD12*'Waste results'!$S$57, "data missing"),
   IF(AND(Calc!BC12=0,Calc!BD12=0),
     IF('Waste results'!$S$93&lt;&gt;"data missing", Calc!BE12*'Waste results'!$S$93, "data missing"),
   IF(Calc!BE12=0,
     IF(OR('Waste results'!$S$21&lt;&gt;"data missing", 'Waste results'!$S$57&lt;&gt;"data missing"), Calc!BC12*'Waste results'!$S$21+ Calc!BD12*'Waste results'!$S$57, "data missing"),
   IF(Calc!BD12=0,
     IF(OR('Waste results'!$S$21&lt;&gt;"data missing", 'Waste results'!$S$93&lt;&gt;"data missing"), Calc!BC12*'Waste results'!$S$21+ Calc!BE12*'Waste results'!$S$93, "data missing"),
   IF(Calc!BC12=0,
     IF(OR('Waste results'!$S$57&lt;&gt;"data missing", 'Waste results'!$S$93&lt;&gt;"data missing"), Calc!BD12*'Waste results'!$S$57+Calc!BE12*'Waste results'!$S$93, "data missing"),
   IF(OR('Waste results'!$S$21&lt;&gt;"data missing", 'Waste results'!$S$57&lt;&gt;"data missing", 'Waste results'!$S$93&lt;&gt;"data missing"), Calc!BC12*'Waste results'!$S$21+Calc!BD12*'Waste results'!$S$57+ Calc!BE12*'Waste results'!$S$93, "data missing")))))))))))</f>
        <v/>
      </c>
      <c r="U14" s="7" t="str">
        <f ca="1">IF(B14="","",
IF(OR(ISBLANK('Soil results'!I$7),ISBLANK('Soil results'!I17)),"data missing",
IF(OR(AND('Soil results'!I$7="ammonium nitrate (ADAS)",'Soil results'!I17&gt;51),AND('Soil results'!I$7="modified Morgan (SAC)",'Soil results'!I17&gt;61)),0,
IF(OR(AND('Soil results'!I$7="ammonium nitrate (ADAS)",'Soil results'!I17&lt;25),AND('Soil results'!I$7="modified Morgan (SAC)",'Soil results'!I17&lt;19)),VLOOKUP(Calc!BI12,'Fertiliser recommendations'!$A$4:$AH$63,34,FALSE),
IF(OR(AND('Soil results'!I$7="ammonium nitrate (ADAS)",'Soil results'!I17&lt;=51),AND('Soil results'!I$7="modified Morgan (SAC)",'Soil results'!I17&lt;=61)),VLOOKUP(Calc!BI12,'Fertiliser recommendations'!$A$4:$AI$63,35,FALSE),
"")))))</f>
        <v/>
      </c>
      <c r="V14" s="91" t="str">
        <f t="shared" ca="1" si="3"/>
        <v/>
      </c>
      <c r="W14" s="9" t="str">
        <f ca="1">IF(B14="","",
IF(OR(T14="data missing",U14="data missing"),"data missing",
IF(Calc!BF12=0,"n/a",
IF(U14=0,"no requirement",
IF(T14&lt;0.1*U14,"no benefit",
IF(T14&lt;0.3*U14,"limited benefit",
IF(OR(T14&gt;1.5*U14,AND(Calc!BJ12="g",T14&gt;100)),"excessive",
"benefit")))))))</f>
        <v/>
      </c>
      <c r="Y14" s="91" t="str">
        <f ca="1">IF(B14="","",
IF(AND('Field information 2'!$O$5="", 'Field information 2'!$Q$5=""),
   IF('Waste results'!$P$23&lt;&gt;"", Calc!BC12*'Waste results'!$P$23, "no data"),
IF('Field information 2'!$Q$5="",
   IF(Calc!BD12=0,
     IF('Waste results'!$P$23&lt;&gt;"", Calc!BC12*'Waste results'!$P$23, "no data"),
   IF(Calc!BC12=0,
     IF('Waste results'!$P$59&lt;&gt;"", Calc!BD12*'Waste results'!$P$59, "no data"),
   IF(OR('Waste results'!$P$23&lt;&gt;"", 'Waste results'!$P$59&lt;&gt;""), Calc!BC12*'Waste results'!$P$23+ Calc!BD12*'Waste results'!$P$59, "no data"))),
IF(AND('Field information 2'!$M$5&lt;&gt;"", 'Field information 2'!$O$5&lt;&gt;"", 'Field information 2'!$Q$5&lt;&gt;""),
   IF(AND(Calc!BD12=0,Calc!BE12=0),
     IF('Waste results'!$P$23&lt;&gt;"", Calc!BC12*'Waste results'!$P$23, "no data"),
   IF(AND(Calc!BC12=0,Calc!BE12=0),
     IF('Waste results'!$P$59&lt;&gt;"", Calc!BD12*'Waste results'!$P$59, "no data"),
   IF(AND(Calc!BC12=0,Calc!BD12=0),
     IF('Waste results'!$P$95&lt;&gt;"", Calc!BE12*'Waste results'!$P$95, "no data"),
   IF(Calc!BE12=0,
     IF(OR('Waste results'!$P$23&lt;&gt;"", 'Waste results'!$P$59&lt;&gt;""), Calc!BC12*'Waste results'!$P$23+ Calc!BD12*'Waste results'!$P$59, "no data"),
   IF(Calc!BD12=0,
     IF(OR('Waste results'!$P$23&lt;&gt;"", 'Waste results'!$P$95&lt;&gt;""), Calc!BC12*'Waste results'!$P$23+ Calc!BE12*'Waste results'!$P$95, "no data"),
   IF(Calc!BC12=0,
     IF(OR('Waste results'!$P$59&lt;&gt;"", 'Waste results'!$P$95&lt;&gt;""), Calc!BD12*'Waste results'!$P$59+Calc!BE12*'Waste results'!$P$95, "no data"),
   IF(OR('Waste results'!$P$23&lt;&gt;"", 'Waste results'!$P$59&lt;&gt;"", 'Waste results'!$P$95&lt;&gt;""), Calc!BC12*'Waste results'!$P$23+Calc!BD12*'Waste results'!$P$59+ Calc!BE12*'Waste results'!$P$95, "no data")))))))))))</f>
        <v/>
      </c>
      <c r="Z14" s="7" t="str">
        <f ca="1">IF(OR(ISBLANK('Soil results'!I$7),ISBLANK('Soil results'!I17),'Soil results'!B17=""),"",
VLOOKUP(Calc!BI12,'Fertiliser recommendations'!$A$4:$AM$63,39,FALSE))</f>
        <v/>
      </c>
      <c r="AA14" s="91" t="str">
        <f t="shared" ca="1" si="4"/>
        <v/>
      </c>
      <c r="AB14" s="9" t="str">
        <f t="shared" ca="1" si="5"/>
        <v/>
      </c>
      <c r="AD14" s="48" t="str">
        <f>IF(ISBLANK('Soil results'!F17),"",'Soil results'!F17)</f>
        <v/>
      </c>
      <c r="AE14" s="49" t="str">
        <f ca="1">IF(B14="","",
IF(AND(Calc!BJ12="g", VLOOKUP(LEFT($B14,LEN($B14)-2),'Field information 2'!$B$12:$P$111,9,FALSE)&lt;&gt;"yes"),
 IF(Calc!BG12="10-25% OM", 5.9, IF(Calc!BG12="&gt;25% OM", 5.5, 6.2)),
IF(OR(Calc!BJ12="a", VLOOKUP(LEFT($B14,LEN($B14)-2),'Field information 2'!$B$12:$P$111,9,FALSE)="yes"),
 IF(Calc!BG12="10-25% OM", 6.4, IF(Calc!BG12="&gt;25% OM", 6, 6.7)), "")))</f>
        <v/>
      </c>
      <c r="AF14" s="91" t="str">
        <f ca="1">IF(B14="","",
IF('Waste results'!$Q$33="","no (significant) liming properties",
IF('Waste results'!Q$33&gt;100,"no (significant) liming properties",
IF(AD14="","",
IF(AD14&gt;=AE14,0,ROUNDDOWN((AE14-AD14)*Calc!BK12*'Waste results'!$Q$33+0.2,0))))))</f>
        <v/>
      </c>
      <c r="AG14" s="9" t="str">
        <f ca="1">IF(B14="","",
IF(T14=0,"n/a",
IF(AD14="","data missing",
IF(AND(AD14&lt;5,AF14="no (significant) liming properties"),"no waste application - pH too low",
IF(AND(AD14&gt;5.1,AF14="no (significant) liming properties",Calc!BH12&gt;25, LEFT(Calc!BI12,4)="graz"),"ok",
IF(AND(AD14&lt;=5.2,AF14="no (significant) liming properties"),"liming highly recommended",
IF(AF14=0,"no waste application - liming not required",
IF(AF14&lt;Calc!BC12,"application rate too high - exceeds liming requirement",
"ok"))))))))</f>
        <v/>
      </c>
      <c r="AI14" s="91" t="str">
        <f ca="1">IF(B14="","",
IF(AND('Field information 2'!$O$5="", 'Field information 2'!$Q$5=""),
   IF('Waste results'!$P$10&lt;&gt;"data missing", Calc!BC12*'Waste results'!$P$10, "data missing"),
IF('Field information 2'!$Q$5="",
   IF(Calc!BD12=0,
     IF('Waste results'!$P$10&lt;&gt;"data missing", Calc!BC12*'Waste results'!$P$10, "data missing"),
   IF(Calc!BC12=0,
     IF('Waste results'!$P$45&lt;&gt;"data missing", Calc!BD12*'Waste results'!$P$45, "data missing"),
   IF(OR('Waste results'!$P$10&lt;&gt;"data missing", 'Waste results'!$P$45&lt;&gt;"data missing"), Calc!BC12*'Waste results'!$P$10+ Calc!BD12*'Waste results'!$P$45, "data missing"))),
IF(AND('Field information 2'!$M$5&lt;&gt;"", 'Field information 2'!$O$5&lt;&gt;"", 'Field information 2'!$Q$5&lt;&gt;""),
   IF(AND(Calc!BD12=0,Calc!BE12=0),
     IF('Waste results'!$P$10&lt;&gt;"data missing", Calc!BC12*'Waste results'!$P$10, "data missing"),
   IF(AND(Calc!BC12=0,Calc!BE12=0),
     IF('Waste results'!$P$45&lt;&gt;"data missing", Calc!BD12*'Waste results'!$P$45, "data missing"),
   IF(AND(Calc!BC12=0,Calc!BD12=0),
     IF('Waste results'!$P$82&lt;&gt;"data missing", Calc!BE12*'Waste results'!$P$82, "data missing"),
   IF(Calc!BE12=0,
     IF(OR('Waste results'!$P$10&lt;&gt;"data missing", 'Waste results'!$P$45&lt;&gt;"data missing"), Calc!BC12*'Waste results'!$P$10+ Calc!BD12*'Waste results'!$P$45, "data missing"),
   IF(Calc!BD12=0,
     IF(OR('Waste results'!$P$10&lt;&gt;"data missing", 'Waste results'!$P$82&lt;&gt;"data missing"), Calc!BC12*'Waste results'!$P$10+ Calc!BE12*'Waste results'!$P$82, "data missing"),
   IF(Calc!BC12=0,
     IF(OR('Waste results'!$P$45&lt;&gt;"data missing", 'Waste results'!$P$82&lt;&gt;"data missing"), Calc!BD12*'Waste results'!$P$45+Calc!BE12*'Waste results'!$P$82, "data missing"),
   IF(OR('Waste results'!$P$10&lt;&gt;"data missing", 'Waste results'!$P$45&lt;&gt;"data missing", 'Waste results'!$P$82&lt;&gt;"data missing"), Calc!BC12*'Waste results'!$P$10+Calc!BD12*'Waste results'!$P$45+ Calc!BE12*'Waste results'!$P$82, "data missing")))))))))))</f>
        <v/>
      </c>
      <c r="AJ14" s="237" t="str">
        <f ca="1">IF(B14="","",
IF(AI14="data missing","data missing",
IF(Calc!BF12=0,"n/a",
IF(AND(Calc!BH12&gt;=8,AI14&lt;500),"no benefit",
IF(OR(AND(Calc!BH12&lt;=4,AI14&gt;=500),AND(Calc!BH12&lt;8,AI14&gt;5000)),"benefit",
"limited benefit")))))</f>
        <v/>
      </c>
      <c r="AL14" s="238" t="str">
        <f ca="1">IF(B14="","",
IF(AND('Field information 2'!$O$5="", 'Field information 2'!$Q$5=""),
   IF('Waste results'!$S$25&lt;&gt;"data missing", Calc!BC12*'Waste results'!$S$25, "data missing"),
IF('Field information 2'!$Q$5="",
   IF(Calc!BD12=0,
     IF('Waste results'!$S$25&lt;&gt;"data missing", Calc!BC12*'Waste results'!$S$25, "data missing"),
   IF(Calc!BC12=0,
     IF('Waste results'!$S$61&lt;&gt;"data missing", Calc!BD12*'Waste results'!$S$61, "data missing"),
   IF(OR('Waste results'!$S$25&lt;&gt;"data missing", 'Waste results'!$S$61&lt;&gt;"data missing"), Calc!BC12*'Waste results'!$S$25+ Calc!BD12*'Waste results'!$S$61, "data missing"))),
IF(AND('Field information 2'!$M$5&lt;&gt;"", 'Field information 2'!$O$5&lt;&gt;"", 'Field information 2'!$Q$5&lt;&gt;""),
   IF(AND(Calc!BD12=0,Calc!BE12=0),
     IF('Waste results'!$S$25&lt;&gt;"data missing", Calc!BC12*'Waste results'!$S$25, "data missing"),
   IF(AND(Calc!BC12=0,Calc!BE12=0),
     IF('Waste results'!$S$61&lt;&gt;"data missing", Calc!BD12*'Waste results'!$S$61, "data missing"),
   IF(AND(Calc!BC12=0,Calc!BD12=0),
     IF('Waste results'!$S$97&lt;&gt;"data missing", Calc!BE12*'Waste results'!$S$97, "data missing"),
   IF(Calc!BE12=0,
     IF(OR('Waste results'!$S$25&lt;&gt;"data missing", 'Waste results'!$S$61&lt;&gt;"data missing"), Calc!BC12*'Waste results'!$S$25+ Calc!BD12*'Waste results'!$S$61, "data missing"),
   IF(Calc!BD12=0,
     IF(OR('Waste results'!$S$25&lt;&gt;"data missing", 'Waste results'!$S$97&lt;&gt;"data missing"), Calc!BC12*'Waste results'!$S$25+ Calc!BE12*'Waste results'!$S$97, "data missing"),
   IF(Calc!BC12=0,
     IF(OR('Waste results'!$S$61&lt;&gt;"data missing", 'Waste results'!$S$97&lt;&gt;"data missing"), Calc!BD12*'Waste results'!$S$61+Calc!BE12*'Waste results'!$S$97, "data missing"),
   IF(OR('Waste results'!$S$25&lt;&gt;"data missing", 'Waste results'!$S$61&lt;&gt;"data missing", 'Waste results'!$S$97&lt;&gt;"data missing"), Calc!BC12*'Waste results'!$S$25+Calc!BD12*'Waste results'!$S$61+ Calc!BE12*'Waste results'!$S$97, "data missing")))))))))))</f>
        <v/>
      </c>
      <c r="AM14" s="239" t="str">
        <f ca="1">IF($B14="","",
IF(ISBLANK('Soil results'!K17),"data missing",'Soil results'!K17))</f>
        <v/>
      </c>
      <c r="AN14" s="239" t="str">
        <f t="shared" ca="1" si="6"/>
        <v/>
      </c>
      <c r="AO14" s="9" t="str">
        <f t="shared" ca="1" si="7"/>
        <v/>
      </c>
      <c r="AQ14" s="240" t="str">
        <f ca="1">IF(B14="","",
IF(AND('Field information 2'!$O$5="", 'Field information 2'!$Q$5=""),
   IF('Waste results'!$S$26&lt;&gt;"data missing", Calc!BC12*'Waste results'!$S$26, "data missing"),
IF('Field information 2'!$Q$5="",
   IF(Calc!BD12=0,
     IF('Waste results'!$S$26&lt;&gt;"data missing", Calc!BC12*'Waste results'!$S$26, "data missing"),
   IF(Calc!BC12=0,
     IF('Waste results'!$S$62&lt;&gt;"data missing", Calc!BD12*'Waste results'!$S$62, "data missing"),
   IF(OR('Waste results'!$S$26&lt;&gt;"data missing", 'Waste results'!$S$62&lt;&gt;"data missing"), Calc!BC12*'Waste results'!$S$26+ Calc!BD12*'Waste results'!$S$62, "data missing"))),
IF(AND('Field information 2'!$M$5&lt;&gt;"", 'Field information 2'!$O$5&lt;&gt;"", 'Field information 2'!$Q$5&lt;&gt;""),
   IF(AND(Calc!BD12=0,Calc!BE12=0),
     IF('Waste results'!$S$26&lt;&gt;"data missing", Calc!BC12*'Waste results'!$S$26, "data missing"),
   IF(AND(Calc!BC12=0,Calc!BE12=0),
     IF('Waste results'!$S$62&lt;&gt;"data missing", Calc!BD12*'Waste results'!$S$62, "data missing"),
   IF(AND(Calc!BC12=0,Calc!BD12=0),
     IF('Waste results'!$S$98&lt;&gt;"data missing", Calc!BE12*'Waste results'!$S$98, "data missing"),
   IF(Calc!BE12=0,
     IF(OR('Waste results'!$S$26&lt;&gt;"data missing", 'Waste results'!$S$62&lt;&gt;"data missing"), Calc!BC12*'Waste results'!$S$26+ Calc!BD12*'Waste results'!$S$62, "data missing"),
   IF(Calc!BD12=0,
     IF(OR('Waste results'!$S$26&lt;&gt;"data missing", 'Waste results'!$S$98&lt;&gt;"data missing"), Calc!BC12*'Waste results'!$S$26+ Calc!BE12*'Waste results'!$S$98, "data missing"),
   IF(Calc!BC12=0,
     IF(OR('Waste results'!$S$62&lt;&gt;"data missing", 'Waste results'!$S$98&lt;&gt;"data missing"), Calc!BD12*'Waste results'!$S$62+Calc!BE12*'Waste results'!$S$98, "data missing"),
   IF(OR('Waste results'!$S$26&lt;&gt;"data missing", 'Waste results'!$S$62&lt;&gt;"data missing", 'Waste results'!$S$98&lt;&gt;"data missing"), Calc!BC12*'Waste results'!$S$26+Calc!BD12*'Waste results'!$S$62+ Calc!BE12*'Waste results'!$S$98, "data missing")))))))))))</f>
        <v/>
      </c>
      <c r="AR14" s="241" t="str">
        <f ca="1">IF($B14="","",
IF(ISBLANK('Soil results'!L17),"data missing",'Soil results'!L17))</f>
        <v/>
      </c>
      <c r="AS14" s="241" t="str">
        <f t="shared" ca="1" si="8"/>
        <v/>
      </c>
      <c r="AT14" s="66" t="str">
        <f t="shared" ca="1" si="9"/>
        <v/>
      </c>
      <c r="AV14" s="238" t="str">
        <f ca="1">IF(B14="","",
IF(AND('Field information 2'!$O$5="", 'Field information 2'!$Q$5=""),
   IF('Waste results'!$S$27&lt;&gt;"data missing", Calc!BC12*'Waste results'!$S$27, "data missing"),
IF('Field information 2'!$Q$5="",
   IF(Calc!BD12=0,
     IF('Waste results'!$S$27&lt;&gt;"data missing", Calc!BC12*'Waste results'!$S$27, "data missing"),
   IF(Calc!BC12=0,
     IF('Waste results'!$S$63&lt;&gt;"data missing", Calc!BD12*'Waste results'!$S$63, "data missing"),
   IF(OR('Waste results'!$S$27&lt;&gt;"data missing", 'Waste results'!$S$63&lt;&gt;"data missing"), Calc!BC12*'Waste results'!$S$27+ Calc!BD12*'Waste results'!$S$63, "data missing"))),
IF(AND('Field information 2'!$M$5&lt;&gt;"", 'Field information 2'!$O$5&lt;&gt;"", 'Field information 2'!$Q$5&lt;&gt;""),
   IF(AND(Calc!BD12=0,Calc!BE12=0),
     IF('Waste results'!$S$27&lt;&gt;"data missing", Calc!BC12*'Waste results'!$S$27, "data missing"),
   IF(AND(Calc!BC12=0,Calc!BE12=0),
     IF('Waste results'!$S$63&lt;&gt;"data missing", Calc!BD12*'Waste results'!$S$63, "data missing"),
   IF(AND(Calc!BC12=0,Calc!BD12=0),
     IF('Waste results'!$S$99&lt;&gt;"data missing", Calc!BE12*'Waste results'!$S$99, "data missing"),
   IF(Calc!BE12=0,
     IF(OR('Waste results'!$S$27&lt;&gt;"data missing", 'Waste results'!$S$63&lt;&gt;"data missing"), Calc!BC12*'Waste results'!$S$27+ Calc!BD12*'Waste results'!$S$63, "data missing"),
   IF(Calc!BD12=0,
     IF(OR('Waste results'!$S$27&lt;&gt;"data missing", 'Waste results'!$S$99&lt;&gt;"data missing"), Calc!BC12*'Waste results'!$S$27+ Calc!BE12*'Waste results'!$S$99, "data missing"),
   IF(Calc!BC12=0,
     IF(OR('Waste results'!$S$63&lt;&gt;"data missing", 'Waste results'!$S$99&lt;&gt;"data missing"), Calc!BD12*'Waste results'!$S$63+Calc!BE12*'Waste results'!$S$99, "data missing"),
   IF(OR('Waste results'!$S$27&lt;&gt;"data missing", 'Waste results'!$S$63&lt;&gt;"data missing", 'Waste results'!$S$99&lt;&gt;"data missing"), Calc!BC12*'Waste results'!$S$27+Calc!BD12*'Waste results'!$S$63+ Calc!BE12*'Waste results'!$S$99, "data missing")))))))))))</f>
        <v/>
      </c>
      <c r="AW14" s="239" t="str">
        <f ca="1">IF($B14="","",
IF(ISBLANK('Soil results'!M17),"data missing",'Soil results'!M17))</f>
        <v/>
      </c>
      <c r="AX14" s="239" t="str">
        <f t="shared" ca="1" si="10"/>
        <v/>
      </c>
      <c r="AY14" s="9" t="str">
        <f ca="1">IF(B14="","",
IF(AV14=0,"n/a",
IF(OR(AV14="data missing",AW14="data missing"),"data missing",
IF(AV14&gt;7.5,"application rate too high - permissible rate exceeds limit",
IF('Soil results'!$F17&lt;=5.5,
  IF(AW14&gt;80,"no application - soil conc. already above limit",
  IF(AX14&gt;80,"application rate too high - soil conc. will exceed limit",
  IF(AW14&gt;80*0.9,"soil conc. is at or above 90% of the limit",
  IF(10*AV14*1000/3000+AW14&gt;80,"soil limit likely to be exceeded in 10yrs",
  IF(50*AV14*1000/3000+AW14&gt;80,"soil limit likely to be exceeded in 50yrs","ok"))))),
IF('Soil results'!$F17&lt;=6,
  IF(AW14&gt;100,"no application - soil conc. already above limit",
  IF(AX14&gt;100,"application rate too high - soil conc. will exceed limit",
  IF(AW14&gt;100*0.9,"soil conc. is at or above 90% of the limit",
  IF(10*AV14*1000/3000+AW14&gt;100,"soil limit likely to be exceeded in 10yrs",
  IF(50*AV14*1000/3000+AW14&gt;100,"soil limit likely to be exceeded in 50yrs","ok"))))),
IF('Soil results'!$F17&lt;=7,
  IF(AW14&gt;135,"no application - soil conc. already above limit",
  IF(AX14&gt;135,"application rate too high - soil conc. will exceed limit",
  IF(AW14&gt;135*0.9,"soil conc. is at or above 90% of the limit",
  IF(10*AV14*1000/3000+AW14&gt;135,"soil limit likely to be exceeded in 10yrs",
  IF(50*AV14*1000/3000+AW14&gt;135,"soil limit likely to be exceeded in 50yrs","ok"))))),
IF('Soil results'!$F17&gt;7,
  IF(AW14&gt;200,"no application - soil conc. already above limit",
  IF(AX14&gt;200,"application too high - soil conc. will exceed limit",
  IF(AW14&gt;200*0.9,"soil conc. is at or above 90% of the limit",
  IF(10*AV14*1000/3000+AW14&gt;200,"soil limit likely to be exceeded in 10yrs",
  IF(50*AV14*1000/3000+AW14&gt;200,"soil limit likely to be exceeded in 50yrs","ok")))))
))))))))</f>
        <v/>
      </c>
      <c r="BA14" s="238" t="str">
        <f ca="1">IF(B14="","",
IF(AND('Field information 2'!$O$5="", 'Field information 2'!$Q$5=""),
   IF('Waste results'!$S$28&lt;&gt;"data missing", Calc!BC12*'Waste results'!$S$28, "data missing"),
IF('Field information 2'!$Q$5="",
   IF(Calc!BD12=0,
     IF('Waste results'!$S$28&lt;&gt;"data missing", Calc!BC12*'Waste results'!$S$28, "data missing"),
   IF(Calc!BC12=0,
     IF('Waste results'!$S$64&lt;&gt;"data missing", Calc!BD12*'Waste results'!$S$64, "data missing"),
   IF(OR('Waste results'!$S$28&lt;&gt;"data missing", 'Waste results'!$S$64&lt;&gt;"data missing"), Calc!BC12*'Waste results'!$S$28+ Calc!BD12*'Waste results'!$S$64, "data missing"))),
IF(AND('Field information 2'!$M$5&lt;&gt;"", 'Field information 2'!$O$5&lt;&gt;"", 'Field information 2'!$Q$5&lt;&gt;""),
   IF(AND(Calc!BD12=0,Calc!BE12=0),
     IF('Waste results'!$S$28&lt;&gt;"data missing", Calc!BC12*'Waste results'!$S$28, "data missing"),
   IF(AND(Calc!BC12=0,Calc!BE12=0),
     IF('Waste results'!$S$64&lt;&gt;"data missing", Calc!BD12*'Waste results'!$S$64, "data missing"),
   IF(AND(Calc!BC12=0,Calc!BD12=0),
     IF('Waste results'!$S$100&lt;&gt;"data missing", Calc!BE12*'Waste results'!$S$100, "data missing"),
   IF(Calc!BE12=0,
     IF(OR('Waste results'!$S$28&lt;&gt;"data missing", 'Waste results'!$S$64&lt;&gt;"data missing"), Calc!BC12*'Waste results'!$S$28+ Calc!BD12*'Waste results'!$S$64, "data missing"),
   IF(Calc!BD12=0,
     IF(OR('Waste results'!$S$28&lt;&gt;"data missing", 'Waste results'!$S$100&lt;&gt;"data missing"), Calc!BC12*'Waste results'!$S$28+ Calc!BE12*'Waste results'!$S$100, "data missing"),
   IF(Calc!BC12=0,
     IF(OR('Waste results'!$S$64&lt;&gt;"data missing", 'Waste results'!$S$100&lt;&gt;"data missing"), Calc!BD12*'Waste results'!$S$64+Calc!BE12*'Waste results'!$S$100, "data missing"),
   IF(OR('Waste results'!$S$28&lt;&gt;"data missing", 'Waste results'!$S$64&lt;&gt;"data missing", 'Waste results'!$S$100&lt;&gt;"data missing"), Calc!BC12*'Waste results'!$S$28+Calc!BD12*'Waste results'!$S$64+ Calc!BE12*'Waste results'!$S$100, "data missing")))))))))))</f>
        <v/>
      </c>
      <c r="BB14" s="239" t="str">
        <f ca="1">IF($B14="","",
IF(ISBLANK('Soil results'!N17),"data missing",'Soil results'!N17))</f>
        <v/>
      </c>
      <c r="BC14" s="239" t="str">
        <f t="shared" ca="1" si="11"/>
        <v/>
      </c>
      <c r="BD14" s="9" t="str">
        <f t="shared" ca="1" si="12"/>
        <v/>
      </c>
      <c r="BF14" s="238" t="str">
        <f ca="1">IF(B14="","",
IF(AND('Field information 2'!$O$5="", 'Field information 2'!$Q$5=""),
   IF('Waste results'!$S$29&lt;&gt;"data missing", Calc!BC12*'Waste results'!$S$29, "data missing"),
IF('Field information 2'!$Q$5="",
   IF(Calc!BD12=0,
     IF('Waste results'!$S$29&lt;&gt;"data missing", Calc!BC12*'Waste results'!$S$29, "data missing"),
   IF(Calc!BC12=0,
     IF('Waste results'!$S$65&lt;&gt;"data missing", Calc!BD12*'Waste results'!$S$65, "data missing"),
   IF(OR('Waste results'!$S$29&lt;&gt;"data missing", 'Waste results'!$S$65&lt;&gt;"data missing"), Calc!BC12*'Waste results'!$S$29+ Calc!BD12*'Waste results'!$S$65, "data missing"))),
IF(AND('Field information 2'!$M$5&lt;&gt;"", 'Field information 2'!$O$5&lt;&gt;"", 'Field information 2'!$Q$5&lt;&gt;""),
   IF(AND(Calc!BD12=0,Calc!BE12=0),
     IF('Waste results'!$S$29&lt;&gt;"data missing", Calc!BC12*'Waste results'!$S$29, "data missing"),
   IF(AND(Calc!BC12=0,Calc!BE12=0),
     IF('Waste results'!$S$65&lt;&gt;"data missing", Calc!BD12*'Waste results'!$S$65, "data missing"),
   IF(AND(Calc!BC12=0,Calc!BD12=0),
     IF('Waste results'!$S$101&lt;&gt;"data missing", Calc!BE12*'Waste results'!$S$101, "data missing"),
   IF(Calc!BE12=0,
     IF(OR('Waste results'!$S$29&lt;&gt;"data missing", 'Waste results'!$S$65&lt;&gt;"data missing"), Calc!BC12*'Waste results'!$S$29+ Calc!BD12*'Waste results'!$S$65, "data missing"),
   IF(Calc!BD12=0,
     IF(OR('Waste results'!$S$29&lt;&gt;"data missing", 'Waste results'!$S$101&lt;&gt;"data missing"), Calc!BC12*'Waste results'!$S$29+ Calc!BE12*'Waste results'!$S$101, "data missing"),
   IF(Calc!BC12=0,
     IF(OR('Waste results'!$S$65&lt;&gt;"data missing", 'Waste results'!$S$101&lt;&gt;"data missing"), Calc!BD12*'Waste results'!$S$65+Calc!BE12*'Waste results'!$S$101, "data missing"),
   IF(OR('Waste results'!$S$29&lt;&gt;"data missing", 'Waste results'!$S$65&lt;&gt;"data missing", 'Waste results'!$S$101&lt;&gt;"data missing"), Calc!BC12*'Waste results'!$S$29+Calc!BD12*'Waste results'!$S$65+ Calc!BE12*'Waste results'!$S$101, "data missing")))))))))))</f>
        <v/>
      </c>
      <c r="BG14" s="239" t="str">
        <f ca="1">IF($B14="","",
IF(ISBLANK('Soil results'!O17),"data missing",'Soil results'!O17))</f>
        <v/>
      </c>
      <c r="BH14" s="239" t="str">
        <f t="shared" ca="1" si="13"/>
        <v/>
      </c>
      <c r="BI14" s="9" t="str">
        <f ca="1">IF(B14="","",
IF(BF14=0,"n/a",
IF(OR(BF14="data missing",BG14="data missing"),"data missing",
IF(BF14&gt;3,"application rate too high - permissible rate exceeds limit",
IF('Soil results'!F17&lt;=5.5,
  IF(BG14&gt;50,"no application - soil conc. already above limit",
  IF(BH14&gt;50,"application rate too high - soil conc. will exceed limit",
  IF(BG14&gt;50*0.9,"soil conc. is at or above 90% of the limit",
  IF(10*BF14*1000/3000+BG14&gt;50,"soil limit likely to be exceeded in 10yrs",
  IF(50*BF14*1000/3000+BG14&gt;50,"soil limit likely to be exceeded in 50yrs","ok"))))),
IF('Soil results'!F17&lt;=6,
  IF(BG14&gt;60,"no application - soil conc. already above limit",
  IF(BH14&gt;60,"application rate too high - soil conc. will exceed limit",
  IF(BG14&gt;60*0.9,"soil conc. is at or above 90% of the limit",
  IF(10*BF14*1000/3000+BG14&gt;60,"soil limit likely to be exceeded in 10yrs",
  IF(50*BF14*1000/3000+BG14&gt;60,"soil limit likely to be exceeded in 50yrs","ok"))))),
IF('Soil results'!F17&lt;=7,
  IF(BG14&gt;75,"no application - soil conc. already above limit",
  IF(BH14&gt;75,"application rate too high - soil conc. will exceed limit",
  IF(BG14&gt;75*0.9,"soil conc. is at or above 90% of the limit",
  IF(10*BF14*1000/3000+BG14&gt;75,"soil limit likely to be exceeded in 10yrs",
  IF(50*BF14*1000/3000+BG14&gt;75,"soil limit likely to be exceeded in 50yrs","ok"))))),
IF('Soil results'!F17&gt;7,
  IF(BG14&gt;100,"no application - soil conc. already above limit",
  IF(BH14&gt;100,"application rate too high - soil conc. will exceed limit",
  IF(BG14&gt;100*0.9,"soil conc. is at or above 90% of the limit",
  IF(10*BF14*1000/3000+BG14&gt;100,"soil limit likely to be exceeded in 10yrs",
  IF(50*BF14*1000/3000+BG14&gt;100,"soil limit likely to beexceeded in 50yrs","ok")))))
))))))))</f>
        <v/>
      </c>
      <c r="BK14" s="240" t="str">
        <f ca="1">IF(B14="","",
IF(AND('Field information 2'!$O$5="", 'Field information 2'!$Q$5=""),
   IF('Waste results'!$S$30&lt;&gt;"data missing", Calc!BC12*'Waste results'!$S$30, "data missing"),
IF('Field information 2'!$Q$5="",
   IF(Calc!BD12=0,
     IF('Waste results'!$S$30&lt;&gt;"data missing", Calc!BC12*'Waste results'!$S$30, "data missing"),
   IF(Calc!BC12=0,
     IF('Waste results'!$S$66&lt;&gt;"data missing", Calc!BD12*'Waste results'!$S$66, "data missing"),
   IF(OR('Waste results'!$S$30&lt;&gt;"data missing", 'Waste results'!$S$66&lt;&gt;"data missing"), Calc!BC12*'Waste results'!$S$30+ Calc!BD12*'Waste results'!$S$66, "data missing"))),
IF(AND('Field information 2'!$M$5&lt;&gt;"", 'Field information 2'!$O$5&lt;&gt;"", 'Field information 2'!$Q$5&lt;&gt;""),
   IF(AND(Calc!BD12=0,Calc!BE12=0),
     IF('Waste results'!$S$30&lt;&gt;"data missing", Calc!BC12*'Waste results'!$S$30, "data missing"),
   IF(AND(Calc!BC12=0,Calc!BE12=0),
     IF('Waste results'!$S$66&lt;&gt;"data missing", Calc!BD12*'Waste results'!$S$66, "data missing"),
   IF(AND(Calc!BC12=0,Calc!BD12=0),
     IF('Waste results'!$S$102&lt;&gt;"data missing", Calc!BE12*'Waste results'!$S$102, "data missing"),
   IF(Calc!BE12=0,
     IF(OR('Waste results'!$S$30&lt;&gt;"data missing", 'Waste results'!$S$66&lt;&gt;"data missing"), Calc!BC12*'Waste results'!$S$30+ Calc!BD12*'Waste results'!$S$66, "data missing"),
   IF(Calc!BD12=0,
     IF(OR('Waste results'!$S$30&lt;&gt;"data missing", 'Waste results'!$S$102&lt;&gt;"data missing"), Calc!BC12*'Waste results'!$S$30+ Calc!BE12*'Waste results'!$S$102, "data missing"),
   IF(Calc!BC12=0,
     IF(OR('Waste results'!$S$66&lt;&gt;"data missing", 'Waste results'!$S$102&lt;&gt;"data missing"), Calc!BD12*'Waste results'!$S$66+Calc!BE12*'Waste results'!$S$102, "data missing"),
   IF(OR('Waste results'!$S$30&lt;&gt;"data missing", 'Waste results'!$S$66&lt;&gt;"data missing", 'Waste results'!$S$102&lt;&gt;"data missing"), Calc!BC12*'Waste results'!$S$30+Calc!BD12*'Waste results'!$S$66+ Calc!BE12*'Waste results'!$S$102, "data missing")))))))))))</f>
        <v/>
      </c>
      <c r="BL14" s="241" t="str">
        <f ca="1">IF($B14="","",
IF(ISBLANK('Soil results'!P17),"data missing",'Soil results'!P17))</f>
        <v/>
      </c>
      <c r="BM14" s="241" t="str">
        <f t="shared" ca="1" si="14"/>
        <v/>
      </c>
      <c r="BN14" s="66" t="str">
        <f t="shared" ca="1" si="15"/>
        <v/>
      </c>
      <c r="BP14" s="238" t="str">
        <f ca="1">IF(B14="","",
IF(AND('Field information 2'!$O$5="", 'Field information 2'!$Q$5=""),
   IF('Waste results'!$S$31&lt;&gt;"data missing", Calc!BC12*'Waste results'!$S$31, "data missing"),
IF('Field information 2'!$Q$5="",
   IF(Calc!BD12=0,
     IF('Waste results'!$S$31&lt;&gt;"data missing", Calc!BC12*'Waste results'!$S$31, "data missing"),
   IF(Calc!BC12=0,
     IF('Waste results'!$S$67&lt;&gt;"data missing", Calc!BD12*'Waste results'!$S$67, "data missing"),
   IF(OR('Waste results'!$S$31&lt;&gt;"data missing", 'Waste results'!$S$67&lt;&gt;"data missing"), Calc!BC12*'Waste results'!$S$31+ Calc!BD12*'Waste results'!$S$67, "data missing"))),
IF(AND('Field information 2'!$M$5&lt;&gt;"", 'Field information 2'!$O$5&lt;&gt;"", 'Field information 2'!$Q$5&lt;&gt;""),
   IF(AND(Calc!BD12=0,Calc!BE12=0),
     IF('Waste results'!$S$31&lt;&gt;"data missing", Calc!BC12*'Waste results'!$S$31, "data missing"),
   IF(AND(Calc!BC12=0,Calc!BE12=0),
     IF('Waste results'!$S$67&lt;&gt;"data missing", Calc!BD12*'Waste results'!$S$67, "data missing"),
   IF(AND(Calc!BC12=0,Calc!BD12=0),
     IF('Waste results'!$S$103&lt;&gt;"data missing", Calc!BE12*'Waste results'!$S$103, "data missing"),
   IF(Calc!BE12=0,
     IF(OR('Waste results'!$S$31&lt;&gt;"data missing", 'Waste results'!$S$67&lt;&gt;"data missing"), Calc!BC12*'Waste results'!$S$31+ Calc!BD12*'Waste results'!$S$67, "data missing"),
   IF(Calc!BD12=0,
     IF(OR('Waste results'!$S$31&lt;&gt;"data missing", 'Waste results'!$S$103&lt;&gt;"data missing"), Calc!BC12*'Waste results'!$S$31+ Calc!BE12*'Waste results'!$S$103, "data missing"),
   IF(Calc!BC12=0,
     IF(OR('Waste results'!$S$67&lt;&gt;"data missing", 'Waste results'!$S$103&lt;&gt;"data missing"), Calc!BD12*'Waste results'!$S$67+Calc!BE12*'Waste results'!$S$103, "data missing"),
   IF(OR('Waste results'!$S$31&lt;&gt;"data missing", 'Waste results'!$S$67&lt;&gt;"data missing", 'Waste results'!$S$103&lt;&gt;"data missing"), Calc!BC12*'Waste results'!$S$31+Calc!BD12*'Waste results'!$S$67+ Calc!BE12*'Waste results'!$S$103, "data missing")))))))))))</f>
        <v/>
      </c>
      <c r="BQ14" s="239" t="str">
        <f ca="1">IF($B14="","",
IF(ISBLANK('Soil results'!Q17),"data missing",'Soil results'!Q17))</f>
        <v/>
      </c>
      <c r="BR14" s="239" t="str">
        <f t="shared" ca="1" si="16"/>
        <v/>
      </c>
      <c r="BS14" s="9" t="str">
        <f ca="1">IF(B14="","",
IF(BP14=0,"n/a",
IF(OR(BP14="data missing",BQ14=""),"data missing",
IF(BP14&gt;15,"application rate too high - permissible rate exceeds limit",
IF('Soil results'!F17&lt;=5.5,
  IF(BQ14&gt;200,"no application - soil conc. already above limit",
  IF(BR14&gt;200,"application rate too high - soil conc. will exceed limit",
  IF(BQ14&gt;200*0.9,"soil conc. is at or above 90% of the limit",
  IF(10*BP14*1000/3000+BQ14&gt;200,"soil limit likely to be exceeded in 10yrs",
  IF(50*BP14*1000/3000+BQ14&gt;200,"soil limit likely to be exceeded in 50yrs","ok"))))),
IF('Soil results'!F17&lt;=6,
  IF(BQ14&gt;250,"no application - soil conc. already above limit",
  IF(BR14&gt;250,"application rate too high - soil conc. will exceed limit",
  IF(BQ14&gt;250*0.9,"soil conc. is at or above 90% of the limit",
  IF(10*BP14*1000/3000+BQ14&gt;250,"soil limit likely to be exceeded in 10yrs",
  IF(50*BP14*1000/3000+BQ14&gt;250,"soil limit likely to be exceeded in 50yrs","ok"))))),
IF('Soil results'!F17&lt;=7,
  IF(BQ14&gt;300,"no application - soil conc. already above limit",
  IF(BR14&gt;300,"application rate too high - soil conc. will exceed limit",
  IF(BQ14&gt;300*0.9,"soil conc. is at or above 90% of the limit",
  IF(10*BP14*1000/3000+BQ14&gt;300,"soil limit likey to be exceeded in 10yrs",
  IF(50*BP14*1000/3000+BQ14&gt;300,"soil limit likely to be exceeded in 50yrs","ok"))))),
IF('Soil results'!F17&gt;7,
  IF(BQ14&gt;450,"no application - soil conc. already above limit",
  IF(BR14&gt;450,"application rate too high - soil conc. will exceed limit",
  IF(AW14&gt;450*0.9,"soil conc. is at or above 90% of the limit",
  IF(10*BP14*1000/3000+BQ14&gt;450,"soil limit likely to be exceeded in 10yrs",
  IF(50*BP14*1000/3000+BQ14&gt;450,"soil limit likely to be exceeded in 50yrs","ok")))))
))))))))</f>
        <v/>
      </c>
    </row>
    <row r="15" spans="1:71" s="9" customFormat="1" x14ac:dyDescent="0.35">
      <c r="B15" s="236" t="str">
        <f ca="1">'Soil results'!B18</f>
        <v/>
      </c>
      <c r="C15" s="91" t="str">
        <f ca="1">IF(B15="","",
IF(AND('Field information 2'!$O$5="", 'Field information 2'!$Q$5=""),
   IF('Waste results'!$S$12&lt;&gt;"data missing", Calc!BC13*'Waste results'!$S$12, "data missing"),
IF('Field information 2'!$Q$5="",
   IF(Calc!BD13=0,
     IF('Waste results'!$S$12&lt;&gt;"data missing", Calc!BC13*'Waste results'!$S$12, "data missing"),
   IF(Calc!BC13=0,
     IF('Waste results'!$S$48&lt;&gt;"data missing", Calc!BD13*'Waste results'!$S$48, "data missing"),
   IF(OR('Waste results'!$S$12&lt;&gt;"data missing", 'Waste results'!$S$48&lt;&gt;"data missing"), Calc!BC13*'Waste results'!$S$12+ Calc!BD13*'Waste results'!$S$48, "data missing"))),
IF(AND('Field information 2'!$M$5&lt;&gt;"", 'Field information 2'!$O$5&lt;&gt;"", 'Field information 2'!$Q$5&lt;&gt;""),
   IF(AND(Calc!BD13=0,Calc!BE13=0),
     IF('Waste results'!$S$12&lt;&gt;"data missing", Calc!BC13*'Waste results'!$S$12, "data missing"),
   IF(AND(Calc!BC13=0,Calc!BE13=0),
     IF('Waste results'!$S$48&lt;&gt;"data missing", Calc!BD13*'Waste results'!$S$48, "data missing"),
   IF(AND(Calc!BC13=0,Calc!BD13=0),
     IF('Waste results'!$S$84&lt;&gt;"data missing", Calc!BE13*'Waste results'!$S$84, "data missing"),
   IF(Calc!BE13=0,
     IF(OR('Waste results'!$S$12&lt;&gt;"data missing", 'Waste results'!$S$48&lt;&gt;"data missing"), Calc!BC13*'Waste results'!$S$12+ Calc!BD13*'Waste results'!$S$48, "data missing"),
   IF(Calc!BD13=0,
     IF(OR('Waste results'!$S$12&lt;&gt;"data missing", 'Waste results'!$S$84&lt;&gt;"data missing"), Calc!BC13*'Waste results'!$S$12+ Calc!BE13*'Waste results'!$S$84, "data missing"),
   IF(Calc!BC13=0,
     IF(OR('Waste results'!$S$48&lt;&gt;"data missing", 'Waste results'!$S$84&lt;&gt;"data missing"), Calc!BD13*'Waste results'!$S$48+Calc!BE13*'Waste results'!$S$84, "data missing"),
   IF(OR('Waste results'!$S$12&lt;&gt;"data missing", 'Waste results'!$S$48&lt;&gt;"data missing", 'Waste results'!$S$84&lt;&gt;"data missing"), Calc!BC13*'Waste results'!$S$12+Calc!BD13*'Waste results'!$S$48+ Calc!BE13*'Waste results'!$S$84, "data missing")))))))))))</f>
        <v/>
      </c>
      <c r="D15" s="161" t="str">
        <f ca="1">IF(B15="","",
IF(Calc!BG13="","soil texture missing",
IF(OR(Calc!BG13="SL; SZL; ZL",Calc!BG13="SCL; CL; ZCL; SC; ZC; C"),VLOOKUP(Calc!BI13,'Fertiliser recommendations'!$A$4:$C$63,3,FALSE),
IF(Calc!BG13="S; LS",VLOOKUP(Calc!BI13,'Fertiliser recommendations'!$A$4:$C$63,3,FALSE)+VLOOKUP(Calc!BI13,'Fertiliser recommendations'!$A$4:$D$63,4,FALSE),
IF(Calc!BG13="10-25% OM",VLOOKUP(Calc!BI13,'Fertiliser recommendations'!$A$4:$C$63,3,FALSE)+VLOOKUP(Calc!BI13,'Fertiliser recommendations'!$A$4:$E$63,5,FALSE),
IF(Calc!BG13="&gt;25% OM",VLOOKUP(Calc!BI13,'Fertiliser recommendations'!$A$4:$C$63,3,FALSE)+VLOOKUP(Calc!BI13,'Fertiliser recommendations'!$A$4:$F$63,6,FALSE),
""))))))</f>
        <v/>
      </c>
      <c r="E15" s="91" t="str">
        <f t="shared" ca="1" si="0"/>
        <v/>
      </c>
      <c r="F15" s="9" t="str">
        <f ca="1">IF(B15="","",
IF(OR(C15="data missing",D15="soil texture missing"),"data missing",
IF(Calc!BF13=0,"n/a",
IF(C15&lt;0.1*D15,"no benefit",
IF(C15&lt;0.3*D15,"limited benefit",
IF(C15&gt;250,"exceeds limit",
IF(OR(AND(D15=0,C15&gt;75),C15&gt;1.25*D15),"excessive",
IF(D15=0, "no requirement",
"benefit"))))))))</f>
        <v/>
      </c>
      <c r="H15" s="91" t="str">
        <f ca="1">IF(B15="","",
IF(AND('Field information 2'!$O$5="", 'Field information 2'!$Q$5=""),
   IF('Waste results'!$S$17&lt;&gt;"data missing", Calc!BC13*'Waste results'!$S$17, "data missing"),
IF('Field information 2'!$Q$5="",
   IF(Calc!BD13=0,
     IF('Waste results'!$S$17&lt;&gt;"data missing", Calc!BC13*'Waste results'!$S$17, "data missing"),
   IF(Calc!BC13=0,
     IF('Waste results'!$S$53&lt;&gt;"data missing", Calc!BD13*'Waste results'!$S$53, "data missing"),
   IF(OR('Waste results'!$S$17&lt;&gt;"data missing", 'Waste results'!$S$53&lt;&gt;"data missing"), Calc!BC13*'Waste results'!$S$17+ Calc!BD13*'Waste results'!$S$53, "data missing"))),
IF(AND('Field information 2'!$M$5&lt;&gt;"", 'Field information 2'!$O$5&lt;&gt;"", 'Field information 2'!$Q$5&lt;&gt;""),
   IF(AND(Calc!BD13=0,Calc!BE13=0),
     IF('Waste results'!$S$17&lt;&gt;"data missing", Calc!BC13*'Waste results'!$S$17, "data missing"),
   IF(AND(Calc!BC13=0,Calc!BE13=0),
     IF('Waste results'!$S$53&lt;&gt;"data missing", Calc!BD13*'Waste results'!$S$53, "data missing"),
   IF(AND(Calc!BC13=0,Calc!BD13=0),
     IF('Waste results'!$S$89&lt;&gt;"data missing", Calc!BE13*'Waste results'!$S$89, "data missing"),
   IF(Calc!BE13=0,
     IF(OR('Waste results'!$S$17&lt;&gt;"data missing", 'Waste results'!$S$53&lt;&gt;"data missing"), Calc!BC13*'Waste results'!$S$17+ Calc!BD13*'Waste results'!$S$53, "data missing"),
   IF(Calc!BD13=0,
     IF(OR('Waste results'!$S$17&lt;&gt;"data missing", 'Waste results'!$S$89&lt;&gt;"data missing"), Calc!BC13*'Waste results'!$S$17+ Calc!BE13*'Waste results'!$S$89, "data missing"),
   IF(Calc!BC13=0,
     IF(OR('Waste results'!$S$53&lt;&gt;"data missing", 'Waste results'!$S$89&lt;&gt;"data missing"), Calc!BD13*'Waste results'!$S$53+Calc!BE13*'Waste results'!$S$89, "data missing"),
   IF(OR('Waste results'!$S$17&lt;&gt;"data missing", 'Waste results'!$S$53&lt;&gt;"data missing", 'Waste results'!$S$89&lt;&gt;"data missing"), Calc!BC13*'Waste results'!$S$17+Calc!BD13*'Waste results'!$S$53+ Calc!BE13*'Waste results'!$S$89, "data missing")))))))))))</f>
        <v/>
      </c>
      <c r="I15" s="195" t="str">
        <f ca="1">IF(B15="","",
IF(OR(ISBLANK('Soil results'!G18), ISBLANK('Soil results'!G$7)),"data missing",
IF(OR(AND('Soil results'!G$7="Olsen (ADAS)",'Soil results'!G18&lt;16),AND('Soil results'!G$7="modified Morgan (SAC)",'Soil results'!G18&lt;4.5)),50,100)))</f>
        <v/>
      </c>
      <c r="J15" s="49" t="str">
        <f ca="1">IF(B15="","",
IF(OR(ISBLANK('Soil results'!G$7),ISBLANK('Soil results'!G18)),"data missing",
IF(OR(AND('Soil results'!G$7="Olsen (ADAS)",'Soil results'!G18&gt;45),AND('Soil results'!G$7="modified Morgan (SAC)",'Soil results'!G18&gt;30)),0,
IF(OR(AND('Soil results'!G$7="Olsen (ADAS)",'Soil results'!G18&gt;=16,'Soil results'!G18&lt;=20),AND('Soil results'!G$7="modified Morgan (SAC)",'Soil results'!G18&gt;=4.5,'Soil results'!G18&lt;=9.4)),VLOOKUP(Calc!BI13,'Fertiliser recommendations'!$A$4:$I$63,9,FALSE),
IF(OR(AND('Soil results'!G$7="Olsen (ADAS)",'Soil results'!G18&lt;10),AND('Soil results'!G$7="modified Morgan (SAC)",'Soil results'!G18&lt;1.8)),VLOOKUP(Calc!BI13,'Fertiliser recommendations'!$A$4:$I$63,9,FALSE)+VLOOKUP(Calc!BI13,'Fertiliser recommendations'!$A$4:$J$63,10,FALSE),
IF(OR(AND('Soil results'!G$7="Olsen (ADAS)",'Soil results'!G18&lt;16),AND('Soil results'!G$7="modified Morgan (SAC)",'Soil results'!G18&lt;4.5)),VLOOKUP(Calc!BI13,'Fertiliser recommendations'!$A$4:$I$63,9,FALSE)+VLOOKUP(Calc!BI13,'Fertiliser recommendations'!$A$4:$K$63,11,FALSE),
IF(OR(AND('Soil results'!G$7="Olsen (ADAS)",'Soil results'!G18&lt;26),AND('Soil results'!G$7="modified Morgan (SAC)",'Soil results'!G18&lt;13.5)),VLOOKUP(Calc!BI13,'Fertiliser recommendations'!$A$4:$I$63,9,FALSE)+VLOOKUP(Calc!BI13,'Fertiliser recommendations'!$A$4:$L$63,12,FALSE),
IF(OR(AND('Soil results'!G$7="Olsen (ADAS)",'Soil results'!G18&lt;=45),AND('Soil results'!G$7="modified Morgan (SAC)",'Soil results'!G18&lt;=30)),VLOOKUP(Calc!BI13,'Fertiliser recommendations'!$A$4:$I$63,9,FALSE)+VLOOKUP(Calc!BI13,'Fertiliser recommendations'!$A$4:$M$63,13,FALSE),
""))))))))</f>
        <v/>
      </c>
      <c r="K15" s="161" t="str">
        <f t="shared" ca="1" si="1"/>
        <v/>
      </c>
      <c r="L15" s="47" t="str">
        <f ca="1">IF(OR(ISBLANK('Soil results'!G$7),ISBLANK('Soil results'!G18),B15="", H15="data missing"),"",
IF('Soil results'!G$7="Olsen (ADAS)",
IF(((H15*Calc!BM13/2.291-(VLOOKUP(Calc!BI13,'Fertiliser recommendations'!$A$4:$I$63,9,FALSE))/2.291)*10/(400/2.291)+'Soil results'!G18)&lt;10,"0 (VL)",
IF(((H15*Calc!BM13/2.291-(VLOOKUP(Calc!BI13,'Fertiliser recommendations'!$A$4:$I$63,9,FALSE))/2.291)*10/(400/2.291)+'Soil results'!G18)&lt;16,"1 (L)",
IF(((H15*Calc!BM13/2.291-(VLOOKUP(Calc!BI13,'Fertiliser recommendations'!$A$4:$I$63,9,FALSE))/2.291)*10/(400/2.291)+'Soil results'!G18)&lt;21,"2 (M-)",
IF(((H15*Calc!BM13/2.291-(VLOOKUP(Calc!BI13,'Fertiliser recommendations'!$A$4:$I$63,9,FALSE))/2.291)*10/(400/2.291)+'Soil results'!G18)&lt;26,"2 (M+)",
IF(((H15*Calc!BM13/2.291-(VLOOKUP(Calc!BI13,'Fertiliser recommendations'!$A$4:$I$63,9,FALSE))/2.291)*10/(400/2.291)+'Soil results'!G18)&lt;45,"3 (H)","&gt;3 (VH)"))))),
IF('Soil results'!G$7="modified Morgan (SAC)",
IF('Soil results'!G18&gt;=6,
IF(((H15*Calc!BM13/2.291-(VLOOKUP(Calc!BI13,'Fertiliser recommendations'!$A$4:$I$63,9,FALSE))/2.291)*5/(147/2.291)+'Soil results'!G18)&lt;9.5,"2 (M-)",
IF(((H15*Calc!BM13/2.291-(VLOOKUP(Calc!BI13,'Fertiliser recommendations'!$A$4:$I$63,9,FALSE))/2.291)*5/(147/2.291)+'Soil results'!G18)&lt;13.5,"2 (M+)",
IF(((H15*Calc!BM13/2.291-(VLOOKUP(Calc!BI13,'Fertiliser recommendations'!$A$4:$I$63,9,FALSE))/2.291)*5/(147/2.291)+'Soil results'!G18)&lt;30,"3 (H)","4 (VH)"))),
IF(((H15*Calc!BM13/2.291-(VLOOKUP(Calc!BI13,'Fertiliser recommendations'!$A$4:$I$63,9,FALSE))/2.291)*5/(346/2.291)+'Soil results'!G18)&lt;1.8,"0 (VL)",
IF(((H15*Calc!BM13/2.291-(VLOOKUP(Calc!BI13,'Fertiliser recommendations'!$A$4:$I$63,9,FALSE))/2.291)*5/(147/2.291)+'Soil results'!G18)&lt;4.5,"1 (L)","2 (M-)"))))))</f>
        <v/>
      </c>
      <c r="M15" s="9" t="str">
        <f ca="1">IF(B15="","",
IF(OR(H15="data missing",I15="data missing",J15="data missing"),"data missing",
IF(Calc!BF13=0,"n/a",
IF(OR(AND('Soil results'!G$7="Olsen (ADAS)",'Soil results'!G18&gt;45),AND('Soil results'!G$7="modified Morgan (SAC)",'Soil results'!G18&gt;30)),
IF(H15&gt;2,"too high, not acceptable","no requirement"),IF(OR(AND('Soil results'!G$7="Olsen (ADAS)",'Soil results'!G18&gt;25),AND('Soil results'!G$7="modified Morgan (SAC)",'Soil results'!G18&gt;13.4)),
IF(H15*(I15/100)&lt;0.1*J15,"no benefit",
IF(H15*(I15/100)&lt;0.3*J15,"limited benefit",
IF(H15*(I15/100)&lt;1.1*J15,"benefit",
IF(H15*(I15/100)&lt;0.7*VLOOKUP(Calc!BI13,'Fertiliser recommendations'!$A$4:$I$63,9,FALSE),"excessive","too high, not acceptable")))),
IF(OR(AND('Soil results'!G$7="Olsen (ADAS)",'Soil results'!G18&gt;20),AND('Soil results'!G$7="modified Morgan (SAC)",'Soil results'!G18&gt;9.4)),
IF(H15*Calc!BM13*(I15/100)&lt;0.1*J15,"no benefit",
IF(H15*Calc!BM13*(I15/100)&lt;0.3*J15,"limited benefit",
IF(H15*Calc!BM13*(I15/100)&lt;1.1*J15,"benefit",
IF(L15="3 (H)","too high, not acceptable","excessive")))),
IF(OR(AND('Soil results'!G$7="Olsen (ADAS)",'Soil results'!G18&gt;15),AND('Soil results'!G$7="modified Morgan (SAC)",'Soil results'!G18&gt;4.4)),
IF(H15*Calc!BM13*(I15/100)&lt;0.1*VLOOKUP(Calc!BI13,'Fertiliser recommendations'!$A$4:$I$63,9,FALSE),"no benefit",
IF(H15*Calc!BM13*(I15/100)&lt;0.3*VLOOKUP(Calc!BI13,'Fertiliser recommendations'!$A$4:$I$63,9,FALSE),"limited benefit",
IF(H15*Calc!BM13*(I15/100)&lt;1.1*VLOOKUP(Calc!BI13,'Fertiliser recommendations'!$A$4:$I$63,9,FALSE),"benefit",
IF(L15="3 (H)", "too high, not acceptable", "excessive")))),
IF(OR(AND('Soil results'!G$7="Olsen (ADAS)",'Soil results'!G18&lt;=15),AND('Soil results'!G$7="modified Morgan (SAC)",'Soil results'!G18&lt;=4.4)),
IF(H15*Calc!BM13*(I15/100)&lt;0.1*VLOOKUP(Calc!BI13,'Fertiliser recommendations'!$A$4:$I$63,9,FALSE),"no benefit",
IF(H15*Calc!BM13*(I15/100)&lt;0.3*VLOOKUP(Calc!BI13,'Fertiliser recommendations'!$A$4:$I$63,9,FALSE),"limited benefit",
IF(H15*Calc!BM13*(I15/100)&lt;1.1*J15,"benefit","excessive")))))))))))</f>
        <v/>
      </c>
      <c r="O15" s="91" t="str">
        <f ca="1">IF(B15="","",
IF(AND('Field information 2'!$O$5="", 'Field information 2'!$Q$5=""),
   IF('Waste results'!$S$19&lt;&gt;"data missing", Calc!BC13*'Waste results'!$S$19, "data missing"),
IF('Field information 2'!$Q$5="",
   IF(Calc!BD13=0,
     IF('Waste results'!$S$19&lt;&gt;"data missing", Calc!BC13*'Waste results'!$S$19, "data missing"),
   IF(Calc!BC13=0,
     IF('Waste results'!$S$55&lt;&gt;"data missing", Calc!BD13*'Waste results'!$S$55, "data missing"),
   IF(OR('Waste results'!$S$19&lt;&gt;"data missing", 'Waste results'!$S$55&lt;&gt;"data missing"), Calc!BC13*'Waste results'!$S$19+ Calc!BD13*'Waste results'!$S$55, "data missing"))),
IF(AND('Field information 2'!$M$5&lt;&gt;"", 'Field information 2'!$O$5&lt;&gt;"", 'Field information 2'!$Q$5&lt;&gt;""),
   IF(AND(Calc!BD13=0,Calc!BE13=0),
     IF('Waste results'!$S$19&lt;&gt;"data missing", Calc!BC13*'Waste results'!$S$19, "data missing"),
   IF(AND(Calc!BC13=0,Calc!BE13=0),
     IF('Waste results'!$S$55&lt;&gt;"data missing", Calc!BD13*'Waste results'!$S$55, "data missing"),
   IF(AND(Calc!BC13=0,Calc!BD13=0),
     IF('Waste results'!$S$91&lt;&gt;"data missing", Calc!BE13*'Waste results'!$S$91, "data missing"),
   IF(Calc!BE13=0,
     IF(OR('Waste results'!$S$19&lt;&gt;"data missing", 'Waste results'!$S$55&lt;&gt;"data missing"), Calc!BC13*'Waste results'!$S$19+ Calc!BD13*'Waste results'!$S$55, "data missing"),
   IF(Calc!BD13=0,
     IF(OR('Waste results'!$S$19&lt;&gt;"data missing", 'Waste results'!$S$91&lt;&gt;"data missing"), Calc!BC13*'Waste results'!$S$19+ Calc!BE13*'Waste results'!$S$91, "data missing"),
   IF(Calc!BC13=0,
     IF(OR('Waste results'!$S$55&lt;&gt;"data missing", 'Waste results'!$S$91&lt;&gt;"data missing"), Calc!BD13*'Waste results'!$S$55+Calc!BE13*'Waste results'!$S$91, "data missing"),
   IF(OR('Waste results'!$S$19&lt;&gt;"data missing", 'Waste results'!$S$55&lt;&gt;"data missing", 'Waste results'!$S$91&lt;&gt;"data missing"), Calc!BC13*'Waste results'!$S$19+Calc!BD13*'Waste results'!$S$55+ Calc!BE13*'Waste results'!$S$91, "data missing")))))))))))</f>
        <v/>
      </c>
      <c r="P15" s="91" t="str">
        <f ca="1">IF(B15="","",
IF(OR(ISBLANK('Soil results'!H$7),ISBLANK('Soil results'!H18)),"data missing",
IF(OR(AND('Soil results'!H$7="ammonium nitrate (ADAS)",'Soil results'!H18&gt;400),AND('Soil results'!H$7="modified Morgan (SAC)",'Soil results'!H18&gt;400)),0,
IF(OR(AND('Soil results'!H$7="ammonium nitrate (ADAS)",'Soil results'!H18&gt;=121,'Soil results'!H18&lt;=180),AND('Soil results'!H$7="modified Morgan (SAC)",'Soil results'!H18&gt;=76,'Soil results'!H18&lt;=140)),VLOOKUP(Calc!BI13,'Fertiliser recommendations'!$A$4:$Z$63,26,FALSE),
IF(OR(AND('Soil results'!H$7="ammonium nitrate (ADAS)",'Soil results'!H18&lt;61),AND('Soil results'!H$7="modified Morgan (SAC)",'Soil results'!H18&lt;40)),VLOOKUP(Calc!BI13,'Fertiliser recommendations'!$A$4:$Z$63,26,FALSE)+VLOOKUP(Calc!BI13,'Fertiliser recommendations'!$A$4:$AA$63,27,FALSE),
IF(OR(AND('Soil results'!H$7="ammonium nitrate (ADAS)",'Soil results'!H18&lt;121),AND('Soil results'!H$7="modified Morgan (SAC)",'Soil results'!H18&lt;76)),VLOOKUP(Calc!BI13,'Fertiliser recommendations'!$A$4:$Z$63,26,FALSE)+VLOOKUP(Calc!BI13,'Fertiliser recommendations'!$A$4:$AB$63,28,FALSE),
IF(OR(AND('Soil results'!H$7="ammonium nitrate (ADAS)",'Soil results'!H18&lt;241),AND('Soil results'!H$7="modified Morgan (SAC)",'Soil results'!H18&lt;201)),VLOOKUP(Calc!BI13,'Fertiliser recommendations'!$A$4:$Z$63,26,FALSE)+VLOOKUP(Calc!BI13,'Fertiliser recommendations'!$A$4:$AC$63,29,FALSE),
IF(OR(AND('Soil results'!H$7="ammonium nitrate (ADAS)",'Soil results'!H18&lt;=400),AND('Soil results'!H$7="modified Morgan (SAC)",'Soil results'!H18&lt;=400)),VLOOKUP(Calc!BI13,'Fertiliser recommendations'!$A$4:$Z$63,26,FALSE)+VLOOKUP(Calc!BI13,'Fertiliser recommendations'!$A$4:$AD$63,30,FALSE),
"??"))))))))</f>
        <v/>
      </c>
      <c r="Q15" s="91" t="str">
        <f t="shared" ca="1" si="2"/>
        <v/>
      </c>
      <c r="R15" s="9" t="str">
        <f ca="1">IF(B15="","",
IF(OR(O15="data missing",P15="data missing"),"data missing",
IF(Calc!BF13=0,"n/a",
IF(P15=0, "no requirement",
IF(O15&lt;0.1*P15,"no benefit",
IF(O15&lt;0.3*P15,"limited benefit",
IF(O15&gt;1.25*P15,"excessive",
"benefit")))))))</f>
        <v/>
      </c>
      <c r="T15" s="91" t="str">
        <f ca="1">IF(B15="","",
IF(AND('Field information 2'!$O$5="", 'Field information 2'!$Q$5=""),
   IF('Waste results'!$S$21&lt;&gt;"data missing", Calc!BC13*'Waste results'!$S$21, "data missing"),
IF('Field information 2'!$Q$5="",
   IF(Calc!BD13=0,
     IF('Waste results'!$S$21&lt;&gt;"data missing", Calc!BC13*'Waste results'!$S$21, "data missing"),
   IF(Calc!BC13=0,
     IF('Waste results'!$S$57&lt;&gt;"data missing", Calc!BD13*'Waste results'!$S$57, "data missing"),
   IF(OR('Waste results'!$S$21&lt;&gt;"data missing", 'Waste results'!$S$57&lt;&gt;"data missing"), Calc!BC13*'Waste results'!$S$21+ Calc!BD13*'Waste results'!$S$57, "data missing"))),
IF(AND('Field information 2'!$M$5&lt;&gt;"", 'Field information 2'!$O$5&lt;&gt;"", 'Field information 2'!$Q$5&lt;&gt;""),
   IF(AND(Calc!BD13=0,Calc!BE13=0),
     IF('Waste results'!$S$21&lt;&gt;"data missing", Calc!BC13*'Waste results'!$S$21, "data missing"),
   IF(AND(Calc!BC13=0,Calc!BE13=0),
     IF('Waste results'!$S$57&lt;&gt;"data missing", Calc!BD13*'Waste results'!$S$57, "data missing"),
   IF(AND(Calc!BC13=0,Calc!BD13=0),
     IF('Waste results'!$S$93&lt;&gt;"data missing", Calc!BE13*'Waste results'!$S$93, "data missing"),
   IF(Calc!BE13=0,
     IF(OR('Waste results'!$S$21&lt;&gt;"data missing", 'Waste results'!$S$57&lt;&gt;"data missing"), Calc!BC13*'Waste results'!$S$21+ Calc!BD13*'Waste results'!$S$57, "data missing"),
   IF(Calc!BD13=0,
     IF(OR('Waste results'!$S$21&lt;&gt;"data missing", 'Waste results'!$S$93&lt;&gt;"data missing"), Calc!BC13*'Waste results'!$S$21+ Calc!BE13*'Waste results'!$S$93, "data missing"),
   IF(Calc!BC13=0,
     IF(OR('Waste results'!$S$57&lt;&gt;"data missing", 'Waste results'!$S$93&lt;&gt;"data missing"), Calc!BD13*'Waste results'!$S$57+Calc!BE13*'Waste results'!$S$93, "data missing"),
   IF(OR('Waste results'!$S$21&lt;&gt;"data missing", 'Waste results'!$S$57&lt;&gt;"data missing", 'Waste results'!$S$93&lt;&gt;"data missing"), Calc!BC13*'Waste results'!$S$21+Calc!BD13*'Waste results'!$S$57+ Calc!BE13*'Waste results'!$S$93, "data missing")))))))))))</f>
        <v/>
      </c>
      <c r="U15" s="7" t="str">
        <f ca="1">IF(B15="","",
IF(OR(ISBLANK('Soil results'!I$7),ISBLANK('Soil results'!I18)),"data missing",
IF(OR(AND('Soil results'!I$7="ammonium nitrate (ADAS)",'Soil results'!I18&gt;51),AND('Soil results'!I$7="modified Morgan (SAC)",'Soil results'!I18&gt;61)),0,
IF(OR(AND('Soil results'!I$7="ammonium nitrate (ADAS)",'Soil results'!I18&lt;25),AND('Soil results'!I$7="modified Morgan (SAC)",'Soil results'!I18&lt;19)),VLOOKUP(Calc!BI13,'Fertiliser recommendations'!$A$4:$AH$63,34,FALSE),
IF(OR(AND('Soil results'!I$7="ammonium nitrate (ADAS)",'Soil results'!I18&lt;=51),AND('Soil results'!I$7="modified Morgan (SAC)",'Soil results'!I18&lt;=61)),VLOOKUP(Calc!BI13,'Fertiliser recommendations'!$A$4:$AI$63,35,FALSE),
"")))))</f>
        <v/>
      </c>
      <c r="V15" s="91" t="str">
        <f t="shared" ca="1" si="3"/>
        <v/>
      </c>
      <c r="W15" s="9" t="str">
        <f ca="1">IF(B15="","",
IF(OR(T15="data missing",U15="data missing"),"data missing",
IF(Calc!BF13=0,"n/a",
IF(U15=0,"no requirement",
IF(T15&lt;0.1*U15,"no benefit",
IF(T15&lt;0.3*U15,"limited benefit",
IF(OR(T15&gt;1.5*U15,AND(Calc!BJ13="g",T15&gt;100)),"excessive",
"benefit")))))))</f>
        <v/>
      </c>
      <c r="Y15" s="91" t="str">
        <f ca="1">IF(B15="","",
IF(AND('Field information 2'!$O$5="", 'Field information 2'!$Q$5=""),
   IF('Waste results'!$P$23&lt;&gt;"", Calc!BC13*'Waste results'!$P$23, "no data"),
IF('Field information 2'!$Q$5="",
   IF(Calc!BD13=0,
     IF('Waste results'!$P$23&lt;&gt;"", Calc!BC13*'Waste results'!$P$23, "no data"),
   IF(Calc!BC13=0,
     IF('Waste results'!$P$59&lt;&gt;"", Calc!BD13*'Waste results'!$P$59, "no data"),
   IF(OR('Waste results'!$P$23&lt;&gt;"", 'Waste results'!$P$59&lt;&gt;""), Calc!BC13*'Waste results'!$P$23+ Calc!BD13*'Waste results'!$P$59, "no data"))),
IF(AND('Field information 2'!$M$5&lt;&gt;"", 'Field information 2'!$O$5&lt;&gt;"", 'Field information 2'!$Q$5&lt;&gt;""),
   IF(AND(Calc!BD13=0,Calc!BE13=0),
     IF('Waste results'!$P$23&lt;&gt;"", Calc!BC13*'Waste results'!$P$23, "no data"),
   IF(AND(Calc!BC13=0,Calc!BE13=0),
     IF('Waste results'!$P$59&lt;&gt;"", Calc!BD13*'Waste results'!$P$59, "no data"),
   IF(AND(Calc!BC13=0,Calc!BD13=0),
     IF('Waste results'!$P$95&lt;&gt;"", Calc!BE13*'Waste results'!$P$95, "no data"),
   IF(Calc!BE13=0,
     IF(OR('Waste results'!$P$23&lt;&gt;"", 'Waste results'!$P$59&lt;&gt;""), Calc!BC13*'Waste results'!$P$23+ Calc!BD13*'Waste results'!$P$59, "no data"),
   IF(Calc!BD13=0,
     IF(OR('Waste results'!$P$23&lt;&gt;"", 'Waste results'!$P$95&lt;&gt;""), Calc!BC13*'Waste results'!$P$23+ Calc!BE13*'Waste results'!$P$95, "no data"),
   IF(Calc!BC13=0,
     IF(OR('Waste results'!$P$59&lt;&gt;"", 'Waste results'!$P$95&lt;&gt;""), Calc!BD13*'Waste results'!$P$59+Calc!BE13*'Waste results'!$P$95, "no data"),
   IF(OR('Waste results'!$P$23&lt;&gt;"", 'Waste results'!$P$59&lt;&gt;"", 'Waste results'!$P$95&lt;&gt;""), Calc!BC13*'Waste results'!$P$23+Calc!BD13*'Waste results'!$P$59+ Calc!BE13*'Waste results'!$P$95, "no data")))))))))))</f>
        <v/>
      </c>
      <c r="Z15" s="7" t="str">
        <f ca="1">IF(OR(ISBLANK('Soil results'!I$7),ISBLANK('Soil results'!I18),'Soil results'!B18=""),"",
VLOOKUP(Calc!BI13,'Fertiliser recommendations'!$A$4:$AM$63,39,FALSE))</f>
        <v/>
      </c>
      <c r="AA15" s="91" t="str">
        <f t="shared" ca="1" si="4"/>
        <v/>
      </c>
      <c r="AB15" s="9" t="str">
        <f t="shared" ca="1" si="5"/>
        <v/>
      </c>
      <c r="AD15" s="48" t="str">
        <f>IF(ISBLANK('Soil results'!F18),"",'Soil results'!F18)</f>
        <v/>
      </c>
      <c r="AE15" s="49" t="str">
        <f ca="1">IF(B15="","",
IF(AND(Calc!BJ13="g", VLOOKUP(LEFT($B15,LEN($B15)-2),'Field information 2'!$B$12:$P$111,9,FALSE)&lt;&gt;"yes"),
 IF(Calc!BG13="10-25% OM", 5.9, IF(Calc!BG13="&gt;25% OM", 5.5, 6.2)),
IF(OR(Calc!BJ13="a", VLOOKUP(LEFT($B15,LEN($B15)-2),'Field information 2'!$B$12:$P$111,9,FALSE)="yes"),
 IF(Calc!BG13="10-25% OM", 6.4, IF(Calc!BG13="&gt;25% OM", 6, 6.7)), "")))</f>
        <v/>
      </c>
      <c r="AF15" s="91" t="str">
        <f ca="1">IF(B15="","",
IF('Waste results'!$Q$33="","no (significant) liming properties",
IF('Waste results'!Q$33&gt;100,"no (significant) liming properties",
IF(AD15="","",
IF(AD15&gt;=AE15,0,ROUNDDOWN((AE15-AD15)*Calc!BK13*'Waste results'!$Q$33+0.2,0))))))</f>
        <v/>
      </c>
      <c r="AG15" s="9" t="str">
        <f ca="1">IF(B15="","",
IF(T15=0,"n/a",
IF(AD15="","data missing",
IF(AND(AD15&lt;5,AF15="no (significant) liming properties"),"no waste application - pH too low",
IF(AND(AD15&gt;5.1,AF15="no (significant) liming properties",Calc!BH13&gt;25, LEFT(Calc!BI13,4)="graz"),"ok",
IF(AND(AD15&lt;=5.2,AF15="no (significant) liming properties"),"liming highly recommended",
IF(AF15=0,"no waste application - liming not required",
IF(AF15&lt;Calc!BC13,"application rate too high - exceeds liming requirement",
"ok"))))))))</f>
        <v/>
      </c>
      <c r="AI15" s="91" t="str">
        <f ca="1">IF(B15="","",
IF(AND('Field information 2'!$O$5="", 'Field information 2'!$Q$5=""),
   IF('Waste results'!$P$10&lt;&gt;"data missing", Calc!BC13*'Waste results'!$P$10, "data missing"),
IF('Field information 2'!$Q$5="",
   IF(Calc!BD13=0,
     IF('Waste results'!$P$10&lt;&gt;"data missing", Calc!BC13*'Waste results'!$P$10, "data missing"),
   IF(Calc!BC13=0,
     IF('Waste results'!$P$45&lt;&gt;"data missing", Calc!BD13*'Waste results'!$P$45, "data missing"),
   IF(OR('Waste results'!$P$10&lt;&gt;"data missing", 'Waste results'!$P$45&lt;&gt;"data missing"), Calc!BC13*'Waste results'!$P$10+ Calc!BD13*'Waste results'!$P$45, "data missing"))),
IF(AND('Field information 2'!$M$5&lt;&gt;"", 'Field information 2'!$O$5&lt;&gt;"", 'Field information 2'!$Q$5&lt;&gt;""),
   IF(AND(Calc!BD13=0,Calc!BE13=0),
     IF('Waste results'!$P$10&lt;&gt;"data missing", Calc!BC13*'Waste results'!$P$10, "data missing"),
   IF(AND(Calc!BC13=0,Calc!BE13=0),
     IF('Waste results'!$P$45&lt;&gt;"data missing", Calc!BD13*'Waste results'!$P$45, "data missing"),
   IF(AND(Calc!BC13=0,Calc!BD13=0),
     IF('Waste results'!$P$82&lt;&gt;"data missing", Calc!BE13*'Waste results'!$P$82, "data missing"),
   IF(Calc!BE13=0,
     IF(OR('Waste results'!$P$10&lt;&gt;"data missing", 'Waste results'!$P$45&lt;&gt;"data missing"), Calc!BC13*'Waste results'!$P$10+ Calc!BD13*'Waste results'!$P$45, "data missing"),
   IF(Calc!BD13=0,
     IF(OR('Waste results'!$P$10&lt;&gt;"data missing", 'Waste results'!$P$82&lt;&gt;"data missing"), Calc!BC13*'Waste results'!$P$10+ Calc!BE13*'Waste results'!$P$82, "data missing"),
   IF(Calc!BC13=0,
     IF(OR('Waste results'!$P$45&lt;&gt;"data missing", 'Waste results'!$P$82&lt;&gt;"data missing"), Calc!BD13*'Waste results'!$P$45+Calc!BE13*'Waste results'!$P$82, "data missing"),
   IF(OR('Waste results'!$P$10&lt;&gt;"data missing", 'Waste results'!$P$45&lt;&gt;"data missing", 'Waste results'!$P$82&lt;&gt;"data missing"), Calc!BC13*'Waste results'!$P$10+Calc!BD13*'Waste results'!$P$45+ Calc!BE13*'Waste results'!$P$82, "data missing")))))))))))</f>
        <v/>
      </c>
      <c r="AJ15" s="237" t="str">
        <f ca="1">IF(B15="","",
IF(AI15="data missing","data missing",
IF(Calc!BF13=0,"n/a",
IF(AND(Calc!BH13&gt;=8,AI15&lt;500),"no benefit",
IF(OR(AND(Calc!BH13&lt;=4,AI15&gt;=500),AND(Calc!BH13&lt;8,AI15&gt;5000)),"benefit",
"limited benefit")))))</f>
        <v/>
      </c>
      <c r="AL15" s="238" t="str">
        <f ca="1">IF(B15="","",
IF(AND('Field information 2'!$O$5="", 'Field information 2'!$Q$5=""),
   IF('Waste results'!$S$25&lt;&gt;"data missing", Calc!BC13*'Waste results'!$S$25, "data missing"),
IF('Field information 2'!$Q$5="",
   IF(Calc!BD13=0,
     IF('Waste results'!$S$25&lt;&gt;"data missing", Calc!BC13*'Waste results'!$S$25, "data missing"),
   IF(Calc!BC13=0,
     IF('Waste results'!$S$61&lt;&gt;"data missing", Calc!BD13*'Waste results'!$S$61, "data missing"),
   IF(OR('Waste results'!$S$25&lt;&gt;"data missing", 'Waste results'!$S$61&lt;&gt;"data missing"), Calc!BC13*'Waste results'!$S$25+ Calc!BD13*'Waste results'!$S$61, "data missing"))),
IF(AND('Field information 2'!$M$5&lt;&gt;"", 'Field information 2'!$O$5&lt;&gt;"", 'Field information 2'!$Q$5&lt;&gt;""),
   IF(AND(Calc!BD13=0,Calc!BE13=0),
     IF('Waste results'!$S$25&lt;&gt;"data missing", Calc!BC13*'Waste results'!$S$25, "data missing"),
   IF(AND(Calc!BC13=0,Calc!BE13=0),
     IF('Waste results'!$S$61&lt;&gt;"data missing", Calc!BD13*'Waste results'!$S$61, "data missing"),
   IF(AND(Calc!BC13=0,Calc!BD13=0),
     IF('Waste results'!$S$97&lt;&gt;"data missing", Calc!BE13*'Waste results'!$S$97, "data missing"),
   IF(Calc!BE13=0,
     IF(OR('Waste results'!$S$25&lt;&gt;"data missing", 'Waste results'!$S$61&lt;&gt;"data missing"), Calc!BC13*'Waste results'!$S$25+ Calc!BD13*'Waste results'!$S$61, "data missing"),
   IF(Calc!BD13=0,
     IF(OR('Waste results'!$S$25&lt;&gt;"data missing", 'Waste results'!$S$97&lt;&gt;"data missing"), Calc!BC13*'Waste results'!$S$25+ Calc!BE13*'Waste results'!$S$97, "data missing"),
   IF(Calc!BC13=0,
     IF(OR('Waste results'!$S$61&lt;&gt;"data missing", 'Waste results'!$S$97&lt;&gt;"data missing"), Calc!BD13*'Waste results'!$S$61+Calc!BE13*'Waste results'!$S$97, "data missing"),
   IF(OR('Waste results'!$S$25&lt;&gt;"data missing", 'Waste results'!$S$61&lt;&gt;"data missing", 'Waste results'!$S$97&lt;&gt;"data missing"), Calc!BC13*'Waste results'!$S$25+Calc!BD13*'Waste results'!$S$61+ Calc!BE13*'Waste results'!$S$97, "data missing")))))))))))</f>
        <v/>
      </c>
      <c r="AM15" s="239" t="str">
        <f ca="1">IF($B15="","",
IF(ISBLANK('Soil results'!K18),"data missing",'Soil results'!K18))</f>
        <v/>
      </c>
      <c r="AN15" s="239" t="str">
        <f t="shared" ca="1" si="6"/>
        <v/>
      </c>
      <c r="AO15" s="9" t="str">
        <f t="shared" ca="1" si="7"/>
        <v/>
      </c>
      <c r="AQ15" s="240" t="str">
        <f ca="1">IF(B15="","",
IF(AND('Field information 2'!$O$5="", 'Field information 2'!$Q$5=""),
   IF('Waste results'!$S$26&lt;&gt;"data missing", Calc!BC13*'Waste results'!$S$26, "data missing"),
IF('Field information 2'!$Q$5="",
   IF(Calc!BD13=0,
     IF('Waste results'!$S$26&lt;&gt;"data missing", Calc!BC13*'Waste results'!$S$26, "data missing"),
   IF(Calc!BC13=0,
     IF('Waste results'!$S$62&lt;&gt;"data missing", Calc!BD13*'Waste results'!$S$62, "data missing"),
   IF(OR('Waste results'!$S$26&lt;&gt;"data missing", 'Waste results'!$S$62&lt;&gt;"data missing"), Calc!BC13*'Waste results'!$S$26+ Calc!BD13*'Waste results'!$S$62, "data missing"))),
IF(AND('Field information 2'!$M$5&lt;&gt;"", 'Field information 2'!$O$5&lt;&gt;"", 'Field information 2'!$Q$5&lt;&gt;""),
   IF(AND(Calc!BD13=0,Calc!BE13=0),
     IF('Waste results'!$S$26&lt;&gt;"data missing", Calc!BC13*'Waste results'!$S$26, "data missing"),
   IF(AND(Calc!BC13=0,Calc!BE13=0),
     IF('Waste results'!$S$62&lt;&gt;"data missing", Calc!BD13*'Waste results'!$S$62, "data missing"),
   IF(AND(Calc!BC13=0,Calc!BD13=0),
     IF('Waste results'!$S$98&lt;&gt;"data missing", Calc!BE13*'Waste results'!$S$98, "data missing"),
   IF(Calc!BE13=0,
     IF(OR('Waste results'!$S$26&lt;&gt;"data missing", 'Waste results'!$S$62&lt;&gt;"data missing"), Calc!BC13*'Waste results'!$S$26+ Calc!BD13*'Waste results'!$S$62, "data missing"),
   IF(Calc!BD13=0,
     IF(OR('Waste results'!$S$26&lt;&gt;"data missing", 'Waste results'!$S$98&lt;&gt;"data missing"), Calc!BC13*'Waste results'!$S$26+ Calc!BE13*'Waste results'!$S$98, "data missing"),
   IF(Calc!BC13=0,
     IF(OR('Waste results'!$S$62&lt;&gt;"data missing", 'Waste results'!$S$98&lt;&gt;"data missing"), Calc!BD13*'Waste results'!$S$62+Calc!BE13*'Waste results'!$S$98, "data missing"),
   IF(OR('Waste results'!$S$26&lt;&gt;"data missing", 'Waste results'!$S$62&lt;&gt;"data missing", 'Waste results'!$S$98&lt;&gt;"data missing"), Calc!BC13*'Waste results'!$S$26+Calc!BD13*'Waste results'!$S$62+ Calc!BE13*'Waste results'!$S$98, "data missing")))))))))))</f>
        <v/>
      </c>
      <c r="AR15" s="241" t="str">
        <f ca="1">IF($B15="","",
IF(ISBLANK('Soil results'!L18),"data missing",'Soil results'!L18))</f>
        <v/>
      </c>
      <c r="AS15" s="241" t="str">
        <f t="shared" ca="1" si="8"/>
        <v/>
      </c>
      <c r="AT15" s="66" t="str">
        <f t="shared" ca="1" si="9"/>
        <v/>
      </c>
      <c r="AV15" s="238" t="str">
        <f ca="1">IF(B15="","",
IF(AND('Field information 2'!$O$5="", 'Field information 2'!$Q$5=""),
   IF('Waste results'!$S$27&lt;&gt;"data missing", Calc!BC13*'Waste results'!$S$27, "data missing"),
IF('Field information 2'!$Q$5="",
   IF(Calc!BD13=0,
     IF('Waste results'!$S$27&lt;&gt;"data missing", Calc!BC13*'Waste results'!$S$27, "data missing"),
   IF(Calc!BC13=0,
     IF('Waste results'!$S$63&lt;&gt;"data missing", Calc!BD13*'Waste results'!$S$63, "data missing"),
   IF(OR('Waste results'!$S$27&lt;&gt;"data missing", 'Waste results'!$S$63&lt;&gt;"data missing"), Calc!BC13*'Waste results'!$S$27+ Calc!BD13*'Waste results'!$S$63, "data missing"))),
IF(AND('Field information 2'!$M$5&lt;&gt;"", 'Field information 2'!$O$5&lt;&gt;"", 'Field information 2'!$Q$5&lt;&gt;""),
   IF(AND(Calc!BD13=0,Calc!BE13=0),
     IF('Waste results'!$S$27&lt;&gt;"data missing", Calc!BC13*'Waste results'!$S$27, "data missing"),
   IF(AND(Calc!BC13=0,Calc!BE13=0),
     IF('Waste results'!$S$63&lt;&gt;"data missing", Calc!BD13*'Waste results'!$S$63, "data missing"),
   IF(AND(Calc!BC13=0,Calc!BD13=0),
     IF('Waste results'!$S$99&lt;&gt;"data missing", Calc!BE13*'Waste results'!$S$99, "data missing"),
   IF(Calc!BE13=0,
     IF(OR('Waste results'!$S$27&lt;&gt;"data missing", 'Waste results'!$S$63&lt;&gt;"data missing"), Calc!BC13*'Waste results'!$S$27+ Calc!BD13*'Waste results'!$S$63, "data missing"),
   IF(Calc!BD13=0,
     IF(OR('Waste results'!$S$27&lt;&gt;"data missing", 'Waste results'!$S$99&lt;&gt;"data missing"), Calc!BC13*'Waste results'!$S$27+ Calc!BE13*'Waste results'!$S$99, "data missing"),
   IF(Calc!BC13=0,
     IF(OR('Waste results'!$S$63&lt;&gt;"data missing", 'Waste results'!$S$99&lt;&gt;"data missing"), Calc!BD13*'Waste results'!$S$63+Calc!BE13*'Waste results'!$S$99, "data missing"),
   IF(OR('Waste results'!$S$27&lt;&gt;"data missing", 'Waste results'!$S$63&lt;&gt;"data missing", 'Waste results'!$S$99&lt;&gt;"data missing"), Calc!BC13*'Waste results'!$S$27+Calc!BD13*'Waste results'!$S$63+ Calc!BE13*'Waste results'!$S$99, "data missing")))))))))))</f>
        <v/>
      </c>
      <c r="AW15" s="239" t="str">
        <f ca="1">IF($B15="","",
IF(ISBLANK('Soil results'!M18),"data missing",'Soil results'!M18))</f>
        <v/>
      </c>
      <c r="AX15" s="239" t="str">
        <f t="shared" ca="1" si="10"/>
        <v/>
      </c>
      <c r="AY15" s="9" t="str">
        <f ca="1">IF(B15="","",
IF(AV15=0,"n/a",
IF(OR(AV15="data missing",AW15="data missing"),"data missing",
IF(AV15&gt;7.5,"application rate too high - permissible rate exceeds limit",
IF('Soil results'!$F18&lt;=5.5,
  IF(AW15&gt;80,"no application - soil conc. already above limit",
  IF(AX15&gt;80,"application rate too high - soil conc. will exceed limit",
  IF(AW15&gt;80*0.9,"soil conc. is at or above 90% of the limit",
  IF(10*AV15*1000/3000+AW15&gt;80,"soil limit likely to be exceeded in 10yrs",
  IF(50*AV15*1000/3000+AW15&gt;80,"soil limit likely to be exceeded in 50yrs","ok"))))),
IF('Soil results'!$F18&lt;=6,
  IF(AW15&gt;100,"no application - soil conc. already above limit",
  IF(AX15&gt;100,"application rate too high - soil conc. will exceed limit",
  IF(AW15&gt;100*0.9,"soil conc. is at or above 90% of the limit",
  IF(10*AV15*1000/3000+AW15&gt;100,"soil limit likely to be exceeded in 10yrs",
  IF(50*AV15*1000/3000+AW15&gt;100,"soil limit likely to be exceeded in 50yrs","ok"))))),
IF('Soil results'!$F18&lt;=7,
  IF(AW15&gt;135,"no application - soil conc. already above limit",
  IF(AX15&gt;135,"application rate too high - soil conc. will exceed limit",
  IF(AW15&gt;135*0.9,"soil conc. is at or above 90% of the limit",
  IF(10*AV15*1000/3000+AW15&gt;135,"soil limit likely to be exceeded in 10yrs",
  IF(50*AV15*1000/3000+AW15&gt;135,"soil limit likely to be exceeded in 50yrs","ok"))))),
IF('Soil results'!$F18&gt;7,
  IF(AW15&gt;200,"no application - soil conc. already above limit",
  IF(AX15&gt;200,"application too high - soil conc. will exceed limit",
  IF(AW15&gt;200*0.9,"soil conc. is at or above 90% of the limit",
  IF(10*AV15*1000/3000+AW15&gt;200,"soil limit likely to be exceeded in 10yrs",
  IF(50*AV15*1000/3000+AW15&gt;200,"soil limit likely to be exceeded in 50yrs","ok")))))
))))))))</f>
        <v/>
      </c>
      <c r="BA15" s="238" t="str">
        <f ca="1">IF(B15="","",
IF(AND('Field information 2'!$O$5="", 'Field information 2'!$Q$5=""),
   IF('Waste results'!$S$28&lt;&gt;"data missing", Calc!BC13*'Waste results'!$S$28, "data missing"),
IF('Field information 2'!$Q$5="",
   IF(Calc!BD13=0,
     IF('Waste results'!$S$28&lt;&gt;"data missing", Calc!BC13*'Waste results'!$S$28, "data missing"),
   IF(Calc!BC13=0,
     IF('Waste results'!$S$64&lt;&gt;"data missing", Calc!BD13*'Waste results'!$S$64, "data missing"),
   IF(OR('Waste results'!$S$28&lt;&gt;"data missing", 'Waste results'!$S$64&lt;&gt;"data missing"), Calc!BC13*'Waste results'!$S$28+ Calc!BD13*'Waste results'!$S$64, "data missing"))),
IF(AND('Field information 2'!$M$5&lt;&gt;"", 'Field information 2'!$O$5&lt;&gt;"", 'Field information 2'!$Q$5&lt;&gt;""),
   IF(AND(Calc!BD13=0,Calc!BE13=0),
     IF('Waste results'!$S$28&lt;&gt;"data missing", Calc!BC13*'Waste results'!$S$28, "data missing"),
   IF(AND(Calc!BC13=0,Calc!BE13=0),
     IF('Waste results'!$S$64&lt;&gt;"data missing", Calc!BD13*'Waste results'!$S$64, "data missing"),
   IF(AND(Calc!BC13=0,Calc!BD13=0),
     IF('Waste results'!$S$100&lt;&gt;"data missing", Calc!BE13*'Waste results'!$S$100, "data missing"),
   IF(Calc!BE13=0,
     IF(OR('Waste results'!$S$28&lt;&gt;"data missing", 'Waste results'!$S$64&lt;&gt;"data missing"), Calc!BC13*'Waste results'!$S$28+ Calc!BD13*'Waste results'!$S$64, "data missing"),
   IF(Calc!BD13=0,
     IF(OR('Waste results'!$S$28&lt;&gt;"data missing", 'Waste results'!$S$100&lt;&gt;"data missing"), Calc!BC13*'Waste results'!$S$28+ Calc!BE13*'Waste results'!$S$100, "data missing"),
   IF(Calc!BC13=0,
     IF(OR('Waste results'!$S$64&lt;&gt;"data missing", 'Waste results'!$S$100&lt;&gt;"data missing"), Calc!BD13*'Waste results'!$S$64+Calc!BE13*'Waste results'!$S$100, "data missing"),
   IF(OR('Waste results'!$S$28&lt;&gt;"data missing", 'Waste results'!$S$64&lt;&gt;"data missing", 'Waste results'!$S$100&lt;&gt;"data missing"), Calc!BC13*'Waste results'!$S$28+Calc!BD13*'Waste results'!$S$64+ Calc!BE13*'Waste results'!$S$100, "data missing")))))))))))</f>
        <v/>
      </c>
      <c r="BB15" s="239" t="str">
        <f ca="1">IF($B15="","",
IF(ISBLANK('Soil results'!N18),"data missing",'Soil results'!N18))</f>
        <v/>
      </c>
      <c r="BC15" s="239" t="str">
        <f t="shared" ca="1" si="11"/>
        <v/>
      </c>
      <c r="BD15" s="9" t="str">
        <f t="shared" ca="1" si="12"/>
        <v/>
      </c>
      <c r="BF15" s="238" t="str">
        <f ca="1">IF(B15="","",
IF(AND('Field information 2'!$O$5="", 'Field information 2'!$Q$5=""),
   IF('Waste results'!$S$29&lt;&gt;"data missing", Calc!BC13*'Waste results'!$S$29, "data missing"),
IF('Field information 2'!$Q$5="",
   IF(Calc!BD13=0,
     IF('Waste results'!$S$29&lt;&gt;"data missing", Calc!BC13*'Waste results'!$S$29, "data missing"),
   IF(Calc!BC13=0,
     IF('Waste results'!$S$65&lt;&gt;"data missing", Calc!BD13*'Waste results'!$S$65, "data missing"),
   IF(OR('Waste results'!$S$29&lt;&gt;"data missing", 'Waste results'!$S$65&lt;&gt;"data missing"), Calc!BC13*'Waste results'!$S$29+ Calc!BD13*'Waste results'!$S$65, "data missing"))),
IF(AND('Field information 2'!$M$5&lt;&gt;"", 'Field information 2'!$O$5&lt;&gt;"", 'Field information 2'!$Q$5&lt;&gt;""),
   IF(AND(Calc!BD13=0,Calc!BE13=0),
     IF('Waste results'!$S$29&lt;&gt;"data missing", Calc!BC13*'Waste results'!$S$29, "data missing"),
   IF(AND(Calc!BC13=0,Calc!BE13=0),
     IF('Waste results'!$S$65&lt;&gt;"data missing", Calc!BD13*'Waste results'!$S$65, "data missing"),
   IF(AND(Calc!BC13=0,Calc!BD13=0),
     IF('Waste results'!$S$101&lt;&gt;"data missing", Calc!BE13*'Waste results'!$S$101, "data missing"),
   IF(Calc!BE13=0,
     IF(OR('Waste results'!$S$29&lt;&gt;"data missing", 'Waste results'!$S$65&lt;&gt;"data missing"), Calc!BC13*'Waste results'!$S$29+ Calc!BD13*'Waste results'!$S$65, "data missing"),
   IF(Calc!BD13=0,
     IF(OR('Waste results'!$S$29&lt;&gt;"data missing", 'Waste results'!$S$101&lt;&gt;"data missing"), Calc!BC13*'Waste results'!$S$29+ Calc!BE13*'Waste results'!$S$101, "data missing"),
   IF(Calc!BC13=0,
     IF(OR('Waste results'!$S$65&lt;&gt;"data missing", 'Waste results'!$S$101&lt;&gt;"data missing"), Calc!BD13*'Waste results'!$S$65+Calc!BE13*'Waste results'!$S$101, "data missing"),
   IF(OR('Waste results'!$S$29&lt;&gt;"data missing", 'Waste results'!$S$65&lt;&gt;"data missing", 'Waste results'!$S$101&lt;&gt;"data missing"), Calc!BC13*'Waste results'!$S$29+Calc!BD13*'Waste results'!$S$65+ Calc!BE13*'Waste results'!$S$101, "data missing")))))))))))</f>
        <v/>
      </c>
      <c r="BG15" s="239" t="str">
        <f ca="1">IF($B15="","",
IF(ISBLANK('Soil results'!O18),"data missing",'Soil results'!O18))</f>
        <v/>
      </c>
      <c r="BH15" s="239" t="str">
        <f t="shared" ca="1" si="13"/>
        <v/>
      </c>
      <c r="BI15" s="9" t="str">
        <f ca="1">IF(B15="","",
IF(BF15=0,"n/a",
IF(OR(BF15="data missing",BG15="data missing"),"data missing",
IF(BF15&gt;3,"application rate too high - permissible rate exceeds limit",
IF('Soil results'!F18&lt;=5.5,
  IF(BG15&gt;50,"no application - soil conc. already above limit",
  IF(BH15&gt;50,"application rate too high - soil conc. will exceed limit",
  IF(BG15&gt;50*0.9,"soil conc. is at or above 90% of the limit",
  IF(10*BF15*1000/3000+BG15&gt;50,"soil limit likely to be exceeded in 10yrs",
  IF(50*BF15*1000/3000+BG15&gt;50,"soil limit likely to be exceeded in 50yrs","ok"))))),
IF('Soil results'!F18&lt;=6,
  IF(BG15&gt;60,"no application - soil conc. already above limit",
  IF(BH15&gt;60,"application rate too high - soil conc. will exceed limit",
  IF(BG15&gt;60*0.9,"soil conc. is at or above 90% of the limit",
  IF(10*BF15*1000/3000+BG15&gt;60,"soil limit likely to be exceeded in 10yrs",
  IF(50*BF15*1000/3000+BG15&gt;60,"soil limit likely to be exceeded in 50yrs","ok"))))),
IF('Soil results'!F18&lt;=7,
  IF(BG15&gt;75,"no application - soil conc. already above limit",
  IF(BH15&gt;75,"application rate too high - soil conc. will exceed limit",
  IF(BG15&gt;75*0.9,"soil conc. is at or above 90% of the limit",
  IF(10*BF15*1000/3000+BG15&gt;75,"soil limit likely to be exceeded in 10yrs",
  IF(50*BF15*1000/3000+BG15&gt;75,"soil limit likely to be exceeded in 50yrs","ok"))))),
IF('Soil results'!F18&gt;7,
  IF(BG15&gt;100,"no application - soil conc. already above limit",
  IF(BH15&gt;100,"application rate too high - soil conc. will exceed limit",
  IF(BG15&gt;100*0.9,"soil conc. is at or above 90% of the limit",
  IF(10*BF15*1000/3000+BG15&gt;100,"soil limit likely to be exceeded in 10yrs",
  IF(50*BF15*1000/3000+BG15&gt;100,"soil limit likely to beexceeded in 50yrs","ok")))))
))))))))</f>
        <v/>
      </c>
      <c r="BK15" s="240" t="str">
        <f ca="1">IF(B15="","",
IF(AND('Field information 2'!$O$5="", 'Field information 2'!$Q$5=""),
   IF('Waste results'!$S$30&lt;&gt;"data missing", Calc!BC13*'Waste results'!$S$30, "data missing"),
IF('Field information 2'!$Q$5="",
   IF(Calc!BD13=0,
     IF('Waste results'!$S$30&lt;&gt;"data missing", Calc!BC13*'Waste results'!$S$30, "data missing"),
   IF(Calc!BC13=0,
     IF('Waste results'!$S$66&lt;&gt;"data missing", Calc!BD13*'Waste results'!$S$66, "data missing"),
   IF(OR('Waste results'!$S$30&lt;&gt;"data missing", 'Waste results'!$S$66&lt;&gt;"data missing"), Calc!BC13*'Waste results'!$S$30+ Calc!BD13*'Waste results'!$S$66, "data missing"))),
IF(AND('Field information 2'!$M$5&lt;&gt;"", 'Field information 2'!$O$5&lt;&gt;"", 'Field information 2'!$Q$5&lt;&gt;""),
   IF(AND(Calc!BD13=0,Calc!BE13=0),
     IF('Waste results'!$S$30&lt;&gt;"data missing", Calc!BC13*'Waste results'!$S$30, "data missing"),
   IF(AND(Calc!BC13=0,Calc!BE13=0),
     IF('Waste results'!$S$66&lt;&gt;"data missing", Calc!BD13*'Waste results'!$S$66, "data missing"),
   IF(AND(Calc!BC13=0,Calc!BD13=0),
     IF('Waste results'!$S$102&lt;&gt;"data missing", Calc!BE13*'Waste results'!$S$102, "data missing"),
   IF(Calc!BE13=0,
     IF(OR('Waste results'!$S$30&lt;&gt;"data missing", 'Waste results'!$S$66&lt;&gt;"data missing"), Calc!BC13*'Waste results'!$S$30+ Calc!BD13*'Waste results'!$S$66, "data missing"),
   IF(Calc!BD13=0,
     IF(OR('Waste results'!$S$30&lt;&gt;"data missing", 'Waste results'!$S$102&lt;&gt;"data missing"), Calc!BC13*'Waste results'!$S$30+ Calc!BE13*'Waste results'!$S$102, "data missing"),
   IF(Calc!BC13=0,
     IF(OR('Waste results'!$S$66&lt;&gt;"data missing", 'Waste results'!$S$102&lt;&gt;"data missing"), Calc!BD13*'Waste results'!$S$66+Calc!BE13*'Waste results'!$S$102, "data missing"),
   IF(OR('Waste results'!$S$30&lt;&gt;"data missing", 'Waste results'!$S$66&lt;&gt;"data missing", 'Waste results'!$S$102&lt;&gt;"data missing"), Calc!BC13*'Waste results'!$S$30+Calc!BD13*'Waste results'!$S$66+ Calc!BE13*'Waste results'!$S$102, "data missing")))))))))))</f>
        <v/>
      </c>
      <c r="BL15" s="241" t="str">
        <f ca="1">IF($B15="","",
IF(ISBLANK('Soil results'!P18),"data missing",'Soil results'!P18))</f>
        <v/>
      </c>
      <c r="BM15" s="241" t="str">
        <f t="shared" ca="1" si="14"/>
        <v/>
      </c>
      <c r="BN15" s="66" t="str">
        <f t="shared" ca="1" si="15"/>
        <v/>
      </c>
      <c r="BP15" s="238" t="str">
        <f ca="1">IF(B15="","",
IF(AND('Field information 2'!$O$5="", 'Field information 2'!$Q$5=""),
   IF('Waste results'!$S$31&lt;&gt;"data missing", Calc!BC13*'Waste results'!$S$31, "data missing"),
IF('Field information 2'!$Q$5="",
   IF(Calc!BD13=0,
     IF('Waste results'!$S$31&lt;&gt;"data missing", Calc!BC13*'Waste results'!$S$31, "data missing"),
   IF(Calc!BC13=0,
     IF('Waste results'!$S$67&lt;&gt;"data missing", Calc!BD13*'Waste results'!$S$67, "data missing"),
   IF(OR('Waste results'!$S$31&lt;&gt;"data missing", 'Waste results'!$S$67&lt;&gt;"data missing"), Calc!BC13*'Waste results'!$S$31+ Calc!BD13*'Waste results'!$S$67, "data missing"))),
IF(AND('Field information 2'!$M$5&lt;&gt;"", 'Field information 2'!$O$5&lt;&gt;"", 'Field information 2'!$Q$5&lt;&gt;""),
   IF(AND(Calc!BD13=0,Calc!BE13=0),
     IF('Waste results'!$S$31&lt;&gt;"data missing", Calc!BC13*'Waste results'!$S$31, "data missing"),
   IF(AND(Calc!BC13=0,Calc!BE13=0),
     IF('Waste results'!$S$67&lt;&gt;"data missing", Calc!BD13*'Waste results'!$S$67, "data missing"),
   IF(AND(Calc!BC13=0,Calc!BD13=0),
     IF('Waste results'!$S$103&lt;&gt;"data missing", Calc!BE13*'Waste results'!$S$103, "data missing"),
   IF(Calc!BE13=0,
     IF(OR('Waste results'!$S$31&lt;&gt;"data missing", 'Waste results'!$S$67&lt;&gt;"data missing"), Calc!BC13*'Waste results'!$S$31+ Calc!BD13*'Waste results'!$S$67, "data missing"),
   IF(Calc!BD13=0,
     IF(OR('Waste results'!$S$31&lt;&gt;"data missing", 'Waste results'!$S$103&lt;&gt;"data missing"), Calc!BC13*'Waste results'!$S$31+ Calc!BE13*'Waste results'!$S$103, "data missing"),
   IF(Calc!BC13=0,
     IF(OR('Waste results'!$S$67&lt;&gt;"data missing", 'Waste results'!$S$103&lt;&gt;"data missing"), Calc!BD13*'Waste results'!$S$67+Calc!BE13*'Waste results'!$S$103, "data missing"),
   IF(OR('Waste results'!$S$31&lt;&gt;"data missing", 'Waste results'!$S$67&lt;&gt;"data missing", 'Waste results'!$S$103&lt;&gt;"data missing"), Calc!BC13*'Waste results'!$S$31+Calc!BD13*'Waste results'!$S$67+ Calc!BE13*'Waste results'!$S$103, "data missing")))))))))))</f>
        <v/>
      </c>
      <c r="BQ15" s="239" t="str">
        <f ca="1">IF($B15="","",
IF(ISBLANK('Soil results'!Q18),"data missing",'Soil results'!Q18))</f>
        <v/>
      </c>
      <c r="BR15" s="239" t="str">
        <f t="shared" ca="1" si="16"/>
        <v/>
      </c>
      <c r="BS15" s="9" t="str">
        <f ca="1">IF(B15="","",
IF(BP15=0,"n/a",
IF(OR(BP15="data missing",BQ15=""),"data missing",
IF(BP15&gt;15,"application rate too high - permissible rate exceeds limit",
IF('Soil results'!F18&lt;=5.5,
  IF(BQ15&gt;200,"no application - soil conc. already above limit",
  IF(BR15&gt;200,"application rate too high - soil conc. will exceed limit",
  IF(BQ15&gt;200*0.9,"soil conc. is at or above 90% of the limit",
  IF(10*BP15*1000/3000+BQ15&gt;200,"soil limit likely to be exceeded in 10yrs",
  IF(50*BP15*1000/3000+BQ15&gt;200,"soil limit likely to be exceeded in 50yrs","ok"))))),
IF('Soil results'!F18&lt;=6,
  IF(BQ15&gt;250,"no application - soil conc. already above limit",
  IF(BR15&gt;250,"application rate too high - soil conc. will exceed limit",
  IF(BQ15&gt;250*0.9,"soil conc. is at or above 90% of the limit",
  IF(10*BP15*1000/3000+BQ15&gt;250,"soil limit likely to be exceeded in 10yrs",
  IF(50*BP15*1000/3000+BQ15&gt;250,"soil limit likely to be exceeded in 50yrs","ok"))))),
IF('Soil results'!F18&lt;=7,
  IF(BQ15&gt;300,"no application - soil conc. already above limit",
  IF(BR15&gt;300,"application rate too high - soil conc. will exceed limit",
  IF(BQ15&gt;300*0.9,"soil conc. is at or above 90% of the limit",
  IF(10*BP15*1000/3000+BQ15&gt;300,"soil limit likey to be exceeded in 10yrs",
  IF(50*BP15*1000/3000+BQ15&gt;300,"soil limit likely to be exceeded in 50yrs","ok"))))),
IF('Soil results'!F18&gt;7,
  IF(BQ15&gt;450,"no application - soil conc. already above limit",
  IF(BR15&gt;450,"application rate too high - soil conc. will exceed limit",
  IF(AW15&gt;450*0.9,"soil conc. is at or above 90% of the limit",
  IF(10*BP15*1000/3000+BQ15&gt;450,"soil limit likely to be exceeded in 10yrs",
  IF(50*BP15*1000/3000+BQ15&gt;450,"soil limit likely to be exceeded in 50yrs","ok")))))
))))))))</f>
        <v/>
      </c>
    </row>
    <row r="16" spans="1:71" s="9" customFormat="1" x14ac:dyDescent="0.35">
      <c r="B16" s="236" t="str">
        <f ca="1">'Soil results'!B19</f>
        <v/>
      </c>
      <c r="C16" s="91" t="str">
        <f ca="1">IF(B16="","",
IF(AND('Field information 2'!$O$5="", 'Field information 2'!$Q$5=""),
   IF('Waste results'!$S$12&lt;&gt;"data missing", Calc!BC14*'Waste results'!$S$12, "data missing"),
IF('Field information 2'!$Q$5="",
   IF(Calc!BD14=0,
     IF('Waste results'!$S$12&lt;&gt;"data missing", Calc!BC14*'Waste results'!$S$12, "data missing"),
   IF(Calc!BC14=0,
     IF('Waste results'!$S$48&lt;&gt;"data missing", Calc!BD14*'Waste results'!$S$48, "data missing"),
   IF(OR('Waste results'!$S$12&lt;&gt;"data missing", 'Waste results'!$S$48&lt;&gt;"data missing"), Calc!BC14*'Waste results'!$S$12+ Calc!BD14*'Waste results'!$S$48, "data missing"))),
IF(AND('Field information 2'!$M$5&lt;&gt;"", 'Field information 2'!$O$5&lt;&gt;"", 'Field information 2'!$Q$5&lt;&gt;""),
   IF(AND(Calc!BD14=0,Calc!BE14=0),
     IF('Waste results'!$S$12&lt;&gt;"data missing", Calc!BC14*'Waste results'!$S$12, "data missing"),
   IF(AND(Calc!BC14=0,Calc!BE14=0),
     IF('Waste results'!$S$48&lt;&gt;"data missing", Calc!BD14*'Waste results'!$S$48, "data missing"),
   IF(AND(Calc!BC14=0,Calc!BD14=0),
     IF('Waste results'!$S$84&lt;&gt;"data missing", Calc!BE14*'Waste results'!$S$84, "data missing"),
   IF(Calc!BE14=0,
     IF(OR('Waste results'!$S$12&lt;&gt;"data missing", 'Waste results'!$S$48&lt;&gt;"data missing"), Calc!BC14*'Waste results'!$S$12+ Calc!BD14*'Waste results'!$S$48, "data missing"),
   IF(Calc!BD14=0,
     IF(OR('Waste results'!$S$12&lt;&gt;"data missing", 'Waste results'!$S$84&lt;&gt;"data missing"), Calc!BC14*'Waste results'!$S$12+ Calc!BE14*'Waste results'!$S$84, "data missing"),
   IF(Calc!BC14=0,
     IF(OR('Waste results'!$S$48&lt;&gt;"data missing", 'Waste results'!$S$84&lt;&gt;"data missing"), Calc!BD14*'Waste results'!$S$48+Calc!BE14*'Waste results'!$S$84, "data missing"),
   IF(OR('Waste results'!$S$12&lt;&gt;"data missing", 'Waste results'!$S$48&lt;&gt;"data missing", 'Waste results'!$S$84&lt;&gt;"data missing"), Calc!BC14*'Waste results'!$S$12+Calc!BD14*'Waste results'!$S$48+ Calc!BE14*'Waste results'!$S$84, "data missing")))))))))))</f>
        <v/>
      </c>
      <c r="D16" s="161" t="str">
        <f ca="1">IF(B16="","",
IF(Calc!BG14="","soil texture missing",
IF(OR(Calc!BG14="SL; SZL; ZL",Calc!BG14="SCL; CL; ZCL; SC; ZC; C"),VLOOKUP(Calc!BI14,'Fertiliser recommendations'!$A$4:$C$63,3,FALSE),
IF(Calc!BG14="S; LS",VLOOKUP(Calc!BI14,'Fertiliser recommendations'!$A$4:$C$63,3,FALSE)+VLOOKUP(Calc!BI14,'Fertiliser recommendations'!$A$4:$D$63,4,FALSE),
IF(Calc!BG14="10-25% OM",VLOOKUP(Calc!BI14,'Fertiliser recommendations'!$A$4:$C$63,3,FALSE)+VLOOKUP(Calc!BI14,'Fertiliser recommendations'!$A$4:$E$63,5,FALSE),
IF(Calc!BG14="&gt;25% OM",VLOOKUP(Calc!BI14,'Fertiliser recommendations'!$A$4:$C$63,3,FALSE)+VLOOKUP(Calc!BI14,'Fertiliser recommendations'!$A$4:$F$63,6,FALSE),
""))))))</f>
        <v/>
      </c>
      <c r="E16" s="91" t="str">
        <f t="shared" ca="1" si="0"/>
        <v/>
      </c>
      <c r="F16" s="9" t="str">
        <f ca="1">IF(B16="","",
IF(OR(C16="data missing",D16="soil texture missing"),"data missing",
IF(Calc!BF14=0,"n/a",
IF(C16&lt;0.1*D16,"no benefit",
IF(C16&lt;0.3*D16,"limited benefit",
IF(C16&gt;250,"exceeds limit",
IF(OR(AND(D16=0,C16&gt;75),C16&gt;1.25*D16),"excessive",
IF(D16=0, "no requirement",
"benefit"))))))))</f>
        <v/>
      </c>
      <c r="H16" s="91" t="str">
        <f ca="1">IF(B16="","",
IF(AND('Field information 2'!$O$5="", 'Field information 2'!$Q$5=""),
   IF('Waste results'!$S$17&lt;&gt;"data missing", Calc!BC14*'Waste results'!$S$17, "data missing"),
IF('Field information 2'!$Q$5="",
   IF(Calc!BD14=0,
     IF('Waste results'!$S$17&lt;&gt;"data missing", Calc!BC14*'Waste results'!$S$17, "data missing"),
   IF(Calc!BC14=0,
     IF('Waste results'!$S$53&lt;&gt;"data missing", Calc!BD14*'Waste results'!$S$53, "data missing"),
   IF(OR('Waste results'!$S$17&lt;&gt;"data missing", 'Waste results'!$S$53&lt;&gt;"data missing"), Calc!BC14*'Waste results'!$S$17+ Calc!BD14*'Waste results'!$S$53, "data missing"))),
IF(AND('Field information 2'!$M$5&lt;&gt;"", 'Field information 2'!$O$5&lt;&gt;"", 'Field information 2'!$Q$5&lt;&gt;""),
   IF(AND(Calc!BD14=0,Calc!BE14=0),
     IF('Waste results'!$S$17&lt;&gt;"data missing", Calc!BC14*'Waste results'!$S$17, "data missing"),
   IF(AND(Calc!BC14=0,Calc!BE14=0),
     IF('Waste results'!$S$53&lt;&gt;"data missing", Calc!BD14*'Waste results'!$S$53, "data missing"),
   IF(AND(Calc!BC14=0,Calc!BD14=0),
     IF('Waste results'!$S$89&lt;&gt;"data missing", Calc!BE14*'Waste results'!$S$89, "data missing"),
   IF(Calc!BE14=0,
     IF(OR('Waste results'!$S$17&lt;&gt;"data missing", 'Waste results'!$S$53&lt;&gt;"data missing"), Calc!BC14*'Waste results'!$S$17+ Calc!BD14*'Waste results'!$S$53, "data missing"),
   IF(Calc!BD14=0,
     IF(OR('Waste results'!$S$17&lt;&gt;"data missing", 'Waste results'!$S$89&lt;&gt;"data missing"), Calc!BC14*'Waste results'!$S$17+ Calc!BE14*'Waste results'!$S$89, "data missing"),
   IF(Calc!BC14=0,
     IF(OR('Waste results'!$S$53&lt;&gt;"data missing", 'Waste results'!$S$89&lt;&gt;"data missing"), Calc!BD14*'Waste results'!$S$53+Calc!BE14*'Waste results'!$S$89, "data missing"),
   IF(OR('Waste results'!$S$17&lt;&gt;"data missing", 'Waste results'!$S$53&lt;&gt;"data missing", 'Waste results'!$S$89&lt;&gt;"data missing"), Calc!BC14*'Waste results'!$S$17+Calc!BD14*'Waste results'!$S$53+ Calc!BE14*'Waste results'!$S$89, "data missing")))))))))))</f>
        <v/>
      </c>
      <c r="I16" s="195" t="str">
        <f ca="1">IF(B16="","",
IF(OR(ISBLANK('Soil results'!G19), ISBLANK('Soil results'!G$7)),"data missing",
IF(OR(AND('Soil results'!G$7="Olsen (ADAS)",'Soil results'!G19&lt;16),AND('Soil results'!G$7="modified Morgan (SAC)",'Soil results'!G19&lt;4.5)),50,100)))</f>
        <v/>
      </c>
      <c r="J16" s="49" t="str">
        <f ca="1">IF(B16="","",
IF(OR(ISBLANK('Soil results'!G$7),ISBLANK('Soil results'!G19)),"data missing",
IF(OR(AND('Soil results'!G$7="Olsen (ADAS)",'Soil results'!G19&gt;45),AND('Soil results'!G$7="modified Morgan (SAC)",'Soil results'!G19&gt;30)),0,
IF(OR(AND('Soil results'!G$7="Olsen (ADAS)",'Soil results'!G19&gt;=16,'Soil results'!G19&lt;=20),AND('Soil results'!G$7="modified Morgan (SAC)",'Soil results'!G19&gt;=4.5,'Soil results'!G19&lt;=9.4)),VLOOKUP(Calc!BI14,'Fertiliser recommendations'!$A$4:$I$63,9,FALSE),
IF(OR(AND('Soil results'!G$7="Olsen (ADAS)",'Soil results'!G19&lt;10),AND('Soil results'!G$7="modified Morgan (SAC)",'Soil results'!G19&lt;1.8)),VLOOKUP(Calc!BI14,'Fertiliser recommendations'!$A$4:$I$63,9,FALSE)+VLOOKUP(Calc!BI14,'Fertiliser recommendations'!$A$4:$J$63,10,FALSE),
IF(OR(AND('Soil results'!G$7="Olsen (ADAS)",'Soil results'!G19&lt;16),AND('Soil results'!G$7="modified Morgan (SAC)",'Soil results'!G19&lt;4.5)),VLOOKUP(Calc!BI14,'Fertiliser recommendations'!$A$4:$I$63,9,FALSE)+VLOOKUP(Calc!BI14,'Fertiliser recommendations'!$A$4:$K$63,11,FALSE),
IF(OR(AND('Soil results'!G$7="Olsen (ADAS)",'Soil results'!G19&lt;26),AND('Soil results'!G$7="modified Morgan (SAC)",'Soil results'!G19&lt;13.5)),VLOOKUP(Calc!BI14,'Fertiliser recommendations'!$A$4:$I$63,9,FALSE)+VLOOKUP(Calc!BI14,'Fertiliser recommendations'!$A$4:$L$63,12,FALSE),
IF(OR(AND('Soil results'!G$7="Olsen (ADAS)",'Soil results'!G19&lt;=45),AND('Soil results'!G$7="modified Morgan (SAC)",'Soil results'!G19&lt;=30)),VLOOKUP(Calc!BI14,'Fertiliser recommendations'!$A$4:$I$63,9,FALSE)+VLOOKUP(Calc!BI14,'Fertiliser recommendations'!$A$4:$M$63,13,FALSE),
""))))))))</f>
        <v/>
      </c>
      <c r="K16" s="161" t="str">
        <f t="shared" ca="1" si="1"/>
        <v/>
      </c>
      <c r="L16" s="47" t="str">
        <f ca="1">IF(OR(ISBLANK('Soil results'!G$7),ISBLANK('Soil results'!G19),B16="", H16="data missing"),"",
IF('Soil results'!G$7="Olsen (ADAS)",
IF(((H16*Calc!BM14/2.291-(VLOOKUP(Calc!BI14,'Fertiliser recommendations'!$A$4:$I$63,9,FALSE))/2.291)*10/(400/2.291)+'Soil results'!G19)&lt;10,"0 (VL)",
IF(((H16*Calc!BM14/2.291-(VLOOKUP(Calc!BI14,'Fertiliser recommendations'!$A$4:$I$63,9,FALSE))/2.291)*10/(400/2.291)+'Soil results'!G19)&lt;16,"1 (L)",
IF(((H16*Calc!BM14/2.291-(VLOOKUP(Calc!BI14,'Fertiliser recommendations'!$A$4:$I$63,9,FALSE))/2.291)*10/(400/2.291)+'Soil results'!G19)&lt;21,"2 (M-)",
IF(((H16*Calc!BM14/2.291-(VLOOKUP(Calc!BI14,'Fertiliser recommendations'!$A$4:$I$63,9,FALSE))/2.291)*10/(400/2.291)+'Soil results'!G19)&lt;26,"2 (M+)",
IF(((H16*Calc!BM14/2.291-(VLOOKUP(Calc!BI14,'Fertiliser recommendations'!$A$4:$I$63,9,FALSE))/2.291)*10/(400/2.291)+'Soil results'!G19)&lt;45,"3 (H)","&gt;3 (VH)"))))),
IF('Soil results'!G$7="modified Morgan (SAC)",
IF('Soil results'!G19&gt;=6,
IF(((H16*Calc!BM14/2.291-(VLOOKUP(Calc!BI14,'Fertiliser recommendations'!$A$4:$I$63,9,FALSE))/2.291)*5/(147/2.291)+'Soil results'!G19)&lt;9.5,"2 (M-)",
IF(((H16*Calc!BM14/2.291-(VLOOKUP(Calc!BI14,'Fertiliser recommendations'!$A$4:$I$63,9,FALSE))/2.291)*5/(147/2.291)+'Soil results'!G19)&lt;13.5,"2 (M+)",
IF(((H16*Calc!BM14/2.291-(VLOOKUP(Calc!BI14,'Fertiliser recommendations'!$A$4:$I$63,9,FALSE))/2.291)*5/(147/2.291)+'Soil results'!G19)&lt;30,"3 (H)","4 (VH)"))),
IF(((H16*Calc!BM14/2.291-(VLOOKUP(Calc!BI14,'Fertiliser recommendations'!$A$4:$I$63,9,FALSE))/2.291)*5/(346/2.291)+'Soil results'!G19)&lt;1.8,"0 (VL)",
IF(((H16*Calc!BM14/2.291-(VLOOKUP(Calc!BI14,'Fertiliser recommendations'!$A$4:$I$63,9,FALSE))/2.291)*5/(147/2.291)+'Soil results'!G19)&lt;4.5,"1 (L)","2 (M-)"))))))</f>
        <v/>
      </c>
      <c r="M16" s="9" t="str">
        <f ca="1">IF(B16="","",
IF(OR(H16="data missing",I16="data missing",J16="data missing"),"data missing",
IF(Calc!BF14=0,"n/a",
IF(OR(AND('Soil results'!G$7="Olsen (ADAS)",'Soil results'!G19&gt;45),AND('Soil results'!G$7="modified Morgan (SAC)",'Soil results'!G19&gt;30)),
IF(H16&gt;2,"too high, not acceptable","no requirement"),IF(OR(AND('Soil results'!G$7="Olsen (ADAS)",'Soil results'!G19&gt;25),AND('Soil results'!G$7="modified Morgan (SAC)",'Soil results'!G19&gt;13.4)),
IF(H16*(I16/100)&lt;0.1*J16,"no benefit",
IF(H16*(I16/100)&lt;0.3*J16,"limited benefit",
IF(H16*(I16/100)&lt;1.1*J16,"benefit",
IF(H16*(I16/100)&lt;0.7*VLOOKUP(Calc!BI14,'Fertiliser recommendations'!$A$4:$I$63,9,FALSE),"excessive","too high, not acceptable")))),
IF(OR(AND('Soil results'!G$7="Olsen (ADAS)",'Soil results'!G19&gt;20),AND('Soil results'!G$7="modified Morgan (SAC)",'Soil results'!G19&gt;9.4)),
IF(H16*Calc!BM14*(I16/100)&lt;0.1*J16,"no benefit",
IF(H16*Calc!BM14*(I16/100)&lt;0.3*J16,"limited benefit",
IF(H16*Calc!BM14*(I16/100)&lt;1.1*J16,"benefit",
IF(L16="3 (H)","too high, not acceptable","excessive")))),
IF(OR(AND('Soil results'!G$7="Olsen (ADAS)",'Soil results'!G19&gt;15),AND('Soil results'!G$7="modified Morgan (SAC)",'Soil results'!G19&gt;4.4)),
IF(H16*Calc!BM14*(I16/100)&lt;0.1*VLOOKUP(Calc!BI14,'Fertiliser recommendations'!$A$4:$I$63,9,FALSE),"no benefit",
IF(H16*Calc!BM14*(I16/100)&lt;0.3*VLOOKUP(Calc!BI14,'Fertiliser recommendations'!$A$4:$I$63,9,FALSE),"limited benefit",
IF(H16*Calc!BM14*(I16/100)&lt;1.1*VLOOKUP(Calc!BI14,'Fertiliser recommendations'!$A$4:$I$63,9,FALSE),"benefit",
IF(L16="3 (H)", "too high, not acceptable", "excessive")))),
IF(OR(AND('Soil results'!G$7="Olsen (ADAS)",'Soil results'!G19&lt;=15),AND('Soil results'!G$7="modified Morgan (SAC)",'Soil results'!G19&lt;=4.4)),
IF(H16*Calc!BM14*(I16/100)&lt;0.1*VLOOKUP(Calc!BI14,'Fertiliser recommendations'!$A$4:$I$63,9,FALSE),"no benefit",
IF(H16*Calc!BM14*(I16/100)&lt;0.3*VLOOKUP(Calc!BI14,'Fertiliser recommendations'!$A$4:$I$63,9,FALSE),"limited benefit",
IF(H16*Calc!BM14*(I16/100)&lt;1.1*J16,"benefit","excessive")))))))))))</f>
        <v/>
      </c>
      <c r="O16" s="91" t="str">
        <f ca="1">IF(B16="","",
IF(AND('Field information 2'!$O$5="", 'Field information 2'!$Q$5=""),
   IF('Waste results'!$S$19&lt;&gt;"data missing", Calc!BC14*'Waste results'!$S$19, "data missing"),
IF('Field information 2'!$Q$5="",
   IF(Calc!BD14=0,
     IF('Waste results'!$S$19&lt;&gt;"data missing", Calc!BC14*'Waste results'!$S$19, "data missing"),
   IF(Calc!BC14=0,
     IF('Waste results'!$S$55&lt;&gt;"data missing", Calc!BD14*'Waste results'!$S$55, "data missing"),
   IF(OR('Waste results'!$S$19&lt;&gt;"data missing", 'Waste results'!$S$55&lt;&gt;"data missing"), Calc!BC14*'Waste results'!$S$19+ Calc!BD14*'Waste results'!$S$55, "data missing"))),
IF(AND('Field information 2'!$M$5&lt;&gt;"", 'Field information 2'!$O$5&lt;&gt;"", 'Field information 2'!$Q$5&lt;&gt;""),
   IF(AND(Calc!BD14=0,Calc!BE14=0),
     IF('Waste results'!$S$19&lt;&gt;"data missing", Calc!BC14*'Waste results'!$S$19, "data missing"),
   IF(AND(Calc!BC14=0,Calc!BE14=0),
     IF('Waste results'!$S$55&lt;&gt;"data missing", Calc!BD14*'Waste results'!$S$55, "data missing"),
   IF(AND(Calc!BC14=0,Calc!BD14=0),
     IF('Waste results'!$S$91&lt;&gt;"data missing", Calc!BE14*'Waste results'!$S$91, "data missing"),
   IF(Calc!BE14=0,
     IF(OR('Waste results'!$S$19&lt;&gt;"data missing", 'Waste results'!$S$55&lt;&gt;"data missing"), Calc!BC14*'Waste results'!$S$19+ Calc!BD14*'Waste results'!$S$55, "data missing"),
   IF(Calc!BD14=0,
     IF(OR('Waste results'!$S$19&lt;&gt;"data missing", 'Waste results'!$S$91&lt;&gt;"data missing"), Calc!BC14*'Waste results'!$S$19+ Calc!BE14*'Waste results'!$S$91, "data missing"),
   IF(Calc!BC14=0,
     IF(OR('Waste results'!$S$55&lt;&gt;"data missing", 'Waste results'!$S$91&lt;&gt;"data missing"), Calc!BD14*'Waste results'!$S$55+Calc!BE14*'Waste results'!$S$91, "data missing"),
   IF(OR('Waste results'!$S$19&lt;&gt;"data missing", 'Waste results'!$S$55&lt;&gt;"data missing", 'Waste results'!$S$91&lt;&gt;"data missing"), Calc!BC14*'Waste results'!$S$19+Calc!BD14*'Waste results'!$S$55+ Calc!BE14*'Waste results'!$S$91, "data missing")))))))))))</f>
        <v/>
      </c>
      <c r="P16" s="91" t="str">
        <f ca="1">IF(B16="","",
IF(OR(ISBLANK('Soil results'!H$7),ISBLANK('Soil results'!H19)),"data missing",
IF(OR(AND('Soil results'!H$7="ammonium nitrate (ADAS)",'Soil results'!H19&gt;400),AND('Soil results'!H$7="modified Morgan (SAC)",'Soil results'!H19&gt;400)),0,
IF(OR(AND('Soil results'!H$7="ammonium nitrate (ADAS)",'Soil results'!H19&gt;=121,'Soil results'!H19&lt;=180),AND('Soil results'!H$7="modified Morgan (SAC)",'Soil results'!H19&gt;=76,'Soil results'!H19&lt;=140)),VLOOKUP(Calc!BI14,'Fertiliser recommendations'!$A$4:$Z$63,26,FALSE),
IF(OR(AND('Soil results'!H$7="ammonium nitrate (ADAS)",'Soil results'!H19&lt;61),AND('Soil results'!H$7="modified Morgan (SAC)",'Soil results'!H19&lt;40)),VLOOKUP(Calc!BI14,'Fertiliser recommendations'!$A$4:$Z$63,26,FALSE)+VLOOKUP(Calc!BI14,'Fertiliser recommendations'!$A$4:$AA$63,27,FALSE),
IF(OR(AND('Soil results'!H$7="ammonium nitrate (ADAS)",'Soil results'!H19&lt;121),AND('Soil results'!H$7="modified Morgan (SAC)",'Soil results'!H19&lt;76)),VLOOKUP(Calc!BI14,'Fertiliser recommendations'!$A$4:$Z$63,26,FALSE)+VLOOKUP(Calc!BI14,'Fertiliser recommendations'!$A$4:$AB$63,28,FALSE),
IF(OR(AND('Soil results'!H$7="ammonium nitrate (ADAS)",'Soil results'!H19&lt;241),AND('Soil results'!H$7="modified Morgan (SAC)",'Soil results'!H19&lt;201)),VLOOKUP(Calc!BI14,'Fertiliser recommendations'!$A$4:$Z$63,26,FALSE)+VLOOKUP(Calc!BI14,'Fertiliser recommendations'!$A$4:$AC$63,29,FALSE),
IF(OR(AND('Soil results'!H$7="ammonium nitrate (ADAS)",'Soil results'!H19&lt;=400),AND('Soil results'!H$7="modified Morgan (SAC)",'Soil results'!H19&lt;=400)),VLOOKUP(Calc!BI14,'Fertiliser recommendations'!$A$4:$Z$63,26,FALSE)+VLOOKUP(Calc!BI14,'Fertiliser recommendations'!$A$4:$AD$63,30,FALSE),
"??"))))))))</f>
        <v/>
      </c>
      <c r="Q16" s="91" t="str">
        <f t="shared" ca="1" si="2"/>
        <v/>
      </c>
      <c r="R16" s="9" t="str">
        <f ca="1">IF(B16="","",
IF(OR(O16="data missing",P16="data missing"),"data missing",
IF(Calc!BF14=0,"n/a",
IF(P16=0, "no requirement",
IF(O16&lt;0.1*P16,"no benefit",
IF(O16&lt;0.3*P16,"limited benefit",
IF(O16&gt;1.25*P16,"excessive",
"benefit")))))))</f>
        <v/>
      </c>
      <c r="T16" s="91" t="str">
        <f ca="1">IF(B16="","",
IF(AND('Field information 2'!$O$5="", 'Field information 2'!$Q$5=""),
   IF('Waste results'!$S$21&lt;&gt;"data missing", Calc!BC14*'Waste results'!$S$21, "data missing"),
IF('Field information 2'!$Q$5="",
   IF(Calc!BD14=0,
     IF('Waste results'!$S$21&lt;&gt;"data missing", Calc!BC14*'Waste results'!$S$21, "data missing"),
   IF(Calc!BC14=0,
     IF('Waste results'!$S$57&lt;&gt;"data missing", Calc!BD14*'Waste results'!$S$57, "data missing"),
   IF(OR('Waste results'!$S$21&lt;&gt;"data missing", 'Waste results'!$S$57&lt;&gt;"data missing"), Calc!BC14*'Waste results'!$S$21+ Calc!BD14*'Waste results'!$S$57, "data missing"))),
IF(AND('Field information 2'!$M$5&lt;&gt;"", 'Field information 2'!$O$5&lt;&gt;"", 'Field information 2'!$Q$5&lt;&gt;""),
   IF(AND(Calc!BD14=0,Calc!BE14=0),
     IF('Waste results'!$S$21&lt;&gt;"data missing", Calc!BC14*'Waste results'!$S$21, "data missing"),
   IF(AND(Calc!BC14=0,Calc!BE14=0),
     IF('Waste results'!$S$57&lt;&gt;"data missing", Calc!BD14*'Waste results'!$S$57, "data missing"),
   IF(AND(Calc!BC14=0,Calc!BD14=0),
     IF('Waste results'!$S$93&lt;&gt;"data missing", Calc!BE14*'Waste results'!$S$93, "data missing"),
   IF(Calc!BE14=0,
     IF(OR('Waste results'!$S$21&lt;&gt;"data missing", 'Waste results'!$S$57&lt;&gt;"data missing"), Calc!BC14*'Waste results'!$S$21+ Calc!BD14*'Waste results'!$S$57, "data missing"),
   IF(Calc!BD14=0,
     IF(OR('Waste results'!$S$21&lt;&gt;"data missing", 'Waste results'!$S$93&lt;&gt;"data missing"), Calc!BC14*'Waste results'!$S$21+ Calc!BE14*'Waste results'!$S$93, "data missing"),
   IF(Calc!BC14=0,
     IF(OR('Waste results'!$S$57&lt;&gt;"data missing", 'Waste results'!$S$93&lt;&gt;"data missing"), Calc!BD14*'Waste results'!$S$57+Calc!BE14*'Waste results'!$S$93, "data missing"),
   IF(OR('Waste results'!$S$21&lt;&gt;"data missing", 'Waste results'!$S$57&lt;&gt;"data missing", 'Waste results'!$S$93&lt;&gt;"data missing"), Calc!BC14*'Waste results'!$S$21+Calc!BD14*'Waste results'!$S$57+ Calc!BE14*'Waste results'!$S$93, "data missing")))))))))))</f>
        <v/>
      </c>
      <c r="U16" s="7" t="str">
        <f ca="1">IF(B16="","",
IF(OR(ISBLANK('Soil results'!I$7),ISBLANK('Soil results'!I19)),"data missing",
IF(OR(AND('Soil results'!I$7="ammonium nitrate (ADAS)",'Soil results'!I19&gt;51),AND('Soil results'!I$7="modified Morgan (SAC)",'Soil results'!I19&gt;61)),0,
IF(OR(AND('Soil results'!I$7="ammonium nitrate (ADAS)",'Soil results'!I19&lt;25),AND('Soil results'!I$7="modified Morgan (SAC)",'Soil results'!I19&lt;19)),VLOOKUP(Calc!BI14,'Fertiliser recommendations'!$A$4:$AH$63,34,FALSE),
IF(OR(AND('Soil results'!I$7="ammonium nitrate (ADAS)",'Soil results'!I19&lt;=51),AND('Soil results'!I$7="modified Morgan (SAC)",'Soil results'!I19&lt;=61)),VLOOKUP(Calc!BI14,'Fertiliser recommendations'!$A$4:$AI$63,35,FALSE),
"")))))</f>
        <v/>
      </c>
      <c r="V16" s="91" t="str">
        <f t="shared" ca="1" si="3"/>
        <v/>
      </c>
      <c r="W16" s="9" t="str">
        <f ca="1">IF(B16="","",
IF(OR(T16="data missing",U16="data missing"),"data missing",
IF(Calc!BF14=0,"n/a",
IF(U16=0,"no requirement",
IF(T16&lt;0.1*U16,"no benefit",
IF(T16&lt;0.3*U16,"limited benefit",
IF(OR(T16&gt;1.5*U16,AND(Calc!BJ14="g",T16&gt;100)),"excessive",
"benefit")))))))</f>
        <v/>
      </c>
      <c r="Y16" s="91" t="str">
        <f ca="1">IF(B16="","",
IF(AND('Field information 2'!$O$5="", 'Field information 2'!$Q$5=""),
   IF('Waste results'!$P$23&lt;&gt;"", Calc!BC14*'Waste results'!$P$23, "no data"),
IF('Field information 2'!$Q$5="",
   IF(Calc!BD14=0,
     IF('Waste results'!$P$23&lt;&gt;"", Calc!BC14*'Waste results'!$P$23, "no data"),
   IF(Calc!BC14=0,
     IF('Waste results'!$P$59&lt;&gt;"", Calc!BD14*'Waste results'!$P$59, "no data"),
   IF(OR('Waste results'!$P$23&lt;&gt;"", 'Waste results'!$P$59&lt;&gt;""), Calc!BC14*'Waste results'!$P$23+ Calc!BD14*'Waste results'!$P$59, "no data"))),
IF(AND('Field information 2'!$M$5&lt;&gt;"", 'Field information 2'!$O$5&lt;&gt;"", 'Field information 2'!$Q$5&lt;&gt;""),
   IF(AND(Calc!BD14=0,Calc!BE14=0),
     IF('Waste results'!$P$23&lt;&gt;"", Calc!BC14*'Waste results'!$P$23, "no data"),
   IF(AND(Calc!BC14=0,Calc!BE14=0),
     IF('Waste results'!$P$59&lt;&gt;"", Calc!BD14*'Waste results'!$P$59, "no data"),
   IF(AND(Calc!BC14=0,Calc!BD14=0),
     IF('Waste results'!$P$95&lt;&gt;"", Calc!BE14*'Waste results'!$P$95, "no data"),
   IF(Calc!BE14=0,
     IF(OR('Waste results'!$P$23&lt;&gt;"", 'Waste results'!$P$59&lt;&gt;""), Calc!BC14*'Waste results'!$P$23+ Calc!BD14*'Waste results'!$P$59, "no data"),
   IF(Calc!BD14=0,
     IF(OR('Waste results'!$P$23&lt;&gt;"", 'Waste results'!$P$95&lt;&gt;""), Calc!BC14*'Waste results'!$P$23+ Calc!BE14*'Waste results'!$P$95, "no data"),
   IF(Calc!BC14=0,
     IF(OR('Waste results'!$P$59&lt;&gt;"", 'Waste results'!$P$95&lt;&gt;""), Calc!BD14*'Waste results'!$P$59+Calc!BE14*'Waste results'!$P$95, "no data"),
   IF(OR('Waste results'!$P$23&lt;&gt;"", 'Waste results'!$P$59&lt;&gt;"", 'Waste results'!$P$95&lt;&gt;""), Calc!BC14*'Waste results'!$P$23+Calc!BD14*'Waste results'!$P$59+ Calc!BE14*'Waste results'!$P$95, "no data")))))))))))</f>
        <v/>
      </c>
      <c r="Z16" s="7" t="str">
        <f ca="1">IF(OR(ISBLANK('Soil results'!I$7),ISBLANK('Soil results'!I19),'Soil results'!B19=""),"",
VLOOKUP(Calc!BI14,'Fertiliser recommendations'!$A$4:$AM$63,39,FALSE))</f>
        <v/>
      </c>
      <c r="AA16" s="91" t="str">
        <f t="shared" ca="1" si="4"/>
        <v/>
      </c>
      <c r="AB16" s="9" t="str">
        <f t="shared" ca="1" si="5"/>
        <v/>
      </c>
      <c r="AD16" s="48" t="str">
        <f>IF(ISBLANK('Soil results'!F19),"",'Soil results'!F19)</f>
        <v/>
      </c>
      <c r="AE16" s="49" t="str">
        <f ca="1">IF(B16="","",
IF(AND(Calc!BJ14="g", VLOOKUP(LEFT($B16,LEN($B16)-2),'Field information 2'!$B$12:$P$111,9,FALSE)&lt;&gt;"yes"),
 IF(Calc!BG14="10-25% OM", 5.9, IF(Calc!BG14="&gt;25% OM", 5.5, 6.2)),
IF(OR(Calc!BJ14="a", VLOOKUP(LEFT($B16,LEN($B16)-2),'Field information 2'!$B$12:$P$111,9,FALSE)="yes"),
 IF(Calc!BG14="10-25% OM", 6.4, IF(Calc!BG14="&gt;25% OM", 6, 6.7)), "")))</f>
        <v/>
      </c>
      <c r="AF16" s="91" t="str">
        <f ca="1">IF(B16="","",
IF('Waste results'!$Q$33="","no (significant) liming properties",
IF('Waste results'!Q$33&gt;100,"no (significant) liming properties",
IF(AD16="","",
IF(AD16&gt;=AE16,0,ROUNDDOWN((AE16-AD16)*Calc!BK14*'Waste results'!$Q$33+0.2,0))))))</f>
        <v/>
      </c>
      <c r="AG16" s="9" t="str">
        <f ca="1">IF(B16="","",
IF(T16=0,"n/a",
IF(AD16="","data missing",
IF(AND(AD16&lt;5,AF16="no (significant) liming properties"),"no waste application - pH too low",
IF(AND(AD16&gt;5.1,AF16="no (significant) liming properties",Calc!BH14&gt;25, LEFT(Calc!BI14,4)="graz"),"ok",
IF(AND(AD16&lt;=5.2,AF16="no (significant) liming properties"),"liming highly recommended",
IF(AF16=0,"no waste application - liming not required",
IF(AF16&lt;Calc!BC14,"application rate too high - exceeds liming requirement",
"ok"))))))))</f>
        <v/>
      </c>
      <c r="AI16" s="91" t="str">
        <f ca="1">IF(B16="","",
IF(AND('Field information 2'!$O$5="", 'Field information 2'!$Q$5=""),
   IF('Waste results'!$P$10&lt;&gt;"data missing", Calc!BC14*'Waste results'!$P$10, "data missing"),
IF('Field information 2'!$Q$5="",
   IF(Calc!BD14=0,
     IF('Waste results'!$P$10&lt;&gt;"data missing", Calc!BC14*'Waste results'!$P$10, "data missing"),
   IF(Calc!BC14=0,
     IF('Waste results'!$P$45&lt;&gt;"data missing", Calc!BD14*'Waste results'!$P$45, "data missing"),
   IF(OR('Waste results'!$P$10&lt;&gt;"data missing", 'Waste results'!$P$45&lt;&gt;"data missing"), Calc!BC14*'Waste results'!$P$10+ Calc!BD14*'Waste results'!$P$45, "data missing"))),
IF(AND('Field information 2'!$M$5&lt;&gt;"", 'Field information 2'!$O$5&lt;&gt;"", 'Field information 2'!$Q$5&lt;&gt;""),
   IF(AND(Calc!BD14=0,Calc!BE14=0),
     IF('Waste results'!$P$10&lt;&gt;"data missing", Calc!BC14*'Waste results'!$P$10, "data missing"),
   IF(AND(Calc!BC14=0,Calc!BE14=0),
     IF('Waste results'!$P$45&lt;&gt;"data missing", Calc!BD14*'Waste results'!$P$45, "data missing"),
   IF(AND(Calc!BC14=0,Calc!BD14=0),
     IF('Waste results'!$P$82&lt;&gt;"data missing", Calc!BE14*'Waste results'!$P$82, "data missing"),
   IF(Calc!BE14=0,
     IF(OR('Waste results'!$P$10&lt;&gt;"data missing", 'Waste results'!$P$45&lt;&gt;"data missing"), Calc!BC14*'Waste results'!$P$10+ Calc!BD14*'Waste results'!$P$45, "data missing"),
   IF(Calc!BD14=0,
     IF(OR('Waste results'!$P$10&lt;&gt;"data missing", 'Waste results'!$P$82&lt;&gt;"data missing"), Calc!BC14*'Waste results'!$P$10+ Calc!BE14*'Waste results'!$P$82, "data missing"),
   IF(Calc!BC14=0,
     IF(OR('Waste results'!$P$45&lt;&gt;"data missing", 'Waste results'!$P$82&lt;&gt;"data missing"), Calc!BD14*'Waste results'!$P$45+Calc!BE14*'Waste results'!$P$82, "data missing"),
   IF(OR('Waste results'!$P$10&lt;&gt;"data missing", 'Waste results'!$P$45&lt;&gt;"data missing", 'Waste results'!$P$82&lt;&gt;"data missing"), Calc!BC14*'Waste results'!$P$10+Calc!BD14*'Waste results'!$P$45+ Calc!BE14*'Waste results'!$P$82, "data missing")))))))))))</f>
        <v/>
      </c>
      <c r="AJ16" s="237" t="str">
        <f ca="1">IF(B16="","",
IF(AI16="data missing","data missing",
IF(Calc!BF14=0,"n/a",
IF(AND(Calc!BH14&gt;=8,AI16&lt;500),"no benefit",
IF(OR(AND(Calc!BH14&lt;=4,AI16&gt;=500),AND(Calc!BH14&lt;8,AI16&gt;5000)),"benefit",
"limited benefit")))))</f>
        <v/>
      </c>
      <c r="AL16" s="238" t="str">
        <f ca="1">IF(B16="","",
IF(AND('Field information 2'!$O$5="", 'Field information 2'!$Q$5=""),
   IF('Waste results'!$S$25&lt;&gt;"data missing", Calc!BC14*'Waste results'!$S$25, "data missing"),
IF('Field information 2'!$Q$5="",
   IF(Calc!BD14=0,
     IF('Waste results'!$S$25&lt;&gt;"data missing", Calc!BC14*'Waste results'!$S$25, "data missing"),
   IF(Calc!BC14=0,
     IF('Waste results'!$S$61&lt;&gt;"data missing", Calc!BD14*'Waste results'!$S$61, "data missing"),
   IF(OR('Waste results'!$S$25&lt;&gt;"data missing", 'Waste results'!$S$61&lt;&gt;"data missing"), Calc!BC14*'Waste results'!$S$25+ Calc!BD14*'Waste results'!$S$61, "data missing"))),
IF(AND('Field information 2'!$M$5&lt;&gt;"", 'Field information 2'!$O$5&lt;&gt;"", 'Field information 2'!$Q$5&lt;&gt;""),
   IF(AND(Calc!BD14=0,Calc!BE14=0),
     IF('Waste results'!$S$25&lt;&gt;"data missing", Calc!BC14*'Waste results'!$S$25, "data missing"),
   IF(AND(Calc!BC14=0,Calc!BE14=0),
     IF('Waste results'!$S$61&lt;&gt;"data missing", Calc!BD14*'Waste results'!$S$61, "data missing"),
   IF(AND(Calc!BC14=0,Calc!BD14=0),
     IF('Waste results'!$S$97&lt;&gt;"data missing", Calc!BE14*'Waste results'!$S$97, "data missing"),
   IF(Calc!BE14=0,
     IF(OR('Waste results'!$S$25&lt;&gt;"data missing", 'Waste results'!$S$61&lt;&gt;"data missing"), Calc!BC14*'Waste results'!$S$25+ Calc!BD14*'Waste results'!$S$61, "data missing"),
   IF(Calc!BD14=0,
     IF(OR('Waste results'!$S$25&lt;&gt;"data missing", 'Waste results'!$S$97&lt;&gt;"data missing"), Calc!BC14*'Waste results'!$S$25+ Calc!BE14*'Waste results'!$S$97, "data missing"),
   IF(Calc!BC14=0,
     IF(OR('Waste results'!$S$61&lt;&gt;"data missing", 'Waste results'!$S$97&lt;&gt;"data missing"), Calc!BD14*'Waste results'!$S$61+Calc!BE14*'Waste results'!$S$97, "data missing"),
   IF(OR('Waste results'!$S$25&lt;&gt;"data missing", 'Waste results'!$S$61&lt;&gt;"data missing", 'Waste results'!$S$97&lt;&gt;"data missing"), Calc!BC14*'Waste results'!$S$25+Calc!BD14*'Waste results'!$S$61+ Calc!BE14*'Waste results'!$S$97, "data missing")))))))))))</f>
        <v/>
      </c>
      <c r="AM16" s="239" t="str">
        <f ca="1">IF($B16="","",
IF(ISBLANK('Soil results'!K19),"data missing",'Soil results'!K19))</f>
        <v/>
      </c>
      <c r="AN16" s="239" t="str">
        <f t="shared" ca="1" si="6"/>
        <v/>
      </c>
      <c r="AO16" s="9" t="str">
        <f t="shared" ca="1" si="7"/>
        <v/>
      </c>
      <c r="AQ16" s="240" t="str">
        <f ca="1">IF(B16="","",
IF(AND('Field information 2'!$O$5="", 'Field information 2'!$Q$5=""),
   IF('Waste results'!$S$26&lt;&gt;"data missing", Calc!BC14*'Waste results'!$S$26, "data missing"),
IF('Field information 2'!$Q$5="",
   IF(Calc!BD14=0,
     IF('Waste results'!$S$26&lt;&gt;"data missing", Calc!BC14*'Waste results'!$S$26, "data missing"),
   IF(Calc!BC14=0,
     IF('Waste results'!$S$62&lt;&gt;"data missing", Calc!BD14*'Waste results'!$S$62, "data missing"),
   IF(OR('Waste results'!$S$26&lt;&gt;"data missing", 'Waste results'!$S$62&lt;&gt;"data missing"), Calc!BC14*'Waste results'!$S$26+ Calc!BD14*'Waste results'!$S$62, "data missing"))),
IF(AND('Field information 2'!$M$5&lt;&gt;"", 'Field information 2'!$O$5&lt;&gt;"", 'Field information 2'!$Q$5&lt;&gt;""),
   IF(AND(Calc!BD14=0,Calc!BE14=0),
     IF('Waste results'!$S$26&lt;&gt;"data missing", Calc!BC14*'Waste results'!$S$26, "data missing"),
   IF(AND(Calc!BC14=0,Calc!BE14=0),
     IF('Waste results'!$S$62&lt;&gt;"data missing", Calc!BD14*'Waste results'!$S$62, "data missing"),
   IF(AND(Calc!BC14=0,Calc!BD14=0),
     IF('Waste results'!$S$98&lt;&gt;"data missing", Calc!BE14*'Waste results'!$S$98, "data missing"),
   IF(Calc!BE14=0,
     IF(OR('Waste results'!$S$26&lt;&gt;"data missing", 'Waste results'!$S$62&lt;&gt;"data missing"), Calc!BC14*'Waste results'!$S$26+ Calc!BD14*'Waste results'!$S$62, "data missing"),
   IF(Calc!BD14=0,
     IF(OR('Waste results'!$S$26&lt;&gt;"data missing", 'Waste results'!$S$98&lt;&gt;"data missing"), Calc!BC14*'Waste results'!$S$26+ Calc!BE14*'Waste results'!$S$98, "data missing"),
   IF(Calc!BC14=0,
     IF(OR('Waste results'!$S$62&lt;&gt;"data missing", 'Waste results'!$S$98&lt;&gt;"data missing"), Calc!BD14*'Waste results'!$S$62+Calc!BE14*'Waste results'!$S$98, "data missing"),
   IF(OR('Waste results'!$S$26&lt;&gt;"data missing", 'Waste results'!$S$62&lt;&gt;"data missing", 'Waste results'!$S$98&lt;&gt;"data missing"), Calc!BC14*'Waste results'!$S$26+Calc!BD14*'Waste results'!$S$62+ Calc!BE14*'Waste results'!$S$98, "data missing")))))))))))</f>
        <v/>
      </c>
      <c r="AR16" s="241" t="str">
        <f ca="1">IF($B16="","",
IF(ISBLANK('Soil results'!L19),"data missing",'Soil results'!L19))</f>
        <v/>
      </c>
      <c r="AS16" s="241" t="str">
        <f t="shared" ca="1" si="8"/>
        <v/>
      </c>
      <c r="AT16" s="66" t="str">
        <f t="shared" ca="1" si="9"/>
        <v/>
      </c>
      <c r="AV16" s="238" t="str">
        <f ca="1">IF(B16="","",
IF(AND('Field information 2'!$O$5="", 'Field information 2'!$Q$5=""),
   IF('Waste results'!$S$27&lt;&gt;"data missing", Calc!BC14*'Waste results'!$S$27, "data missing"),
IF('Field information 2'!$Q$5="",
   IF(Calc!BD14=0,
     IF('Waste results'!$S$27&lt;&gt;"data missing", Calc!BC14*'Waste results'!$S$27, "data missing"),
   IF(Calc!BC14=0,
     IF('Waste results'!$S$63&lt;&gt;"data missing", Calc!BD14*'Waste results'!$S$63, "data missing"),
   IF(OR('Waste results'!$S$27&lt;&gt;"data missing", 'Waste results'!$S$63&lt;&gt;"data missing"), Calc!BC14*'Waste results'!$S$27+ Calc!BD14*'Waste results'!$S$63, "data missing"))),
IF(AND('Field information 2'!$M$5&lt;&gt;"", 'Field information 2'!$O$5&lt;&gt;"", 'Field information 2'!$Q$5&lt;&gt;""),
   IF(AND(Calc!BD14=0,Calc!BE14=0),
     IF('Waste results'!$S$27&lt;&gt;"data missing", Calc!BC14*'Waste results'!$S$27, "data missing"),
   IF(AND(Calc!BC14=0,Calc!BE14=0),
     IF('Waste results'!$S$63&lt;&gt;"data missing", Calc!BD14*'Waste results'!$S$63, "data missing"),
   IF(AND(Calc!BC14=0,Calc!BD14=0),
     IF('Waste results'!$S$99&lt;&gt;"data missing", Calc!BE14*'Waste results'!$S$99, "data missing"),
   IF(Calc!BE14=0,
     IF(OR('Waste results'!$S$27&lt;&gt;"data missing", 'Waste results'!$S$63&lt;&gt;"data missing"), Calc!BC14*'Waste results'!$S$27+ Calc!BD14*'Waste results'!$S$63, "data missing"),
   IF(Calc!BD14=0,
     IF(OR('Waste results'!$S$27&lt;&gt;"data missing", 'Waste results'!$S$99&lt;&gt;"data missing"), Calc!BC14*'Waste results'!$S$27+ Calc!BE14*'Waste results'!$S$99, "data missing"),
   IF(Calc!BC14=0,
     IF(OR('Waste results'!$S$63&lt;&gt;"data missing", 'Waste results'!$S$99&lt;&gt;"data missing"), Calc!BD14*'Waste results'!$S$63+Calc!BE14*'Waste results'!$S$99, "data missing"),
   IF(OR('Waste results'!$S$27&lt;&gt;"data missing", 'Waste results'!$S$63&lt;&gt;"data missing", 'Waste results'!$S$99&lt;&gt;"data missing"), Calc!BC14*'Waste results'!$S$27+Calc!BD14*'Waste results'!$S$63+ Calc!BE14*'Waste results'!$S$99, "data missing")))))))))))</f>
        <v/>
      </c>
      <c r="AW16" s="239" t="str">
        <f ca="1">IF($B16="","",
IF(ISBLANK('Soil results'!M19),"data missing",'Soil results'!M19))</f>
        <v/>
      </c>
      <c r="AX16" s="239" t="str">
        <f t="shared" ca="1" si="10"/>
        <v/>
      </c>
      <c r="AY16" s="9" t="str">
        <f ca="1">IF(B16="","",
IF(AV16=0,"n/a",
IF(OR(AV16="data missing",AW16="data missing"),"data missing",
IF(AV16&gt;7.5,"application rate too high - permissible rate exceeds limit",
IF('Soil results'!$F19&lt;=5.5,
  IF(AW16&gt;80,"no application - soil conc. already above limit",
  IF(AX16&gt;80,"application rate too high - soil conc. will exceed limit",
  IF(AW16&gt;80*0.9,"soil conc. is at or above 90% of the limit",
  IF(10*AV16*1000/3000+AW16&gt;80,"soil limit likely to be exceeded in 10yrs",
  IF(50*AV16*1000/3000+AW16&gt;80,"soil limit likely to be exceeded in 50yrs","ok"))))),
IF('Soil results'!$F19&lt;=6,
  IF(AW16&gt;100,"no application - soil conc. already above limit",
  IF(AX16&gt;100,"application rate too high - soil conc. will exceed limit",
  IF(AW16&gt;100*0.9,"soil conc. is at or above 90% of the limit",
  IF(10*AV16*1000/3000+AW16&gt;100,"soil limit likely to be exceeded in 10yrs",
  IF(50*AV16*1000/3000+AW16&gt;100,"soil limit likely to be exceeded in 50yrs","ok"))))),
IF('Soil results'!$F19&lt;=7,
  IF(AW16&gt;135,"no application - soil conc. already above limit",
  IF(AX16&gt;135,"application rate too high - soil conc. will exceed limit",
  IF(AW16&gt;135*0.9,"soil conc. is at or above 90% of the limit",
  IF(10*AV16*1000/3000+AW16&gt;135,"soil limit likely to be exceeded in 10yrs",
  IF(50*AV16*1000/3000+AW16&gt;135,"soil limit likely to be exceeded in 50yrs","ok"))))),
IF('Soil results'!$F19&gt;7,
  IF(AW16&gt;200,"no application - soil conc. already above limit",
  IF(AX16&gt;200,"application too high - soil conc. will exceed limit",
  IF(AW16&gt;200*0.9,"soil conc. is at or above 90% of the limit",
  IF(10*AV16*1000/3000+AW16&gt;200,"soil limit likely to be exceeded in 10yrs",
  IF(50*AV16*1000/3000+AW16&gt;200,"soil limit likely to be exceeded in 50yrs","ok")))))
))))))))</f>
        <v/>
      </c>
      <c r="BA16" s="238" t="str">
        <f ca="1">IF(B16="","",
IF(AND('Field information 2'!$O$5="", 'Field information 2'!$Q$5=""),
   IF('Waste results'!$S$28&lt;&gt;"data missing", Calc!BC14*'Waste results'!$S$28, "data missing"),
IF('Field information 2'!$Q$5="",
   IF(Calc!BD14=0,
     IF('Waste results'!$S$28&lt;&gt;"data missing", Calc!BC14*'Waste results'!$S$28, "data missing"),
   IF(Calc!BC14=0,
     IF('Waste results'!$S$64&lt;&gt;"data missing", Calc!BD14*'Waste results'!$S$64, "data missing"),
   IF(OR('Waste results'!$S$28&lt;&gt;"data missing", 'Waste results'!$S$64&lt;&gt;"data missing"), Calc!BC14*'Waste results'!$S$28+ Calc!BD14*'Waste results'!$S$64, "data missing"))),
IF(AND('Field information 2'!$M$5&lt;&gt;"", 'Field information 2'!$O$5&lt;&gt;"", 'Field information 2'!$Q$5&lt;&gt;""),
   IF(AND(Calc!BD14=0,Calc!BE14=0),
     IF('Waste results'!$S$28&lt;&gt;"data missing", Calc!BC14*'Waste results'!$S$28, "data missing"),
   IF(AND(Calc!BC14=0,Calc!BE14=0),
     IF('Waste results'!$S$64&lt;&gt;"data missing", Calc!BD14*'Waste results'!$S$64, "data missing"),
   IF(AND(Calc!BC14=0,Calc!BD14=0),
     IF('Waste results'!$S$100&lt;&gt;"data missing", Calc!BE14*'Waste results'!$S$100, "data missing"),
   IF(Calc!BE14=0,
     IF(OR('Waste results'!$S$28&lt;&gt;"data missing", 'Waste results'!$S$64&lt;&gt;"data missing"), Calc!BC14*'Waste results'!$S$28+ Calc!BD14*'Waste results'!$S$64, "data missing"),
   IF(Calc!BD14=0,
     IF(OR('Waste results'!$S$28&lt;&gt;"data missing", 'Waste results'!$S$100&lt;&gt;"data missing"), Calc!BC14*'Waste results'!$S$28+ Calc!BE14*'Waste results'!$S$100, "data missing"),
   IF(Calc!BC14=0,
     IF(OR('Waste results'!$S$64&lt;&gt;"data missing", 'Waste results'!$S$100&lt;&gt;"data missing"), Calc!BD14*'Waste results'!$S$64+Calc!BE14*'Waste results'!$S$100, "data missing"),
   IF(OR('Waste results'!$S$28&lt;&gt;"data missing", 'Waste results'!$S$64&lt;&gt;"data missing", 'Waste results'!$S$100&lt;&gt;"data missing"), Calc!BC14*'Waste results'!$S$28+Calc!BD14*'Waste results'!$S$64+ Calc!BE14*'Waste results'!$S$100, "data missing")))))))))))</f>
        <v/>
      </c>
      <c r="BB16" s="239" t="str">
        <f ca="1">IF($B16="","",
IF(ISBLANK('Soil results'!N19),"data missing",'Soil results'!N19))</f>
        <v/>
      </c>
      <c r="BC16" s="239" t="str">
        <f t="shared" ca="1" si="11"/>
        <v/>
      </c>
      <c r="BD16" s="9" t="str">
        <f t="shared" ca="1" si="12"/>
        <v/>
      </c>
      <c r="BF16" s="238" t="str">
        <f ca="1">IF(B16="","",
IF(AND('Field information 2'!$O$5="", 'Field information 2'!$Q$5=""),
   IF('Waste results'!$S$29&lt;&gt;"data missing", Calc!BC14*'Waste results'!$S$29, "data missing"),
IF('Field information 2'!$Q$5="",
   IF(Calc!BD14=0,
     IF('Waste results'!$S$29&lt;&gt;"data missing", Calc!BC14*'Waste results'!$S$29, "data missing"),
   IF(Calc!BC14=0,
     IF('Waste results'!$S$65&lt;&gt;"data missing", Calc!BD14*'Waste results'!$S$65, "data missing"),
   IF(OR('Waste results'!$S$29&lt;&gt;"data missing", 'Waste results'!$S$65&lt;&gt;"data missing"), Calc!BC14*'Waste results'!$S$29+ Calc!BD14*'Waste results'!$S$65, "data missing"))),
IF(AND('Field information 2'!$M$5&lt;&gt;"", 'Field information 2'!$O$5&lt;&gt;"", 'Field information 2'!$Q$5&lt;&gt;""),
   IF(AND(Calc!BD14=0,Calc!BE14=0),
     IF('Waste results'!$S$29&lt;&gt;"data missing", Calc!BC14*'Waste results'!$S$29, "data missing"),
   IF(AND(Calc!BC14=0,Calc!BE14=0),
     IF('Waste results'!$S$65&lt;&gt;"data missing", Calc!BD14*'Waste results'!$S$65, "data missing"),
   IF(AND(Calc!BC14=0,Calc!BD14=0),
     IF('Waste results'!$S$101&lt;&gt;"data missing", Calc!BE14*'Waste results'!$S$101, "data missing"),
   IF(Calc!BE14=0,
     IF(OR('Waste results'!$S$29&lt;&gt;"data missing", 'Waste results'!$S$65&lt;&gt;"data missing"), Calc!BC14*'Waste results'!$S$29+ Calc!BD14*'Waste results'!$S$65, "data missing"),
   IF(Calc!BD14=0,
     IF(OR('Waste results'!$S$29&lt;&gt;"data missing", 'Waste results'!$S$101&lt;&gt;"data missing"), Calc!BC14*'Waste results'!$S$29+ Calc!BE14*'Waste results'!$S$101, "data missing"),
   IF(Calc!BC14=0,
     IF(OR('Waste results'!$S$65&lt;&gt;"data missing", 'Waste results'!$S$101&lt;&gt;"data missing"), Calc!BD14*'Waste results'!$S$65+Calc!BE14*'Waste results'!$S$101, "data missing"),
   IF(OR('Waste results'!$S$29&lt;&gt;"data missing", 'Waste results'!$S$65&lt;&gt;"data missing", 'Waste results'!$S$101&lt;&gt;"data missing"), Calc!BC14*'Waste results'!$S$29+Calc!BD14*'Waste results'!$S$65+ Calc!BE14*'Waste results'!$S$101, "data missing")))))))))))</f>
        <v/>
      </c>
      <c r="BG16" s="239" t="str">
        <f ca="1">IF($B16="","",
IF(ISBLANK('Soil results'!O19),"data missing",'Soil results'!O19))</f>
        <v/>
      </c>
      <c r="BH16" s="239" t="str">
        <f t="shared" ca="1" si="13"/>
        <v/>
      </c>
      <c r="BI16" s="9" t="str">
        <f ca="1">IF(B16="","",
IF(BF16=0,"n/a",
IF(OR(BF16="data missing",BG16="data missing"),"data missing",
IF(BF16&gt;3,"application rate too high - permissible rate exceeds limit",
IF('Soil results'!F19&lt;=5.5,
  IF(BG16&gt;50,"no application - soil conc. already above limit",
  IF(BH16&gt;50,"application rate too high - soil conc. will exceed limit",
  IF(BG16&gt;50*0.9,"soil conc. is at or above 90% of the limit",
  IF(10*BF16*1000/3000+BG16&gt;50,"soil limit likely to be exceeded in 10yrs",
  IF(50*BF16*1000/3000+BG16&gt;50,"soil limit likely to be exceeded in 50yrs","ok"))))),
IF('Soil results'!F19&lt;=6,
  IF(BG16&gt;60,"no application - soil conc. already above limit",
  IF(BH16&gt;60,"application rate too high - soil conc. will exceed limit",
  IF(BG16&gt;60*0.9,"soil conc. is at or above 90% of the limit",
  IF(10*BF16*1000/3000+BG16&gt;60,"soil limit likely to be exceeded in 10yrs",
  IF(50*BF16*1000/3000+BG16&gt;60,"soil limit likely to be exceeded in 50yrs","ok"))))),
IF('Soil results'!F19&lt;=7,
  IF(BG16&gt;75,"no application - soil conc. already above limit",
  IF(BH16&gt;75,"application rate too high - soil conc. will exceed limit",
  IF(BG16&gt;75*0.9,"soil conc. is at or above 90% of the limit",
  IF(10*BF16*1000/3000+BG16&gt;75,"soil limit likely to be exceeded in 10yrs",
  IF(50*BF16*1000/3000+BG16&gt;75,"soil limit likely to be exceeded in 50yrs","ok"))))),
IF('Soil results'!F19&gt;7,
  IF(BG16&gt;100,"no application - soil conc. already above limit",
  IF(BH16&gt;100,"application rate too high - soil conc. will exceed limit",
  IF(BG16&gt;100*0.9,"soil conc. is at or above 90% of the limit",
  IF(10*BF16*1000/3000+BG16&gt;100,"soil limit likely to be exceeded in 10yrs",
  IF(50*BF16*1000/3000+BG16&gt;100,"soil limit likely to beexceeded in 50yrs","ok")))))
))))))))</f>
        <v/>
      </c>
      <c r="BK16" s="240" t="str">
        <f ca="1">IF(B16="","",
IF(AND('Field information 2'!$O$5="", 'Field information 2'!$Q$5=""),
   IF('Waste results'!$S$30&lt;&gt;"data missing", Calc!BC14*'Waste results'!$S$30, "data missing"),
IF('Field information 2'!$Q$5="",
   IF(Calc!BD14=0,
     IF('Waste results'!$S$30&lt;&gt;"data missing", Calc!BC14*'Waste results'!$S$30, "data missing"),
   IF(Calc!BC14=0,
     IF('Waste results'!$S$66&lt;&gt;"data missing", Calc!BD14*'Waste results'!$S$66, "data missing"),
   IF(OR('Waste results'!$S$30&lt;&gt;"data missing", 'Waste results'!$S$66&lt;&gt;"data missing"), Calc!BC14*'Waste results'!$S$30+ Calc!BD14*'Waste results'!$S$66, "data missing"))),
IF(AND('Field information 2'!$M$5&lt;&gt;"", 'Field information 2'!$O$5&lt;&gt;"", 'Field information 2'!$Q$5&lt;&gt;""),
   IF(AND(Calc!BD14=0,Calc!BE14=0),
     IF('Waste results'!$S$30&lt;&gt;"data missing", Calc!BC14*'Waste results'!$S$30, "data missing"),
   IF(AND(Calc!BC14=0,Calc!BE14=0),
     IF('Waste results'!$S$66&lt;&gt;"data missing", Calc!BD14*'Waste results'!$S$66, "data missing"),
   IF(AND(Calc!BC14=0,Calc!BD14=0),
     IF('Waste results'!$S$102&lt;&gt;"data missing", Calc!BE14*'Waste results'!$S$102, "data missing"),
   IF(Calc!BE14=0,
     IF(OR('Waste results'!$S$30&lt;&gt;"data missing", 'Waste results'!$S$66&lt;&gt;"data missing"), Calc!BC14*'Waste results'!$S$30+ Calc!BD14*'Waste results'!$S$66, "data missing"),
   IF(Calc!BD14=0,
     IF(OR('Waste results'!$S$30&lt;&gt;"data missing", 'Waste results'!$S$102&lt;&gt;"data missing"), Calc!BC14*'Waste results'!$S$30+ Calc!BE14*'Waste results'!$S$102, "data missing"),
   IF(Calc!BC14=0,
     IF(OR('Waste results'!$S$66&lt;&gt;"data missing", 'Waste results'!$S$102&lt;&gt;"data missing"), Calc!BD14*'Waste results'!$S$66+Calc!BE14*'Waste results'!$S$102, "data missing"),
   IF(OR('Waste results'!$S$30&lt;&gt;"data missing", 'Waste results'!$S$66&lt;&gt;"data missing", 'Waste results'!$S$102&lt;&gt;"data missing"), Calc!BC14*'Waste results'!$S$30+Calc!BD14*'Waste results'!$S$66+ Calc!BE14*'Waste results'!$S$102, "data missing")))))))))))</f>
        <v/>
      </c>
      <c r="BL16" s="241" t="str">
        <f ca="1">IF($B16="","",
IF(ISBLANK('Soil results'!P19),"data missing",'Soil results'!P19))</f>
        <v/>
      </c>
      <c r="BM16" s="241" t="str">
        <f t="shared" ca="1" si="14"/>
        <v/>
      </c>
      <c r="BN16" s="66" t="str">
        <f t="shared" ca="1" si="15"/>
        <v/>
      </c>
      <c r="BP16" s="238" t="str">
        <f ca="1">IF(B16="","",
IF(AND('Field information 2'!$O$5="", 'Field information 2'!$Q$5=""),
   IF('Waste results'!$S$31&lt;&gt;"data missing", Calc!BC14*'Waste results'!$S$31, "data missing"),
IF('Field information 2'!$Q$5="",
   IF(Calc!BD14=0,
     IF('Waste results'!$S$31&lt;&gt;"data missing", Calc!BC14*'Waste results'!$S$31, "data missing"),
   IF(Calc!BC14=0,
     IF('Waste results'!$S$67&lt;&gt;"data missing", Calc!BD14*'Waste results'!$S$67, "data missing"),
   IF(OR('Waste results'!$S$31&lt;&gt;"data missing", 'Waste results'!$S$67&lt;&gt;"data missing"), Calc!BC14*'Waste results'!$S$31+ Calc!BD14*'Waste results'!$S$67, "data missing"))),
IF(AND('Field information 2'!$M$5&lt;&gt;"", 'Field information 2'!$O$5&lt;&gt;"", 'Field information 2'!$Q$5&lt;&gt;""),
   IF(AND(Calc!BD14=0,Calc!BE14=0),
     IF('Waste results'!$S$31&lt;&gt;"data missing", Calc!BC14*'Waste results'!$S$31, "data missing"),
   IF(AND(Calc!BC14=0,Calc!BE14=0),
     IF('Waste results'!$S$67&lt;&gt;"data missing", Calc!BD14*'Waste results'!$S$67, "data missing"),
   IF(AND(Calc!BC14=0,Calc!BD14=0),
     IF('Waste results'!$S$103&lt;&gt;"data missing", Calc!BE14*'Waste results'!$S$103, "data missing"),
   IF(Calc!BE14=0,
     IF(OR('Waste results'!$S$31&lt;&gt;"data missing", 'Waste results'!$S$67&lt;&gt;"data missing"), Calc!BC14*'Waste results'!$S$31+ Calc!BD14*'Waste results'!$S$67, "data missing"),
   IF(Calc!BD14=0,
     IF(OR('Waste results'!$S$31&lt;&gt;"data missing", 'Waste results'!$S$103&lt;&gt;"data missing"), Calc!BC14*'Waste results'!$S$31+ Calc!BE14*'Waste results'!$S$103, "data missing"),
   IF(Calc!BC14=0,
     IF(OR('Waste results'!$S$67&lt;&gt;"data missing", 'Waste results'!$S$103&lt;&gt;"data missing"), Calc!BD14*'Waste results'!$S$67+Calc!BE14*'Waste results'!$S$103, "data missing"),
   IF(OR('Waste results'!$S$31&lt;&gt;"data missing", 'Waste results'!$S$67&lt;&gt;"data missing", 'Waste results'!$S$103&lt;&gt;"data missing"), Calc!BC14*'Waste results'!$S$31+Calc!BD14*'Waste results'!$S$67+ Calc!BE14*'Waste results'!$S$103, "data missing")))))))))))</f>
        <v/>
      </c>
      <c r="BQ16" s="239" t="str">
        <f ca="1">IF($B16="","",
IF(ISBLANK('Soil results'!Q19),"data missing",'Soil results'!Q19))</f>
        <v/>
      </c>
      <c r="BR16" s="239" t="str">
        <f t="shared" ca="1" si="16"/>
        <v/>
      </c>
      <c r="BS16" s="9" t="str">
        <f ca="1">IF(B16="","",
IF(BP16=0,"n/a",
IF(OR(BP16="data missing",BQ16=""),"data missing",
IF(BP16&gt;15,"application rate too high - permissible rate exceeds limit",
IF('Soil results'!F19&lt;=5.5,
  IF(BQ16&gt;200,"no application - soil conc. already above limit",
  IF(BR16&gt;200,"application rate too high - soil conc. will exceed limit",
  IF(BQ16&gt;200*0.9,"soil conc. is at or above 90% of the limit",
  IF(10*BP16*1000/3000+BQ16&gt;200,"soil limit likely to be exceeded in 10yrs",
  IF(50*BP16*1000/3000+BQ16&gt;200,"soil limit likely to be exceeded in 50yrs","ok"))))),
IF('Soil results'!F19&lt;=6,
  IF(BQ16&gt;250,"no application - soil conc. already above limit",
  IF(BR16&gt;250,"application rate too high - soil conc. will exceed limit",
  IF(BQ16&gt;250*0.9,"soil conc. is at or above 90% of the limit",
  IF(10*BP16*1000/3000+BQ16&gt;250,"soil limit likely to be exceeded in 10yrs",
  IF(50*BP16*1000/3000+BQ16&gt;250,"soil limit likely to be exceeded in 50yrs","ok"))))),
IF('Soil results'!F19&lt;=7,
  IF(BQ16&gt;300,"no application - soil conc. already above limit",
  IF(BR16&gt;300,"application rate too high - soil conc. will exceed limit",
  IF(BQ16&gt;300*0.9,"soil conc. is at or above 90% of the limit",
  IF(10*BP16*1000/3000+BQ16&gt;300,"soil limit likey to be exceeded in 10yrs",
  IF(50*BP16*1000/3000+BQ16&gt;300,"soil limit likely to be exceeded in 50yrs","ok"))))),
IF('Soil results'!F19&gt;7,
  IF(BQ16&gt;450,"no application - soil conc. already above limit",
  IF(BR16&gt;450,"application rate too high - soil conc. will exceed limit",
  IF(AW16&gt;450*0.9,"soil conc. is at or above 90% of the limit",
  IF(10*BP16*1000/3000+BQ16&gt;450,"soil limit likely to be exceeded in 10yrs",
  IF(50*BP16*1000/3000+BQ16&gt;450,"soil limit likely to be exceeded in 50yrs","ok")))))
))))))))</f>
        <v/>
      </c>
    </row>
    <row r="17" spans="2:71" s="9" customFormat="1" x14ac:dyDescent="0.35">
      <c r="B17" s="236" t="str">
        <f ca="1">'Soil results'!B20</f>
        <v/>
      </c>
      <c r="C17" s="91" t="str">
        <f ca="1">IF(B17="","",
IF(AND('Field information 2'!$O$5="", 'Field information 2'!$Q$5=""),
   IF('Waste results'!$S$12&lt;&gt;"data missing", Calc!BC15*'Waste results'!$S$12, "data missing"),
IF('Field information 2'!$Q$5="",
   IF(Calc!BD15=0,
     IF('Waste results'!$S$12&lt;&gt;"data missing", Calc!BC15*'Waste results'!$S$12, "data missing"),
   IF(Calc!BC15=0,
     IF('Waste results'!$S$48&lt;&gt;"data missing", Calc!BD15*'Waste results'!$S$48, "data missing"),
   IF(OR('Waste results'!$S$12&lt;&gt;"data missing", 'Waste results'!$S$48&lt;&gt;"data missing"), Calc!BC15*'Waste results'!$S$12+ Calc!BD15*'Waste results'!$S$48, "data missing"))),
IF(AND('Field information 2'!$M$5&lt;&gt;"", 'Field information 2'!$O$5&lt;&gt;"", 'Field information 2'!$Q$5&lt;&gt;""),
   IF(AND(Calc!BD15=0,Calc!BE15=0),
     IF('Waste results'!$S$12&lt;&gt;"data missing", Calc!BC15*'Waste results'!$S$12, "data missing"),
   IF(AND(Calc!BC15=0,Calc!BE15=0),
     IF('Waste results'!$S$48&lt;&gt;"data missing", Calc!BD15*'Waste results'!$S$48, "data missing"),
   IF(AND(Calc!BC15=0,Calc!BD15=0),
     IF('Waste results'!$S$84&lt;&gt;"data missing", Calc!BE15*'Waste results'!$S$84, "data missing"),
   IF(Calc!BE15=0,
     IF(OR('Waste results'!$S$12&lt;&gt;"data missing", 'Waste results'!$S$48&lt;&gt;"data missing"), Calc!BC15*'Waste results'!$S$12+ Calc!BD15*'Waste results'!$S$48, "data missing"),
   IF(Calc!BD15=0,
     IF(OR('Waste results'!$S$12&lt;&gt;"data missing", 'Waste results'!$S$84&lt;&gt;"data missing"), Calc!BC15*'Waste results'!$S$12+ Calc!BE15*'Waste results'!$S$84, "data missing"),
   IF(Calc!BC15=0,
     IF(OR('Waste results'!$S$48&lt;&gt;"data missing", 'Waste results'!$S$84&lt;&gt;"data missing"), Calc!BD15*'Waste results'!$S$48+Calc!BE15*'Waste results'!$S$84, "data missing"),
   IF(OR('Waste results'!$S$12&lt;&gt;"data missing", 'Waste results'!$S$48&lt;&gt;"data missing", 'Waste results'!$S$84&lt;&gt;"data missing"), Calc!BC15*'Waste results'!$S$12+Calc!BD15*'Waste results'!$S$48+ Calc!BE15*'Waste results'!$S$84, "data missing")))))))))))</f>
        <v/>
      </c>
      <c r="D17" s="161" t="str">
        <f ca="1">IF(B17="","",
IF(Calc!BG15="","soil texture missing",
IF(OR(Calc!BG15="SL; SZL; ZL",Calc!BG15="SCL; CL; ZCL; SC; ZC; C"),VLOOKUP(Calc!BI15,'Fertiliser recommendations'!$A$4:$C$63,3,FALSE),
IF(Calc!BG15="S; LS",VLOOKUP(Calc!BI15,'Fertiliser recommendations'!$A$4:$C$63,3,FALSE)+VLOOKUP(Calc!BI15,'Fertiliser recommendations'!$A$4:$D$63,4,FALSE),
IF(Calc!BG15="10-25% OM",VLOOKUP(Calc!BI15,'Fertiliser recommendations'!$A$4:$C$63,3,FALSE)+VLOOKUP(Calc!BI15,'Fertiliser recommendations'!$A$4:$E$63,5,FALSE),
IF(Calc!BG15="&gt;25% OM",VLOOKUP(Calc!BI15,'Fertiliser recommendations'!$A$4:$C$63,3,FALSE)+VLOOKUP(Calc!BI15,'Fertiliser recommendations'!$A$4:$F$63,6,FALSE),
""))))))</f>
        <v/>
      </c>
      <c r="E17" s="91" t="str">
        <f t="shared" ca="1" si="0"/>
        <v/>
      </c>
      <c r="F17" s="9" t="str">
        <f ca="1">IF(B17="","",
IF(OR(C17="data missing",D17="soil texture missing"),"data missing",
IF(Calc!BF15=0,"n/a",
IF(C17&lt;0.1*D17,"no benefit",
IF(C17&lt;0.3*D17,"limited benefit",
IF(C17&gt;250,"exceeds limit",
IF(OR(AND(D17=0,C17&gt;75),C17&gt;1.25*D17),"excessive",
IF(D17=0, "no requirement",
"benefit"))))))))</f>
        <v/>
      </c>
      <c r="H17" s="91" t="str">
        <f ca="1">IF(B17="","",
IF(AND('Field information 2'!$O$5="", 'Field information 2'!$Q$5=""),
   IF('Waste results'!$S$17&lt;&gt;"data missing", Calc!BC15*'Waste results'!$S$17, "data missing"),
IF('Field information 2'!$Q$5="",
   IF(Calc!BD15=0,
     IF('Waste results'!$S$17&lt;&gt;"data missing", Calc!BC15*'Waste results'!$S$17, "data missing"),
   IF(Calc!BC15=0,
     IF('Waste results'!$S$53&lt;&gt;"data missing", Calc!BD15*'Waste results'!$S$53, "data missing"),
   IF(OR('Waste results'!$S$17&lt;&gt;"data missing", 'Waste results'!$S$53&lt;&gt;"data missing"), Calc!BC15*'Waste results'!$S$17+ Calc!BD15*'Waste results'!$S$53, "data missing"))),
IF(AND('Field information 2'!$M$5&lt;&gt;"", 'Field information 2'!$O$5&lt;&gt;"", 'Field information 2'!$Q$5&lt;&gt;""),
   IF(AND(Calc!BD15=0,Calc!BE15=0),
     IF('Waste results'!$S$17&lt;&gt;"data missing", Calc!BC15*'Waste results'!$S$17, "data missing"),
   IF(AND(Calc!BC15=0,Calc!BE15=0),
     IF('Waste results'!$S$53&lt;&gt;"data missing", Calc!BD15*'Waste results'!$S$53, "data missing"),
   IF(AND(Calc!BC15=0,Calc!BD15=0),
     IF('Waste results'!$S$89&lt;&gt;"data missing", Calc!BE15*'Waste results'!$S$89, "data missing"),
   IF(Calc!BE15=0,
     IF(OR('Waste results'!$S$17&lt;&gt;"data missing", 'Waste results'!$S$53&lt;&gt;"data missing"), Calc!BC15*'Waste results'!$S$17+ Calc!BD15*'Waste results'!$S$53, "data missing"),
   IF(Calc!BD15=0,
     IF(OR('Waste results'!$S$17&lt;&gt;"data missing", 'Waste results'!$S$89&lt;&gt;"data missing"), Calc!BC15*'Waste results'!$S$17+ Calc!BE15*'Waste results'!$S$89, "data missing"),
   IF(Calc!BC15=0,
     IF(OR('Waste results'!$S$53&lt;&gt;"data missing", 'Waste results'!$S$89&lt;&gt;"data missing"), Calc!BD15*'Waste results'!$S$53+Calc!BE15*'Waste results'!$S$89, "data missing"),
   IF(OR('Waste results'!$S$17&lt;&gt;"data missing", 'Waste results'!$S$53&lt;&gt;"data missing", 'Waste results'!$S$89&lt;&gt;"data missing"), Calc!BC15*'Waste results'!$S$17+Calc!BD15*'Waste results'!$S$53+ Calc!BE15*'Waste results'!$S$89, "data missing")))))))))))</f>
        <v/>
      </c>
      <c r="I17" s="195" t="str">
        <f ca="1">IF(B17="","",
IF(OR(ISBLANK('Soil results'!G20), ISBLANK('Soil results'!G$7)),"data missing",
IF(OR(AND('Soil results'!G$7="Olsen (ADAS)",'Soil results'!G20&lt;16),AND('Soil results'!G$7="modified Morgan (SAC)",'Soil results'!G20&lt;4.5)),50,100)))</f>
        <v/>
      </c>
      <c r="J17" s="49" t="str">
        <f ca="1">IF(B17="","",
IF(OR(ISBLANK('Soil results'!G$7),ISBLANK('Soil results'!G20)),"data missing",
IF(OR(AND('Soil results'!G$7="Olsen (ADAS)",'Soil results'!G20&gt;45),AND('Soil results'!G$7="modified Morgan (SAC)",'Soil results'!G20&gt;30)),0,
IF(OR(AND('Soil results'!G$7="Olsen (ADAS)",'Soil results'!G20&gt;=16,'Soil results'!G20&lt;=20),AND('Soil results'!G$7="modified Morgan (SAC)",'Soil results'!G20&gt;=4.5,'Soil results'!G20&lt;=9.4)),VLOOKUP(Calc!BI15,'Fertiliser recommendations'!$A$4:$I$63,9,FALSE),
IF(OR(AND('Soil results'!G$7="Olsen (ADAS)",'Soil results'!G20&lt;10),AND('Soil results'!G$7="modified Morgan (SAC)",'Soil results'!G20&lt;1.8)),VLOOKUP(Calc!BI15,'Fertiliser recommendations'!$A$4:$I$63,9,FALSE)+VLOOKUP(Calc!BI15,'Fertiliser recommendations'!$A$4:$J$63,10,FALSE),
IF(OR(AND('Soil results'!G$7="Olsen (ADAS)",'Soil results'!G20&lt;16),AND('Soil results'!G$7="modified Morgan (SAC)",'Soil results'!G20&lt;4.5)),VLOOKUP(Calc!BI15,'Fertiliser recommendations'!$A$4:$I$63,9,FALSE)+VLOOKUP(Calc!BI15,'Fertiliser recommendations'!$A$4:$K$63,11,FALSE),
IF(OR(AND('Soil results'!G$7="Olsen (ADAS)",'Soil results'!G20&lt;26),AND('Soil results'!G$7="modified Morgan (SAC)",'Soil results'!G20&lt;13.5)),VLOOKUP(Calc!BI15,'Fertiliser recommendations'!$A$4:$I$63,9,FALSE)+VLOOKUP(Calc!BI15,'Fertiliser recommendations'!$A$4:$L$63,12,FALSE),
IF(OR(AND('Soil results'!G$7="Olsen (ADAS)",'Soil results'!G20&lt;=45),AND('Soil results'!G$7="modified Morgan (SAC)",'Soil results'!G20&lt;=30)),VLOOKUP(Calc!BI15,'Fertiliser recommendations'!$A$4:$I$63,9,FALSE)+VLOOKUP(Calc!BI15,'Fertiliser recommendations'!$A$4:$M$63,13,FALSE),
""))))))))</f>
        <v/>
      </c>
      <c r="K17" s="161" t="str">
        <f t="shared" ca="1" si="1"/>
        <v/>
      </c>
      <c r="L17" s="47" t="str">
        <f ca="1">IF(OR(ISBLANK('Soil results'!G$7),ISBLANK('Soil results'!G20),B17="", H17="data missing"),"",
IF('Soil results'!G$7="Olsen (ADAS)",
IF(((H17*Calc!BM15/2.291-(VLOOKUP(Calc!BI15,'Fertiliser recommendations'!$A$4:$I$63,9,FALSE))/2.291)*10/(400/2.291)+'Soil results'!G20)&lt;10,"0 (VL)",
IF(((H17*Calc!BM15/2.291-(VLOOKUP(Calc!BI15,'Fertiliser recommendations'!$A$4:$I$63,9,FALSE))/2.291)*10/(400/2.291)+'Soil results'!G20)&lt;16,"1 (L)",
IF(((H17*Calc!BM15/2.291-(VLOOKUP(Calc!BI15,'Fertiliser recommendations'!$A$4:$I$63,9,FALSE))/2.291)*10/(400/2.291)+'Soil results'!G20)&lt;21,"2 (M-)",
IF(((H17*Calc!BM15/2.291-(VLOOKUP(Calc!BI15,'Fertiliser recommendations'!$A$4:$I$63,9,FALSE))/2.291)*10/(400/2.291)+'Soil results'!G20)&lt;26,"2 (M+)",
IF(((H17*Calc!BM15/2.291-(VLOOKUP(Calc!BI15,'Fertiliser recommendations'!$A$4:$I$63,9,FALSE))/2.291)*10/(400/2.291)+'Soil results'!G20)&lt;45,"3 (H)","&gt;3 (VH)"))))),
IF('Soil results'!G$7="modified Morgan (SAC)",
IF('Soil results'!G20&gt;=6,
IF(((H17*Calc!BM15/2.291-(VLOOKUP(Calc!BI15,'Fertiliser recommendations'!$A$4:$I$63,9,FALSE))/2.291)*5/(147/2.291)+'Soil results'!G20)&lt;9.5,"2 (M-)",
IF(((H17*Calc!BM15/2.291-(VLOOKUP(Calc!BI15,'Fertiliser recommendations'!$A$4:$I$63,9,FALSE))/2.291)*5/(147/2.291)+'Soil results'!G20)&lt;13.5,"2 (M+)",
IF(((H17*Calc!BM15/2.291-(VLOOKUP(Calc!BI15,'Fertiliser recommendations'!$A$4:$I$63,9,FALSE))/2.291)*5/(147/2.291)+'Soil results'!G20)&lt;30,"3 (H)","4 (VH)"))),
IF(((H17*Calc!BM15/2.291-(VLOOKUP(Calc!BI15,'Fertiliser recommendations'!$A$4:$I$63,9,FALSE))/2.291)*5/(346/2.291)+'Soil results'!G20)&lt;1.8,"0 (VL)",
IF(((H17*Calc!BM15/2.291-(VLOOKUP(Calc!BI15,'Fertiliser recommendations'!$A$4:$I$63,9,FALSE))/2.291)*5/(147/2.291)+'Soil results'!G20)&lt;4.5,"1 (L)","2 (M-)"))))))</f>
        <v/>
      </c>
      <c r="M17" s="9" t="str">
        <f ca="1">IF(B17="","",
IF(OR(H17="data missing",I17="data missing",J17="data missing"),"data missing",
IF(Calc!BF15=0,"n/a",
IF(OR(AND('Soil results'!G$7="Olsen (ADAS)",'Soil results'!G20&gt;45),AND('Soil results'!G$7="modified Morgan (SAC)",'Soil results'!G20&gt;30)),
IF(H17&gt;2,"too high, not acceptable","no requirement"),IF(OR(AND('Soil results'!G$7="Olsen (ADAS)",'Soil results'!G20&gt;25),AND('Soil results'!G$7="modified Morgan (SAC)",'Soil results'!G20&gt;13.4)),
IF(H17*(I17/100)&lt;0.1*J17,"no benefit",
IF(H17*(I17/100)&lt;0.3*J17,"limited benefit",
IF(H17*(I17/100)&lt;1.1*J17,"benefit",
IF(H17*(I17/100)&lt;0.7*VLOOKUP(Calc!BI15,'Fertiliser recommendations'!$A$4:$I$63,9,FALSE),"excessive","too high, not acceptable")))),
IF(OR(AND('Soil results'!G$7="Olsen (ADAS)",'Soil results'!G20&gt;20),AND('Soil results'!G$7="modified Morgan (SAC)",'Soil results'!G20&gt;9.4)),
IF(H17*Calc!BM15*(I17/100)&lt;0.1*J17,"no benefit",
IF(H17*Calc!BM15*(I17/100)&lt;0.3*J17,"limited benefit",
IF(H17*Calc!BM15*(I17/100)&lt;1.1*J17,"benefit",
IF(L17="3 (H)","too high, not acceptable","excessive")))),
IF(OR(AND('Soil results'!G$7="Olsen (ADAS)",'Soil results'!G20&gt;15),AND('Soil results'!G$7="modified Morgan (SAC)",'Soil results'!G20&gt;4.4)),
IF(H17*Calc!BM15*(I17/100)&lt;0.1*VLOOKUP(Calc!BI15,'Fertiliser recommendations'!$A$4:$I$63,9,FALSE),"no benefit",
IF(H17*Calc!BM15*(I17/100)&lt;0.3*VLOOKUP(Calc!BI15,'Fertiliser recommendations'!$A$4:$I$63,9,FALSE),"limited benefit",
IF(H17*Calc!BM15*(I17/100)&lt;1.1*VLOOKUP(Calc!BI15,'Fertiliser recommendations'!$A$4:$I$63,9,FALSE),"benefit",
IF(L17="3 (H)", "too high, not acceptable", "excessive")))),
IF(OR(AND('Soil results'!G$7="Olsen (ADAS)",'Soil results'!G20&lt;=15),AND('Soil results'!G$7="modified Morgan (SAC)",'Soil results'!G20&lt;=4.4)),
IF(H17*Calc!BM15*(I17/100)&lt;0.1*VLOOKUP(Calc!BI15,'Fertiliser recommendations'!$A$4:$I$63,9,FALSE),"no benefit",
IF(H17*Calc!BM15*(I17/100)&lt;0.3*VLOOKUP(Calc!BI15,'Fertiliser recommendations'!$A$4:$I$63,9,FALSE),"limited benefit",
IF(H17*Calc!BM15*(I17/100)&lt;1.1*J17,"benefit","excessive")))))))))))</f>
        <v/>
      </c>
      <c r="O17" s="91" t="str">
        <f ca="1">IF(B17="","",
IF(AND('Field information 2'!$O$5="", 'Field information 2'!$Q$5=""),
   IF('Waste results'!$S$19&lt;&gt;"data missing", Calc!BC15*'Waste results'!$S$19, "data missing"),
IF('Field information 2'!$Q$5="",
   IF(Calc!BD15=0,
     IF('Waste results'!$S$19&lt;&gt;"data missing", Calc!BC15*'Waste results'!$S$19, "data missing"),
   IF(Calc!BC15=0,
     IF('Waste results'!$S$55&lt;&gt;"data missing", Calc!BD15*'Waste results'!$S$55, "data missing"),
   IF(OR('Waste results'!$S$19&lt;&gt;"data missing", 'Waste results'!$S$55&lt;&gt;"data missing"), Calc!BC15*'Waste results'!$S$19+ Calc!BD15*'Waste results'!$S$55, "data missing"))),
IF(AND('Field information 2'!$M$5&lt;&gt;"", 'Field information 2'!$O$5&lt;&gt;"", 'Field information 2'!$Q$5&lt;&gt;""),
   IF(AND(Calc!BD15=0,Calc!BE15=0),
     IF('Waste results'!$S$19&lt;&gt;"data missing", Calc!BC15*'Waste results'!$S$19, "data missing"),
   IF(AND(Calc!BC15=0,Calc!BE15=0),
     IF('Waste results'!$S$55&lt;&gt;"data missing", Calc!BD15*'Waste results'!$S$55, "data missing"),
   IF(AND(Calc!BC15=0,Calc!BD15=0),
     IF('Waste results'!$S$91&lt;&gt;"data missing", Calc!BE15*'Waste results'!$S$91, "data missing"),
   IF(Calc!BE15=0,
     IF(OR('Waste results'!$S$19&lt;&gt;"data missing", 'Waste results'!$S$55&lt;&gt;"data missing"), Calc!BC15*'Waste results'!$S$19+ Calc!BD15*'Waste results'!$S$55, "data missing"),
   IF(Calc!BD15=0,
     IF(OR('Waste results'!$S$19&lt;&gt;"data missing", 'Waste results'!$S$91&lt;&gt;"data missing"), Calc!BC15*'Waste results'!$S$19+ Calc!BE15*'Waste results'!$S$91, "data missing"),
   IF(Calc!BC15=0,
     IF(OR('Waste results'!$S$55&lt;&gt;"data missing", 'Waste results'!$S$91&lt;&gt;"data missing"), Calc!BD15*'Waste results'!$S$55+Calc!BE15*'Waste results'!$S$91, "data missing"),
   IF(OR('Waste results'!$S$19&lt;&gt;"data missing", 'Waste results'!$S$55&lt;&gt;"data missing", 'Waste results'!$S$91&lt;&gt;"data missing"), Calc!BC15*'Waste results'!$S$19+Calc!BD15*'Waste results'!$S$55+ Calc!BE15*'Waste results'!$S$91, "data missing")))))))))))</f>
        <v/>
      </c>
      <c r="P17" s="91" t="str">
        <f ca="1">IF(B17="","",
IF(OR(ISBLANK('Soil results'!H$7),ISBLANK('Soil results'!H20)),"data missing",
IF(OR(AND('Soil results'!H$7="ammonium nitrate (ADAS)",'Soil results'!H20&gt;400),AND('Soil results'!H$7="modified Morgan (SAC)",'Soil results'!H20&gt;400)),0,
IF(OR(AND('Soil results'!H$7="ammonium nitrate (ADAS)",'Soil results'!H20&gt;=121,'Soil results'!H20&lt;=180),AND('Soil results'!H$7="modified Morgan (SAC)",'Soil results'!H20&gt;=76,'Soil results'!H20&lt;=140)),VLOOKUP(Calc!BI15,'Fertiliser recommendations'!$A$4:$Z$63,26,FALSE),
IF(OR(AND('Soil results'!H$7="ammonium nitrate (ADAS)",'Soil results'!H20&lt;61),AND('Soil results'!H$7="modified Morgan (SAC)",'Soil results'!H20&lt;40)),VLOOKUP(Calc!BI15,'Fertiliser recommendations'!$A$4:$Z$63,26,FALSE)+VLOOKUP(Calc!BI15,'Fertiliser recommendations'!$A$4:$AA$63,27,FALSE),
IF(OR(AND('Soil results'!H$7="ammonium nitrate (ADAS)",'Soil results'!H20&lt;121),AND('Soil results'!H$7="modified Morgan (SAC)",'Soil results'!H20&lt;76)),VLOOKUP(Calc!BI15,'Fertiliser recommendations'!$A$4:$Z$63,26,FALSE)+VLOOKUP(Calc!BI15,'Fertiliser recommendations'!$A$4:$AB$63,28,FALSE),
IF(OR(AND('Soil results'!H$7="ammonium nitrate (ADAS)",'Soil results'!H20&lt;241),AND('Soil results'!H$7="modified Morgan (SAC)",'Soil results'!H20&lt;201)),VLOOKUP(Calc!BI15,'Fertiliser recommendations'!$A$4:$Z$63,26,FALSE)+VLOOKUP(Calc!BI15,'Fertiliser recommendations'!$A$4:$AC$63,29,FALSE),
IF(OR(AND('Soil results'!H$7="ammonium nitrate (ADAS)",'Soil results'!H20&lt;=400),AND('Soil results'!H$7="modified Morgan (SAC)",'Soil results'!H20&lt;=400)),VLOOKUP(Calc!BI15,'Fertiliser recommendations'!$A$4:$Z$63,26,FALSE)+VLOOKUP(Calc!BI15,'Fertiliser recommendations'!$A$4:$AD$63,30,FALSE),
"??"))))))))</f>
        <v/>
      </c>
      <c r="Q17" s="91" t="str">
        <f t="shared" ca="1" si="2"/>
        <v/>
      </c>
      <c r="R17" s="9" t="str">
        <f ca="1">IF(B17="","",
IF(OR(O17="data missing",P17="data missing"),"data missing",
IF(Calc!BF15=0,"n/a",
IF(P17=0, "no requirement",
IF(O17&lt;0.1*P17,"no benefit",
IF(O17&lt;0.3*P17,"limited benefit",
IF(O17&gt;1.25*P17,"excessive",
"benefit")))))))</f>
        <v/>
      </c>
      <c r="T17" s="91" t="str">
        <f ca="1">IF(B17="","",
IF(AND('Field information 2'!$O$5="", 'Field information 2'!$Q$5=""),
   IF('Waste results'!$S$21&lt;&gt;"data missing", Calc!BC15*'Waste results'!$S$21, "data missing"),
IF('Field information 2'!$Q$5="",
   IF(Calc!BD15=0,
     IF('Waste results'!$S$21&lt;&gt;"data missing", Calc!BC15*'Waste results'!$S$21, "data missing"),
   IF(Calc!BC15=0,
     IF('Waste results'!$S$57&lt;&gt;"data missing", Calc!BD15*'Waste results'!$S$57, "data missing"),
   IF(OR('Waste results'!$S$21&lt;&gt;"data missing", 'Waste results'!$S$57&lt;&gt;"data missing"), Calc!BC15*'Waste results'!$S$21+ Calc!BD15*'Waste results'!$S$57, "data missing"))),
IF(AND('Field information 2'!$M$5&lt;&gt;"", 'Field information 2'!$O$5&lt;&gt;"", 'Field information 2'!$Q$5&lt;&gt;""),
   IF(AND(Calc!BD15=0,Calc!BE15=0),
     IF('Waste results'!$S$21&lt;&gt;"data missing", Calc!BC15*'Waste results'!$S$21, "data missing"),
   IF(AND(Calc!BC15=0,Calc!BE15=0),
     IF('Waste results'!$S$57&lt;&gt;"data missing", Calc!BD15*'Waste results'!$S$57, "data missing"),
   IF(AND(Calc!BC15=0,Calc!BD15=0),
     IF('Waste results'!$S$93&lt;&gt;"data missing", Calc!BE15*'Waste results'!$S$93, "data missing"),
   IF(Calc!BE15=0,
     IF(OR('Waste results'!$S$21&lt;&gt;"data missing", 'Waste results'!$S$57&lt;&gt;"data missing"), Calc!BC15*'Waste results'!$S$21+ Calc!BD15*'Waste results'!$S$57, "data missing"),
   IF(Calc!BD15=0,
     IF(OR('Waste results'!$S$21&lt;&gt;"data missing", 'Waste results'!$S$93&lt;&gt;"data missing"), Calc!BC15*'Waste results'!$S$21+ Calc!BE15*'Waste results'!$S$93, "data missing"),
   IF(Calc!BC15=0,
     IF(OR('Waste results'!$S$57&lt;&gt;"data missing", 'Waste results'!$S$93&lt;&gt;"data missing"), Calc!BD15*'Waste results'!$S$57+Calc!BE15*'Waste results'!$S$93, "data missing"),
   IF(OR('Waste results'!$S$21&lt;&gt;"data missing", 'Waste results'!$S$57&lt;&gt;"data missing", 'Waste results'!$S$93&lt;&gt;"data missing"), Calc!BC15*'Waste results'!$S$21+Calc!BD15*'Waste results'!$S$57+ Calc!BE15*'Waste results'!$S$93, "data missing")))))))))))</f>
        <v/>
      </c>
      <c r="U17" s="7" t="str">
        <f ca="1">IF(B17="","",
IF(OR(ISBLANK('Soil results'!I$7),ISBLANK('Soil results'!I20)),"data missing",
IF(OR(AND('Soil results'!I$7="ammonium nitrate (ADAS)",'Soil results'!I20&gt;51),AND('Soil results'!I$7="modified Morgan (SAC)",'Soil results'!I20&gt;61)),0,
IF(OR(AND('Soil results'!I$7="ammonium nitrate (ADAS)",'Soil results'!I20&lt;25),AND('Soil results'!I$7="modified Morgan (SAC)",'Soil results'!I20&lt;19)),VLOOKUP(Calc!BI15,'Fertiliser recommendations'!$A$4:$AH$63,34,FALSE),
IF(OR(AND('Soil results'!I$7="ammonium nitrate (ADAS)",'Soil results'!I20&lt;=51),AND('Soil results'!I$7="modified Morgan (SAC)",'Soil results'!I20&lt;=61)),VLOOKUP(Calc!BI15,'Fertiliser recommendations'!$A$4:$AI$63,35,FALSE),
"")))))</f>
        <v/>
      </c>
      <c r="V17" s="91" t="str">
        <f t="shared" ca="1" si="3"/>
        <v/>
      </c>
      <c r="W17" s="9" t="str">
        <f ca="1">IF(B17="","",
IF(OR(T17="data missing",U17="data missing"),"data missing",
IF(Calc!BF15=0,"n/a",
IF(U17=0,"no requirement",
IF(T17&lt;0.1*U17,"no benefit",
IF(T17&lt;0.3*U17,"limited benefit",
IF(OR(T17&gt;1.5*U17,AND(Calc!BJ15="g",T17&gt;100)),"excessive",
"benefit")))))))</f>
        <v/>
      </c>
      <c r="Y17" s="91" t="str">
        <f ca="1">IF(B17="","",
IF(AND('Field information 2'!$O$5="", 'Field information 2'!$Q$5=""),
   IF('Waste results'!$P$23&lt;&gt;"", Calc!BC15*'Waste results'!$P$23, "no data"),
IF('Field information 2'!$Q$5="",
   IF(Calc!BD15=0,
     IF('Waste results'!$P$23&lt;&gt;"", Calc!BC15*'Waste results'!$P$23, "no data"),
   IF(Calc!BC15=0,
     IF('Waste results'!$P$59&lt;&gt;"", Calc!BD15*'Waste results'!$P$59, "no data"),
   IF(OR('Waste results'!$P$23&lt;&gt;"", 'Waste results'!$P$59&lt;&gt;""), Calc!BC15*'Waste results'!$P$23+ Calc!BD15*'Waste results'!$P$59, "no data"))),
IF(AND('Field information 2'!$M$5&lt;&gt;"", 'Field information 2'!$O$5&lt;&gt;"", 'Field information 2'!$Q$5&lt;&gt;""),
   IF(AND(Calc!BD15=0,Calc!BE15=0),
     IF('Waste results'!$P$23&lt;&gt;"", Calc!BC15*'Waste results'!$P$23, "no data"),
   IF(AND(Calc!BC15=0,Calc!BE15=0),
     IF('Waste results'!$P$59&lt;&gt;"", Calc!BD15*'Waste results'!$P$59, "no data"),
   IF(AND(Calc!BC15=0,Calc!BD15=0),
     IF('Waste results'!$P$95&lt;&gt;"", Calc!BE15*'Waste results'!$P$95, "no data"),
   IF(Calc!BE15=0,
     IF(OR('Waste results'!$P$23&lt;&gt;"", 'Waste results'!$P$59&lt;&gt;""), Calc!BC15*'Waste results'!$P$23+ Calc!BD15*'Waste results'!$P$59, "no data"),
   IF(Calc!BD15=0,
     IF(OR('Waste results'!$P$23&lt;&gt;"", 'Waste results'!$P$95&lt;&gt;""), Calc!BC15*'Waste results'!$P$23+ Calc!BE15*'Waste results'!$P$95, "no data"),
   IF(Calc!BC15=0,
     IF(OR('Waste results'!$P$59&lt;&gt;"", 'Waste results'!$P$95&lt;&gt;""), Calc!BD15*'Waste results'!$P$59+Calc!BE15*'Waste results'!$P$95, "no data"),
   IF(OR('Waste results'!$P$23&lt;&gt;"", 'Waste results'!$P$59&lt;&gt;"", 'Waste results'!$P$95&lt;&gt;""), Calc!BC15*'Waste results'!$P$23+Calc!BD15*'Waste results'!$P$59+ Calc!BE15*'Waste results'!$P$95, "no data")))))))))))</f>
        <v/>
      </c>
      <c r="Z17" s="7" t="str">
        <f ca="1">IF(OR(ISBLANK('Soil results'!I$7),ISBLANK('Soil results'!I20),'Soil results'!B20=""),"",
VLOOKUP(Calc!BI15,'Fertiliser recommendations'!$A$4:$AM$63,39,FALSE))</f>
        <v/>
      </c>
      <c r="AA17" s="91" t="str">
        <f t="shared" ca="1" si="4"/>
        <v/>
      </c>
      <c r="AB17" s="9" t="str">
        <f t="shared" ca="1" si="5"/>
        <v/>
      </c>
      <c r="AD17" s="48" t="str">
        <f>IF(ISBLANK('Soil results'!F20),"",'Soil results'!F20)</f>
        <v/>
      </c>
      <c r="AE17" s="49" t="str">
        <f ca="1">IF(B17="","",
IF(AND(Calc!BJ15="g", VLOOKUP(LEFT($B17,LEN($B17)-2),'Field information 2'!$B$12:$P$111,9,FALSE)&lt;&gt;"yes"),
 IF(Calc!BG15="10-25% OM", 5.9, IF(Calc!BG15="&gt;25% OM", 5.5, 6.2)),
IF(OR(Calc!BJ15="a", VLOOKUP(LEFT($B17,LEN($B17)-2),'Field information 2'!$B$12:$P$111,9,FALSE)="yes"),
 IF(Calc!BG15="10-25% OM", 6.4, IF(Calc!BG15="&gt;25% OM", 6, 6.7)), "")))</f>
        <v/>
      </c>
      <c r="AF17" s="91" t="str">
        <f ca="1">IF(B17="","",
IF('Waste results'!$Q$33="","no (significant) liming properties",
IF('Waste results'!Q$33&gt;100,"no (significant) liming properties",
IF(AD17="","",
IF(AD17&gt;=AE17,0,ROUNDDOWN((AE17-AD17)*Calc!BK15*'Waste results'!$Q$33+0.2,0))))))</f>
        <v/>
      </c>
      <c r="AG17" s="9" t="str">
        <f ca="1">IF(B17="","",
IF(T17=0,"n/a",
IF(AD17="","data missing",
IF(AND(AD17&lt;5,AF17="no (significant) liming properties"),"no waste application - pH too low",
IF(AND(AD17&gt;5.1,AF17="no (significant) liming properties",Calc!BH15&gt;25, LEFT(Calc!BI15,4)="graz"),"ok",
IF(AND(AD17&lt;=5.2,AF17="no (significant) liming properties"),"liming highly recommended",
IF(AF17=0,"no waste application - liming not required",
IF(AF17&lt;Calc!BC15,"application rate too high - exceeds liming requirement",
"ok"))))))))</f>
        <v/>
      </c>
      <c r="AI17" s="91" t="str">
        <f ca="1">IF(B17="","",
IF(AND('Field information 2'!$O$5="", 'Field information 2'!$Q$5=""),
   IF('Waste results'!$P$10&lt;&gt;"data missing", Calc!BC15*'Waste results'!$P$10, "data missing"),
IF('Field information 2'!$Q$5="",
   IF(Calc!BD15=0,
     IF('Waste results'!$P$10&lt;&gt;"data missing", Calc!BC15*'Waste results'!$P$10, "data missing"),
   IF(Calc!BC15=0,
     IF('Waste results'!$P$45&lt;&gt;"data missing", Calc!BD15*'Waste results'!$P$45, "data missing"),
   IF(OR('Waste results'!$P$10&lt;&gt;"data missing", 'Waste results'!$P$45&lt;&gt;"data missing"), Calc!BC15*'Waste results'!$P$10+ Calc!BD15*'Waste results'!$P$45, "data missing"))),
IF(AND('Field information 2'!$M$5&lt;&gt;"", 'Field information 2'!$O$5&lt;&gt;"", 'Field information 2'!$Q$5&lt;&gt;""),
   IF(AND(Calc!BD15=0,Calc!BE15=0),
     IF('Waste results'!$P$10&lt;&gt;"data missing", Calc!BC15*'Waste results'!$P$10, "data missing"),
   IF(AND(Calc!BC15=0,Calc!BE15=0),
     IF('Waste results'!$P$45&lt;&gt;"data missing", Calc!BD15*'Waste results'!$P$45, "data missing"),
   IF(AND(Calc!BC15=0,Calc!BD15=0),
     IF('Waste results'!$P$82&lt;&gt;"data missing", Calc!BE15*'Waste results'!$P$82, "data missing"),
   IF(Calc!BE15=0,
     IF(OR('Waste results'!$P$10&lt;&gt;"data missing", 'Waste results'!$P$45&lt;&gt;"data missing"), Calc!BC15*'Waste results'!$P$10+ Calc!BD15*'Waste results'!$P$45, "data missing"),
   IF(Calc!BD15=0,
     IF(OR('Waste results'!$P$10&lt;&gt;"data missing", 'Waste results'!$P$82&lt;&gt;"data missing"), Calc!BC15*'Waste results'!$P$10+ Calc!BE15*'Waste results'!$P$82, "data missing"),
   IF(Calc!BC15=0,
     IF(OR('Waste results'!$P$45&lt;&gt;"data missing", 'Waste results'!$P$82&lt;&gt;"data missing"), Calc!BD15*'Waste results'!$P$45+Calc!BE15*'Waste results'!$P$82, "data missing"),
   IF(OR('Waste results'!$P$10&lt;&gt;"data missing", 'Waste results'!$P$45&lt;&gt;"data missing", 'Waste results'!$P$82&lt;&gt;"data missing"), Calc!BC15*'Waste results'!$P$10+Calc!BD15*'Waste results'!$P$45+ Calc!BE15*'Waste results'!$P$82, "data missing")))))))))))</f>
        <v/>
      </c>
      <c r="AJ17" s="237" t="str">
        <f ca="1">IF(B17="","",
IF(AI17="data missing","data missing",
IF(Calc!BF15=0,"n/a",
IF(AND(Calc!BH15&gt;=8,AI17&lt;500),"no benefit",
IF(OR(AND(Calc!BH15&lt;=4,AI17&gt;=500),AND(Calc!BH15&lt;8,AI17&gt;5000)),"benefit",
"limited benefit")))))</f>
        <v/>
      </c>
      <c r="AL17" s="238" t="str">
        <f ca="1">IF(B17="","",
IF(AND('Field information 2'!$O$5="", 'Field information 2'!$Q$5=""),
   IF('Waste results'!$S$25&lt;&gt;"data missing", Calc!BC15*'Waste results'!$S$25, "data missing"),
IF('Field information 2'!$Q$5="",
   IF(Calc!BD15=0,
     IF('Waste results'!$S$25&lt;&gt;"data missing", Calc!BC15*'Waste results'!$S$25, "data missing"),
   IF(Calc!BC15=0,
     IF('Waste results'!$S$61&lt;&gt;"data missing", Calc!BD15*'Waste results'!$S$61, "data missing"),
   IF(OR('Waste results'!$S$25&lt;&gt;"data missing", 'Waste results'!$S$61&lt;&gt;"data missing"), Calc!BC15*'Waste results'!$S$25+ Calc!BD15*'Waste results'!$S$61, "data missing"))),
IF(AND('Field information 2'!$M$5&lt;&gt;"", 'Field information 2'!$O$5&lt;&gt;"", 'Field information 2'!$Q$5&lt;&gt;""),
   IF(AND(Calc!BD15=0,Calc!BE15=0),
     IF('Waste results'!$S$25&lt;&gt;"data missing", Calc!BC15*'Waste results'!$S$25, "data missing"),
   IF(AND(Calc!BC15=0,Calc!BE15=0),
     IF('Waste results'!$S$61&lt;&gt;"data missing", Calc!BD15*'Waste results'!$S$61, "data missing"),
   IF(AND(Calc!BC15=0,Calc!BD15=0),
     IF('Waste results'!$S$97&lt;&gt;"data missing", Calc!BE15*'Waste results'!$S$97, "data missing"),
   IF(Calc!BE15=0,
     IF(OR('Waste results'!$S$25&lt;&gt;"data missing", 'Waste results'!$S$61&lt;&gt;"data missing"), Calc!BC15*'Waste results'!$S$25+ Calc!BD15*'Waste results'!$S$61, "data missing"),
   IF(Calc!BD15=0,
     IF(OR('Waste results'!$S$25&lt;&gt;"data missing", 'Waste results'!$S$97&lt;&gt;"data missing"), Calc!BC15*'Waste results'!$S$25+ Calc!BE15*'Waste results'!$S$97, "data missing"),
   IF(Calc!BC15=0,
     IF(OR('Waste results'!$S$61&lt;&gt;"data missing", 'Waste results'!$S$97&lt;&gt;"data missing"), Calc!BD15*'Waste results'!$S$61+Calc!BE15*'Waste results'!$S$97, "data missing"),
   IF(OR('Waste results'!$S$25&lt;&gt;"data missing", 'Waste results'!$S$61&lt;&gt;"data missing", 'Waste results'!$S$97&lt;&gt;"data missing"), Calc!BC15*'Waste results'!$S$25+Calc!BD15*'Waste results'!$S$61+ Calc!BE15*'Waste results'!$S$97, "data missing")))))))))))</f>
        <v/>
      </c>
      <c r="AM17" s="239" t="str">
        <f ca="1">IF($B17="","",
IF(ISBLANK('Soil results'!K20),"data missing",'Soil results'!K20))</f>
        <v/>
      </c>
      <c r="AN17" s="239" t="str">
        <f t="shared" ca="1" si="6"/>
        <v/>
      </c>
      <c r="AO17" s="9" t="str">
        <f t="shared" ca="1" si="7"/>
        <v/>
      </c>
      <c r="AQ17" s="240" t="str">
        <f ca="1">IF(B17="","",
IF(AND('Field information 2'!$O$5="", 'Field information 2'!$Q$5=""),
   IF('Waste results'!$S$26&lt;&gt;"data missing", Calc!BC15*'Waste results'!$S$26, "data missing"),
IF('Field information 2'!$Q$5="",
   IF(Calc!BD15=0,
     IF('Waste results'!$S$26&lt;&gt;"data missing", Calc!BC15*'Waste results'!$S$26, "data missing"),
   IF(Calc!BC15=0,
     IF('Waste results'!$S$62&lt;&gt;"data missing", Calc!BD15*'Waste results'!$S$62, "data missing"),
   IF(OR('Waste results'!$S$26&lt;&gt;"data missing", 'Waste results'!$S$62&lt;&gt;"data missing"), Calc!BC15*'Waste results'!$S$26+ Calc!BD15*'Waste results'!$S$62, "data missing"))),
IF(AND('Field information 2'!$M$5&lt;&gt;"", 'Field information 2'!$O$5&lt;&gt;"", 'Field information 2'!$Q$5&lt;&gt;""),
   IF(AND(Calc!BD15=0,Calc!BE15=0),
     IF('Waste results'!$S$26&lt;&gt;"data missing", Calc!BC15*'Waste results'!$S$26, "data missing"),
   IF(AND(Calc!BC15=0,Calc!BE15=0),
     IF('Waste results'!$S$62&lt;&gt;"data missing", Calc!BD15*'Waste results'!$S$62, "data missing"),
   IF(AND(Calc!BC15=0,Calc!BD15=0),
     IF('Waste results'!$S$98&lt;&gt;"data missing", Calc!BE15*'Waste results'!$S$98, "data missing"),
   IF(Calc!BE15=0,
     IF(OR('Waste results'!$S$26&lt;&gt;"data missing", 'Waste results'!$S$62&lt;&gt;"data missing"), Calc!BC15*'Waste results'!$S$26+ Calc!BD15*'Waste results'!$S$62, "data missing"),
   IF(Calc!BD15=0,
     IF(OR('Waste results'!$S$26&lt;&gt;"data missing", 'Waste results'!$S$98&lt;&gt;"data missing"), Calc!BC15*'Waste results'!$S$26+ Calc!BE15*'Waste results'!$S$98, "data missing"),
   IF(Calc!BC15=0,
     IF(OR('Waste results'!$S$62&lt;&gt;"data missing", 'Waste results'!$S$98&lt;&gt;"data missing"), Calc!BD15*'Waste results'!$S$62+Calc!BE15*'Waste results'!$S$98, "data missing"),
   IF(OR('Waste results'!$S$26&lt;&gt;"data missing", 'Waste results'!$S$62&lt;&gt;"data missing", 'Waste results'!$S$98&lt;&gt;"data missing"), Calc!BC15*'Waste results'!$S$26+Calc!BD15*'Waste results'!$S$62+ Calc!BE15*'Waste results'!$S$98, "data missing")))))))))))</f>
        <v/>
      </c>
      <c r="AR17" s="241" t="str">
        <f ca="1">IF($B17="","",
IF(ISBLANK('Soil results'!L20),"data missing",'Soil results'!L20))</f>
        <v/>
      </c>
      <c r="AS17" s="241" t="str">
        <f t="shared" ca="1" si="8"/>
        <v/>
      </c>
      <c r="AT17" s="66" t="str">
        <f t="shared" ca="1" si="9"/>
        <v/>
      </c>
      <c r="AV17" s="238" t="str">
        <f ca="1">IF(B17="","",
IF(AND('Field information 2'!$O$5="", 'Field information 2'!$Q$5=""),
   IF('Waste results'!$S$27&lt;&gt;"data missing", Calc!BC15*'Waste results'!$S$27, "data missing"),
IF('Field information 2'!$Q$5="",
   IF(Calc!BD15=0,
     IF('Waste results'!$S$27&lt;&gt;"data missing", Calc!BC15*'Waste results'!$S$27, "data missing"),
   IF(Calc!BC15=0,
     IF('Waste results'!$S$63&lt;&gt;"data missing", Calc!BD15*'Waste results'!$S$63, "data missing"),
   IF(OR('Waste results'!$S$27&lt;&gt;"data missing", 'Waste results'!$S$63&lt;&gt;"data missing"), Calc!BC15*'Waste results'!$S$27+ Calc!BD15*'Waste results'!$S$63, "data missing"))),
IF(AND('Field information 2'!$M$5&lt;&gt;"", 'Field information 2'!$O$5&lt;&gt;"", 'Field information 2'!$Q$5&lt;&gt;""),
   IF(AND(Calc!BD15=0,Calc!BE15=0),
     IF('Waste results'!$S$27&lt;&gt;"data missing", Calc!BC15*'Waste results'!$S$27, "data missing"),
   IF(AND(Calc!BC15=0,Calc!BE15=0),
     IF('Waste results'!$S$63&lt;&gt;"data missing", Calc!BD15*'Waste results'!$S$63, "data missing"),
   IF(AND(Calc!BC15=0,Calc!BD15=0),
     IF('Waste results'!$S$99&lt;&gt;"data missing", Calc!BE15*'Waste results'!$S$99, "data missing"),
   IF(Calc!BE15=0,
     IF(OR('Waste results'!$S$27&lt;&gt;"data missing", 'Waste results'!$S$63&lt;&gt;"data missing"), Calc!BC15*'Waste results'!$S$27+ Calc!BD15*'Waste results'!$S$63, "data missing"),
   IF(Calc!BD15=0,
     IF(OR('Waste results'!$S$27&lt;&gt;"data missing", 'Waste results'!$S$99&lt;&gt;"data missing"), Calc!BC15*'Waste results'!$S$27+ Calc!BE15*'Waste results'!$S$99, "data missing"),
   IF(Calc!BC15=0,
     IF(OR('Waste results'!$S$63&lt;&gt;"data missing", 'Waste results'!$S$99&lt;&gt;"data missing"), Calc!BD15*'Waste results'!$S$63+Calc!BE15*'Waste results'!$S$99, "data missing"),
   IF(OR('Waste results'!$S$27&lt;&gt;"data missing", 'Waste results'!$S$63&lt;&gt;"data missing", 'Waste results'!$S$99&lt;&gt;"data missing"), Calc!BC15*'Waste results'!$S$27+Calc!BD15*'Waste results'!$S$63+ Calc!BE15*'Waste results'!$S$99, "data missing")))))))))))</f>
        <v/>
      </c>
      <c r="AW17" s="239" t="str">
        <f ca="1">IF($B17="","",
IF(ISBLANK('Soil results'!M20),"data missing",'Soil results'!M20))</f>
        <v/>
      </c>
      <c r="AX17" s="239" t="str">
        <f t="shared" ca="1" si="10"/>
        <v/>
      </c>
      <c r="AY17" s="9" t="str">
        <f ca="1">IF(B17="","",
IF(AV17=0,"n/a",
IF(OR(AV17="data missing",AW17="data missing"),"data missing",
IF(AV17&gt;7.5,"application rate too high - permissible rate exceeds limit",
IF('Soil results'!$F20&lt;=5.5,
  IF(AW17&gt;80,"no application - soil conc. already above limit",
  IF(AX17&gt;80,"application rate too high - soil conc. will exceed limit",
  IF(AW17&gt;80*0.9,"soil conc. is at or above 90% of the limit",
  IF(10*AV17*1000/3000+AW17&gt;80,"soil limit likely to be exceeded in 10yrs",
  IF(50*AV17*1000/3000+AW17&gt;80,"soil limit likely to be exceeded in 50yrs","ok"))))),
IF('Soil results'!$F20&lt;=6,
  IF(AW17&gt;100,"no application - soil conc. already above limit",
  IF(AX17&gt;100,"application rate too high - soil conc. will exceed limit",
  IF(AW17&gt;100*0.9,"soil conc. is at or above 90% of the limit",
  IF(10*AV17*1000/3000+AW17&gt;100,"soil limit likely to be exceeded in 10yrs",
  IF(50*AV17*1000/3000+AW17&gt;100,"soil limit likely to be exceeded in 50yrs","ok"))))),
IF('Soil results'!$F20&lt;=7,
  IF(AW17&gt;135,"no application - soil conc. already above limit",
  IF(AX17&gt;135,"application rate too high - soil conc. will exceed limit",
  IF(AW17&gt;135*0.9,"soil conc. is at or above 90% of the limit",
  IF(10*AV17*1000/3000+AW17&gt;135,"soil limit likely to be exceeded in 10yrs",
  IF(50*AV17*1000/3000+AW17&gt;135,"soil limit likely to be exceeded in 50yrs","ok"))))),
IF('Soil results'!$F20&gt;7,
  IF(AW17&gt;200,"no application - soil conc. already above limit",
  IF(AX17&gt;200,"application too high - soil conc. will exceed limit",
  IF(AW17&gt;200*0.9,"soil conc. is at or above 90% of the limit",
  IF(10*AV17*1000/3000+AW17&gt;200,"soil limit likely to be exceeded in 10yrs",
  IF(50*AV17*1000/3000+AW17&gt;200,"soil limit likely to be exceeded in 50yrs","ok")))))
))))))))</f>
        <v/>
      </c>
      <c r="BA17" s="238" t="str">
        <f ca="1">IF(B17="","",
IF(AND('Field information 2'!$O$5="", 'Field information 2'!$Q$5=""),
   IF('Waste results'!$S$28&lt;&gt;"data missing", Calc!BC15*'Waste results'!$S$28, "data missing"),
IF('Field information 2'!$Q$5="",
   IF(Calc!BD15=0,
     IF('Waste results'!$S$28&lt;&gt;"data missing", Calc!BC15*'Waste results'!$S$28, "data missing"),
   IF(Calc!BC15=0,
     IF('Waste results'!$S$64&lt;&gt;"data missing", Calc!BD15*'Waste results'!$S$64, "data missing"),
   IF(OR('Waste results'!$S$28&lt;&gt;"data missing", 'Waste results'!$S$64&lt;&gt;"data missing"), Calc!BC15*'Waste results'!$S$28+ Calc!BD15*'Waste results'!$S$64, "data missing"))),
IF(AND('Field information 2'!$M$5&lt;&gt;"", 'Field information 2'!$O$5&lt;&gt;"", 'Field information 2'!$Q$5&lt;&gt;""),
   IF(AND(Calc!BD15=0,Calc!BE15=0),
     IF('Waste results'!$S$28&lt;&gt;"data missing", Calc!BC15*'Waste results'!$S$28, "data missing"),
   IF(AND(Calc!BC15=0,Calc!BE15=0),
     IF('Waste results'!$S$64&lt;&gt;"data missing", Calc!BD15*'Waste results'!$S$64, "data missing"),
   IF(AND(Calc!BC15=0,Calc!BD15=0),
     IF('Waste results'!$S$100&lt;&gt;"data missing", Calc!BE15*'Waste results'!$S$100, "data missing"),
   IF(Calc!BE15=0,
     IF(OR('Waste results'!$S$28&lt;&gt;"data missing", 'Waste results'!$S$64&lt;&gt;"data missing"), Calc!BC15*'Waste results'!$S$28+ Calc!BD15*'Waste results'!$S$64, "data missing"),
   IF(Calc!BD15=0,
     IF(OR('Waste results'!$S$28&lt;&gt;"data missing", 'Waste results'!$S$100&lt;&gt;"data missing"), Calc!BC15*'Waste results'!$S$28+ Calc!BE15*'Waste results'!$S$100, "data missing"),
   IF(Calc!BC15=0,
     IF(OR('Waste results'!$S$64&lt;&gt;"data missing", 'Waste results'!$S$100&lt;&gt;"data missing"), Calc!BD15*'Waste results'!$S$64+Calc!BE15*'Waste results'!$S$100, "data missing"),
   IF(OR('Waste results'!$S$28&lt;&gt;"data missing", 'Waste results'!$S$64&lt;&gt;"data missing", 'Waste results'!$S$100&lt;&gt;"data missing"), Calc!BC15*'Waste results'!$S$28+Calc!BD15*'Waste results'!$S$64+ Calc!BE15*'Waste results'!$S$100, "data missing")))))))))))</f>
        <v/>
      </c>
      <c r="BB17" s="239" t="str">
        <f ca="1">IF($B17="","",
IF(ISBLANK('Soil results'!N20),"data missing",'Soil results'!N20))</f>
        <v/>
      </c>
      <c r="BC17" s="239" t="str">
        <f t="shared" ca="1" si="11"/>
        <v/>
      </c>
      <c r="BD17" s="9" t="str">
        <f t="shared" ca="1" si="12"/>
        <v/>
      </c>
      <c r="BF17" s="238" t="str">
        <f ca="1">IF(B17="","",
IF(AND('Field information 2'!$O$5="", 'Field information 2'!$Q$5=""),
   IF('Waste results'!$S$29&lt;&gt;"data missing", Calc!BC15*'Waste results'!$S$29, "data missing"),
IF('Field information 2'!$Q$5="",
   IF(Calc!BD15=0,
     IF('Waste results'!$S$29&lt;&gt;"data missing", Calc!BC15*'Waste results'!$S$29, "data missing"),
   IF(Calc!BC15=0,
     IF('Waste results'!$S$65&lt;&gt;"data missing", Calc!BD15*'Waste results'!$S$65, "data missing"),
   IF(OR('Waste results'!$S$29&lt;&gt;"data missing", 'Waste results'!$S$65&lt;&gt;"data missing"), Calc!BC15*'Waste results'!$S$29+ Calc!BD15*'Waste results'!$S$65, "data missing"))),
IF(AND('Field information 2'!$M$5&lt;&gt;"", 'Field information 2'!$O$5&lt;&gt;"", 'Field information 2'!$Q$5&lt;&gt;""),
   IF(AND(Calc!BD15=0,Calc!BE15=0),
     IF('Waste results'!$S$29&lt;&gt;"data missing", Calc!BC15*'Waste results'!$S$29, "data missing"),
   IF(AND(Calc!BC15=0,Calc!BE15=0),
     IF('Waste results'!$S$65&lt;&gt;"data missing", Calc!BD15*'Waste results'!$S$65, "data missing"),
   IF(AND(Calc!BC15=0,Calc!BD15=0),
     IF('Waste results'!$S$101&lt;&gt;"data missing", Calc!BE15*'Waste results'!$S$101, "data missing"),
   IF(Calc!BE15=0,
     IF(OR('Waste results'!$S$29&lt;&gt;"data missing", 'Waste results'!$S$65&lt;&gt;"data missing"), Calc!BC15*'Waste results'!$S$29+ Calc!BD15*'Waste results'!$S$65, "data missing"),
   IF(Calc!BD15=0,
     IF(OR('Waste results'!$S$29&lt;&gt;"data missing", 'Waste results'!$S$101&lt;&gt;"data missing"), Calc!BC15*'Waste results'!$S$29+ Calc!BE15*'Waste results'!$S$101, "data missing"),
   IF(Calc!BC15=0,
     IF(OR('Waste results'!$S$65&lt;&gt;"data missing", 'Waste results'!$S$101&lt;&gt;"data missing"), Calc!BD15*'Waste results'!$S$65+Calc!BE15*'Waste results'!$S$101, "data missing"),
   IF(OR('Waste results'!$S$29&lt;&gt;"data missing", 'Waste results'!$S$65&lt;&gt;"data missing", 'Waste results'!$S$101&lt;&gt;"data missing"), Calc!BC15*'Waste results'!$S$29+Calc!BD15*'Waste results'!$S$65+ Calc!BE15*'Waste results'!$S$101, "data missing")))))))))))</f>
        <v/>
      </c>
      <c r="BG17" s="239" t="str">
        <f ca="1">IF($B17="","",
IF(ISBLANK('Soil results'!O20),"data missing",'Soil results'!O20))</f>
        <v/>
      </c>
      <c r="BH17" s="239" t="str">
        <f t="shared" ca="1" si="13"/>
        <v/>
      </c>
      <c r="BI17" s="9" t="str">
        <f ca="1">IF(B17="","",
IF(BF17=0,"n/a",
IF(OR(BF17="data missing",BG17="data missing"),"data missing",
IF(BF17&gt;3,"application rate too high - permissible rate exceeds limit",
IF('Soil results'!F20&lt;=5.5,
  IF(BG17&gt;50,"no application - soil conc. already above limit",
  IF(BH17&gt;50,"application rate too high - soil conc. will exceed limit",
  IF(BG17&gt;50*0.9,"soil conc. is at or above 90% of the limit",
  IF(10*BF17*1000/3000+BG17&gt;50,"soil limit likely to be exceeded in 10yrs",
  IF(50*BF17*1000/3000+BG17&gt;50,"soil limit likely to be exceeded in 50yrs","ok"))))),
IF('Soil results'!F20&lt;=6,
  IF(BG17&gt;60,"no application - soil conc. already above limit",
  IF(BH17&gt;60,"application rate too high - soil conc. will exceed limit",
  IF(BG17&gt;60*0.9,"soil conc. is at or above 90% of the limit",
  IF(10*BF17*1000/3000+BG17&gt;60,"soil limit likely to be exceeded in 10yrs",
  IF(50*BF17*1000/3000+BG17&gt;60,"soil limit likely to be exceeded in 50yrs","ok"))))),
IF('Soil results'!F20&lt;=7,
  IF(BG17&gt;75,"no application - soil conc. already above limit",
  IF(BH17&gt;75,"application rate too high - soil conc. will exceed limit",
  IF(BG17&gt;75*0.9,"soil conc. is at or above 90% of the limit",
  IF(10*BF17*1000/3000+BG17&gt;75,"soil limit likely to be exceeded in 10yrs",
  IF(50*BF17*1000/3000+BG17&gt;75,"soil limit likely to be exceeded in 50yrs","ok"))))),
IF('Soil results'!F20&gt;7,
  IF(BG17&gt;100,"no application - soil conc. already above limit",
  IF(BH17&gt;100,"application rate too high - soil conc. will exceed limit",
  IF(BG17&gt;100*0.9,"soil conc. is at or above 90% of the limit",
  IF(10*BF17*1000/3000+BG17&gt;100,"soil limit likely to be exceeded in 10yrs",
  IF(50*BF17*1000/3000+BG17&gt;100,"soil limit likely to beexceeded in 50yrs","ok")))))
))))))))</f>
        <v/>
      </c>
      <c r="BK17" s="240" t="str">
        <f ca="1">IF(B17="","",
IF(AND('Field information 2'!$O$5="", 'Field information 2'!$Q$5=""),
   IF('Waste results'!$S$30&lt;&gt;"data missing", Calc!BC15*'Waste results'!$S$30, "data missing"),
IF('Field information 2'!$Q$5="",
   IF(Calc!BD15=0,
     IF('Waste results'!$S$30&lt;&gt;"data missing", Calc!BC15*'Waste results'!$S$30, "data missing"),
   IF(Calc!BC15=0,
     IF('Waste results'!$S$66&lt;&gt;"data missing", Calc!BD15*'Waste results'!$S$66, "data missing"),
   IF(OR('Waste results'!$S$30&lt;&gt;"data missing", 'Waste results'!$S$66&lt;&gt;"data missing"), Calc!BC15*'Waste results'!$S$30+ Calc!BD15*'Waste results'!$S$66, "data missing"))),
IF(AND('Field information 2'!$M$5&lt;&gt;"", 'Field information 2'!$O$5&lt;&gt;"", 'Field information 2'!$Q$5&lt;&gt;""),
   IF(AND(Calc!BD15=0,Calc!BE15=0),
     IF('Waste results'!$S$30&lt;&gt;"data missing", Calc!BC15*'Waste results'!$S$30, "data missing"),
   IF(AND(Calc!BC15=0,Calc!BE15=0),
     IF('Waste results'!$S$66&lt;&gt;"data missing", Calc!BD15*'Waste results'!$S$66, "data missing"),
   IF(AND(Calc!BC15=0,Calc!BD15=0),
     IF('Waste results'!$S$102&lt;&gt;"data missing", Calc!BE15*'Waste results'!$S$102, "data missing"),
   IF(Calc!BE15=0,
     IF(OR('Waste results'!$S$30&lt;&gt;"data missing", 'Waste results'!$S$66&lt;&gt;"data missing"), Calc!BC15*'Waste results'!$S$30+ Calc!BD15*'Waste results'!$S$66, "data missing"),
   IF(Calc!BD15=0,
     IF(OR('Waste results'!$S$30&lt;&gt;"data missing", 'Waste results'!$S$102&lt;&gt;"data missing"), Calc!BC15*'Waste results'!$S$30+ Calc!BE15*'Waste results'!$S$102, "data missing"),
   IF(Calc!BC15=0,
     IF(OR('Waste results'!$S$66&lt;&gt;"data missing", 'Waste results'!$S$102&lt;&gt;"data missing"), Calc!BD15*'Waste results'!$S$66+Calc!BE15*'Waste results'!$S$102, "data missing"),
   IF(OR('Waste results'!$S$30&lt;&gt;"data missing", 'Waste results'!$S$66&lt;&gt;"data missing", 'Waste results'!$S$102&lt;&gt;"data missing"), Calc!BC15*'Waste results'!$S$30+Calc!BD15*'Waste results'!$S$66+ Calc!BE15*'Waste results'!$S$102, "data missing")))))))))))</f>
        <v/>
      </c>
      <c r="BL17" s="241" t="str">
        <f ca="1">IF($B17="","",
IF(ISBLANK('Soil results'!P20),"data missing",'Soil results'!P20))</f>
        <v/>
      </c>
      <c r="BM17" s="241" t="str">
        <f t="shared" ca="1" si="14"/>
        <v/>
      </c>
      <c r="BN17" s="66" t="str">
        <f t="shared" ca="1" si="15"/>
        <v/>
      </c>
      <c r="BP17" s="238" t="str">
        <f ca="1">IF(B17="","",
IF(AND('Field information 2'!$O$5="", 'Field information 2'!$Q$5=""),
   IF('Waste results'!$S$31&lt;&gt;"data missing", Calc!BC15*'Waste results'!$S$31, "data missing"),
IF('Field information 2'!$Q$5="",
   IF(Calc!BD15=0,
     IF('Waste results'!$S$31&lt;&gt;"data missing", Calc!BC15*'Waste results'!$S$31, "data missing"),
   IF(Calc!BC15=0,
     IF('Waste results'!$S$67&lt;&gt;"data missing", Calc!BD15*'Waste results'!$S$67, "data missing"),
   IF(OR('Waste results'!$S$31&lt;&gt;"data missing", 'Waste results'!$S$67&lt;&gt;"data missing"), Calc!BC15*'Waste results'!$S$31+ Calc!BD15*'Waste results'!$S$67, "data missing"))),
IF(AND('Field information 2'!$M$5&lt;&gt;"", 'Field information 2'!$O$5&lt;&gt;"", 'Field information 2'!$Q$5&lt;&gt;""),
   IF(AND(Calc!BD15=0,Calc!BE15=0),
     IF('Waste results'!$S$31&lt;&gt;"data missing", Calc!BC15*'Waste results'!$S$31, "data missing"),
   IF(AND(Calc!BC15=0,Calc!BE15=0),
     IF('Waste results'!$S$67&lt;&gt;"data missing", Calc!BD15*'Waste results'!$S$67, "data missing"),
   IF(AND(Calc!BC15=0,Calc!BD15=0),
     IF('Waste results'!$S$103&lt;&gt;"data missing", Calc!BE15*'Waste results'!$S$103, "data missing"),
   IF(Calc!BE15=0,
     IF(OR('Waste results'!$S$31&lt;&gt;"data missing", 'Waste results'!$S$67&lt;&gt;"data missing"), Calc!BC15*'Waste results'!$S$31+ Calc!BD15*'Waste results'!$S$67, "data missing"),
   IF(Calc!BD15=0,
     IF(OR('Waste results'!$S$31&lt;&gt;"data missing", 'Waste results'!$S$103&lt;&gt;"data missing"), Calc!BC15*'Waste results'!$S$31+ Calc!BE15*'Waste results'!$S$103, "data missing"),
   IF(Calc!BC15=0,
     IF(OR('Waste results'!$S$67&lt;&gt;"data missing", 'Waste results'!$S$103&lt;&gt;"data missing"), Calc!BD15*'Waste results'!$S$67+Calc!BE15*'Waste results'!$S$103, "data missing"),
   IF(OR('Waste results'!$S$31&lt;&gt;"data missing", 'Waste results'!$S$67&lt;&gt;"data missing", 'Waste results'!$S$103&lt;&gt;"data missing"), Calc!BC15*'Waste results'!$S$31+Calc!BD15*'Waste results'!$S$67+ Calc!BE15*'Waste results'!$S$103, "data missing")))))))))))</f>
        <v/>
      </c>
      <c r="BQ17" s="239" t="str">
        <f ca="1">IF($B17="","",
IF(ISBLANK('Soil results'!Q20),"data missing",'Soil results'!Q20))</f>
        <v/>
      </c>
      <c r="BR17" s="239" t="str">
        <f t="shared" ca="1" si="16"/>
        <v/>
      </c>
      <c r="BS17" s="9" t="str">
        <f ca="1">IF(B17="","",
IF(BP17=0,"n/a",
IF(OR(BP17="data missing",BQ17=""),"data missing",
IF(BP17&gt;15,"application rate too high - permissible rate exceeds limit",
IF('Soil results'!F20&lt;=5.5,
  IF(BQ17&gt;200,"no application - soil conc. already above limit",
  IF(BR17&gt;200,"application rate too high - soil conc. will exceed limit",
  IF(BQ17&gt;200*0.9,"soil conc. is at or above 90% of the limit",
  IF(10*BP17*1000/3000+BQ17&gt;200,"soil limit likely to be exceeded in 10yrs",
  IF(50*BP17*1000/3000+BQ17&gt;200,"soil limit likely to be exceeded in 50yrs","ok"))))),
IF('Soil results'!F20&lt;=6,
  IF(BQ17&gt;250,"no application - soil conc. already above limit",
  IF(BR17&gt;250,"application rate too high - soil conc. will exceed limit",
  IF(BQ17&gt;250*0.9,"soil conc. is at or above 90% of the limit",
  IF(10*BP17*1000/3000+BQ17&gt;250,"soil limit likely to be exceeded in 10yrs",
  IF(50*BP17*1000/3000+BQ17&gt;250,"soil limit likely to be exceeded in 50yrs","ok"))))),
IF('Soil results'!F20&lt;=7,
  IF(BQ17&gt;300,"no application - soil conc. already above limit",
  IF(BR17&gt;300,"application rate too high - soil conc. will exceed limit",
  IF(BQ17&gt;300*0.9,"soil conc. is at or above 90% of the limit",
  IF(10*BP17*1000/3000+BQ17&gt;300,"soil limit likey to be exceeded in 10yrs",
  IF(50*BP17*1000/3000+BQ17&gt;300,"soil limit likely to be exceeded in 50yrs","ok"))))),
IF('Soil results'!F20&gt;7,
  IF(BQ17&gt;450,"no application - soil conc. already above limit",
  IF(BR17&gt;450,"application rate too high - soil conc. will exceed limit",
  IF(AW17&gt;450*0.9,"soil conc. is at or above 90% of the limit",
  IF(10*BP17*1000/3000+BQ17&gt;450,"soil limit likely to be exceeded in 10yrs",
  IF(50*BP17*1000/3000+BQ17&gt;450,"soil limit likely to be exceeded in 50yrs","ok")))))
))))))))</f>
        <v/>
      </c>
    </row>
    <row r="18" spans="2:71" s="9" customFormat="1" x14ac:dyDescent="0.35">
      <c r="B18" s="236" t="str">
        <f ca="1">'Soil results'!B21</f>
        <v/>
      </c>
      <c r="C18" s="91" t="str">
        <f ca="1">IF(B18="","",
IF(AND('Field information 2'!$O$5="", 'Field information 2'!$Q$5=""),
   IF('Waste results'!$S$12&lt;&gt;"data missing", Calc!BC16*'Waste results'!$S$12, "data missing"),
IF('Field information 2'!$Q$5="",
   IF(Calc!BD16=0,
     IF('Waste results'!$S$12&lt;&gt;"data missing", Calc!BC16*'Waste results'!$S$12, "data missing"),
   IF(Calc!BC16=0,
     IF('Waste results'!$S$48&lt;&gt;"data missing", Calc!BD16*'Waste results'!$S$48, "data missing"),
   IF(OR('Waste results'!$S$12&lt;&gt;"data missing", 'Waste results'!$S$48&lt;&gt;"data missing"), Calc!BC16*'Waste results'!$S$12+ Calc!BD16*'Waste results'!$S$48, "data missing"))),
IF(AND('Field information 2'!$M$5&lt;&gt;"", 'Field information 2'!$O$5&lt;&gt;"", 'Field information 2'!$Q$5&lt;&gt;""),
   IF(AND(Calc!BD16=0,Calc!BE16=0),
     IF('Waste results'!$S$12&lt;&gt;"data missing", Calc!BC16*'Waste results'!$S$12, "data missing"),
   IF(AND(Calc!BC16=0,Calc!BE16=0),
     IF('Waste results'!$S$48&lt;&gt;"data missing", Calc!BD16*'Waste results'!$S$48, "data missing"),
   IF(AND(Calc!BC16=0,Calc!BD16=0),
     IF('Waste results'!$S$84&lt;&gt;"data missing", Calc!BE16*'Waste results'!$S$84, "data missing"),
   IF(Calc!BE16=0,
     IF(OR('Waste results'!$S$12&lt;&gt;"data missing", 'Waste results'!$S$48&lt;&gt;"data missing"), Calc!BC16*'Waste results'!$S$12+ Calc!BD16*'Waste results'!$S$48, "data missing"),
   IF(Calc!BD16=0,
     IF(OR('Waste results'!$S$12&lt;&gt;"data missing", 'Waste results'!$S$84&lt;&gt;"data missing"), Calc!BC16*'Waste results'!$S$12+ Calc!BE16*'Waste results'!$S$84, "data missing"),
   IF(Calc!BC16=0,
     IF(OR('Waste results'!$S$48&lt;&gt;"data missing", 'Waste results'!$S$84&lt;&gt;"data missing"), Calc!BD16*'Waste results'!$S$48+Calc!BE16*'Waste results'!$S$84, "data missing"),
   IF(OR('Waste results'!$S$12&lt;&gt;"data missing", 'Waste results'!$S$48&lt;&gt;"data missing", 'Waste results'!$S$84&lt;&gt;"data missing"), Calc!BC16*'Waste results'!$S$12+Calc!BD16*'Waste results'!$S$48+ Calc!BE16*'Waste results'!$S$84, "data missing")))))))))))</f>
        <v/>
      </c>
      <c r="D18" s="161" t="str">
        <f ca="1">IF(B18="","",
IF(Calc!BG16="","soil texture missing",
IF(OR(Calc!BG16="SL; SZL; ZL",Calc!BG16="SCL; CL; ZCL; SC; ZC; C"),VLOOKUP(Calc!BI16,'Fertiliser recommendations'!$A$4:$C$63,3,FALSE),
IF(Calc!BG16="S; LS",VLOOKUP(Calc!BI16,'Fertiliser recommendations'!$A$4:$C$63,3,FALSE)+VLOOKUP(Calc!BI16,'Fertiliser recommendations'!$A$4:$D$63,4,FALSE),
IF(Calc!BG16="10-25% OM",VLOOKUP(Calc!BI16,'Fertiliser recommendations'!$A$4:$C$63,3,FALSE)+VLOOKUP(Calc!BI16,'Fertiliser recommendations'!$A$4:$E$63,5,FALSE),
IF(Calc!BG16="&gt;25% OM",VLOOKUP(Calc!BI16,'Fertiliser recommendations'!$A$4:$C$63,3,FALSE)+VLOOKUP(Calc!BI16,'Fertiliser recommendations'!$A$4:$F$63,6,FALSE),
""))))))</f>
        <v/>
      </c>
      <c r="E18" s="91" t="str">
        <f t="shared" ca="1" si="0"/>
        <v/>
      </c>
      <c r="F18" s="9" t="str">
        <f ca="1">IF(B18="","",
IF(OR(C18="data missing",D18="soil texture missing"),"data missing",
IF(Calc!BF16=0,"n/a",
IF(C18&lt;0.1*D18,"no benefit",
IF(C18&lt;0.3*D18,"limited benefit",
IF(C18&gt;250,"exceeds limit",
IF(OR(AND(D18=0,C18&gt;75),C18&gt;1.25*D18),"excessive",
IF(D18=0, "no requirement",
"benefit"))))))))</f>
        <v/>
      </c>
      <c r="H18" s="91" t="str">
        <f ca="1">IF(B18="","",
IF(AND('Field information 2'!$O$5="", 'Field information 2'!$Q$5=""),
   IF('Waste results'!$S$17&lt;&gt;"data missing", Calc!BC16*'Waste results'!$S$17, "data missing"),
IF('Field information 2'!$Q$5="",
   IF(Calc!BD16=0,
     IF('Waste results'!$S$17&lt;&gt;"data missing", Calc!BC16*'Waste results'!$S$17, "data missing"),
   IF(Calc!BC16=0,
     IF('Waste results'!$S$53&lt;&gt;"data missing", Calc!BD16*'Waste results'!$S$53, "data missing"),
   IF(OR('Waste results'!$S$17&lt;&gt;"data missing", 'Waste results'!$S$53&lt;&gt;"data missing"), Calc!BC16*'Waste results'!$S$17+ Calc!BD16*'Waste results'!$S$53, "data missing"))),
IF(AND('Field information 2'!$M$5&lt;&gt;"", 'Field information 2'!$O$5&lt;&gt;"", 'Field information 2'!$Q$5&lt;&gt;""),
   IF(AND(Calc!BD16=0,Calc!BE16=0),
     IF('Waste results'!$S$17&lt;&gt;"data missing", Calc!BC16*'Waste results'!$S$17, "data missing"),
   IF(AND(Calc!BC16=0,Calc!BE16=0),
     IF('Waste results'!$S$53&lt;&gt;"data missing", Calc!BD16*'Waste results'!$S$53, "data missing"),
   IF(AND(Calc!BC16=0,Calc!BD16=0),
     IF('Waste results'!$S$89&lt;&gt;"data missing", Calc!BE16*'Waste results'!$S$89, "data missing"),
   IF(Calc!BE16=0,
     IF(OR('Waste results'!$S$17&lt;&gt;"data missing", 'Waste results'!$S$53&lt;&gt;"data missing"), Calc!BC16*'Waste results'!$S$17+ Calc!BD16*'Waste results'!$S$53, "data missing"),
   IF(Calc!BD16=0,
     IF(OR('Waste results'!$S$17&lt;&gt;"data missing", 'Waste results'!$S$89&lt;&gt;"data missing"), Calc!BC16*'Waste results'!$S$17+ Calc!BE16*'Waste results'!$S$89, "data missing"),
   IF(Calc!BC16=0,
     IF(OR('Waste results'!$S$53&lt;&gt;"data missing", 'Waste results'!$S$89&lt;&gt;"data missing"), Calc!BD16*'Waste results'!$S$53+Calc!BE16*'Waste results'!$S$89, "data missing"),
   IF(OR('Waste results'!$S$17&lt;&gt;"data missing", 'Waste results'!$S$53&lt;&gt;"data missing", 'Waste results'!$S$89&lt;&gt;"data missing"), Calc!BC16*'Waste results'!$S$17+Calc!BD16*'Waste results'!$S$53+ Calc!BE16*'Waste results'!$S$89, "data missing")))))))))))</f>
        <v/>
      </c>
      <c r="I18" s="195" t="str">
        <f ca="1">IF(B18="","",
IF(OR(ISBLANK('Soil results'!G21), ISBLANK('Soil results'!G$7)),"data missing",
IF(OR(AND('Soil results'!G$7="Olsen (ADAS)",'Soil results'!G21&lt;16),AND('Soil results'!G$7="modified Morgan (SAC)",'Soil results'!G21&lt;4.5)),50,100)))</f>
        <v/>
      </c>
      <c r="J18" s="49" t="str">
        <f ca="1">IF(B18="","",
IF(OR(ISBLANK('Soil results'!G$7),ISBLANK('Soil results'!G21)),"data missing",
IF(OR(AND('Soil results'!G$7="Olsen (ADAS)",'Soil results'!G21&gt;45),AND('Soil results'!G$7="modified Morgan (SAC)",'Soil results'!G21&gt;30)),0,
IF(OR(AND('Soil results'!G$7="Olsen (ADAS)",'Soil results'!G21&gt;=16,'Soil results'!G21&lt;=20),AND('Soil results'!G$7="modified Morgan (SAC)",'Soil results'!G21&gt;=4.5,'Soil results'!G21&lt;=9.4)),VLOOKUP(Calc!BI16,'Fertiliser recommendations'!$A$4:$I$63,9,FALSE),
IF(OR(AND('Soil results'!G$7="Olsen (ADAS)",'Soil results'!G21&lt;10),AND('Soil results'!G$7="modified Morgan (SAC)",'Soil results'!G21&lt;1.8)),VLOOKUP(Calc!BI16,'Fertiliser recommendations'!$A$4:$I$63,9,FALSE)+VLOOKUP(Calc!BI16,'Fertiliser recommendations'!$A$4:$J$63,10,FALSE),
IF(OR(AND('Soil results'!G$7="Olsen (ADAS)",'Soil results'!G21&lt;16),AND('Soil results'!G$7="modified Morgan (SAC)",'Soil results'!G21&lt;4.5)),VLOOKUP(Calc!BI16,'Fertiliser recommendations'!$A$4:$I$63,9,FALSE)+VLOOKUP(Calc!BI16,'Fertiliser recommendations'!$A$4:$K$63,11,FALSE),
IF(OR(AND('Soil results'!G$7="Olsen (ADAS)",'Soil results'!G21&lt;26),AND('Soil results'!G$7="modified Morgan (SAC)",'Soil results'!G21&lt;13.5)),VLOOKUP(Calc!BI16,'Fertiliser recommendations'!$A$4:$I$63,9,FALSE)+VLOOKUP(Calc!BI16,'Fertiliser recommendations'!$A$4:$L$63,12,FALSE),
IF(OR(AND('Soil results'!G$7="Olsen (ADAS)",'Soil results'!G21&lt;=45),AND('Soil results'!G$7="modified Morgan (SAC)",'Soil results'!G21&lt;=30)),VLOOKUP(Calc!BI16,'Fertiliser recommendations'!$A$4:$I$63,9,FALSE)+VLOOKUP(Calc!BI16,'Fertiliser recommendations'!$A$4:$M$63,13,FALSE),
""))))))))</f>
        <v/>
      </c>
      <c r="K18" s="161" t="str">
        <f t="shared" ca="1" si="1"/>
        <v/>
      </c>
      <c r="L18" s="47" t="str">
        <f ca="1">IF(OR(ISBLANK('Soil results'!G$7),ISBLANK('Soil results'!G21),B18="", H18="data missing"),"",
IF('Soil results'!G$7="Olsen (ADAS)",
IF(((H18*Calc!BM16/2.291-(VLOOKUP(Calc!BI16,'Fertiliser recommendations'!$A$4:$I$63,9,FALSE))/2.291)*10/(400/2.291)+'Soil results'!G21)&lt;10,"0 (VL)",
IF(((H18*Calc!BM16/2.291-(VLOOKUP(Calc!BI16,'Fertiliser recommendations'!$A$4:$I$63,9,FALSE))/2.291)*10/(400/2.291)+'Soil results'!G21)&lt;16,"1 (L)",
IF(((H18*Calc!BM16/2.291-(VLOOKUP(Calc!BI16,'Fertiliser recommendations'!$A$4:$I$63,9,FALSE))/2.291)*10/(400/2.291)+'Soil results'!G21)&lt;21,"2 (M-)",
IF(((H18*Calc!BM16/2.291-(VLOOKUP(Calc!BI16,'Fertiliser recommendations'!$A$4:$I$63,9,FALSE))/2.291)*10/(400/2.291)+'Soil results'!G21)&lt;26,"2 (M+)",
IF(((H18*Calc!BM16/2.291-(VLOOKUP(Calc!BI16,'Fertiliser recommendations'!$A$4:$I$63,9,FALSE))/2.291)*10/(400/2.291)+'Soil results'!G21)&lt;45,"3 (H)","&gt;3 (VH)"))))),
IF('Soil results'!G$7="modified Morgan (SAC)",
IF('Soil results'!G21&gt;=6,
IF(((H18*Calc!BM16/2.291-(VLOOKUP(Calc!BI16,'Fertiliser recommendations'!$A$4:$I$63,9,FALSE))/2.291)*5/(147/2.291)+'Soil results'!G21)&lt;9.5,"2 (M-)",
IF(((H18*Calc!BM16/2.291-(VLOOKUP(Calc!BI16,'Fertiliser recommendations'!$A$4:$I$63,9,FALSE))/2.291)*5/(147/2.291)+'Soil results'!G21)&lt;13.5,"2 (M+)",
IF(((H18*Calc!BM16/2.291-(VLOOKUP(Calc!BI16,'Fertiliser recommendations'!$A$4:$I$63,9,FALSE))/2.291)*5/(147/2.291)+'Soil results'!G21)&lt;30,"3 (H)","4 (VH)"))),
IF(((H18*Calc!BM16/2.291-(VLOOKUP(Calc!BI16,'Fertiliser recommendations'!$A$4:$I$63,9,FALSE))/2.291)*5/(346/2.291)+'Soil results'!G21)&lt;1.8,"0 (VL)",
IF(((H18*Calc!BM16/2.291-(VLOOKUP(Calc!BI16,'Fertiliser recommendations'!$A$4:$I$63,9,FALSE))/2.291)*5/(147/2.291)+'Soil results'!G21)&lt;4.5,"1 (L)","2 (M-)"))))))</f>
        <v/>
      </c>
      <c r="M18" s="9" t="str">
        <f ca="1">IF(B18="","",
IF(OR(H18="data missing",I18="data missing",J18="data missing"),"data missing",
IF(Calc!BF16=0,"n/a",
IF(OR(AND('Soil results'!G$7="Olsen (ADAS)",'Soil results'!G21&gt;45),AND('Soil results'!G$7="modified Morgan (SAC)",'Soil results'!G21&gt;30)),
IF(H18&gt;2,"too high, not acceptable","no requirement"),IF(OR(AND('Soil results'!G$7="Olsen (ADAS)",'Soil results'!G21&gt;25),AND('Soil results'!G$7="modified Morgan (SAC)",'Soil results'!G21&gt;13.4)),
IF(H18*(I18/100)&lt;0.1*J18,"no benefit",
IF(H18*(I18/100)&lt;0.3*J18,"limited benefit",
IF(H18*(I18/100)&lt;1.1*J18,"benefit",
IF(H18*(I18/100)&lt;0.7*VLOOKUP(Calc!BI16,'Fertiliser recommendations'!$A$4:$I$63,9,FALSE),"excessive","too high, not acceptable")))),
IF(OR(AND('Soil results'!G$7="Olsen (ADAS)",'Soil results'!G21&gt;20),AND('Soil results'!G$7="modified Morgan (SAC)",'Soil results'!G21&gt;9.4)),
IF(H18*Calc!BM16*(I18/100)&lt;0.1*J18,"no benefit",
IF(H18*Calc!BM16*(I18/100)&lt;0.3*J18,"limited benefit",
IF(H18*Calc!BM16*(I18/100)&lt;1.1*J18,"benefit",
IF(L18="3 (H)","too high, not acceptable","excessive")))),
IF(OR(AND('Soil results'!G$7="Olsen (ADAS)",'Soil results'!G21&gt;15),AND('Soil results'!G$7="modified Morgan (SAC)",'Soil results'!G21&gt;4.4)),
IF(H18*Calc!BM16*(I18/100)&lt;0.1*VLOOKUP(Calc!BI16,'Fertiliser recommendations'!$A$4:$I$63,9,FALSE),"no benefit",
IF(H18*Calc!BM16*(I18/100)&lt;0.3*VLOOKUP(Calc!BI16,'Fertiliser recommendations'!$A$4:$I$63,9,FALSE),"limited benefit",
IF(H18*Calc!BM16*(I18/100)&lt;1.1*VLOOKUP(Calc!BI16,'Fertiliser recommendations'!$A$4:$I$63,9,FALSE),"benefit",
IF(L18="3 (H)", "too high, not acceptable", "excessive")))),
IF(OR(AND('Soil results'!G$7="Olsen (ADAS)",'Soil results'!G21&lt;=15),AND('Soil results'!G$7="modified Morgan (SAC)",'Soil results'!G21&lt;=4.4)),
IF(H18*Calc!BM16*(I18/100)&lt;0.1*VLOOKUP(Calc!BI16,'Fertiliser recommendations'!$A$4:$I$63,9,FALSE),"no benefit",
IF(H18*Calc!BM16*(I18/100)&lt;0.3*VLOOKUP(Calc!BI16,'Fertiliser recommendations'!$A$4:$I$63,9,FALSE),"limited benefit",
IF(H18*Calc!BM16*(I18/100)&lt;1.1*J18,"benefit","excessive")))))))))))</f>
        <v/>
      </c>
      <c r="O18" s="91" t="str">
        <f ca="1">IF(B18="","",
IF(AND('Field information 2'!$O$5="", 'Field information 2'!$Q$5=""),
   IF('Waste results'!$S$19&lt;&gt;"data missing", Calc!BC16*'Waste results'!$S$19, "data missing"),
IF('Field information 2'!$Q$5="",
   IF(Calc!BD16=0,
     IF('Waste results'!$S$19&lt;&gt;"data missing", Calc!BC16*'Waste results'!$S$19, "data missing"),
   IF(Calc!BC16=0,
     IF('Waste results'!$S$55&lt;&gt;"data missing", Calc!BD16*'Waste results'!$S$55, "data missing"),
   IF(OR('Waste results'!$S$19&lt;&gt;"data missing", 'Waste results'!$S$55&lt;&gt;"data missing"), Calc!BC16*'Waste results'!$S$19+ Calc!BD16*'Waste results'!$S$55, "data missing"))),
IF(AND('Field information 2'!$M$5&lt;&gt;"", 'Field information 2'!$O$5&lt;&gt;"", 'Field information 2'!$Q$5&lt;&gt;""),
   IF(AND(Calc!BD16=0,Calc!BE16=0),
     IF('Waste results'!$S$19&lt;&gt;"data missing", Calc!BC16*'Waste results'!$S$19, "data missing"),
   IF(AND(Calc!BC16=0,Calc!BE16=0),
     IF('Waste results'!$S$55&lt;&gt;"data missing", Calc!BD16*'Waste results'!$S$55, "data missing"),
   IF(AND(Calc!BC16=0,Calc!BD16=0),
     IF('Waste results'!$S$91&lt;&gt;"data missing", Calc!BE16*'Waste results'!$S$91, "data missing"),
   IF(Calc!BE16=0,
     IF(OR('Waste results'!$S$19&lt;&gt;"data missing", 'Waste results'!$S$55&lt;&gt;"data missing"), Calc!BC16*'Waste results'!$S$19+ Calc!BD16*'Waste results'!$S$55, "data missing"),
   IF(Calc!BD16=0,
     IF(OR('Waste results'!$S$19&lt;&gt;"data missing", 'Waste results'!$S$91&lt;&gt;"data missing"), Calc!BC16*'Waste results'!$S$19+ Calc!BE16*'Waste results'!$S$91, "data missing"),
   IF(Calc!BC16=0,
     IF(OR('Waste results'!$S$55&lt;&gt;"data missing", 'Waste results'!$S$91&lt;&gt;"data missing"), Calc!BD16*'Waste results'!$S$55+Calc!BE16*'Waste results'!$S$91, "data missing"),
   IF(OR('Waste results'!$S$19&lt;&gt;"data missing", 'Waste results'!$S$55&lt;&gt;"data missing", 'Waste results'!$S$91&lt;&gt;"data missing"), Calc!BC16*'Waste results'!$S$19+Calc!BD16*'Waste results'!$S$55+ Calc!BE16*'Waste results'!$S$91, "data missing")))))))))))</f>
        <v/>
      </c>
      <c r="P18" s="91" t="str">
        <f ca="1">IF(B18="","",
IF(OR(ISBLANK('Soil results'!H$7),ISBLANK('Soil results'!H21)),"data missing",
IF(OR(AND('Soil results'!H$7="ammonium nitrate (ADAS)",'Soil results'!H21&gt;400),AND('Soil results'!H$7="modified Morgan (SAC)",'Soil results'!H21&gt;400)),0,
IF(OR(AND('Soil results'!H$7="ammonium nitrate (ADAS)",'Soil results'!H21&gt;=121,'Soil results'!H21&lt;=180),AND('Soil results'!H$7="modified Morgan (SAC)",'Soil results'!H21&gt;=76,'Soil results'!H21&lt;=140)),VLOOKUP(Calc!BI16,'Fertiliser recommendations'!$A$4:$Z$63,26,FALSE),
IF(OR(AND('Soil results'!H$7="ammonium nitrate (ADAS)",'Soil results'!H21&lt;61),AND('Soil results'!H$7="modified Morgan (SAC)",'Soil results'!H21&lt;40)),VLOOKUP(Calc!BI16,'Fertiliser recommendations'!$A$4:$Z$63,26,FALSE)+VLOOKUP(Calc!BI16,'Fertiliser recommendations'!$A$4:$AA$63,27,FALSE),
IF(OR(AND('Soil results'!H$7="ammonium nitrate (ADAS)",'Soil results'!H21&lt;121),AND('Soil results'!H$7="modified Morgan (SAC)",'Soil results'!H21&lt;76)),VLOOKUP(Calc!BI16,'Fertiliser recommendations'!$A$4:$Z$63,26,FALSE)+VLOOKUP(Calc!BI16,'Fertiliser recommendations'!$A$4:$AB$63,28,FALSE),
IF(OR(AND('Soil results'!H$7="ammonium nitrate (ADAS)",'Soil results'!H21&lt;241),AND('Soil results'!H$7="modified Morgan (SAC)",'Soil results'!H21&lt;201)),VLOOKUP(Calc!BI16,'Fertiliser recommendations'!$A$4:$Z$63,26,FALSE)+VLOOKUP(Calc!BI16,'Fertiliser recommendations'!$A$4:$AC$63,29,FALSE),
IF(OR(AND('Soil results'!H$7="ammonium nitrate (ADAS)",'Soil results'!H21&lt;=400),AND('Soil results'!H$7="modified Morgan (SAC)",'Soil results'!H21&lt;=400)),VLOOKUP(Calc!BI16,'Fertiliser recommendations'!$A$4:$Z$63,26,FALSE)+VLOOKUP(Calc!BI16,'Fertiliser recommendations'!$A$4:$AD$63,30,FALSE),
"??"))))))))</f>
        <v/>
      </c>
      <c r="Q18" s="91" t="str">
        <f t="shared" ca="1" si="2"/>
        <v/>
      </c>
      <c r="R18" s="9" t="str">
        <f ca="1">IF(B18="","",
IF(OR(O18="data missing",P18="data missing"),"data missing",
IF(Calc!BF16=0,"n/a",
IF(P18=0, "no requirement",
IF(O18&lt;0.1*P18,"no benefit",
IF(O18&lt;0.3*P18,"limited benefit",
IF(O18&gt;1.25*P18,"excessive",
"benefit")))))))</f>
        <v/>
      </c>
      <c r="T18" s="91" t="str">
        <f ca="1">IF(B18="","",
IF(AND('Field information 2'!$O$5="", 'Field information 2'!$Q$5=""),
   IF('Waste results'!$S$21&lt;&gt;"data missing", Calc!BC16*'Waste results'!$S$21, "data missing"),
IF('Field information 2'!$Q$5="",
   IF(Calc!BD16=0,
     IF('Waste results'!$S$21&lt;&gt;"data missing", Calc!BC16*'Waste results'!$S$21, "data missing"),
   IF(Calc!BC16=0,
     IF('Waste results'!$S$57&lt;&gt;"data missing", Calc!BD16*'Waste results'!$S$57, "data missing"),
   IF(OR('Waste results'!$S$21&lt;&gt;"data missing", 'Waste results'!$S$57&lt;&gt;"data missing"), Calc!BC16*'Waste results'!$S$21+ Calc!BD16*'Waste results'!$S$57, "data missing"))),
IF(AND('Field information 2'!$M$5&lt;&gt;"", 'Field information 2'!$O$5&lt;&gt;"", 'Field information 2'!$Q$5&lt;&gt;""),
   IF(AND(Calc!BD16=0,Calc!BE16=0),
     IF('Waste results'!$S$21&lt;&gt;"data missing", Calc!BC16*'Waste results'!$S$21, "data missing"),
   IF(AND(Calc!BC16=0,Calc!BE16=0),
     IF('Waste results'!$S$57&lt;&gt;"data missing", Calc!BD16*'Waste results'!$S$57, "data missing"),
   IF(AND(Calc!BC16=0,Calc!BD16=0),
     IF('Waste results'!$S$93&lt;&gt;"data missing", Calc!BE16*'Waste results'!$S$93, "data missing"),
   IF(Calc!BE16=0,
     IF(OR('Waste results'!$S$21&lt;&gt;"data missing", 'Waste results'!$S$57&lt;&gt;"data missing"), Calc!BC16*'Waste results'!$S$21+ Calc!BD16*'Waste results'!$S$57, "data missing"),
   IF(Calc!BD16=0,
     IF(OR('Waste results'!$S$21&lt;&gt;"data missing", 'Waste results'!$S$93&lt;&gt;"data missing"), Calc!BC16*'Waste results'!$S$21+ Calc!BE16*'Waste results'!$S$93, "data missing"),
   IF(Calc!BC16=0,
     IF(OR('Waste results'!$S$57&lt;&gt;"data missing", 'Waste results'!$S$93&lt;&gt;"data missing"), Calc!BD16*'Waste results'!$S$57+Calc!BE16*'Waste results'!$S$93, "data missing"),
   IF(OR('Waste results'!$S$21&lt;&gt;"data missing", 'Waste results'!$S$57&lt;&gt;"data missing", 'Waste results'!$S$93&lt;&gt;"data missing"), Calc!BC16*'Waste results'!$S$21+Calc!BD16*'Waste results'!$S$57+ Calc!BE16*'Waste results'!$S$93, "data missing")))))))))))</f>
        <v/>
      </c>
      <c r="U18" s="7" t="str">
        <f ca="1">IF(B18="","",
IF(OR(ISBLANK('Soil results'!I$7),ISBLANK('Soil results'!I21)),"data missing",
IF(OR(AND('Soil results'!I$7="ammonium nitrate (ADAS)",'Soil results'!I21&gt;51),AND('Soil results'!I$7="modified Morgan (SAC)",'Soil results'!I21&gt;61)),0,
IF(OR(AND('Soil results'!I$7="ammonium nitrate (ADAS)",'Soil results'!I21&lt;25),AND('Soil results'!I$7="modified Morgan (SAC)",'Soil results'!I21&lt;19)),VLOOKUP(Calc!BI16,'Fertiliser recommendations'!$A$4:$AH$63,34,FALSE),
IF(OR(AND('Soil results'!I$7="ammonium nitrate (ADAS)",'Soil results'!I21&lt;=51),AND('Soil results'!I$7="modified Morgan (SAC)",'Soil results'!I21&lt;=61)),VLOOKUP(Calc!BI16,'Fertiliser recommendations'!$A$4:$AI$63,35,FALSE),
"")))))</f>
        <v/>
      </c>
      <c r="V18" s="91" t="str">
        <f t="shared" ca="1" si="3"/>
        <v/>
      </c>
      <c r="W18" s="9" t="str">
        <f ca="1">IF(B18="","",
IF(OR(T18="data missing",U18="data missing"),"data missing",
IF(Calc!BF16=0,"n/a",
IF(U18=0,"no requirement",
IF(T18&lt;0.1*U18,"no benefit",
IF(T18&lt;0.3*U18,"limited benefit",
IF(OR(T18&gt;1.5*U18,AND(Calc!BJ16="g",T18&gt;100)),"excessive",
"benefit")))))))</f>
        <v/>
      </c>
      <c r="Y18" s="91" t="str">
        <f ca="1">IF(B18="","",
IF(AND('Field information 2'!$O$5="", 'Field information 2'!$Q$5=""),
   IF('Waste results'!$P$23&lt;&gt;"", Calc!BC16*'Waste results'!$P$23, "no data"),
IF('Field information 2'!$Q$5="",
   IF(Calc!BD16=0,
     IF('Waste results'!$P$23&lt;&gt;"", Calc!BC16*'Waste results'!$P$23, "no data"),
   IF(Calc!BC16=0,
     IF('Waste results'!$P$59&lt;&gt;"", Calc!BD16*'Waste results'!$P$59, "no data"),
   IF(OR('Waste results'!$P$23&lt;&gt;"", 'Waste results'!$P$59&lt;&gt;""), Calc!BC16*'Waste results'!$P$23+ Calc!BD16*'Waste results'!$P$59, "no data"))),
IF(AND('Field information 2'!$M$5&lt;&gt;"", 'Field information 2'!$O$5&lt;&gt;"", 'Field information 2'!$Q$5&lt;&gt;""),
   IF(AND(Calc!BD16=0,Calc!BE16=0),
     IF('Waste results'!$P$23&lt;&gt;"", Calc!BC16*'Waste results'!$P$23, "no data"),
   IF(AND(Calc!BC16=0,Calc!BE16=0),
     IF('Waste results'!$P$59&lt;&gt;"", Calc!BD16*'Waste results'!$P$59, "no data"),
   IF(AND(Calc!BC16=0,Calc!BD16=0),
     IF('Waste results'!$P$95&lt;&gt;"", Calc!BE16*'Waste results'!$P$95, "no data"),
   IF(Calc!BE16=0,
     IF(OR('Waste results'!$P$23&lt;&gt;"", 'Waste results'!$P$59&lt;&gt;""), Calc!BC16*'Waste results'!$P$23+ Calc!BD16*'Waste results'!$P$59, "no data"),
   IF(Calc!BD16=0,
     IF(OR('Waste results'!$P$23&lt;&gt;"", 'Waste results'!$P$95&lt;&gt;""), Calc!BC16*'Waste results'!$P$23+ Calc!BE16*'Waste results'!$P$95, "no data"),
   IF(Calc!BC16=0,
     IF(OR('Waste results'!$P$59&lt;&gt;"", 'Waste results'!$P$95&lt;&gt;""), Calc!BD16*'Waste results'!$P$59+Calc!BE16*'Waste results'!$P$95, "no data"),
   IF(OR('Waste results'!$P$23&lt;&gt;"", 'Waste results'!$P$59&lt;&gt;"", 'Waste results'!$P$95&lt;&gt;""), Calc!BC16*'Waste results'!$P$23+Calc!BD16*'Waste results'!$P$59+ Calc!BE16*'Waste results'!$P$95, "no data")))))))))))</f>
        <v/>
      </c>
      <c r="Z18" s="7" t="str">
        <f ca="1">IF(OR(ISBLANK('Soil results'!I$7),ISBLANK('Soil results'!I21),'Soil results'!B21=""),"",
VLOOKUP(Calc!BI16,'Fertiliser recommendations'!$A$4:$AM$63,39,FALSE))</f>
        <v/>
      </c>
      <c r="AA18" s="91" t="str">
        <f t="shared" ca="1" si="4"/>
        <v/>
      </c>
      <c r="AB18" s="9" t="str">
        <f t="shared" ca="1" si="5"/>
        <v/>
      </c>
      <c r="AD18" s="48" t="str">
        <f>IF(ISBLANK('Soil results'!F21),"",'Soil results'!F21)</f>
        <v/>
      </c>
      <c r="AE18" s="49" t="str">
        <f ca="1">IF(B18="","",
IF(AND(Calc!BJ16="g", VLOOKUP(LEFT($B18,LEN($B18)-2),'Field information 2'!$B$12:$P$111,9,FALSE)&lt;&gt;"yes"),
 IF(Calc!BG16="10-25% OM", 5.9, IF(Calc!BG16="&gt;25% OM", 5.5, 6.2)),
IF(OR(Calc!BJ16="a", VLOOKUP(LEFT($B18,LEN($B18)-2),'Field information 2'!$B$12:$P$111,9,FALSE)="yes"),
 IF(Calc!BG16="10-25% OM", 6.4, IF(Calc!BG16="&gt;25% OM", 6, 6.7)), "")))</f>
        <v/>
      </c>
      <c r="AF18" s="91" t="str">
        <f ca="1">IF(B18="","",
IF('Waste results'!$Q$33="","no (significant) liming properties",
IF('Waste results'!Q$33&gt;100,"no (significant) liming properties",
IF(AD18="","",
IF(AD18&gt;=AE18,0,ROUNDDOWN((AE18-AD18)*Calc!BK16*'Waste results'!$Q$33+0.2,0))))))</f>
        <v/>
      </c>
      <c r="AG18" s="9" t="str">
        <f ca="1">IF(B18="","",
IF(T18=0,"n/a",
IF(AD18="","data missing",
IF(AND(AD18&lt;5,AF18="no (significant) liming properties"),"no waste application - pH too low",
IF(AND(AD18&gt;5.1,AF18="no (significant) liming properties",Calc!BH16&gt;25, LEFT(Calc!BI16,4)="graz"),"ok",
IF(AND(AD18&lt;=5.2,AF18="no (significant) liming properties"),"liming highly recommended",
IF(AF18=0,"no waste application - liming not required",
IF(AF18&lt;Calc!BC16,"application rate too high - exceeds liming requirement",
"ok"))))))))</f>
        <v/>
      </c>
      <c r="AI18" s="91" t="str">
        <f ca="1">IF(B18="","",
IF(AND('Field information 2'!$O$5="", 'Field information 2'!$Q$5=""),
   IF('Waste results'!$P$10&lt;&gt;"data missing", Calc!BC16*'Waste results'!$P$10, "data missing"),
IF('Field information 2'!$Q$5="",
   IF(Calc!BD16=0,
     IF('Waste results'!$P$10&lt;&gt;"data missing", Calc!BC16*'Waste results'!$P$10, "data missing"),
   IF(Calc!BC16=0,
     IF('Waste results'!$P$45&lt;&gt;"data missing", Calc!BD16*'Waste results'!$P$45, "data missing"),
   IF(OR('Waste results'!$P$10&lt;&gt;"data missing", 'Waste results'!$P$45&lt;&gt;"data missing"), Calc!BC16*'Waste results'!$P$10+ Calc!BD16*'Waste results'!$P$45, "data missing"))),
IF(AND('Field information 2'!$M$5&lt;&gt;"", 'Field information 2'!$O$5&lt;&gt;"", 'Field information 2'!$Q$5&lt;&gt;""),
   IF(AND(Calc!BD16=0,Calc!BE16=0),
     IF('Waste results'!$P$10&lt;&gt;"data missing", Calc!BC16*'Waste results'!$P$10, "data missing"),
   IF(AND(Calc!BC16=0,Calc!BE16=0),
     IF('Waste results'!$P$45&lt;&gt;"data missing", Calc!BD16*'Waste results'!$P$45, "data missing"),
   IF(AND(Calc!BC16=0,Calc!BD16=0),
     IF('Waste results'!$P$82&lt;&gt;"data missing", Calc!BE16*'Waste results'!$P$82, "data missing"),
   IF(Calc!BE16=0,
     IF(OR('Waste results'!$P$10&lt;&gt;"data missing", 'Waste results'!$P$45&lt;&gt;"data missing"), Calc!BC16*'Waste results'!$P$10+ Calc!BD16*'Waste results'!$P$45, "data missing"),
   IF(Calc!BD16=0,
     IF(OR('Waste results'!$P$10&lt;&gt;"data missing", 'Waste results'!$P$82&lt;&gt;"data missing"), Calc!BC16*'Waste results'!$P$10+ Calc!BE16*'Waste results'!$P$82, "data missing"),
   IF(Calc!BC16=0,
     IF(OR('Waste results'!$P$45&lt;&gt;"data missing", 'Waste results'!$P$82&lt;&gt;"data missing"), Calc!BD16*'Waste results'!$P$45+Calc!BE16*'Waste results'!$P$82, "data missing"),
   IF(OR('Waste results'!$P$10&lt;&gt;"data missing", 'Waste results'!$P$45&lt;&gt;"data missing", 'Waste results'!$P$82&lt;&gt;"data missing"), Calc!BC16*'Waste results'!$P$10+Calc!BD16*'Waste results'!$P$45+ Calc!BE16*'Waste results'!$P$82, "data missing")))))))))))</f>
        <v/>
      </c>
      <c r="AJ18" s="237" t="str">
        <f ca="1">IF(B18="","",
IF(AI18="data missing","data missing",
IF(Calc!BF16=0,"n/a",
IF(AND(Calc!BH16&gt;=8,AI18&lt;500),"no benefit",
IF(OR(AND(Calc!BH16&lt;=4,AI18&gt;=500),AND(Calc!BH16&lt;8,AI18&gt;5000)),"benefit",
"limited benefit")))))</f>
        <v/>
      </c>
      <c r="AL18" s="238" t="str">
        <f ca="1">IF(B18="","",
IF(AND('Field information 2'!$O$5="", 'Field information 2'!$Q$5=""),
   IF('Waste results'!$S$25&lt;&gt;"data missing", Calc!BC16*'Waste results'!$S$25, "data missing"),
IF('Field information 2'!$Q$5="",
   IF(Calc!BD16=0,
     IF('Waste results'!$S$25&lt;&gt;"data missing", Calc!BC16*'Waste results'!$S$25, "data missing"),
   IF(Calc!BC16=0,
     IF('Waste results'!$S$61&lt;&gt;"data missing", Calc!BD16*'Waste results'!$S$61, "data missing"),
   IF(OR('Waste results'!$S$25&lt;&gt;"data missing", 'Waste results'!$S$61&lt;&gt;"data missing"), Calc!BC16*'Waste results'!$S$25+ Calc!BD16*'Waste results'!$S$61, "data missing"))),
IF(AND('Field information 2'!$M$5&lt;&gt;"", 'Field information 2'!$O$5&lt;&gt;"", 'Field information 2'!$Q$5&lt;&gt;""),
   IF(AND(Calc!BD16=0,Calc!BE16=0),
     IF('Waste results'!$S$25&lt;&gt;"data missing", Calc!BC16*'Waste results'!$S$25, "data missing"),
   IF(AND(Calc!BC16=0,Calc!BE16=0),
     IF('Waste results'!$S$61&lt;&gt;"data missing", Calc!BD16*'Waste results'!$S$61, "data missing"),
   IF(AND(Calc!BC16=0,Calc!BD16=0),
     IF('Waste results'!$S$97&lt;&gt;"data missing", Calc!BE16*'Waste results'!$S$97, "data missing"),
   IF(Calc!BE16=0,
     IF(OR('Waste results'!$S$25&lt;&gt;"data missing", 'Waste results'!$S$61&lt;&gt;"data missing"), Calc!BC16*'Waste results'!$S$25+ Calc!BD16*'Waste results'!$S$61, "data missing"),
   IF(Calc!BD16=0,
     IF(OR('Waste results'!$S$25&lt;&gt;"data missing", 'Waste results'!$S$97&lt;&gt;"data missing"), Calc!BC16*'Waste results'!$S$25+ Calc!BE16*'Waste results'!$S$97, "data missing"),
   IF(Calc!BC16=0,
     IF(OR('Waste results'!$S$61&lt;&gt;"data missing", 'Waste results'!$S$97&lt;&gt;"data missing"), Calc!BD16*'Waste results'!$S$61+Calc!BE16*'Waste results'!$S$97, "data missing"),
   IF(OR('Waste results'!$S$25&lt;&gt;"data missing", 'Waste results'!$S$61&lt;&gt;"data missing", 'Waste results'!$S$97&lt;&gt;"data missing"), Calc!BC16*'Waste results'!$S$25+Calc!BD16*'Waste results'!$S$61+ Calc!BE16*'Waste results'!$S$97, "data missing")))))))))))</f>
        <v/>
      </c>
      <c r="AM18" s="239" t="str">
        <f ca="1">IF($B18="","",
IF(ISBLANK('Soil results'!K21),"data missing",'Soil results'!K21))</f>
        <v/>
      </c>
      <c r="AN18" s="239" t="str">
        <f t="shared" ca="1" si="6"/>
        <v/>
      </c>
      <c r="AO18" s="9" t="str">
        <f t="shared" ca="1" si="7"/>
        <v/>
      </c>
      <c r="AQ18" s="240" t="str">
        <f ca="1">IF(B18="","",
IF(AND('Field information 2'!$O$5="", 'Field information 2'!$Q$5=""),
   IF('Waste results'!$S$26&lt;&gt;"data missing", Calc!BC16*'Waste results'!$S$26, "data missing"),
IF('Field information 2'!$Q$5="",
   IF(Calc!BD16=0,
     IF('Waste results'!$S$26&lt;&gt;"data missing", Calc!BC16*'Waste results'!$S$26, "data missing"),
   IF(Calc!BC16=0,
     IF('Waste results'!$S$62&lt;&gt;"data missing", Calc!BD16*'Waste results'!$S$62, "data missing"),
   IF(OR('Waste results'!$S$26&lt;&gt;"data missing", 'Waste results'!$S$62&lt;&gt;"data missing"), Calc!BC16*'Waste results'!$S$26+ Calc!BD16*'Waste results'!$S$62, "data missing"))),
IF(AND('Field information 2'!$M$5&lt;&gt;"", 'Field information 2'!$O$5&lt;&gt;"", 'Field information 2'!$Q$5&lt;&gt;""),
   IF(AND(Calc!BD16=0,Calc!BE16=0),
     IF('Waste results'!$S$26&lt;&gt;"data missing", Calc!BC16*'Waste results'!$S$26, "data missing"),
   IF(AND(Calc!BC16=0,Calc!BE16=0),
     IF('Waste results'!$S$62&lt;&gt;"data missing", Calc!BD16*'Waste results'!$S$62, "data missing"),
   IF(AND(Calc!BC16=0,Calc!BD16=0),
     IF('Waste results'!$S$98&lt;&gt;"data missing", Calc!BE16*'Waste results'!$S$98, "data missing"),
   IF(Calc!BE16=0,
     IF(OR('Waste results'!$S$26&lt;&gt;"data missing", 'Waste results'!$S$62&lt;&gt;"data missing"), Calc!BC16*'Waste results'!$S$26+ Calc!BD16*'Waste results'!$S$62, "data missing"),
   IF(Calc!BD16=0,
     IF(OR('Waste results'!$S$26&lt;&gt;"data missing", 'Waste results'!$S$98&lt;&gt;"data missing"), Calc!BC16*'Waste results'!$S$26+ Calc!BE16*'Waste results'!$S$98, "data missing"),
   IF(Calc!BC16=0,
     IF(OR('Waste results'!$S$62&lt;&gt;"data missing", 'Waste results'!$S$98&lt;&gt;"data missing"), Calc!BD16*'Waste results'!$S$62+Calc!BE16*'Waste results'!$S$98, "data missing"),
   IF(OR('Waste results'!$S$26&lt;&gt;"data missing", 'Waste results'!$S$62&lt;&gt;"data missing", 'Waste results'!$S$98&lt;&gt;"data missing"), Calc!BC16*'Waste results'!$S$26+Calc!BD16*'Waste results'!$S$62+ Calc!BE16*'Waste results'!$S$98, "data missing")))))))))))</f>
        <v/>
      </c>
      <c r="AR18" s="241" t="str">
        <f ca="1">IF($B18="","",
IF(ISBLANK('Soil results'!L21),"data missing",'Soil results'!L21))</f>
        <v/>
      </c>
      <c r="AS18" s="241" t="str">
        <f t="shared" ca="1" si="8"/>
        <v/>
      </c>
      <c r="AT18" s="66" t="str">
        <f t="shared" ca="1" si="9"/>
        <v/>
      </c>
      <c r="AV18" s="238" t="str">
        <f ca="1">IF(B18="","",
IF(AND('Field information 2'!$O$5="", 'Field information 2'!$Q$5=""),
   IF('Waste results'!$S$27&lt;&gt;"data missing", Calc!BC16*'Waste results'!$S$27, "data missing"),
IF('Field information 2'!$Q$5="",
   IF(Calc!BD16=0,
     IF('Waste results'!$S$27&lt;&gt;"data missing", Calc!BC16*'Waste results'!$S$27, "data missing"),
   IF(Calc!BC16=0,
     IF('Waste results'!$S$63&lt;&gt;"data missing", Calc!BD16*'Waste results'!$S$63, "data missing"),
   IF(OR('Waste results'!$S$27&lt;&gt;"data missing", 'Waste results'!$S$63&lt;&gt;"data missing"), Calc!BC16*'Waste results'!$S$27+ Calc!BD16*'Waste results'!$S$63, "data missing"))),
IF(AND('Field information 2'!$M$5&lt;&gt;"", 'Field information 2'!$O$5&lt;&gt;"", 'Field information 2'!$Q$5&lt;&gt;""),
   IF(AND(Calc!BD16=0,Calc!BE16=0),
     IF('Waste results'!$S$27&lt;&gt;"data missing", Calc!BC16*'Waste results'!$S$27, "data missing"),
   IF(AND(Calc!BC16=0,Calc!BE16=0),
     IF('Waste results'!$S$63&lt;&gt;"data missing", Calc!BD16*'Waste results'!$S$63, "data missing"),
   IF(AND(Calc!BC16=0,Calc!BD16=0),
     IF('Waste results'!$S$99&lt;&gt;"data missing", Calc!BE16*'Waste results'!$S$99, "data missing"),
   IF(Calc!BE16=0,
     IF(OR('Waste results'!$S$27&lt;&gt;"data missing", 'Waste results'!$S$63&lt;&gt;"data missing"), Calc!BC16*'Waste results'!$S$27+ Calc!BD16*'Waste results'!$S$63, "data missing"),
   IF(Calc!BD16=0,
     IF(OR('Waste results'!$S$27&lt;&gt;"data missing", 'Waste results'!$S$99&lt;&gt;"data missing"), Calc!BC16*'Waste results'!$S$27+ Calc!BE16*'Waste results'!$S$99, "data missing"),
   IF(Calc!BC16=0,
     IF(OR('Waste results'!$S$63&lt;&gt;"data missing", 'Waste results'!$S$99&lt;&gt;"data missing"), Calc!BD16*'Waste results'!$S$63+Calc!BE16*'Waste results'!$S$99, "data missing"),
   IF(OR('Waste results'!$S$27&lt;&gt;"data missing", 'Waste results'!$S$63&lt;&gt;"data missing", 'Waste results'!$S$99&lt;&gt;"data missing"), Calc!BC16*'Waste results'!$S$27+Calc!BD16*'Waste results'!$S$63+ Calc!BE16*'Waste results'!$S$99, "data missing")))))))))))</f>
        <v/>
      </c>
      <c r="AW18" s="239" t="str">
        <f ca="1">IF($B18="","",
IF(ISBLANK('Soil results'!M21),"data missing",'Soil results'!M21))</f>
        <v/>
      </c>
      <c r="AX18" s="239" t="str">
        <f t="shared" ca="1" si="10"/>
        <v/>
      </c>
      <c r="AY18" s="9" t="str">
        <f ca="1">IF(B18="","",
IF(AV18=0,"n/a",
IF(OR(AV18="data missing",AW18="data missing"),"data missing",
IF(AV18&gt;7.5,"application rate too high - permissible rate exceeds limit",
IF('Soil results'!$F21&lt;=5.5,
  IF(AW18&gt;80,"no application - soil conc. already above limit",
  IF(AX18&gt;80,"application rate too high - soil conc. will exceed limit",
  IF(AW18&gt;80*0.9,"soil conc. is at or above 90% of the limit",
  IF(10*AV18*1000/3000+AW18&gt;80,"soil limit likely to be exceeded in 10yrs",
  IF(50*AV18*1000/3000+AW18&gt;80,"soil limit likely to be exceeded in 50yrs","ok"))))),
IF('Soil results'!$F21&lt;=6,
  IF(AW18&gt;100,"no application - soil conc. already above limit",
  IF(AX18&gt;100,"application rate too high - soil conc. will exceed limit",
  IF(AW18&gt;100*0.9,"soil conc. is at or above 90% of the limit",
  IF(10*AV18*1000/3000+AW18&gt;100,"soil limit likely to be exceeded in 10yrs",
  IF(50*AV18*1000/3000+AW18&gt;100,"soil limit likely to be exceeded in 50yrs","ok"))))),
IF('Soil results'!$F21&lt;=7,
  IF(AW18&gt;135,"no application - soil conc. already above limit",
  IF(AX18&gt;135,"application rate too high - soil conc. will exceed limit",
  IF(AW18&gt;135*0.9,"soil conc. is at or above 90% of the limit",
  IF(10*AV18*1000/3000+AW18&gt;135,"soil limit likely to be exceeded in 10yrs",
  IF(50*AV18*1000/3000+AW18&gt;135,"soil limit likely to be exceeded in 50yrs","ok"))))),
IF('Soil results'!$F21&gt;7,
  IF(AW18&gt;200,"no application - soil conc. already above limit",
  IF(AX18&gt;200,"application too high - soil conc. will exceed limit",
  IF(AW18&gt;200*0.9,"soil conc. is at or above 90% of the limit",
  IF(10*AV18*1000/3000+AW18&gt;200,"soil limit likely to be exceeded in 10yrs",
  IF(50*AV18*1000/3000+AW18&gt;200,"soil limit likely to be exceeded in 50yrs","ok")))))
))))))))</f>
        <v/>
      </c>
      <c r="BA18" s="238" t="str">
        <f ca="1">IF(B18="","",
IF(AND('Field information 2'!$O$5="", 'Field information 2'!$Q$5=""),
   IF('Waste results'!$S$28&lt;&gt;"data missing", Calc!BC16*'Waste results'!$S$28, "data missing"),
IF('Field information 2'!$Q$5="",
   IF(Calc!BD16=0,
     IF('Waste results'!$S$28&lt;&gt;"data missing", Calc!BC16*'Waste results'!$S$28, "data missing"),
   IF(Calc!BC16=0,
     IF('Waste results'!$S$64&lt;&gt;"data missing", Calc!BD16*'Waste results'!$S$64, "data missing"),
   IF(OR('Waste results'!$S$28&lt;&gt;"data missing", 'Waste results'!$S$64&lt;&gt;"data missing"), Calc!BC16*'Waste results'!$S$28+ Calc!BD16*'Waste results'!$S$64, "data missing"))),
IF(AND('Field information 2'!$M$5&lt;&gt;"", 'Field information 2'!$O$5&lt;&gt;"", 'Field information 2'!$Q$5&lt;&gt;""),
   IF(AND(Calc!BD16=0,Calc!BE16=0),
     IF('Waste results'!$S$28&lt;&gt;"data missing", Calc!BC16*'Waste results'!$S$28, "data missing"),
   IF(AND(Calc!BC16=0,Calc!BE16=0),
     IF('Waste results'!$S$64&lt;&gt;"data missing", Calc!BD16*'Waste results'!$S$64, "data missing"),
   IF(AND(Calc!BC16=0,Calc!BD16=0),
     IF('Waste results'!$S$100&lt;&gt;"data missing", Calc!BE16*'Waste results'!$S$100, "data missing"),
   IF(Calc!BE16=0,
     IF(OR('Waste results'!$S$28&lt;&gt;"data missing", 'Waste results'!$S$64&lt;&gt;"data missing"), Calc!BC16*'Waste results'!$S$28+ Calc!BD16*'Waste results'!$S$64, "data missing"),
   IF(Calc!BD16=0,
     IF(OR('Waste results'!$S$28&lt;&gt;"data missing", 'Waste results'!$S$100&lt;&gt;"data missing"), Calc!BC16*'Waste results'!$S$28+ Calc!BE16*'Waste results'!$S$100, "data missing"),
   IF(Calc!BC16=0,
     IF(OR('Waste results'!$S$64&lt;&gt;"data missing", 'Waste results'!$S$100&lt;&gt;"data missing"), Calc!BD16*'Waste results'!$S$64+Calc!BE16*'Waste results'!$S$100, "data missing"),
   IF(OR('Waste results'!$S$28&lt;&gt;"data missing", 'Waste results'!$S$64&lt;&gt;"data missing", 'Waste results'!$S$100&lt;&gt;"data missing"), Calc!BC16*'Waste results'!$S$28+Calc!BD16*'Waste results'!$S$64+ Calc!BE16*'Waste results'!$S$100, "data missing")))))))))))</f>
        <v/>
      </c>
      <c r="BB18" s="239" t="str">
        <f ca="1">IF($B18="","",
IF(ISBLANK('Soil results'!N21),"data missing",'Soil results'!N21))</f>
        <v/>
      </c>
      <c r="BC18" s="239" t="str">
        <f t="shared" ca="1" si="11"/>
        <v/>
      </c>
      <c r="BD18" s="9" t="str">
        <f t="shared" ca="1" si="12"/>
        <v/>
      </c>
      <c r="BF18" s="238" t="str">
        <f ca="1">IF(B18="","",
IF(AND('Field information 2'!$O$5="", 'Field information 2'!$Q$5=""),
   IF('Waste results'!$S$29&lt;&gt;"data missing", Calc!BC16*'Waste results'!$S$29, "data missing"),
IF('Field information 2'!$Q$5="",
   IF(Calc!BD16=0,
     IF('Waste results'!$S$29&lt;&gt;"data missing", Calc!BC16*'Waste results'!$S$29, "data missing"),
   IF(Calc!BC16=0,
     IF('Waste results'!$S$65&lt;&gt;"data missing", Calc!BD16*'Waste results'!$S$65, "data missing"),
   IF(OR('Waste results'!$S$29&lt;&gt;"data missing", 'Waste results'!$S$65&lt;&gt;"data missing"), Calc!BC16*'Waste results'!$S$29+ Calc!BD16*'Waste results'!$S$65, "data missing"))),
IF(AND('Field information 2'!$M$5&lt;&gt;"", 'Field information 2'!$O$5&lt;&gt;"", 'Field information 2'!$Q$5&lt;&gt;""),
   IF(AND(Calc!BD16=0,Calc!BE16=0),
     IF('Waste results'!$S$29&lt;&gt;"data missing", Calc!BC16*'Waste results'!$S$29, "data missing"),
   IF(AND(Calc!BC16=0,Calc!BE16=0),
     IF('Waste results'!$S$65&lt;&gt;"data missing", Calc!BD16*'Waste results'!$S$65, "data missing"),
   IF(AND(Calc!BC16=0,Calc!BD16=0),
     IF('Waste results'!$S$101&lt;&gt;"data missing", Calc!BE16*'Waste results'!$S$101, "data missing"),
   IF(Calc!BE16=0,
     IF(OR('Waste results'!$S$29&lt;&gt;"data missing", 'Waste results'!$S$65&lt;&gt;"data missing"), Calc!BC16*'Waste results'!$S$29+ Calc!BD16*'Waste results'!$S$65, "data missing"),
   IF(Calc!BD16=0,
     IF(OR('Waste results'!$S$29&lt;&gt;"data missing", 'Waste results'!$S$101&lt;&gt;"data missing"), Calc!BC16*'Waste results'!$S$29+ Calc!BE16*'Waste results'!$S$101, "data missing"),
   IF(Calc!BC16=0,
     IF(OR('Waste results'!$S$65&lt;&gt;"data missing", 'Waste results'!$S$101&lt;&gt;"data missing"), Calc!BD16*'Waste results'!$S$65+Calc!BE16*'Waste results'!$S$101, "data missing"),
   IF(OR('Waste results'!$S$29&lt;&gt;"data missing", 'Waste results'!$S$65&lt;&gt;"data missing", 'Waste results'!$S$101&lt;&gt;"data missing"), Calc!BC16*'Waste results'!$S$29+Calc!BD16*'Waste results'!$S$65+ Calc!BE16*'Waste results'!$S$101, "data missing")))))))))))</f>
        <v/>
      </c>
      <c r="BG18" s="239" t="str">
        <f ca="1">IF($B18="","",
IF(ISBLANK('Soil results'!O21),"data missing",'Soil results'!O21))</f>
        <v/>
      </c>
      <c r="BH18" s="239" t="str">
        <f t="shared" ca="1" si="13"/>
        <v/>
      </c>
      <c r="BI18" s="9" t="str">
        <f ca="1">IF(B18="","",
IF(BF18=0,"n/a",
IF(OR(BF18="data missing",BG18="data missing"),"data missing",
IF(BF18&gt;3,"application rate too high - permissible rate exceeds limit",
IF('Soil results'!F21&lt;=5.5,
  IF(BG18&gt;50,"no application - soil conc. already above limit",
  IF(BH18&gt;50,"application rate too high - soil conc. will exceed limit",
  IF(BG18&gt;50*0.9,"soil conc. is at or above 90% of the limit",
  IF(10*BF18*1000/3000+BG18&gt;50,"soil limit likely to be exceeded in 10yrs",
  IF(50*BF18*1000/3000+BG18&gt;50,"soil limit likely to be exceeded in 50yrs","ok"))))),
IF('Soil results'!F21&lt;=6,
  IF(BG18&gt;60,"no application - soil conc. already above limit",
  IF(BH18&gt;60,"application rate too high - soil conc. will exceed limit",
  IF(BG18&gt;60*0.9,"soil conc. is at or above 90% of the limit",
  IF(10*BF18*1000/3000+BG18&gt;60,"soil limit likely to be exceeded in 10yrs",
  IF(50*BF18*1000/3000+BG18&gt;60,"soil limit likely to be exceeded in 50yrs","ok"))))),
IF('Soil results'!F21&lt;=7,
  IF(BG18&gt;75,"no application - soil conc. already above limit",
  IF(BH18&gt;75,"application rate too high - soil conc. will exceed limit",
  IF(BG18&gt;75*0.9,"soil conc. is at or above 90% of the limit",
  IF(10*BF18*1000/3000+BG18&gt;75,"soil limit likely to be exceeded in 10yrs",
  IF(50*BF18*1000/3000+BG18&gt;75,"soil limit likely to be exceeded in 50yrs","ok"))))),
IF('Soil results'!F21&gt;7,
  IF(BG18&gt;100,"no application - soil conc. already above limit",
  IF(BH18&gt;100,"application rate too high - soil conc. will exceed limit",
  IF(BG18&gt;100*0.9,"soil conc. is at or above 90% of the limit",
  IF(10*BF18*1000/3000+BG18&gt;100,"soil limit likely to be exceeded in 10yrs",
  IF(50*BF18*1000/3000+BG18&gt;100,"soil limit likely to beexceeded in 50yrs","ok")))))
))))))))</f>
        <v/>
      </c>
      <c r="BK18" s="240" t="str">
        <f ca="1">IF(B18="","",
IF(AND('Field information 2'!$O$5="", 'Field information 2'!$Q$5=""),
   IF('Waste results'!$S$30&lt;&gt;"data missing", Calc!BC16*'Waste results'!$S$30, "data missing"),
IF('Field information 2'!$Q$5="",
   IF(Calc!BD16=0,
     IF('Waste results'!$S$30&lt;&gt;"data missing", Calc!BC16*'Waste results'!$S$30, "data missing"),
   IF(Calc!BC16=0,
     IF('Waste results'!$S$66&lt;&gt;"data missing", Calc!BD16*'Waste results'!$S$66, "data missing"),
   IF(OR('Waste results'!$S$30&lt;&gt;"data missing", 'Waste results'!$S$66&lt;&gt;"data missing"), Calc!BC16*'Waste results'!$S$30+ Calc!BD16*'Waste results'!$S$66, "data missing"))),
IF(AND('Field information 2'!$M$5&lt;&gt;"", 'Field information 2'!$O$5&lt;&gt;"", 'Field information 2'!$Q$5&lt;&gt;""),
   IF(AND(Calc!BD16=0,Calc!BE16=0),
     IF('Waste results'!$S$30&lt;&gt;"data missing", Calc!BC16*'Waste results'!$S$30, "data missing"),
   IF(AND(Calc!BC16=0,Calc!BE16=0),
     IF('Waste results'!$S$66&lt;&gt;"data missing", Calc!BD16*'Waste results'!$S$66, "data missing"),
   IF(AND(Calc!BC16=0,Calc!BD16=0),
     IF('Waste results'!$S$102&lt;&gt;"data missing", Calc!BE16*'Waste results'!$S$102, "data missing"),
   IF(Calc!BE16=0,
     IF(OR('Waste results'!$S$30&lt;&gt;"data missing", 'Waste results'!$S$66&lt;&gt;"data missing"), Calc!BC16*'Waste results'!$S$30+ Calc!BD16*'Waste results'!$S$66, "data missing"),
   IF(Calc!BD16=0,
     IF(OR('Waste results'!$S$30&lt;&gt;"data missing", 'Waste results'!$S$102&lt;&gt;"data missing"), Calc!BC16*'Waste results'!$S$30+ Calc!BE16*'Waste results'!$S$102, "data missing"),
   IF(Calc!BC16=0,
     IF(OR('Waste results'!$S$66&lt;&gt;"data missing", 'Waste results'!$S$102&lt;&gt;"data missing"), Calc!BD16*'Waste results'!$S$66+Calc!BE16*'Waste results'!$S$102, "data missing"),
   IF(OR('Waste results'!$S$30&lt;&gt;"data missing", 'Waste results'!$S$66&lt;&gt;"data missing", 'Waste results'!$S$102&lt;&gt;"data missing"), Calc!BC16*'Waste results'!$S$30+Calc!BD16*'Waste results'!$S$66+ Calc!BE16*'Waste results'!$S$102, "data missing")))))))))))</f>
        <v/>
      </c>
      <c r="BL18" s="241" t="str">
        <f ca="1">IF($B18="","",
IF(ISBLANK('Soil results'!P21),"data missing",'Soil results'!P21))</f>
        <v/>
      </c>
      <c r="BM18" s="241" t="str">
        <f t="shared" ca="1" si="14"/>
        <v/>
      </c>
      <c r="BN18" s="66" t="str">
        <f t="shared" ca="1" si="15"/>
        <v/>
      </c>
      <c r="BP18" s="238" t="str">
        <f ca="1">IF(B18="","",
IF(AND('Field information 2'!$O$5="", 'Field information 2'!$Q$5=""),
   IF('Waste results'!$S$31&lt;&gt;"data missing", Calc!BC16*'Waste results'!$S$31, "data missing"),
IF('Field information 2'!$Q$5="",
   IF(Calc!BD16=0,
     IF('Waste results'!$S$31&lt;&gt;"data missing", Calc!BC16*'Waste results'!$S$31, "data missing"),
   IF(Calc!BC16=0,
     IF('Waste results'!$S$67&lt;&gt;"data missing", Calc!BD16*'Waste results'!$S$67, "data missing"),
   IF(OR('Waste results'!$S$31&lt;&gt;"data missing", 'Waste results'!$S$67&lt;&gt;"data missing"), Calc!BC16*'Waste results'!$S$31+ Calc!BD16*'Waste results'!$S$67, "data missing"))),
IF(AND('Field information 2'!$M$5&lt;&gt;"", 'Field information 2'!$O$5&lt;&gt;"", 'Field information 2'!$Q$5&lt;&gt;""),
   IF(AND(Calc!BD16=0,Calc!BE16=0),
     IF('Waste results'!$S$31&lt;&gt;"data missing", Calc!BC16*'Waste results'!$S$31, "data missing"),
   IF(AND(Calc!BC16=0,Calc!BE16=0),
     IF('Waste results'!$S$67&lt;&gt;"data missing", Calc!BD16*'Waste results'!$S$67, "data missing"),
   IF(AND(Calc!BC16=0,Calc!BD16=0),
     IF('Waste results'!$S$103&lt;&gt;"data missing", Calc!BE16*'Waste results'!$S$103, "data missing"),
   IF(Calc!BE16=0,
     IF(OR('Waste results'!$S$31&lt;&gt;"data missing", 'Waste results'!$S$67&lt;&gt;"data missing"), Calc!BC16*'Waste results'!$S$31+ Calc!BD16*'Waste results'!$S$67, "data missing"),
   IF(Calc!BD16=0,
     IF(OR('Waste results'!$S$31&lt;&gt;"data missing", 'Waste results'!$S$103&lt;&gt;"data missing"), Calc!BC16*'Waste results'!$S$31+ Calc!BE16*'Waste results'!$S$103, "data missing"),
   IF(Calc!BC16=0,
     IF(OR('Waste results'!$S$67&lt;&gt;"data missing", 'Waste results'!$S$103&lt;&gt;"data missing"), Calc!BD16*'Waste results'!$S$67+Calc!BE16*'Waste results'!$S$103, "data missing"),
   IF(OR('Waste results'!$S$31&lt;&gt;"data missing", 'Waste results'!$S$67&lt;&gt;"data missing", 'Waste results'!$S$103&lt;&gt;"data missing"), Calc!BC16*'Waste results'!$S$31+Calc!BD16*'Waste results'!$S$67+ Calc!BE16*'Waste results'!$S$103, "data missing")))))))))))</f>
        <v/>
      </c>
      <c r="BQ18" s="239" t="str">
        <f ca="1">IF($B18="","",
IF(ISBLANK('Soil results'!Q21),"data missing",'Soil results'!Q21))</f>
        <v/>
      </c>
      <c r="BR18" s="239" t="str">
        <f t="shared" ca="1" si="16"/>
        <v/>
      </c>
      <c r="BS18" s="9" t="str">
        <f ca="1">IF(B18="","",
IF(BP18=0,"n/a",
IF(OR(BP18="data missing",BQ18=""),"data missing",
IF(BP18&gt;15,"application rate too high - permissible rate exceeds limit",
IF('Soil results'!F21&lt;=5.5,
  IF(BQ18&gt;200,"no application - soil conc. already above limit",
  IF(BR18&gt;200,"application rate too high - soil conc. will exceed limit",
  IF(BQ18&gt;200*0.9,"soil conc. is at or above 90% of the limit",
  IF(10*BP18*1000/3000+BQ18&gt;200,"soil limit likely to be exceeded in 10yrs",
  IF(50*BP18*1000/3000+BQ18&gt;200,"soil limit likely to be exceeded in 50yrs","ok"))))),
IF('Soil results'!F21&lt;=6,
  IF(BQ18&gt;250,"no application - soil conc. already above limit",
  IF(BR18&gt;250,"application rate too high - soil conc. will exceed limit",
  IF(BQ18&gt;250*0.9,"soil conc. is at or above 90% of the limit",
  IF(10*BP18*1000/3000+BQ18&gt;250,"soil limit likely to be exceeded in 10yrs",
  IF(50*BP18*1000/3000+BQ18&gt;250,"soil limit likely to be exceeded in 50yrs","ok"))))),
IF('Soil results'!F21&lt;=7,
  IF(BQ18&gt;300,"no application - soil conc. already above limit",
  IF(BR18&gt;300,"application rate too high - soil conc. will exceed limit",
  IF(BQ18&gt;300*0.9,"soil conc. is at or above 90% of the limit",
  IF(10*BP18*1000/3000+BQ18&gt;300,"soil limit likey to be exceeded in 10yrs",
  IF(50*BP18*1000/3000+BQ18&gt;300,"soil limit likely to be exceeded in 50yrs","ok"))))),
IF('Soil results'!F21&gt;7,
  IF(BQ18&gt;450,"no application - soil conc. already above limit",
  IF(BR18&gt;450,"application rate too high - soil conc. will exceed limit",
  IF(AW18&gt;450*0.9,"soil conc. is at or above 90% of the limit",
  IF(10*BP18*1000/3000+BQ18&gt;450,"soil limit likely to be exceeded in 10yrs",
  IF(50*BP18*1000/3000+BQ18&gt;450,"soil limit likely to be exceeded in 50yrs","ok")))))
))))))))</f>
        <v/>
      </c>
    </row>
    <row r="19" spans="2:71" s="9" customFormat="1" x14ac:dyDescent="0.35">
      <c r="B19" s="236" t="str">
        <f ca="1">'Soil results'!B22</f>
        <v/>
      </c>
      <c r="C19" s="91" t="str">
        <f ca="1">IF(B19="","",
IF(AND('Field information 2'!$O$5="", 'Field information 2'!$Q$5=""),
   IF('Waste results'!$S$12&lt;&gt;"data missing", Calc!BC17*'Waste results'!$S$12, "data missing"),
IF('Field information 2'!$Q$5="",
   IF(Calc!BD17=0,
     IF('Waste results'!$S$12&lt;&gt;"data missing", Calc!BC17*'Waste results'!$S$12, "data missing"),
   IF(Calc!BC17=0,
     IF('Waste results'!$S$48&lt;&gt;"data missing", Calc!BD17*'Waste results'!$S$48, "data missing"),
   IF(OR('Waste results'!$S$12&lt;&gt;"data missing", 'Waste results'!$S$48&lt;&gt;"data missing"), Calc!BC17*'Waste results'!$S$12+ Calc!BD17*'Waste results'!$S$48, "data missing"))),
IF(AND('Field information 2'!$M$5&lt;&gt;"", 'Field information 2'!$O$5&lt;&gt;"", 'Field information 2'!$Q$5&lt;&gt;""),
   IF(AND(Calc!BD17=0,Calc!BE17=0),
     IF('Waste results'!$S$12&lt;&gt;"data missing", Calc!BC17*'Waste results'!$S$12, "data missing"),
   IF(AND(Calc!BC17=0,Calc!BE17=0),
     IF('Waste results'!$S$48&lt;&gt;"data missing", Calc!BD17*'Waste results'!$S$48, "data missing"),
   IF(AND(Calc!BC17=0,Calc!BD17=0),
     IF('Waste results'!$S$84&lt;&gt;"data missing", Calc!BE17*'Waste results'!$S$84, "data missing"),
   IF(Calc!BE17=0,
     IF(OR('Waste results'!$S$12&lt;&gt;"data missing", 'Waste results'!$S$48&lt;&gt;"data missing"), Calc!BC17*'Waste results'!$S$12+ Calc!BD17*'Waste results'!$S$48, "data missing"),
   IF(Calc!BD17=0,
     IF(OR('Waste results'!$S$12&lt;&gt;"data missing", 'Waste results'!$S$84&lt;&gt;"data missing"), Calc!BC17*'Waste results'!$S$12+ Calc!BE17*'Waste results'!$S$84, "data missing"),
   IF(Calc!BC17=0,
     IF(OR('Waste results'!$S$48&lt;&gt;"data missing", 'Waste results'!$S$84&lt;&gt;"data missing"), Calc!BD17*'Waste results'!$S$48+Calc!BE17*'Waste results'!$S$84, "data missing"),
   IF(OR('Waste results'!$S$12&lt;&gt;"data missing", 'Waste results'!$S$48&lt;&gt;"data missing", 'Waste results'!$S$84&lt;&gt;"data missing"), Calc!BC17*'Waste results'!$S$12+Calc!BD17*'Waste results'!$S$48+ Calc!BE17*'Waste results'!$S$84, "data missing")))))))))))</f>
        <v/>
      </c>
      <c r="D19" s="161" t="str">
        <f ca="1">IF(B19="","",
IF(Calc!BG17="","soil texture missing",
IF(OR(Calc!BG17="SL; SZL; ZL",Calc!BG17="SCL; CL; ZCL; SC; ZC; C"),VLOOKUP(Calc!BI17,'Fertiliser recommendations'!$A$4:$C$63,3,FALSE),
IF(Calc!BG17="S; LS",VLOOKUP(Calc!BI17,'Fertiliser recommendations'!$A$4:$C$63,3,FALSE)+VLOOKUP(Calc!BI17,'Fertiliser recommendations'!$A$4:$D$63,4,FALSE),
IF(Calc!BG17="10-25% OM",VLOOKUP(Calc!BI17,'Fertiliser recommendations'!$A$4:$C$63,3,FALSE)+VLOOKUP(Calc!BI17,'Fertiliser recommendations'!$A$4:$E$63,5,FALSE),
IF(Calc!BG17="&gt;25% OM",VLOOKUP(Calc!BI17,'Fertiliser recommendations'!$A$4:$C$63,3,FALSE)+VLOOKUP(Calc!BI17,'Fertiliser recommendations'!$A$4:$F$63,6,FALSE),
""))))))</f>
        <v/>
      </c>
      <c r="E19" s="91" t="str">
        <f t="shared" ca="1" si="0"/>
        <v/>
      </c>
      <c r="F19" s="9" t="str">
        <f ca="1">IF(B19="","",
IF(OR(C19="data missing",D19="soil texture missing"),"data missing",
IF(Calc!BF17=0,"n/a",
IF(C19&lt;0.1*D19,"no benefit",
IF(C19&lt;0.3*D19,"limited benefit",
IF(C19&gt;250,"exceeds limit",
IF(OR(AND(D19=0,C19&gt;75),C19&gt;1.25*D19),"excessive",
IF(D19=0, "no requirement",
"benefit"))))))))</f>
        <v/>
      </c>
      <c r="H19" s="91" t="str">
        <f ca="1">IF(B19="","",
IF(AND('Field information 2'!$O$5="", 'Field information 2'!$Q$5=""),
   IF('Waste results'!$S$17&lt;&gt;"data missing", Calc!BC17*'Waste results'!$S$17, "data missing"),
IF('Field information 2'!$Q$5="",
   IF(Calc!BD17=0,
     IF('Waste results'!$S$17&lt;&gt;"data missing", Calc!BC17*'Waste results'!$S$17, "data missing"),
   IF(Calc!BC17=0,
     IF('Waste results'!$S$53&lt;&gt;"data missing", Calc!BD17*'Waste results'!$S$53, "data missing"),
   IF(OR('Waste results'!$S$17&lt;&gt;"data missing", 'Waste results'!$S$53&lt;&gt;"data missing"), Calc!BC17*'Waste results'!$S$17+ Calc!BD17*'Waste results'!$S$53, "data missing"))),
IF(AND('Field information 2'!$M$5&lt;&gt;"", 'Field information 2'!$O$5&lt;&gt;"", 'Field information 2'!$Q$5&lt;&gt;""),
   IF(AND(Calc!BD17=0,Calc!BE17=0),
     IF('Waste results'!$S$17&lt;&gt;"data missing", Calc!BC17*'Waste results'!$S$17, "data missing"),
   IF(AND(Calc!BC17=0,Calc!BE17=0),
     IF('Waste results'!$S$53&lt;&gt;"data missing", Calc!BD17*'Waste results'!$S$53, "data missing"),
   IF(AND(Calc!BC17=0,Calc!BD17=0),
     IF('Waste results'!$S$89&lt;&gt;"data missing", Calc!BE17*'Waste results'!$S$89, "data missing"),
   IF(Calc!BE17=0,
     IF(OR('Waste results'!$S$17&lt;&gt;"data missing", 'Waste results'!$S$53&lt;&gt;"data missing"), Calc!BC17*'Waste results'!$S$17+ Calc!BD17*'Waste results'!$S$53, "data missing"),
   IF(Calc!BD17=0,
     IF(OR('Waste results'!$S$17&lt;&gt;"data missing", 'Waste results'!$S$89&lt;&gt;"data missing"), Calc!BC17*'Waste results'!$S$17+ Calc!BE17*'Waste results'!$S$89, "data missing"),
   IF(Calc!BC17=0,
     IF(OR('Waste results'!$S$53&lt;&gt;"data missing", 'Waste results'!$S$89&lt;&gt;"data missing"), Calc!BD17*'Waste results'!$S$53+Calc!BE17*'Waste results'!$S$89, "data missing"),
   IF(OR('Waste results'!$S$17&lt;&gt;"data missing", 'Waste results'!$S$53&lt;&gt;"data missing", 'Waste results'!$S$89&lt;&gt;"data missing"), Calc!BC17*'Waste results'!$S$17+Calc!BD17*'Waste results'!$S$53+ Calc!BE17*'Waste results'!$S$89, "data missing")))))))))))</f>
        <v/>
      </c>
      <c r="I19" s="195" t="str">
        <f ca="1">IF(B19="","",
IF(OR(ISBLANK('Soil results'!G22), ISBLANK('Soil results'!G$7)),"data missing",
IF(OR(AND('Soil results'!G$7="Olsen (ADAS)",'Soil results'!G22&lt;16),AND('Soil results'!G$7="modified Morgan (SAC)",'Soil results'!G22&lt;4.5)),50,100)))</f>
        <v/>
      </c>
      <c r="J19" s="49" t="str">
        <f ca="1">IF(B19="","",
IF(OR(ISBLANK('Soil results'!G$7),ISBLANK('Soil results'!G22)),"data missing",
IF(OR(AND('Soil results'!G$7="Olsen (ADAS)",'Soil results'!G22&gt;45),AND('Soil results'!G$7="modified Morgan (SAC)",'Soil results'!G22&gt;30)),0,
IF(OR(AND('Soil results'!G$7="Olsen (ADAS)",'Soil results'!G22&gt;=16,'Soil results'!G22&lt;=20),AND('Soil results'!G$7="modified Morgan (SAC)",'Soil results'!G22&gt;=4.5,'Soil results'!G22&lt;=9.4)),VLOOKUP(Calc!BI17,'Fertiliser recommendations'!$A$4:$I$63,9,FALSE),
IF(OR(AND('Soil results'!G$7="Olsen (ADAS)",'Soil results'!G22&lt;10),AND('Soil results'!G$7="modified Morgan (SAC)",'Soil results'!G22&lt;1.8)),VLOOKUP(Calc!BI17,'Fertiliser recommendations'!$A$4:$I$63,9,FALSE)+VLOOKUP(Calc!BI17,'Fertiliser recommendations'!$A$4:$J$63,10,FALSE),
IF(OR(AND('Soil results'!G$7="Olsen (ADAS)",'Soil results'!G22&lt;16),AND('Soil results'!G$7="modified Morgan (SAC)",'Soil results'!G22&lt;4.5)),VLOOKUP(Calc!BI17,'Fertiliser recommendations'!$A$4:$I$63,9,FALSE)+VLOOKUP(Calc!BI17,'Fertiliser recommendations'!$A$4:$K$63,11,FALSE),
IF(OR(AND('Soil results'!G$7="Olsen (ADAS)",'Soil results'!G22&lt;26),AND('Soil results'!G$7="modified Morgan (SAC)",'Soil results'!G22&lt;13.5)),VLOOKUP(Calc!BI17,'Fertiliser recommendations'!$A$4:$I$63,9,FALSE)+VLOOKUP(Calc!BI17,'Fertiliser recommendations'!$A$4:$L$63,12,FALSE),
IF(OR(AND('Soil results'!G$7="Olsen (ADAS)",'Soil results'!G22&lt;=45),AND('Soil results'!G$7="modified Morgan (SAC)",'Soil results'!G22&lt;=30)),VLOOKUP(Calc!BI17,'Fertiliser recommendations'!$A$4:$I$63,9,FALSE)+VLOOKUP(Calc!BI17,'Fertiliser recommendations'!$A$4:$M$63,13,FALSE),
""))))))))</f>
        <v/>
      </c>
      <c r="K19" s="161" t="str">
        <f t="shared" ca="1" si="1"/>
        <v/>
      </c>
      <c r="L19" s="47" t="str">
        <f ca="1">IF(OR(ISBLANK('Soil results'!G$7),ISBLANK('Soil results'!G22),B19="", H19="data missing"),"",
IF('Soil results'!G$7="Olsen (ADAS)",
IF(((H19*Calc!BM17/2.291-(VLOOKUP(Calc!BI17,'Fertiliser recommendations'!$A$4:$I$63,9,FALSE))/2.291)*10/(400/2.291)+'Soil results'!G22)&lt;10,"0 (VL)",
IF(((H19*Calc!BM17/2.291-(VLOOKUP(Calc!BI17,'Fertiliser recommendations'!$A$4:$I$63,9,FALSE))/2.291)*10/(400/2.291)+'Soil results'!G22)&lt;16,"1 (L)",
IF(((H19*Calc!BM17/2.291-(VLOOKUP(Calc!BI17,'Fertiliser recommendations'!$A$4:$I$63,9,FALSE))/2.291)*10/(400/2.291)+'Soil results'!G22)&lt;21,"2 (M-)",
IF(((H19*Calc!BM17/2.291-(VLOOKUP(Calc!BI17,'Fertiliser recommendations'!$A$4:$I$63,9,FALSE))/2.291)*10/(400/2.291)+'Soil results'!G22)&lt;26,"2 (M+)",
IF(((H19*Calc!BM17/2.291-(VLOOKUP(Calc!BI17,'Fertiliser recommendations'!$A$4:$I$63,9,FALSE))/2.291)*10/(400/2.291)+'Soil results'!G22)&lt;45,"3 (H)","&gt;3 (VH)"))))),
IF('Soil results'!G$7="modified Morgan (SAC)",
IF('Soil results'!G22&gt;=6,
IF(((H19*Calc!BM17/2.291-(VLOOKUP(Calc!BI17,'Fertiliser recommendations'!$A$4:$I$63,9,FALSE))/2.291)*5/(147/2.291)+'Soil results'!G22)&lt;9.5,"2 (M-)",
IF(((H19*Calc!BM17/2.291-(VLOOKUP(Calc!BI17,'Fertiliser recommendations'!$A$4:$I$63,9,FALSE))/2.291)*5/(147/2.291)+'Soil results'!G22)&lt;13.5,"2 (M+)",
IF(((H19*Calc!BM17/2.291-(VLOOKUP(Calc!BI17,'Fertiliser recommendations'!$A$4:$I$63,9,FALSE))/2.291)*5/(147/2.291)+'Soil results'!G22)&lt;30,"3 (H)","4 (VH)"))),
IF(((H19*Calc!BM17/2.291-(VLOOKUP(Calc!BI17,'Fertiliser recommendations'!$A$4:$I$63,9,FALSE))/2.291)*5/(346/2.291)+'Soil results'!G22)&lt;1.8,"0 (VL)",
IF(((H19*Calc!BM17/2.291-(VLOOKUP(Calc!BI17,'Fertiliser recommendations'!$A$4:$I$63,9,FALSE))/2.291)*5/(147/2.291)+'Soil results'!G22)&lt;4.5,"1 (L)","2 (M-)"))))))</f>
        <v/>
      </c>
      <c r="M19" s="9" t="str">
        <f ca="1">IF(B19="","",
IF(OR(H19="data missing",I19="data missing",J19="data missing"),"data missing",
IF(Calc!BF17=0,"n/a",
IF(OR(AND('Soil results'!G$7="Olsen (ADAS)",'Soil results'!G22&gt;45),AND('Soil results'!G$7="modified Morgan (SAC)",'Soil results'!G22&gt;30)),
IF(H19&gt;2,"too high, not acceptable","no requirement"),IF(OR(AND('Soil results'!G$7="Olsen (ADAS)",'Soil results'!G22&gt;25),AND('Soil results'!G$7="modified Morgan (SAC)",'Soil results'!G22&gt;13.4)),
IF(H19*(I19/100)&lt;0.1*J19,"no benefit",
IF(H19*(I19/100)&lt;0.3*J19,"limited benefit",
IF(H19*(I19/100)&lt;1.1*J19,"benefit",
IF(H19*(I19/100)&lt;0.7*VLOOKUP(Calc!BI17,'Fertiliser recommendations'!$A$4:$I$63,9,FALSE),"excessive","too high, not acceptable")))),
IF(OR(AND('Soil results'!G$7="Olsen (ADAS)",'Soil results'!G22&gt;20),AND('Soil results'!G$7="modified Morgan (SAC)",'Soil results'!G22&gt;9.4)),
IF(H19*Calc!BM17*(I19/100)&lt;0.1*J19,"no benefit",
IF(H19*Calc!BM17*(I19/100)&lt;0.3*J19,"limited benefit",
IF(H19*Calc!BM17*(I19/100)&lt;1.1*J19,"benefit",
IF(L19="3 (H)","too high, not acceptable","excessive")))),
IF(OR(AND('Soil results'!G$7="Olsen (ADAS)",'Soil results'!G22&gt;15),AND('Soil results'!G$7="modified Morgan (SAC)",'Soil results'!G22&gt;4.4)),
IF(H19*Calc!BM17*(I19/100)&lt;0.1*VLOOKUP(Calc!BI17,'Fertiliser recommendations'!$A$4:$I$63,9,FALSE),"no benefit",
IF(H19*Calc!BM17*(I19/100)&lt;0.3*VLOOKUP(Calc!BI17,'Fertiliser recommendations'!$A$4:$I$63,9,FALSE),"limited benefit",
IF(H19*Calc!BM17*(I19/100)&lt;1.1*VLOOKUP(Calc!BI17,'Fertiliser recommendations'!$A$4:$I$63,9,FALSE),"benefit",
IF(L19="3 (H)", "too high, not acceptable", "excessive")))),
IF(OR(AND('Soil results'!G$7="Olsen (ADAS)",'Soil results'!G22&lt;=15),AND('Soil results'!G$7="modified Morgan (SAC)",'Soil results'!G22&lt;=4.4)),
IF(H19*Calc!BM17*(I19/100)&lt;0.1*VLOOKUP(Calc!BI17,'Fertiliser recommendations'!$A$4:$I$63,9,FALSE),"no benefit",
IF(H19*Calc!BM17*(I19/100)&lt;0.3*VLOOKUP(Calc!BI17,'Fertiliser recommendations'!$A$4:$I$63,9,FALSE),"limited benefit",
IF(H19*Calc!BM17*(I19/100)&lt;1.1*J19,"benefit","excessive")))))))))))</f>
        <v/>
      </c>
      <c r="O19" s="91" t="str">
        <f ca="1">IF(B19="","",
IF(AND('Field information 2'!$O$5="", 'Field information 2'!$Q$5=""),
   IF('Waste results'!$S$19&lt;&gt;"data missing", Calc!BC17*'Waste results'!$S$19, "data missing"),
IF('Field information 2'!$Q$5="",
   IF(Calc!BD17=0,
     IF('Waste results'!$S$19&lt;&gt;"data missing", Calc!BC17*'Waste results'!$S$19, "data missing"),
   IF(Calc!BC17=0,
     IF('Waste results'!$S$55&lt;&gt;"data missing", Calc!BD17*'Waste results'!$S$55, "data missing"),
   IF(OR('Waste results'!$S$19&lt;&gt;"data missing", 'Waste results'!$S$55&lt;&gt;"data missing"), Calc!BC17*'Waste results'!$S$19+ Calc!BD17*'Waste results'!$S$55, "data missing"))),
IF(AND('Field information 2'!$M$5&lt;&gt;"", 'Field information 2'!$O$5&lt;&gt;"", 'Field information 2'!$Q$5&lt;&gt;""),
   IF(AND(Calc!BD17=0,Calc!BE17=0),
     IF('Waste results'!$S$19&lt;&gt;"data missing", Calc!BC17*'Waste results'!$S$19, "data missing"),
   IF(AND(Calc!BC17=0,Calc!BE17=0),
     IF('Waste results'!$S$55&lt;&gt;"data missing", Calc!BD17*'Waste results'!$S$55, "data missing"),
   IF(AND(Calc!BC17=0,Calc!BD17=0),
     IF('Waste results'!$S$91&lt;&gt;"data missing", Calc!BE17*'Waste results'!$S$91, "data missing"),
   IF(Calc!BE17=0,
     IF(OR('Waste results'!$S$19&lt;&gt;"data missing", 'Waste results'!$S$55&lt;&gt;"data missing"), Calc!BC17*'Waste results'!$S$19+ Calc!BD17*'Waste results'!$S$55, "data missing"),
   IF(Calc!BD17=0,
     IF(OR('Waste results'!$S$19&lt;&gt;"data missing", 'Waste results'!$S$91&lt;&gt;"data missing"), Calc!BC17*'Waste results'!$S$19+ Calc!BE17*'Waste results'!$S$91, "data missing"),
   IF(Calc!BC17=0,
     IF(OR('Waste results'!$S$55&lt;&gt;"data missing", 'Waste results'!$S$91&lt;&gt;"data missing"), Calc!BD17*'Waste results'!$S$55+Calc!BE17*'Waste results'!$S$91, "data missing"),
   IF(OR('Waste results'!$S$19&lt;&gt;"data missing", 'Waste results'!$S$55&lt;&gt;"data missing", 'Waste results'!$S$91&lt;&gt;"data missing"), Calc!BC17*'Waste results'!$S$19+Calc!BD17*'Waste results'!$S$55+ Calc!BE17*'Waste results'!$S$91, "data missing")))))))))))</f>
        <v/>
      </c>
      <c r="P19" s="91" t="str">
        <f ca="1">IF(B19="","",
IF(OR(ISBLANK('Soil results'!H$7),ISBLANK('Soil results'!H22)),"data missing",
IF(OR(AND('Soil results'!H$7="ammonium nitrate (ADAS)",'Soil results'!H22&gt;400),AND('Soil results'!H$7="modified Morgan (SAC)",'Soil results'!H22&gt;400)),0,
IF(OR(AND('Soil results'!H$7="ammonium nitrate (ADAS)",'Soil results'!H22&gt;=121,'Soil results'!H22&lt;=180),AND('Soil results'!H$7="modified Morgan (SAC)",'Soil results'!H22&gt;=76,'Soil results'!H22&lt;=140)),VLOOKUP(Calc!BI17,'Fertiliser recommendations'!$A$4:$Z$63,26,FALSE),
IF(OR(AND('Soil results'!H$7="ammonium nitrate (ADAS)",'Soil results'!H22&lt;61),AND('Soil results'!H$7="modified Morgan (SAC)",'Soil results'!H22&lt;40)),VLOOKUP(Calc!BI17,'Fertiliser recommendations'!$A$4:$Z$63,26,FALSE)+VLOOKUP(Calc!BI17,'Fertiliser recommendations'!$A$4:$AA$63,27,FALSE),
IF(OR(AND('Soil results'!H$7="ammonium nitrate (ADAS)",'Soil results'!H22&lt;121),AND('Soil results'!H$7="modified Morgan (SAC)",'Soil results'!H22&lt;76)),VLOOKUP(Calc!BI17,'Fertiliser recommendations'!$A$4:$Z$63,26,FALSE)+VLOOKUP(Calc!BI17,'Fertiliser recommendations'!$A$4:$AB$63,28,FALSE),
IF(OR(AND('Soil results'!H$7="ammonium nitrate (ADAS)",'Soil results'!H22&lt;241),AND('Soil results'!H$7="modified Morgan (SAC)",'Soil results'!H22&lt;201)),VLOOKUP(Calc!BI17,'Fertiliser recommendations'!$A$4:$Z$63,26,FALSE)+VLOOKUP(Calc!BI17,'Fertiliser recommendations'!$A$4:$AC$63,29,FALSE),
IF(OR(AND('Soil results'!H$7="ammonium nitrate (ADAS)",'Soil results'!H22&lt;=400),AND('Soil results'!H$7="modified Morgan (SAC)",'Soil results'!H22&lt;=400)),VLOOKUP(Calc!BI17,'Fertiliser recommendations'!$A$4:$Z$63,26,FALSE)+VLOOKUP(Calc!BI17,'Fertiliser recommendations'!$A$4:$AD$63,30,FALSE),
"??"))))))))</f>
        <v/>
      </c>
      <c r="Q19" s="91" t="str">
        <f t="shared" ca="1" si="2"/>
        <v/>
      </c>
      <c r="R19" s="9" t="str">
        <f ca="1">IF(B19="","",
IF(OR(O19="data missing",P19="data missing"),"data missing",
IF(Calc!BF17=0,"n/a",
IF(P19=0, "no requirement",
IF(O19&lt;0.1*P19,"no benefit",
IF(O19&lt;0.3*P19,"limited benefit",
IF(O19&gt;1.25*P19,"excessive",
"benefit")))))))</f>
        <v/>
      </c>
      <c r="T19" s="91" t="str">
        <f ca="1">IF(B19="","",
IF(AND('Field information 2'!$O$5="", 'Field information 2'!$Q$5=""),
   IF('Waste results'!$S$21&lt;&gt;"data missing", Calc!BC17*'Waste results'!$S$21, "data missing"),
IF('Field information 2'!$Q$5="",
   IF(Calc!BD17=0,
     IF('Waste results'!$S$21&lt;&gt;"data missing", Calc!BC17*'Waste results'!$S$21, "data missing"),
   IF(Calc!BC17=0,
     IF('Waste results'!$S$57&lt;&gt;"data missing", Calc!BD17*'Waste results'!$S$57, "data missing"),
   IF(OR('Waste results'!$S$21&lt;&gt;"data missing", 'Waste results'!$S$57&lt;&gt;"data missing"), Calc!BC17*'Waste results'!$S$21+ Calc!BD17*'Waste results'!$S$57, "data missing"))),
IF(AND('Field information 2'!$M$5&lt;&gt;"", 'Field information 2'!$O$5&lt;&gt;"", 'Field information 2'!$Q$5&lt;&gt;""),
   IF(AND(Calc!BD17=0,Calc!BE17=0),
     IF('Waste results'!$S$21&lt;&gt;"data missing", Calc!BC17*'Waste results'!$S$21, "data missing"),
   IF(AND(Calc!BC17=0,Calc!BE17=0),
     IF('Waste results'!$S$57&lt;&gt;"data missing", Calc!BD17*'Waste results'!$S$57, "data missing"),
   IF(AND(Calc!BC17=0,Calc!BD17=0),
     IF('Waste results'!$S$93&lt;&gt;"data missing", Calc!BE17*'Waste results'!$S$93, "data missing"),
   IF(Calc!BE17=0,
     IF(OR('Waste results'!$S$21&lt;&gt;"data missing", 'Waste results'!$S$57&lt;&gt;"data missing"), Calc!BC17*'Waste results'!$S$21+ Calc!BD17*'Waste results'!$S$57, "data missing"),
   IF(Calc!BD17=0,
     IF(OR('Waste results'!$S$21&lt;&gt;"data missing", 'Waste results'!$S$93&lt;&gt;"data missing"), Calc!BC17*'Waste results'!$S$21+ Calc!BE17*'Waste results'!$S$93, "data missing"),
   IF(Calc!BC17=0,
     IF(OR('Waste results'!$S$57&lt;&gt;"data missing", 'Waste results'!$S$93&lt;&gt;"data missing"), Calc!BD17*'Waste results'!$S$57+Calc!BE17*'Waste results'!$S$93, "data missing"),
   IF(OR('Waste results'!$S$21&lt;&gt;"data missing", 'Waste results'!$S$57&lt;&gt;"data missing", 'Waste results'!$S$93&lt;&gt;"data missing"), Calc!BC17*'Waste results'!$S$21+Calc!BD17*'Waste results'!$S$57+ Calc!BE17*'Waste results'!$S$93, "data missing")))))))))))</f>
        <v/>
      </c>
      <c r="U19" s="7" t="str">
        <f ca="1">IF(B19="","",
IF(OR(ISBLANK('Soil results'!I$7),ISBLANK('Soil results'!I22)),"data missing",
IF(OR(AND('Soil results'!I$7="ammonium nitrate (ADAS)",'Soil results'!I22&gt;51),AND('Soil results'!I$7="modified Morgan (SAC)",'Soil results'!I22&gt;61)),0,
IF(OR(AND('Soil results'!I$7="ammonium nitrate (ADAS)",'Soil results'!I22&lt;25),AND('Soil results'!I$7="modified Morgan (SAC)",'Soil results'!I22&lt;19)),VLOOKUP(Calc!BI17,'Fertiliser recommendations'!$A$4:$AH$63,34,FALSE),
IF(OR(AND('Soil results'!I$7="ammonium nitrate (ADAS)",'Soil results'!I22&lt;=51),AND('Soil results'!I$7="modified Morgan (SAC)",'Soil results'!I22&lt;=61)),VLOOKUP(Calc!BI17,'Fertiliser recommendations'!$A$4:$AI$63,35,FALSE),
"")))))</f>
        <v/>
      </c>
      <c r="V19" s="91" t="str">
        <f t="shared" ca="1" si="3"/>
        <v/>
      </c>
      <c r="W19" s="9" t="str">
        <f ca="1">IF(B19="","",
IF(OR(T19="data missing",U19="data missing"),"data missing",
IF(Calc!BF17=0,"n/a",
IF(U19=0,"no requirement",
IF(T19&lt;0.1*U19,"no benefit",
IF(T19&lt;0.3*U19,"limited benefit",
IF(OR(T19&gt;1.5*U19,AND(Calc!BJ17="g",T19&gt;100)),"excessive",
"benefit")))))))</f>
        <v/>
      </c>
      <c r="Y19" s="91" t="str">
        <f ca="1">IF(B19="","",
IF(AND('Field information 2'!$O$5="", 'Field information 2'!$Q$5=""),
   IF('Waste results'!$P$23&lt;&gt;"", Calc!BC17*'Waste results'!$P$23, "no data"),
IF('Field information 2'!$Q$5="",
   IF(Calc!BD17=0,
     IF('Waste results'!$P$23&lt;&gt;"", Calc!BC17*'Waste results'!$P$23, "no data"),
   IF(Calc!BC17=0,
     IF('Waste results'!$P$59&lt;&gt;"", Calc!BD17*'Waste results'!$P$59, "no data"),
   IF(OR('Waste results'!$P$23&lt;&gt;"", 'Waste results'!$P$59&lt;&gt;""), Calc!BC17*'Waste results'!$P$23+ Calc!BD17*'Waste results'!$P$59, "no data"))),
IF(AND('Field information 2'!$M$5&lt;&gt;"", 'Field information 2'!$O$5&lt;&gt;"", 'Field information 2'!$Q$5&lt;&gt;""),
   IF(AND(Calc!BD17=0,Calc!BE17=0),
     IF('Waste results'!$P$23&lt;&gt;"", Calc!BC17*'Waste results'!$P$23, "no data"),
   IF(AND(Calc!BC17=0,Calc!BE17=0),
     IF('Waste results'!$P$59&lt;&gt;"", Calc!BD17*'Waste results'!$P$59, "no data"),
   IF(AND(Calc!BC17=0,Calc!BD17=0),
     IF('Waste results'!$P$95&lt;&gt;"", Calc!BE17*'Waste results'!$P$95, "no data"),
   IF(Calc!BE17=0,
     IF(OR('Waste results'!$P$23&lt;&gt;"", 'Waste results'!$P$59&lt;&gt;""), Calc!BC17*'Waste results'!$P$23+ Calc!BD17*'Waste results'!$P$59, "no data"),
   IF(Calc!BD17=0,
     IF(OR('Waste results'!$P$23&lt;&gt;"", 'Waste results'!$P$95&lt;&gt;""), Calc!BC17*'Waste results'!$P$23+ Calc!BE17*'Waste results'!$P$95, "no data"),
   IF(Calc!BC17=0,
     IF(OR('Waste results'!$P$59&lt;&gt;"", 'Waste results'!$P$95&lt;&gt;""), Calc!BD17*'Waste results'!$P$59+Calc!BE17*'Waste results'!$P$95, "no data"),
   IF(OR('Waste results'!$P$23&lt;&gt;"", 'Waste results'!$P$59&lt;&gt;"", 'Waste results'!$P$95&lt;&gt;""), Calc!BC17*'Waste results'!$P$23+Calc!BD17*'Waste results'!$P$59+ Calc!BE17*'Waste results'!$P$95, "no data")))))))))))</f>
        <v/>
      </c>
      <c r="Z19" s="7" t="str">
        <f ca="1">IF(OR(ISBLANK('Soil results'!I$7),ISBLANK('Soil results'!I22),'Soil results'!B22=""),"",
VLOOKUP(Calc!BI17,'Fertiliser recommendations'!$A$4:$AM$63,39,FALSE))</f>
        <v/>
      </c>
      <c r="AA19" s="91" t="str">
        <f t="shared" ca="1" si="4"/>
        <v/>
      </c>
      <c r="AB19" s="9" t="str">
        <f t="shared" ca="1" si="5"/>
        <v/>
      </c>
      <c r="AD19" s="48" t="str">
        <f>IF(ISBLANK('Soil results'!F22),"",'Soil results'!F22)</f>
        <v/>
      </c>
      <c r="AE19" s="49" t="str">
        <f ca="1">IF(B19="","",
IF(AND(Calc!BJ17="g", VLOOKUP(LEFT($B19,LEN($B19)-2),'Field information 2'!$B$12:$P$111,9,FALSE)&lt;&gt;"yes"),
 IF(Calc!BG17="10-25% OM", 5.9, IF(Calc!BG17="&gt;25% OM", 5.5, 6.2)),
IF(OR(Calc!BJ17="a", VLOOKUP(LEFT($B19,LEN($B19)-2),'Field information 2'!$B$12:$P$111,9,FALSE)="yes"),
 IF(Calc!BG17="10-25% OM", 6.4, IF(Calc!BG17="&gt;25% OM", 6, 6.7)), "")))</f>
        <v/>
      </c>
      <c r="AF19" s="91" t="str">
        <f ca="1">IF(B19="","",
IF('Waste results'!$Q$33="","no (significant) liming properties",
IF('Waste results'!Q$33&gt;100,"no (significant) liming properties",
IF(AD19="","",
IF(AD19&gt;=AE19,0,ROUNDDOWN((AE19-AD19)*Calc!BK17*'Waste results'!$Q$33+0.2,0))))))</f>
        <v/>
      </c>
      <c r="AG19" s="9" t="str">
        <f ca="1">IF(B19="","",
IF(T19=0,"n/a",
IF(AD19="","data missing",
IF(AND(AD19&lt;5,AF19="no (significant) liming properties"),"no waste application - pH too low",
IF(AND(AD19&gt;5.1,AF19="no (significant) liming properties",Calc!BH17&gt;25, LEFT(Calc!BI17,4)="graz"),"ok",
IF(AND(AD19&lt;=5.2,AF19="no (significant) liming properties"),"liming highly recommended",
IF(AF19=0,"no waste application - liming not required",
IF(AF19&lt;Calc!BC17,"application rate too high - exceeds liming requirement",
"ok"))))))))</f>
        <v/>
      </c>
      <c r="AI19" s="91" t="str">
        <f ca="1">IF(B19="","",
IF(AND('Field information 2'!$O$5="", 'Field information 2'!$Q$5=""),
   IF('Waste results'!$P$10&lt;&gt;"data missing", Calc!BC17*'Waste results'!$P$10, "data missing"),
IF('Field information 2'!$Q$5="",
   IF(Calc!BD17=0,
     IF('Waste results'!$P$10&lt;&gt;"data missing", Calc!BC17*'Waste results'!$P$10, "data missing"),
   IF(Calc!BC17=0,
     IF('Waste results'!$P$45&lt;&gt;"data missing", Calc!BD17*'Waste results'!$P$45, "data missing"),
   IF(OR('Waste results'!$P$10&lt;&gt;"data missing", 'Waste results'!$P$45&lt;&gt;"data missing"), Calc!BC17*'Waste results'!$P$10+ Calc!BD17*'Waste results'!$P$45, "data missing"))),
IF(AND('Field information 2'!$M$5&lt;&gt;"", 'Field information 2'!$O$5&lt;&gt;"", 'Field information 2'!$Q$5&lt;&gt;""),
   IF(AND(Calc!BD17=0,Calc!BE17=0),
     IF('Waste results'!$P$10&lt;&gt;"data missing", Calc!BC17*'Waste results'!$P$10, "data missing"),
   IF(AND(Calc!BC17=0,Calc!BE17=0),
     IF('Waste results'!$P$45&lt;&gt;"data missing", Calc!BD17*'Waste results'!$P$45, "data missing"),
   IF(AND(Calc!BC17=0,Calc!BD17=0),
     IF('Waste results'!$P$82&lt;&gt;"data missing", Calc!BE17*'Waste results'!$P$82, "data missing"),
   IF(Calc!BE17=0,
     IF(OR('Waste results'!$P$10&lt;&gt;"data missing", 'Waste results'!$P$45&lt;&gt;"data missing"), Calc!BC17*'Waste results'!$P$10+ Calc!BD17*'Waste results'!$P$45, "data missing"),
   IF(Calc!BD17=0,
     IF(OR('Waste results'!$P$10&lt;&gt;"data missing", 'Waste results'!$P$82&lt;&gt;"data missing"), Calc!BC17*'Waste results'!$P$10+ Calc!BE17*'Waste results'!$P$82, "data missing"),
   IF(Calc!BC17=0,
     IF(OR('Waste results'!$P$45&lt;&gt;"data missing", 'Waste results'!$P$82&lt;&gt;"data missing"), Calc!BD17*'Waste results'!$P$45+Calc!BE17*'Waste results'!$P$82, "data missing"),
   IF(OR('Waste results'!$P$10&lt;&gt;"data missing", 'Waste results'!$P$45&lt;&gt;"data missing", 'Waste results'!$P$82&lt;&gt;"data missing"), Calc!BC17*'Waste results'!$P$10+Calc!BD17*'Waste results'!$P$45+ Calc!BE17*'Waste results'!$P$82, "data missing")))))))))))</f>
        <v/>
      </c>
      <c r="AJ19" s="237" t="str">
        <f ca="1">IF(B19="","",
IF(AI19="data missing","data missing",
IF(Calc!BF17=0,"n/a",
IF(AND(Calc!BH17&gt;=8,AI19&lt;500),"no benefit",
IF(OR(AND(Calc!BH17&lt;=4,AI19&gt;=500),AND(Calc!BH17&lt;8,AI19&gt;5000)),"benefit",
"limited benefit")))))</f>
        <v/>
      </c>
      <c r="AL19" s="238" t="str">
        <f ca="1">IF(B19="","",
IF(AND('Field information 2'!$O$5="", 'Field information 2'!$Q$5=""),
   IF('Waste results'!$S$25&lt;&gt;"data missing", Calc!BC17*'Waste results'!$S$25, "data missing"),
IF('Field information 2'!$Q$5="",
   IF(Calc!BD17=0,
     IF('Waste results'!$S$25&lt;&gt;"data missing", Calc!BC17*'Waste results'!$S$25, "data missing"),
   IF(Calc!BC17=0,
     IF('Waste results'!$S$61&lt;&gt;"data missing", Calc!BD17*'Waste results'!$S$61, "data missing"),
   IF(OR('Waste results'!$S$25&lt;&gt;"data missing", 'Waste results'!$S$61&lt;&gt;"data missing"), Calc!BC17*'Waste results'!$S$25+ Calc!BD17*'Waste results'!$S$61, "data missing"))),
IF(AND('Field information 2'!$M$5&lt;&gt;"", 'Field information 2'!$O$5&lt;&gt;"", 'Field information 2'!$Q$5&lt;&gt;""),
   IF(AND(Calc!BD17=0,Calc!BE17=0),
     IF('Waste results'!$S$25&lt;&gt;"data missing", Calc!BC17*'Waste results'!$S$25, "data missing"),
   IF(AND(Calc!BC17=0,Calc!BE17=0),
     IF('Waste results'!$S$61&lt;&gt;"data missing", Calc!BD17*'Waste results'!$S$61, "data missing"),
   IF(AND(Calc!BC17=0,Calc!BD17=0),
     IF('Waste results'!$S$97&lt;&gt;"data missing", Calc!BE17*'Waste results'!$S$97, "data missing"),
   IF(Calc!BE17=0,
     IF(OR('Waste results'!$S$25&lt;&gt;"data missing", 'Waste results'!$S$61&lt;&gt;"data missing"), Calc!BC17*'Waste results'!$S$25+ Calc!BD17*'Waste results'!$S$61, "data missing"),
   IF(Calc!BD17=0,
     IF(OR('Waste results'!$S$25&lt;&gt;"data missing", 'Waste results'!$S$97&lt;&gt;"data missing"), Calc!BC17*'Waste results'!$S$25+ Calc!BE17*'Waste results'!$S$97, "data missing"),
   IF(Calc!BC17=0,
     IF(OR('Waste results'!$S$61&lt;&gt;"data missing", 'Waste results'!$S$97&lt;&gt;"data missing"), Calc!BD17*'Waste results'!$S$61+Calc!BE17*'Waste results'!$S$97, "data missing"),
   IF(OR('Waste results'!$S$25&lt;&gt;"data missing", 'Waste results'!$S$61&lt;&gt;"data missing", 'Waste results'!$S$97&lt;&gt;"data missing"), Calc!BC17*'Waste results'!$S$25+Calc!BD17*'Waste results'!$S$61+ Calc!BE17*'Waste results'!$S$97, "data missing")))))))))))</f>
        <v/>
      </c>
      <c r="AM19" s="239" t="str">
        <f ca="1">IF($B19="","",
IF(ISBLANK('Soil results'!K22),"data missing",'Soil results'!K22))</f>
        <v/>
      </c>
      <c r="AN19" s="239" t="str">
        <f t="shared" ca="1" si="6"/>
        <v/>
      </c>
      <c r="AO19" s="9" t="str">
        <f t="shared" ca="1" si="7"/>
        <v/>
      </c>
      <c r="AQ19" s="240" t="str">
        <f ca="1">IF(B19="","",
IF(AND('Field information 2'!$O$5="", 'Field information 2'!$Q$5=""),
   IF('Waste results'!$S$26&lt;&gt;"data missing", Calc!BC17*'Waste results'!$S$26, "data missing"),
IF('Field information 2'!$Q$5="",
   IF(Calc!BD17=0,
     IF('Waste results'!$S$26&lt;&gt;"data missing", Calc!BC17*'Waste results'!$S$26, "data missing"),
   IF(Calc!BC17=0,
     IF('Waste results'!$S$62&lt;&gt;"data missing", Calc!BD17*'Waste results'!$S$62, "data missing"),
   IF(OR('Waste results'!$S$26&lt;&gt;"data missing", 'Waste results'!$S$62&lt;&gt;"data missing"), Calc!BC17*'Waste results'!$S$26+ Calc!BD17*'Waste results'!$S$62, "data missing"))),
IF(AND('Field information 2'!$M$5&lt;&gt;"", 'Field information 2'!$O$5&lt;&gt;"", 'Field information 2'!$Q$5&lt;&gt;""),
   IF(AND(Calc!BD17=0,Calc!BE17=0),
     IF('Waste results'!$S$26&lt;&gt;"data missing", Calc!BC17*'Waste results'!$S$26, "data missing"),
   IF(AND(Calc!BC17=0,Calc!BE17=0),
     IF('Waste results'!$S$62&lt;&gt;"data missing", Calc!BD17*'Waste results'!$S$62, "data missing"),
   IF(AND(Calc!BC17=0,Calc!BD17=0),
     IF('Waste results'!$S$98&lt;&gt;"data missing", Calc!BE17*'Waste results'!$S$98, "data missing"),
   IF(Calc!BE17=0,
     IF(OR('Waste results'!$S$26&lt;&gt;"data missing", 'Waste results'!$S$62&lt;&gt;"data missing"), Calc!BC17*'Waste results'!$S$26+ Calc!BD17*'Waste results'!$S$62, "data missing"),
   IF(Calc!BD17=0,
     IF(OR('Waste results'!$S$26&lt;&gt;"data missing", 'Waste results'!$S$98&lt;&gt;"data missing"), Calc!BC17*'Waste results'!$S$26+ Calc!BE17*'Waste results'!$S$98, "data missing"),
   IF(Calc!BC17=0,
     IF(OR('Waste results'!$S$62&lt;&gt;"data missing", 'Waste results'!$S$98&lt;&gt;"data missing"), Calc!BD17*'Waste results'!$S$62+Calc!BE17*'Waste results'!$S$98, "data missing"),
   IF(OR('Waste results'!$S$26&lt;&gt;"data missing", 'Waste results'!$S$62&lt;&gt;"data missing", 'Waste results'!$S$98&lt;&gt;"data missing"), Calc!BC17*'Waste results'!$S$26+Calc!BD17*'Waste results'!$S$62+ Calc!BE17*'Waste results'!$S$98, "data missing")))))))))))</f>
        <v/>
      </c>
      <c r="AR19" s="241" t="str">
        <f ca="1">IF($B19="","",
IF(ISBLANK('Soil results'!L22),"data missing",'Soil results'!L22))</f>
        <v/>
      </c>
      <c r="AS19" s="241" t="str">
        <f t="shared" ca="1" si="8"/>
        <v/>
      </c>
      <c r="AT19" s="66" t="str">
        <f t="shared" ca="1" si="9"/>
        <v/>
      </c>
      <c r="AV19" s="238" t="str">
        <f ca="1">IF(B19="","",
IF(AND('Field information 2'!$O$5="", 'Field information 2'!$Q$5=""),
   IF('Waste results'!$S$27&lt;&gt;"data missing", Calc!BC17*'Waste results'!$S$27, "data missing"),
IF('Field information 2'!$Q$5="",
   IF(Calc!BD17=0,
     IF('Waste results'!$S$27&lt;&gt;"data missing", Calc!BC17*'Waste results'!$S$27, "data missing"),
   IF(Calc!BC17=0,
     IF('Waste results'!$S$63&lt;&gt;"data missing", Calc!BD17*'Waste results'!$S$63, "data missing"),
   IF(OR('Waste results'!$S$27&lt;&gt;"data missing", 'Waste results'!$S$63&lt;&gt;"data missing"), Calc!BC17*'Waste results'!$S$27+ Calc!BD17*'Waste results'!$S$63, "data missing"))),
IF(AND('Field information 2'!$M$5&lt;&gt;"", 'Field information 2'!$O$5&lt;&gt;"", 'Field information 2'!$Q$5&lt;&gt;""),
   IF(AND(Calc!BD17=0,Calc!BE17=0),
     IF('Waste results'!$S$27&lt;&gt;"data missing", Calc!BC17*'Waste results'!$S$27, "data missing"),
   IF(AND(Calc!BC17=0,Calc!BE17=0),
     IF('Waste results'!$S$63&lt;&gt;"data missing", Calc!BD17*'Waste results'!$S$63, "data missing"),
   IF(AND(Calc!BC17=0,Calc!BD17=0),
     IF('Waste results'!$S$99&lt;&gt;"data missing", Calc!BE17*'Waste results'!$S$99, "data missing"),
   IF(Calc!BE17=0,
     IF(OR('Waste results'!$S$27&lt;&gt;"data missing", 'Waste results'!$S$63&lt;&gt;"data missing"), Calc!BC17*'Waste results'!$S$27+ Calc!BD17*'Waste results'!$S$63, "data missing"),
   IF(Calc!BD17=0,
     IF(OR('Waste results'!$S$27&lt;&gt;"data missing", 'Waste results'!$S$99&lt;&gt;"data missing"), Calc!BC17*'Waste results'!$S$27+ Calc!BE17*'Waste results'!$S$99, "data missing"),
   IF(Calc!BC17=0,
     IF(OR('Waste results'!$S$63&lt;&gt;"data missing", 'Waste results'!$S$99&lt;&gt;"data missing"), Calc!BD17*'Waste results'!$S$63+Calc!BE17*'Waste results'!$S$99, "data missing"),
   IF(OR('Waste results'!$S$27&lt;&gt;"data missing", 'Waste results'!$S$63&lt;&gt;"data missing", 'Waste results'!$S$99&lt;&gt;"data missing"), Calc!BC17*'Waste results'!$S$27+Calc!BD17*'Waste results'!$S$63+ Calc!BE17*'Waste results'!$S$99, "data missing")))))))))))</f>
        <v/>
      </c>
      <c r="AW19" s="239" t="str">
        <f ca="1">IF($B19="","",
IF(ISBLANK('Soil results'!M22),"data missing",'Soil results'!M22))</f>
        <v/>
      </c>
      <c r="AX19" s="239" t="str">
        <f t="shared" ca="1" si="10"/>
        <v/>
      </c>
      <c r="AY19" s="9" t="str">
        <f ca="1">IF(B19="","",
IF(AV19=0,"n/a",
IF(OR(AV19="data missing",AW19="data missing"),"data missing",
IF(AV19&gt;7.5,"application rate too high - permissible rate exceeds limit",
IF('Soil results'!$F22&lt;=5.5,
  IF(AW19&gt;80,"no application - soil conc. already above limit",
  IF(AX19&gt;80,"application rate too high - soil conc. will exceed limit",
  IF(AW19&gt;80*0.9,"soil conc. is at or above 90% of the limit",
  IF(10*AV19*1000/3000+AW19&gt;80,"soil limit likely to be exceeded in 10yrs",
  IF(50*AV19*1000/3000+AW19&gt;80,"soil limit likely to be exceeded in 50yrs","ok"))))),
IF('Soil results'!$F22&lt;=6,
  IF(AW19&gt;100,"no application - soil conc. already above limit",
  IF(AX19&gt;100,"application rate too high - soil conc. will exceed limit",
  IF(AW19&gt;100*0.9,"soil conc. is at or above 90% of the limit",
  IF(10*AV19*1000/3000+AW19&gt;100,"soil limit likely to be exceeded in 10yrs",
  IF(50*AV19*1000/3000+AW19&gt;100,"soil limit likely to be exceeded in 50yrs","ok"))))),
IF('Soil results'!$F22&lt;=7,
  IF(AW19&gt;135,"no application - soil conc. already above limit",
  IF(AX19&gt;135,"application rate too high - soil conc. will exceed limit",
  IF(AW19&gt;135*0.9,"soil conc. is at or above 90% of the limit",
  IF(10*AV19*1000/3000+AW19&gt;135,"soil limit likely to be exceeded in 10yrs",
  IF(50*AV19*1000/3000+AW19&gt;135,"soil limit likely to be exceeded in 50yrs","ok"))))),
IF('Soil results'!$F22&gt;7,
  IF(AW19&gt;200,"no application - soil conc. already above limit",
  IF(AX19&gt;200,"application too high - soil conc. will exceed limit",
  IF(AW19&gt;200*0.9,"soil conc. is at or above 90% of the limit",
  IF(10*AV19*1000/3000+AW19&gt;200,"soil limit likely to be exceeded in 10yrs",
  IF(50*AV19*1000/3000+AW19&gt;200,"soil limit likely to be exceeded in 50yrs","ok")))))
))))))))</f>
        <v/>
      </c>
      <c r="BA19" s="238" t="str">
        <f ca="1">IF(B19="","",
IF(AND('Field information 2'!$O$5="", 'Field information 2'!$Q$5=""),
   IF('Waste results'!$S$28&lt;&gt;"data missing", Calc!BC17*'Waste results'!$S$28, "data missing"),
IF('Field information 2'!$Q$5="",
   IF(Calc!BD17=0,
     IF('Waste results'!$S$28&lt;&gt;"data missing", Calc!BC17*'Waste results'!$S$28, "data missing"),
   IF(Calc!BC17=0,
     IF('Waste results'!$S$64&lt;&gt;"data missing", Calc!BD17*'Waste results'!$S$64, "data missing"),
   IF(OR('Waste results'!$S$28&lt;&gt;"data missing", 'Waste results'!$S$64&lt;&gt;"data missing"), Calc!BC17*'Waste results'!$S$28+ Calc!BD17*'Waste results'!$S$64, "data missing"))),
IF(AND('Field information 2'!$M$5&lt;&gt;"", 'Field information 2'!$O$5&lt;&gt;"", 'Field information 2'!$Q$5&lt;&gt;""),
   IF(AND(Calc!BD17=0,Calc!BE17=0),
     IF('Waste results'!$S$28&lt;&gt;"data missing", Calc!BC17*'Waste results'!$S$28, "data missing"),
   IF(AND(Calc!BC17=0,Calc!BE17=0),
     IF('Waste results'!$S$64&lt;&gt;"data missing", Calc!BD17*'Waste results'!$S$64, "data missing"),
   IF(AND(Calc!BC17=0,Calc!BD17=0),
     IF('Waste results'!$S$100&lt;&gt;"data missing", Calc!BE17*'Waste results'!$S$100, "data missing"),
   IF(Calc!BE17=0,
     IF(OR('Waste results'!$S$28&lt;&gt;"data missing", 'Waste results'!$S$64&lt;&gt;"data missing"), Calc!BC17*'Waste results'!$S$28+ Calc!BD17*'Waste results'!$S$64, "data missing"),
   IF(Calc!BD17=0,
     IF(OR('Waste results'!$S$28&lt;&gt;"data missing", 'Waste results'!$S$100&lt;&gt;"data missing"), Calc!BC17*'Waste results'!$S$28+ Calc!BE17*'Waste results'!$S$100, "data missing"),
   IF(Calc!BC17=0,
     IF(OR('Waste results'!$S$64&lt;&gt;"data missing", 'Waste results'!$S$100&lt;&gt;"data missing"), Calc!BD17*'Waste results'!$S$64+Calc!BE17*'Waste results'!$S$100, "data missing"),
   IF(OR('Waste results'!$S$28&lt;&gt;"data missing", 'Waste results'!$S$64&lt;&gt;"data missing", 'Waste results'!$S$100&lt;&gt;"data missing"), Calc!BC17*'Waste results'!$S$28+Calc!BD17*'Waste results'!$S$64+ Calc!BE17*'Waste results'!$S$100, "data missing")))))))))))</f>
        <v/>
      </c>
      <c r="BB19" s="239" t="str">
        <f ca="1">IF($B19="","",
IF(ISBLANK('Soil results'!N22),"data missing",'Soil results'!N22))</f>
        <v/>
      </c>
      <c r="BC19" s="239" t="str">
        <f t="shared" ca="1" si="11"/>
        <v/>
      </c>
      <c r="BD19" s="9" t="str">
        <f t="shared" ca="1" si="12"/>
        <v/>
      </c>
      <c r="BF19" s="238" t="str">
        <f ca="1">IF(B19="","",
IF(AND('Field information 2'!$O$5="", 'Field information 2'!$Q$5=""),
   IF('Waste results'!$S$29&lt;&gt;"data missing", Calc!BC17*'Waste results'!$S$29, "data missing"),
IF('Field information 2'!$Q$5="",
   IF(Calc!BD17=0,
     IF('Waste results'!$S$29&lt;&gt;"data missing", Calc!BC17*'Waste results'!$S$29, "data missing"),
   IF(Calc!BC17=0,
     IF('Waste results'!$S$65&lt;&gt;"data missing", Calc!BD17*'Waste results'!$S$65, "data missing"),
   IF(OR('Waste results'!$S$29&lt;&gt;"data missing", 'Waste results'!$S$65&lt;&gt;"data missing"), Calc!BC17*'Waste results'!$S$29+ Calc!BD17*'Waste results'!$S$65, "data missing"))),
IF(AND('Field information 2'!$M$5&lt;&gt;"", 'Field information 2'!$O$5&lt;&gt;"", 'Field information 2'!$Q$5&lt;&gt;""),
   IF(AND(Calc!BD17=0,Calc!BE17=0),
     IF('Waste results'!$S$29&lt;&gt;"data missing", Calc!BC17*'Waste results'!$S$29, "data missing"),
   IF(AND(Calc!BC17=0,Calc!BE17=0),
     IF('Waste results'!$S$65&lt;&gt;"data missing", Calc!BD17*'Waste results'!$S$65, "data missing"),
   IF(AND(Calc!BC17=0,Calc!BD17=0),
     IF('Waste results'!$S$101&lt;&gt;"data missing", Calc!BE17*'Waste results'!$S$101, "data missing"),
   IF(Calc!BE17=0,
     IF(OR('Waste results'!$S$29&lt;&gt;"data missing", 'Waste results'!$S$65&lt;&gt;"data missing"), Calc!BC17*'Waste results'!$S$29+ Calc!BD17*'Waste results'!$S$65, "data missing"),
   IF(Calc!BD17=0,
     IF(OR('Waste results'!$S$29&lt;&gt;"data missing", 'Waste results'!$S$101&lt;&gt;"data missing"), Calc!BC17*'Waste results'!$S$29+ Calc!BE17*'Waste results'!$S$101, "data missing"),
   IF(Calc!BC17=0,
     IF(OR('Waste results'!$S$65&lt;&gt;"data missing", 'Waste results'!$S$101&lt;&gt;"data missing"), Calc!BD17*'Waste results'!$S$65+Calc!BE17*'Waste results'!$S$101, "data missing"),
   IF(OR('Waste results'!$S$29&lt;&gt;"data missing", 'Waste results'!$S$65&lt;&gt;"data missing", 'Waste results'!$S$101&lt;&gt;"data missing"), Calc!BC17*'Waste results'!$S$29+Calc!BD17*'Waste results'!$S$65+ Calc!BE17*'Waste results'!$S$101, "data missing")))))))))))</f>
        <v/>
      </c>
      <c r="BG19" s="239" t="str">
        <f ca="1">IF($B19="","",
IF(ISBLANK('Soil results'!O22),"data missing",'Soil results'!O22))</f>
        <v/>
      </c>
      <c r="BH19" s="239" t="str">
        <f t="shared" ca="1" si="13"/>
        <v/>
      </c>
      <c r="BI19" s="9" t="str">
        <f ca="1">IF(B19="","",
IF(BF19=0,"n/a",
IF(OR(BF19="data missing",BG19="data missing"),"data missing",
IF(BF19&gt;3,"application rate too high - permissible rate exceeds limit",
IF('Soil results'!F22&lt;=5.5,
  IF(BG19&gt;50,"no application - soil conc. already above limit",
  IF(BH19&gt;50,"application rate too high - soil conc. will exceed limit",
  IF(BG19&gt;50*0.9,"soil conc. is at or above 90% of the limit",
  IF(10*BF19*1000/3000+BG19&gt;50,"soil limit likely to be exceeded in 10yrs",
  IF(50*BF19*1000/3000+BG19&gt;50,"soil limit likely to be exceeded in 50yrs","ok"))))),
IF('Soil results'!F22&lt;=6,
  IF(BG19&gt;60,"no application - soil conc. already above limit",
  IF(BH19&gt;60,"application rate too high - soil conc. will exceed limit",
  IF(BG19&gt;60*0.9,"soil conc. is at or above 90% of the limit",
  IF(10*BF19*1000/3000+BG19&gt;60,"soil limit likely to be exceeded in 10yrs",
  IF(50*BF19*1000/3000+BG19&gt;60,"soil limit likely to be exceeded in 50yrs","ok"))))),
IF('Soil results'!F22&lt;=7,
  IF(BG19&gt;75,"no application - soil conc. already above limit",
  IF(BH19&gt;75,"application rate too high - soil conc. will exceed limit",
  IF(BG19&gt;75*0.9,"soil conc. is at or above 90% of the limit",
  IF(10*BF19*1000/3000+BG19&gt;75,"soil limit likely to be exceeded in 10yrs",
  IF(50*BF19*1000/3000+BG19&gt;75,"soil limit likely to be exceeded in 50yrs","ok"))))),
IF('Soil results'!F22&gt;7,
  IF(BG19&gt;100,"no application - soil conc. already above limit",
  IF(BH19&gt;100,"application rate too high - soil conc. will exceed limit",
  IF(BG19&gt;100*0.9,"soil conc. is at or above 90% of the limit",
  IF(10*BF19*1000/3000+BG19&gt;100,"soil limit likely to be exceeded in 10yrs",
  IF(50*BF19*1000/3000+BG19&gt;100,"soil limit likely to beexceeded in 50yrs","ok")))))
))))))))</f>
        <v/>
      </c>
      <c r="BK19" s="240" t="str">
        <f ca="1">IF(B19="","",
IF(AND('Field information 2'!$O$5="", 'Field information 2'!$Q$5=""),
   IF('Waste results'!$S$30&lt;&gt;"data missing", Calc!BC17*'Waste results'!$S$30, "data missing"),
IF('Field information 2'!$Q$5="",
   IF(Calc!BD17=0,
     IF('Waste results'!$S$30&lt;&gt;"data missing", Calc!BC17*'Waste results'!$S$30, "data missing"),
   IF(Calc!BC17=0,
     IF('Waste results'!$S$66&lt;&gt;"data missing", Calc!BD17*'Waste results'!$S$66, "data missing"),
   IF(OR('Waste results'!$S$30&lt;&gt;"data missing", 'Waste results'!$S$66&lt;&gt;"data missing"), Calc!BC17*'Waste results'!$S$30+ Calc!BD17*'Waste results'!$S$66, "data missing"))),
IF(AND('Field information 2'!$M$5&lt;&gt;"", 'Field information 2'!$O$5&lt;&gt;"", 'Field information 2'!$Q$5&lt;&gt;""),
   IF(AND(Calc!BD17=0,Calc!BE17=0),
     IF('Waste results'!$S$30&lt;&gt;"data missing", Calc!BC17*'Waste results'!$S$30, "data missing"),
   IF(AND(Calc!BC17=0,Calc!BE17=0),
     IF('Waste results'!$S$66&lt;&gt;"data missing", Calc!BD17*'Waste results'!$S$66, "data missing"),
   IF(AND(Calc!BC17=0,Calc!BD17=0),
     IF('Waste results'!$S$102&lt;&gt;"data missing", Calc!BE17*'Waste results'!$S$102, "data missing"),
   IF(Calc!BE17=0,
     IF(OR('Waste results'!$S$30&lt;&gt;"data missing", 'Waste results'!$S$66&lt;&gt;"data missing"), Calc!BC17*'Waste results'!$S$30+ Calc!BD17*'Waste results'!$S$66, "data missing"),
   IF(Calc!BD17=0,
     IF(OR('Waste results'!$S$30&lt;&gt;"data missing", 'Waste results'!$S$102&lt;&gt;"data missing"), Calc!BC17*'Waste results'!$S$30+ Calc!BE17*'Waste results'!$S$102, "data missing"),
   IF(Calc!BC17=0,
     IF(OR('Waste results'!$S$66&lt;&gt;"data missing", 'Waste results'!$S$102&lt;&gt;"data missing"), Calc!BD17*'Waste results'!$S$66+Calc!BE17*'Waste results'!$S$102, "data missing"),
   IF(OR('Waste results'!$S$30&lt;&gt;"data missing", 'Waste results'!$S$66&lt;&gt;"data missing", 'Waste results'!$S$102&lt;&gt;"data missing"), Calc!BC17*'Waste results'!$S$30+Calc!BD17*'Waste results'!$S$66+ Calc!BE17*'Waste results'!$S$102, "data missing")))))))))))</f>
        <v/>
      </c>
      <c r="BL19" s="241" t="str">
        <f ca="1">IF($B19="","",
IF(ISBLANK('Soil results'!P22),"data missing",'Soil results'!P22))</f>
        <v/>
      </c>
      <c r="BM19" s="241" t="str">
        <f t="shared" ca="1" si="14"/>
        <v/>
      </c>
      <c r="BN19" s="66" t="str">
        <f t="shared" ca="1" si="15"/>
        <v/>
      </c>
      <c r="BP19" s="238" t="str">
        <f ca="1">IF(B19="","",
IF(AND('Field information 2'!$O$5="", 'Field information 2'!$Q$5=""),
   IF('Waste results'!$S$31&lt;&gt;"data missing", Calc!BC17*'Waste results'!$S$31, "data missing"),
IF('Field information 2'!$Q$5="",
   IF(Calc!BD17=0,
     IF('Waste results'!$S$31&lt;&gt;"data missing", Calc!BC17*'Waste results'!$S$31, "data missing"),
   IF(Calc!BC17=0,
     IF('Waste results'!$S$67&lt;&gt;"data missing", Calc!BD17*'Waste results'!$S$67, "data missing"),
   IF(OR('Waste results'!$S$31&lt;&gt;"data missing", 'Waste results'!$S$67&lt;&gt;"data missing"), Calc!BC17*'Waste results'!$S$31+ Calc!BD17*'Waste results'!$S$67, "data missing"))),
IF(AND('Field information 2'!$M$5&lt;&gt;"", 'Field information 2'!$O$5&lt;&gt;"", 'Field information 2'!$Q$5&lt;&gt;""),
   IF(AND(Calc!BD17=0,Calc!BE17=0),
     IF('Waste results'!$S$31&lt;&gt;"data missing", Calc!BC17*'Waste results'!$S$31, "data missing"),
   IF(AND(Calc!BC17=0,Calc!BE17=0),
     IF('Waste results'!$S$67&lt;&gt;"data missing", Calc!BD17*'Waste results'!$S$67, "data missing"),
   IF(AND(Calc!BC17=0,Calc!BD17=0),
     IF('Waste results'!$S$103&lt;&gt;"data missing", Calc!BE17*'Waste results'!$S$103, "data missing"),
   IF(Calc!BE17=0,
     IF(OR('Waste results'!$S$31&lt;&gt;"data missing", 'Waste results'!$S$67&lt;&gt;"data missing"), Calc!BC17*'Waste results'!$S$31+ Calc!BD17*'Waste results'!$S$67, "data missing"),
   IF(Calc!BD17=0,
     IF(OR('Waste results'!$S$31&lt;&gt;"data missing", 'Waste results'!$S$103&lt;&gt;"data missing"), Calc!BC17*'Waste results'!$S$31+ Calc!BE17*'Waste results'!$S$103, "data missing"),
   IF(Calc!BC17=0,
     IF(OR('Waste results'!$S$67&lt;&gt;"data missing", 'Waste results'!$S$103&lt;&gt;"data missing"), Calc!BD17*'Waste results'!$S$67+Calc!BE17*'Waste results'!$S$103, "data missing"),
   IF(OR('Waste results'!$S$31&lt;&gt;"data missing", 'Waste results'!$S$67&lt;&gt;"data missing", 'Waste results'!$S$103&lt;&gt;"data missing"), Calc!BC17*'Waste results'!$S$31+Calc!BD17*'Waste results'!$S$67+ Calc!BE17*'Waste results'!$S$103, "data missing")))))))))))</f>
        <v/>
      </c>
      <c r="BQ19" s="239" t="str">
        <f ca="1">IF($B19="","",
IF(ISBLANK('Soil results'!Q22),"data missing",'Soil results'!Q22))</f>
        <v/>
      </c>
      <c r="BR19" s="239" t="str">
        <f t="shared" ca="1" si="16"/>
        <v/>
      </c>
      <c r="BS19" s="9" t="str">
        <f ca="1">IF(B19="","",
IF(BP19=0,"n/a",
IF(OR(BP19="data missing",BQ19=""),"data missing",
IF(BP19&gt;15,"application rate too high - permissible rate exceeds limit",
IF('Soil results'!F22&lt;=5.5,
  IF(BQ19&gt;200,"no application - soil conc. already above limit",
  IF(BR19&gt;200,"application rate too high - soil conc. will exceed limit",
  IF(BQ19&gt;200*0.9,"soil conc. is at or above 90% of the limit",
  IF(10*BP19*1000/3000+BQ19&gt;200,"soil limit likely to be exceeded in 10yrs",
  IF(50*BP19*1000/3000+BQ19&gt;200,"soil limit likely to be exceeded in 50yrs","ok"))))),
IF('Soil results'!F22&lt;=6,
  IF(BQ19&gt;250,"no application - soil conc. already above limit",
  IF(BR19&gt;250,"application rate too high - soil conc. will exceed limit",
  IF(BQ19&gt;250*0.9,"soil conc. is at or above 90% of the limit",
  IF(10*BP19*1000/3000+BQ19&gt;250,"soil limit likely to be exceeded in 10yrs",
  IF(50*BP19*1000/3000+BQ19&gt;250,"soil limit likely to be exceeded in 50yrs","ok"))))),
IF('Soil results'!F22&lt;=7,
  IF(BQ19&gt;300,"no application - soil conc. already above limit",
  IF(BR19&gt;300,"application rate too high - soil conc. will exceed limit",
  IF(BQ19&gt;300*0.9,"soil conc. is at or above 90% of the limit",
  IF(10*BP19*1000/3000+BQ19&gt;300,"soil limit likey to be exceeded in 10yrs",
  IF(50*BP19*1000/3000+BQ19&gt;300,"soil limit likely to be exceeded in 50yrs","ok"))))),
IF('Soil results'!F22&gt;7,
  IF(BQ19&gt;450,"no application - soil conc. already above limit",
  IF(BR19&gt;450,"application rate too high - soil conc. will exceed limit",
  IF(AW19&gt;450*0.9,"soil conc. is at or above 90% of the limit",
  IF(10*BP19*1000/3000+BQ19&gt;450,"soil limit likely to be exceeded in 10yrs",
  IF(50*BP19*1000/3000+BQ19&gt;450,"soil limit likely to be exceeded in 50yrs","ok")))))
))))))))</f>
        <v/>
      </c>
    </row>
    <row r="20" spans="2:71" s="9" customFormat="1" x14ac:dyDescent="0.35">
      <c r="B20" s="236" t="str">
        <f ca="1">'Soil results'!B23</f>
        <v/>
      </c>
      <c r="C20" s="91" t="str">
        <f ca="1">IF(B20="","",
IF(AND('Field information 2'!$O$5="", 'Field information 2'!$Q$5=""),
   IF('Waste results'!$S$12&lt;&gt;"data missing", Calc!BC18*'Waste results'!$S$12, "data missing"),
IF('Field information 2'!$Q$5="",
   IF(Calc!BD18=0,
     IF('Waste results'!$S$12&lt;&gt;"data missing", Calc!BC18*'Waste results'!$S$12, "data missing"),
   IF(Calc!BC18=0,
     IF('Waste results'!$S$48&lt;&gt;"data missing", Calc!BD18*'Waste results'!$S$48, "data missing"),
   IF(OR('Waste results'!$S$12&lt;&gt;"data missing", 'Waste results'!$S$48&lt;&gt;"data missing"), Calc!BC18*'Waste results'!$S$12+ Calc!BD18*'Waste results'!$S$48, "data missing"))),
IF(AND('Field information 2'!$M$5&lt;&gt;"", 'Field information 2'!$O$5&lt;&gt;"", 'Field information 2'!$Q$5&lt;&gt;""),
   IF(AND(Calc!BD18=0,Calc!BE18=0),
     IF('Waste results'!$S$12&lt;&gt;"data missing", Calc!BC18*'Waste results'!$S$12, "data missing"),
   IF(AND(Calc!BC18=0,Calc!BE18=0),
     IF('Waste results'!$S$48&lt;&gt;"data missing", Calc!BD18*'Waste results'!$S$48, "data missing"),
   IF(AND(Calc!BC18=0,Calc!BD18=0),
     IF('Waste results'!$S$84&lt;&gt;"data missing", Calc!BE18*'Waste results'!$S$84, "data missing"),
   IF(Calc!BE18=0,
     IF(OR('Waste results'!$S$12&lt;&gt;"data missing", 'Waste results'!$S$48&lt;&gt;"data missing"), Calc!BC18*'Waste results'!$S$12+ Calc!BD18*'Waste results'!$S$48, "data missing"),
   IF(Calc!BD18=0,
     IF(OR('Waste results'!$S$12&lt;&gt;"data missing", 'Waste results'!$S$84&lt;&gt;"data missing"), Calc!BC18*'Waste results'!$S$12+ Calc!BE18*'Waste results'!$S$84, "data missing"),
   IF(Calc!BC18=0,
     IF(OR('Waste results'!$S$48&lt;&gt;"data missing", 'Waste results'!$S$84&lt;&gt;"data missing"), Calc!BD18*'Waste results'!$S$48+Calc!BE18*'Waste results'!$S$84, "data missing"),
   IF(OR('Waste results'!$S$12&lt;&gt;"data missing", 'Waste results'!$S$48&lt;&gt;"data missing", 'Waste results'!$S$84&lt;&gt;"data missing"), Calc!BC18*'Waste results'!$S$12+Calc!BD18*'Waste results'!$S$48+ Calc!BE18*'Waste results'!$S$84, "data missing")))))))))))</f>
        <v/>
      </c>
      <c r="D20" s="161" t="str">
        <f ca="1">IF(B20="","",
IF(Calc!BG18="","soil texture missing",
IF(OR(Calc!BG18="SL; SZL; ZL",Calc!BG18="SCL; CL; ZCL; SC; ZC; C"),VLOOKUP(Calc!BI18,'Fertiliser recommendations'!$A$4:$C$63,3,FALSE),
IF(Calc!BG18="S; LS",VLOOKUP(Calc!BI18,'Fertiliser recommendations'!$A$4:$C$63,3,FALSE)+VLOOKUP(Calc!BI18,'Fertiliser recommendations'!$A$4:$D$63,4,FALSE),
IF(Calc!BG18="10-25% OM",VLOOKUP(Calc!BI18,'Fertiliser recommendations'!$A$4:$C$63,3,FALSE)+VLOOKUP(Calc!BI18,'Fertiliser recommendations'!$A$4:$E$63,5,FALSE),
IF(Calc!BG18="&gt;25% OM",VLOOKUP(Calc!BI18,'Fertiliser recommendations'!$A$4:$C$63,3,FALSE)+VLOOKUP(Calc!BI18,'Fertiliser recommendations'!$A$4:$F$63,6,FALSE),
""))))))</f>
        <v/>
      </c>
      <c r="E20" s="91" t="str">
        <f t="shared" ca="1" si="0"/>
        <v/>
      </c>
      <c r="F20" s="9" t="str">
        <f ca="1">IF(B20="","",
IF(OR(C20="data missing",D20="soil texture missing"),"data missing",
IF(Calc!BF18=0,"n/a",
IF(C20&lt;0.1*D20,"no benefit",
IF(C20&lt;0.3*D20,"limited benefit",
IF(C20&gt;250,"exceeds limit",
IF(OR(AND(D20=0,C20&gt;75),C20&gt;1.25*D20),"excessive",
IF(D20=0, "no requirement",
"benefit"))))))))</f>
        <v/>
      </c>
      <c r="H20" s="91" t="str">
        <f ca="1">IF(B20="","",
IF(AND('Field information 2'!$O$5="", 'Field information 2'!$Q$5=""),
   IF('Waste results'!$S$17&lt;&gt;"data missing", Calc!BC18*'Waste results'!$S$17, "data missing"),
IF('Field information 2'!$Q$5="",
   IF(Calc!BD18=0,
     IF('Waste results'!$S$17&lt;&gt;"data missing", Calc!BC18*'Waste results'!$S$17, "data missing"),
   IF(Calc!BC18=0,
     IF('Waste results'!$S$53&lt;&gt;"data missing", Calc!BD18*'Waste results'!$S$53, "data missing"),
   IF(OR('Waste results'!$S$17&lt;&gt;"data missing", 'Waste results'!$S$53&lt;&gt;"data missing"), Calc!BC18*'Waste results'!$S$17+ Calc!BD18*'Waste results'!$S$53, "data missing"))),
IF(AND('Field information 2'!$M$5&lt;&gt;"", 'Field information 2'!$O$5&lt;&gt;"", 'Field information 2'!$Q$5&lt;&gt;""),
   IF(AND(Calc!BD18=0,Calc!BE18=0),
     IF('Waste results'!$S$17&lt;&gt;"data missing", Calc!BC18*'Waste results'!$S$17, "data missing"),
   IF(AND(Calc!BC18=0,Calc!BE18=0),
     IF('Waste results'!$S$53&lt;&gt;"data missing", Calc!BD18*'Waste results'!$S$53, "data missing"),
   IF(AND(Calc!BC18=0,Calc!BD18=0),
     IF('Waste results'!$S$89&lt;&gt;"data missing", Calc!BE18*'Waste results'!$S$89, "data missing"),
   IF(Calc!BE18=0,
     IF(OR('Waste results'!$S$17&lt;&gt;"data missing", 'Waste results'!$S$53&lt;&gt;"data missing"), Calc!BC18*'Waste results'!$S$17+ Calc!BD18*'Waste results'!$S$53, "data missing"),
   IF(Calc!BD18=0,
     IF(OR('Waste results'!$S$17&lt;&gt;"data missing", 'Waste results'!$S$89&lt;&gt;"data missing"), Calc!BC18*'Waste results'!$S$17+ Calc!BE18*'Waste results'!$S$89, "data missing"),
   IF(Calc!BC18=0,
     IF(OR('Waste results'!$S$53&lt;&gt;"data missing", 'Waste results'!$S$89&lt;&gt;"data missing"), Calc!BD18*'Waste results'!$S$53+Calc!BE18*'Waste results'!$S$89, "data missing"),
   IF(OR('Waste results'!$S$17&lt;&gt;"data missing", 'Waste results'!$S$53&lt;&gt;"data missing", 'Waste results'!$S$89&lt;&gt;"data missing"), Calc!BC18*'Waste results'!$S$17+Calc!BD18*'Waste results'!$S$53+ Calc!BE18*'Waste results'!$S$89, "data missing")))))))))))</f>
        <v/>
      </c>
      <c r="I20" s="195" t="str">
        <f ca="1">IF(B20="","",
IF(OR(ISBLANK('Soil results'!G23), ISBLANK('Soil results'!G$7)),"data missing",
IF(OR(AND('Soil results'!G$7="Olsen (ADAS)",'Soil results'!G23&lt;16),AND('Soil results'!G$7="modified Morgan (SAC)",'Soil results'!G23&lt;4.5)),50,100)))</f>
        <v/>
      </c>
      <c r="J20" s="49" t="str">
        <f ca="1">IF(B20="","",
IF(OR(ISBLANK('Soil results'!G$7),ISBLANK('Soil results'!G23)),"data missing",
IF(OR(AND('Soil results'!G$7="Olsen (ADAS)",'Soil results'!G23&gt;45),AND('Soil results'!G$7="modified Morgan (SAC)",'Soil results'!G23&gt;30)),0,
IF(OR(AND('Soil results'!G$7="Olsen (ADAS)",'Soil results'!G23&gt;=16,'Soil results'!G23&lt;=20),AND('Soil results'!G$7="modified Morgan (SAC)",'Soil results'!G23&gt;=4.5,'Soil results'!G23&lt;=9.4)),VLOOKUP(Calc!BI18,'Fertiliser recommendations'!$A$4:$I$63,9,FALSE),
IF(OR(AND('Soil results'!G$7="Olsen (ADAS)",'Soil results'!G23&lt;10),AND('Soil results'!G$7="modified Morgan (SAC)",'Soil results'!G23&lt;1.8)),VLOOKUP(Calc!BI18,'Fertiliser recommendations'!$A$4:$I$63,9,FALSE)+VLOOKUP(Calc!BI18,'Fertiliser recommendations'!$A$4:$J$63,10,FALSE),
IF(OR(AND('Soil results'!G$7="Olsen (ADAS)",'Soil results'!G23&lt;16),AND('Soil results'!G$7="modified Morgan (SAC)",'Soil results'!G23&lt;4.5)),VLOOKUP(Calc!BI18,'Fertiliser recommendations'!$A$4:$I$63,9,FALSE)+VLOOKUP(Calc!BI18,'Fertiliser recommendations'!$A$4:$K$63,11,FALSE),
IF(OR(AND('Soil results'!G$7="Olsen (ADAS)",'Soil results'!G23&lt;26),AND('Soil results'!G$7="modified Morgan (SAC)",'Soil results'!G23&lt;13.5)),VLOOKUP(Calc!BI18,'Fertiliser recommendations'!$A$4:$I$63,9,FALSE)+VLOOKUP(Calc!BI18,'Fertiliser recommendations'!$A$4:$L$63,12,FALSE),
IF(OR(AND('Soil results'!G$7="Olsen (ADAS)",'Soil results'!G23&lt;=45),AND('Soil results'!G$7="modified Morgan (SAC)",'Soil results'!G23&lt;=30)),VLOOKUP(Calc!BI18,'Fertiliser recommendations'!$A$4:$I$63,9,FALSE)+VLOOKUP(Calc!BI18,'Fertiliser recommendations'!$A$4:$M$63,13,FALSE),
""))))))))</f>
        <v/>
      </c>
      <c r="K20" s="161" t="str">
        <f t="shared" ca="1" si="1"/>
        <v/>
      </c>
      <c r="L20" s="47" t="str">
        <f ca="1">IF(OR(ISBLANK('Soil results'!G$7),ISBLANK('Soil results'!G23),B20="", H20="data missing"),"",
IF('Soil results'!G$7="Olsen (ADAS)",
IF(((H20*Calc!BM18/2.291-(VLOOKUP(Calc!BI18,'Fertiliser recommendations'!$A$4:$I$63,9,FALSE))/2.291)*10/(400/2.291)+'Soil results'!G23)&lt;10,"0 (VL)",
IF(((H20*Calc!BM18/2.291-(VLOOKUP(Calc!BI18,'Fertiliser recommendations'!$A$4:$I$63,9,FALSE))/2.291)*10/(400/2.291)+'Soil results'!G23)&lt;16,"1 (L)",
IF(((H20*Calc!BM18/2.291-(VLOOKUP(Calc!BI18,'Fertiliser recommendations'!$A$4:$I$63,9,FALSE))/2.291)*10/(400/2.291)+'Soil results'!G23)&lt;21,"2 (M-)",
IF(((H20*Calc!BM18/2.291-(VLOOKUP(Calc!BI18,'Fertiliser recommendations'!$A$4:$I$63,9,FALSE))/2.291)*10/(400/2.291)+'Soil results'!G23)&lt;26,"2 (M+)",
IF(((H20*Calc!BM18/2.291-(VLOOKUP(Calc!BI18,'Fertiliser recommendations'!$A$4:$I$63,9,FALSE))/2.291)*10/(400/2.291)+'Soil results'!G23)&lt;45,"3 (H)","&gt;3 (VH)"))))),
IF('Soil results'!G$7="modified Morgan (SAC)",
IF('Soil results'!G23&gt;=6,
IF(((H20*Calc!BM18/2.291-(VLOOKUP(Calc!BI18,'Fertiliser recommendations'!$A$4:$I$63,9,FALSE))/2.291)*5/(147/2.291)+'Soil results'!G23)&lt;9.5,"2 (M-)",
IF(((H20*Calc!BM18/2.291-(VLOOKUP(Calc!BI18,'Fertiliser recommendations'!$A$4:$I$63,9,FALSE))/2.291)*5/(147/2.291)+'Soil results'!G23)&lt;13.5,"2 (M+)",
IF(((H20*Calc!BM18/2.291-(VLOOKUP(Calc!BI18,'Fertiliser recommendations'!$A$4:$I$63,9,FALSE))/2.291)*5/(147/2.291)+'Soil results'!G23)&lt;30,"3 (H)","4 (VH)"))),
IF(((H20*Calc!BM18/2.291-(VLOOKUP(Calc!BI18,'Fertiliser recommendations'!$A$4:$I$63,9,FALSE))/2.291)*5/(346/2.291)+'Soil results'!G23)&lt;1.8,"0 (VL)",
IF(((H20*Calc!BM18/2.291-(VLOOKUP(Calc!BI18,'Fertiliser recommendations'!$A$4:$I$63,9,FALSE))/2.291)*5/(147/2.291)+'Soil results'!G23)&lt;4.5,"1 (L)","2 (M-)"))))))</f>
        <v/>
      </c>
      <c r="M20" s="9" t="str">
        <f ca="1">IF(B20="","",
IF(OR(H20="data missing",I20="data missing",J20="data missing"),"data missing",
IF(Calc!BF18=0,"n/a",
IF(OR(AND('Soil results'!G$7="Olsen (ADAS)",'Soil results'!G23&gt;45),AND('Soil results'!G$7="modified Morgan (SAC)",'Soil results'!G23&gt;30)),
IF(H20&gt;2,"too high, not acceptable","no requirement"),IF(OR(AND('Soil results'!G$7="Olsen (ADAS)",'Soil results'!G23&gt;25),AND('Soil results'!G$7="modified Morgan (SAC)",'Soil results'!G23&gt;13.4)),
IF(H20*(I20/100)&lt;0.1*J20,"no benefit",
IF(H20*(I20/100)&lt;0.3*J20,"limited benefit",
IF(H20*(I20/100)&lt;1.1*J20,"benefit",
IF(H20*(I20/100)&lt;0.7*VLOOKUP(Calc!BI18,'Fertiliser recommendations'!$A$4:$I$63,9,FALSE),"excessive","too high, not acceptable")))),
IF(OR(AND('Soil results'!G$7="Olsen (ADAS)",'Soil results'!G23&gt;20),AND('Soil results'!G$7="modified Morgan (SAC)",'Soil results'!G23&gt;9.4)),
IF(H20*Calc!BM18*(I20/100)&lt;0.1*J20,"no benefit",
IF(H20*Calc!BM18*(I20/100)&lt;0.3*J20,"limited benefit",
IF(H20*Calc!BM18*(I20/100)&lt;1.1*J20,"benefit",
IF(L20="3 (H)","too high, not acceptable","excessive")))),
IF(OR(AND('Soil results'!G$7="Olsen (ADAS)",'Soil results'!G23&gt;15),AND('Soil results'!G$7="modified Morgan (SAC)",'Soil results'!G23&gt;4.4)),
IF(H20*Calc!BM18*(I20/100)&lt;0.1*VLOOKUP(Calc!BI18,'Fertiliser recommendations'!$A$4:$I$63,9,FALSE),"no benefit",
IF(H20*Calc!BM18*(I20/100)&lt;0.3*VLOOKUP(Calc!BI18,'Fertiliser recommendations'!$A$4:$I$63,9,FALSE),"limited benefit",
IF(H20*Calc!BM18*(I20/100)&lt;1.1*VLOOKUP(Calc!BI18,'Fertiliser recommendations'!$A$4:$I$63,9,FALSE),"benefit",
IF(L20="3 (H)", "too high, not acceptable", "excessive")))),
IF(OR(AND('Soil results'!G$7="Olsen (ADAS)",'Soil results'!G23&lt;=15),AND('Soil results'!G$7="modified Morgan (SAC)",'Soil results'!G23&lt;=4.4)),
IF(H20*Calc!BM18*(I20/100)&lt;0.1*VLOOKUP(Calc!BI18,'Fertiliser recommendations'!$A$4:$I$63,9,FALSE),"no benefit",
IF(H20*Calc!BM18*(I20/100)&lt;0.3*VLOOKUP(Calc!BI18,'Fertiliser recommendations'!$A$4:$I$63,9,FALSE),"limited benefit",
IF(H20*Calc!BM18*(I20/100)&lt;1.1*J20,"benefit","excessive")))))))))))</f>
        <v/>
      </c>
      <c r="O20" s="91" t="str">
        <f ca="1">IF(B20="","",
IF(AND('Field information 2'!$O$5="", 'Field information 2'!$Q$5=""),
   IF('Waste results'!$S$19&lt;&gt;"data missing", Calc!BC18*'Waste results'!$S$19, "data missing"),
IF('Field information 2'!$Q$5="",
   IF(Calc!BD18=0,
     IF('Waste results'!$S$19&lt;&gt;"data missing", Calc!BC18*'Waste results'!$S$19, "data missing"),
   IF(Calc!BC18=0,
     IF('Waste results'!$S$55&lt;&gt;"data missing", Calc!BD18*'Waste results'!$S$55, "data missing"),
   IF(OR('Waste results'!$S$19&lt;&gt;"data missing", 'Waste results'!$S$55&lt;&gt;"data missing"), Calc!BC18*'Waste results'!$S$19+ Calc!BD18*'Waste results'!$S$55, "data missing"))),
IF(AND('Field information 2'!$M$5&lt;&gt;"", 'Field information 2'!$O$5&lt;&gt;"", 'Field information 2'!$Q$5&lt;&gt;""),
   IF(AND(Calc!BD18=0,Calc!BE18=0),
     IF('Waste results'!$S$19&lt;&gt;"data missing", Calc!BC18*'Waste results'!$S$19, "data missing"),
   IF(AND(Calc!BC18=0,Calc!BE18=0),
     IF('Waste results'!$S$55&lt;&gt;"data missing", Calc!BD18*'Waste results'!$S$55, "data missing"),
   IF(AND(Calc!BC18=0,Calc!BD18=0),
     IF('Waste results'!$S$91&lt;&gt;"data missing", Calc!BE18*'Waste results'!$S$91, "data missing"),
   IF(Calc!BE18=0,
     IF(OR('Waste results'!$S$19&lt;&gt;"data missing", 'Waste results'!$S$55&lt;&gt;"data missing"), Calc!BC18*'Waste results'!$S$19+ Calc!BD18*'Waste results'!$S$55, "data missing"),
   IF(Calc!BD18=0,
     IF(OR('Waste results'!$S$19&lt;&gt;"data missing", 'Waste results'!$S$91&lt;&gt;"data missing"), Calc!BC18*'Waste results'!$S$19+ Calc!BE18*'Waste results'!$S$91, "data missing"),
   IF(Calc!BC18=0,
     IF(OR('Waste results'!$S$55&lt;&gt;"data missing", 'Waste results'!$S$91&lt;&gt;"data missing"), Calc!BD18*'Waste results'!$S$55+Calc!BE18*'Waste results'!$S$91, "data missing"),
   IF(OR('Waste results'!$S$19&lt;&gt;"data missing", 'Waste results'!$S$55&lt;&gt;"data missing", 'Waste results'!$S$91&lt;&gt;"data missing"), Calc!BC18*'Waste results'!$S$19+Calc!BD18*'Waste results'!$S$55+ Calc!BE18*'Waste results'!$S$91, "data missing")))))))))))</f>
        <v/>
      </c>
      <c r="P20" s="91" t="str">
        <f ca="1">IF(B20="","",
IF(OR(ISBLANK('Soil results'!H$7),ISBLANK('Soil results'!H23)),"data missing",
IF(OR(AND('Soil results'!H$7="ammonium nitrate (ADAS)",'Soil results'!H23&gt;400),AND('Soil results'!H$7="modified Morgan (SAC)",'Soil results'!H23&gt;400)),0,
IF(OR(AND('Soil results'!H$7="ammonium nitrate (ADAS)",'Soil results'!H23&gt;=121,'Soil results'!H23&lt;=180),AND('Soil results'!H$7="modified Morgan (SAC)",'Soil results'!H23&gt;=76,'Soil results'!H23&lt;=140)),VLOOKUP(Calc!BI18,'Fertiliser recommendations'!$A$4:$Z$63,26,FALSE),
IF(OR(AND('Soil results'!H$7="ammonium nitrate (ADAS)",'Soil results'!H23&lt;61),AND('Soil results'!H$7="modified Morgan (SAC)",'Soil results'!H23&lt;40)),VLOOKUP(Calc!BI18,'Fertiliser recommendations'!$A$4:$Z$63,26,FALSE)+VLOOKUP(Calc!BI18,'Fertiliser recommendations'!$A$4:$AA$63,27,FALSE),
IF(OR(AND('Soil results'!H$7="ammonium nitrate (ADAS)",'Soil results'!H23&lt;121),AND('Soil results'!H$7="modified Morgan (SAC)",'Soil results'!H23&lt;76)),VLOOKUP(Calc!BI18,'Fertiliser recommendations'!$A$4:$Z$63,26,FALSE)+VLOOKUP(Calc!BI18,'Fertiliser recommendations'!$A$4:$AB$63,28,FALSE),
IF(OR(AND('Soil results'!H$7="ammonium nitrate (ADAS)",'Soil results'!H23&lt;241),AND('Soil results'!H$7="modified Morgan (SAC)",'Soil results'!H23&lt;201)),VLOOKUP(Calc!BI18,'Fertiliser recommendations'!$A$4:$Z$63,26,FALSE)+VLOOKUP(Calc!BI18,'Fertiliser recommendations'!$A$4:$AC$63,29,FALSE),
IF(OR(AND('Soil results'!H$7="ammonium nitrate (ADAS)",'Soil results'!H23&lt;=400),AND('Soil results'!H$7="modified Morgan (SAC)",'Soil results'!H23&lt;=400)),VLOOKUP(Calc!BI18,'Fertiliser recommendations'!$A$4:$Z$63,26,FALSE)+VLOOKUP(Calc!BI18,'Fertiliser recommendations'!$A$4:$AD$63,30,FALSE),
"??"))))))))</f>
        <v/>
      </c>
      <c r="Q20" s="91" t="str">
        <f t="shared" ca="1" si="2"/>
        <v/>
      </c>
      <c r="R20" s="9" t="str">
        <f ca="1">IF(B20="","",
IF(OR(O20="data missing",P20="data missing"),"data missing",
IF(Calc!BF18=0,"n/a",
IF(P20=0, "no requirement",
IF(O20&lt;0.1*P20,"no benefit",
IF(O20&lt;0.3*P20,"limited benefit",
IF(O20&gt;1.25*P20,"excessive",
"benefit")))))))</f>
        <v/>
      </c>
      <c r="T20" s="91" t="str">
        <f ca="1">IF(B20="","",
IF(AND('Field information 2'!$O$5="", 'Field information 2'!$Q$5=""),
   IF('Waste results'!$S$21&lt;&gt;"data missing", Calc!BC18*'Waste results'!$S$21, "data missing"),
IF('Field information 2'!$Q$5="",
   IF(Calc!BD18=0,
     IF('Waste results'!$S$21&lt;&gt;"data missing", Calc!BC18*'Waste results'!$S$21, "data missing"),
   IF(Calc!BC18=0,
     IF('Waste results'!$S$57&lt;&gt;"data missing", Calc!BD18*'Waste results'!$S$57, "data missing"),
   IF(OR('Waste results'!$S$21&lt;&gt;"data missing", 'Waste results'!$S$57&lt;&gt;"data missing"), Calc!BC18*'Waste results'!$S$21+ Calc!BD18*'Waste results'!$S$57, "data missing"))),
IF(AND('Field information 2'!$M$5&lt;&gt;"", 'Field information 2'!$O$5&lt;&gt;"", 'Field information 2'!$Q$5&lt;&gt;""),
   IF(AND(Calc!BD18=0,Calc!BE18=0),
     IF('Waste results'!$S$21&lt;&gt;"data missing", Calc!BC18*'Waste results'!$S$21, "data missing"),
   IF(AND(Calc!BC18=0,Calc!BE18=0),
     IF('Waste results'!$S$57&lt;&gt;"data missing", Calc!BD18*'Waste results'!$S$57, "data missing"),
   IF(AND(Calc!BC18=0,Calc!BD18=0),
     IF('Waste results'!$S$93&lt;&gt;"data missing", Calc!BE18*'Waste results'!$S$93, "data missing"),
   IF(Calc!BE18=0,
     IF(OR('Waste results'!$S$21&lt;&gt;"data missing", 'Waste results'!$S$57&lt;&gt;"data missing"), Calc!BC18*'Waste results'!$S$21+ Calc!BD18*'Waste results'!$S$57, "data missing"),
   IF(Calc!BD18=0,
     IF(OR('Waste results'!$S$21&lt;&gt;"data missing", 'Waste results'!$S$93&lt;&gt;"data missing"), Calc!BC18*'Waste results'!$S$21+ Calc!BE18*'Waste results'!$S$93, "data missing"),
   IF(Calc!BC18=0,
     IF(OR('Waste results'!$S$57&lt;&gt;"data missing", 'Waste results'!$S$93&lt;&gt;"data missing"), Calc!BD18*'Waste results'!$S$57+Calc!BE18*'Waste results'!$S$93, "data missing"),
   IF(OR('Waste results'!$S$21&lt;&gt;"data missing", 'Waste results'!$S$57&lt;&gt;"data missing", 'Waste results'!$S$93&lt;&gt;"data missing"), Calc!BC18*'Waste results'!$S$21+Calc!BD18*'Waste results'!$S$57+ Calc!BE18*'Waste results'!$S$93, "data missing")))))))))))</f>
        <v/>
      </c>
      <c r="U20" s="7" t="str">
        <f ca="1">IF(B20="","",
IF(OR(ISBLANK('Soil results'!I$7),ISBLANK('Soil results'!I23)),"data missing",
IF(OR(AND('Soil results'!I$7="ammonium nitrate (ADAS)",'Soil results'!I23&gt;51),AND('Soil results'!I$7="modified Morgan (SAC)",'Soil results'!I23&gt;61)),0,
IF(OR(AND('Soil results'!I$7="ammonium nitrate (ADAS)",'Soil results'!I23&lt;25),AND('Soil results'!I$7="modified Morgan (SAC)",'Soil results'!I23&lt;19)),VLOOKUP(Calc!BI18,'Fertiliser recommendations'!$A$4:$AH$63,34,FALSE),
IF(OR(AND('Soil results'!I$7="ammonium nitrate (ADAS)",'Soil results'!I23&lt;=51),AND('Soil results'!I$7="modified Morgan (SAC)",'Soil results'!I23&lt;=61)),VLOOKUP(Calc!BI18,'Fertiliser recommendations'!$A$4:$AI$63,35,FALSE),
"")))))</f>
        <v/>
      </c>
      <c r="V20" s="91" t="str">
        <f t="shared" ca="1" si="3"/>
        <v/>
      </c>
      <c r="W20" s="9" t="str">
        <f ca="1">IF(B20="","",
IF(OR(T20="data missing",U20="data missing"),"data missing",
IF(Calc!BF18=0,"n/a",
IF(U20=0,"no requirement",
IF(T20&lt;0.1*U20,"no benefit",
IF(T20&lt;0.3*U20,"limited benefit",
IF(OR(T20&gt;1.5*U20,AND(Calc!BJ18="g",T20&gt;100)),"excessive",
"benefit")))))))</f>
        <v/>
      </c>
      <c r="Y20" s="91" t="str">
        <f ca="1">IF(B20="","",
IF(AND('Field information 2'!$O$5="", 'Field information 2'!$Q$5=""),
   IF('Waste results'!$P$23&lt;&gt;"", Calc!BC18*'Waste results'!$P$23, "no data"),
IF('Field information 2'!$Q$5="",
   IF(Calc!BD18=0,
     IF('Waste results'!$P$23&lt;&gt;"", Calc!BC18*'Waste results'!$P$23, "no data"),
   IF(Calc!BC18=0,
     IF('Waste results'!$P$59&lt;&gt;"", Calc!BD18*'Waste results'!$P$59, "no data"),
   IF(OR('Waste results'!$P$23&lt;&gt;"", 'Waste results'!$P$59&lt;&gt;""), Calc!BC18*'Waste results'!$P$23+ Calc!BD18*'Waste results'!$P$59, "no data"))),
IF(AND('Field information 2'!$M$5&lt;&gt;"", 'Field information 2'!$O$5&lt;&gt;"", 'Field information 2'!$Q$5&lt;&gt;""),
   IF(AND(Calc!BD18=0,Calc!BE18=0),
     IF('Waste results'!$P$23&lt;&gt;"", Calc!BC18*'Waste results'!$P$23, "no data"),
   IF(AND(Calc!BC18=0,Calc!BE18=0),
     IF('Waste results'!$P$59&lt;&gt;"", Calc!BD18*'Waste results'!$P$59, "no data"),
   IF(AND(Calc!BC18=0,Calc!BD18=0),
     IF('Waste results'!$P$95&lt;&gt;"", Calc!BE18*'Waste results'!$P$95, "no data"),
   IF(Calc!BE18=0,
     IF(OR('Waste results'!$P$23&lt;&gt;"", 'Waste results'!$P$59&lt;&gt;""), Calc!BC18*'Waste results'!$P$23+ Calc!BD18*'Waste results'!$P$59, "no data"),
   IF(Calc!BD18=0,
     IF(OR('Waste results'!$P$23&lt;&gt;"", 'Waste results'!$P$95&lt;&gt;""), Calc!BC18*'Waste results'!$P$23+ Calc!BE18*'Waste results'!$P$95, "no data"),
   IF(Calc!BC18=0,
     IF(OR('Waste results'!$P$59&lt;&gt;"", 'Waste results'!$P$95&lt;&gt;""), Calc!BD18*'Waste results'!$P$59+Calc!BE18*'Waste results'!$P$95, "no data"),
   IF(OR('Waste results'!$P$23&lt;&gt;"", 'Waste results'!$P$59&lt;&gt;"", 'Waste results'!$P$95&lt;&gt;""), Calc!BC18*'Waste results'!$P$23+Calc!BD18*'Waste results'!$P$59+ Calc!BE18*'Waste results'!$P$95, "no data")))))))))))</f>
        <v/>
      </c>
      <c r="Z20" s="7" t="str">
        <f ca="1">IF(OR(ISBLANK('Soil results'!I$7),ISBLANK('Soil results'!I23),'Soil results'!B23=""),"",
VLOOKUP(Calc!BI18,'Fertiliser recommendations'!$A$4:$AM$63,39,FALSE))</f>
        <v/>
      </c>
      <c r="AA20" s="91" t="str">
        <f t="shared" ca="1" si="4"/>
        <v/>
      </c>
      <c r="AB20" s="9" t="str">
        <f t="shared" ca="1" si="5"/>
        <v/>
      </c>
      <c r="AD20" s="48" t="str">
        <f>IF(ISBLANK('Soil results'!F23),"",'Soil results'!F23)</f>
        <v/>
      </c>
      <c r="AE20" s="49" t="str">
        <f ca="1">IF(B20="","",
IF(AND(Calc!BJ18="g", VLOOKUP(LEFT($B20,LEN($B20)-2),'Field information 2'!$B$12:$P$111,9,FALSE)&lt;&gt;"yes"),
 IF(Calc!BG18="10-25% OM", 5.9, IF(Calc!BG18="&gt;25% OM", 5.5, 6.2)),
IF(OR(Calc!BJ18="a", VLOOKUP(LEFT($B20,LEN($B20)-2),'Field information 2'!$B$12:$P$111,9,FALSE)="yes"),
 IF(Calc!BG18="10-25% OM", 6.4, IF(Calc!BG18="&gt;25% OM", 6, 6.7)), "")))</f>
        <v/>
      </c>
      <c r="AF20" s="91" t="str">
        <f ca="1">IF(B20="","",
IF('Waste results'!$Q$33="","no (significant) liming properties",
IF('Waste results'!Q$33&gt;100,"no (significant) liming properties",
IF(AD20="","",
IF(AD20&gt;=AE20,0,ROUNDDOWN((AE20-AD20)*Calc!BK18*'Waste results'!$Q$33+0.2,0))))))</f>
        <v/>
      </c>
      <c r="AG20" s="9" t="str">
        <f ca="1">IF(B20="","",
IF(T20=0,"n/a",
IF(AD20="","data missing",
IF(AND(AD20&lt;5,AF20="no (significant) liming properties"),"no waste application - pH too low",
IF(AND(AD20&gt;5.1,AF20="no (significant) liming properties",Calc!BH18&gt;25, LEFT(Calc!BI18,4)="graz"),"ok",
IF(AND(AD20&lt;=5.2,AF20="no (significant) liming properties"),"liming highly recommended",
IF(AF20=0,"no waste application - liming not required",
IF(AF20&lt;Calc!BC18,"application rate too high - exceeds liming requirement",
"ok"))))))))</f>
        <v/>
      </c>
      <c r="AI20" s="91" t="str">
        <f ca="1">IF(B20="","",
IF(AND('Field information 2'!$O$5="", 'Field information 2'!$Q$5=""),
   IF('Waste results'!$P$10&lt;&gt;"data missing", Calc!BC18*'Waste results'!$P$10, "data missing"),
IF('Field information 2'!$Q$5="",
   IF(Calc!BD18=0,
     IF('Waste results'!$P$10&lt;&gt;"data missing", Calc!BC18*'Waste results'!$P$10, "data missing"),
   IF(Calc!BC18=0,
     IF('Waste results'!$P$45&lt;&gt;"data missing", Calc!BD18*'Waste results'!$P$45, "data missing"),
   IF(OR('Waste results'!$P$10&lt;&gt;"data missing", 'Waste results'!$P$45&lt;&gt;"data missing"), Calc!BC18*'Waste results'!$P$10+ Calc!BD18*'Waste results'!$P$45, "data missing"))),
IF(AND('Field information 2'!$M$5&lt;&gt;"", 'Field information 2'!$O$5&lt;&gt;"", 'Field information 2'!$Q$5&lt;&gt;""),
   IF(AND(Calc!BD18=0,Calc!BE18=0),
     IF('Waste results'!$P$10&lt;&gt;"data missing", Calc!BC18*'Waste results'!$P$10, "data missing"),
   IF(AND(Calc!BC18=0,Calc!BE18=0),
     IF('Waste results'!$P$45&lt;&gt;"data missing", Calc!BD18*'Waste results'!$P$45, "data missing"),
   IF(AND(Calc!BC18=0,Calc!BD18=0),
     IF('Waste results'!$P$82&lt;&gt;"data missing", Calc!BE18*'Waste results'!$P$82, "data missing"),
   IF(Calc!BE18=0,
     IF(OR('Waste results'!$P$10&lt;&gt;"data missing", 'Waste results'!$P$45&lt;&gt;"data missing"), Calc!BC18*'Waste results'!$P$10+ Calc!BD18*'Waste results'!$P$45, "data missing"),
   IF(Calc!BD18=0,
     IF(OR('Waste results'!$P$10&lt;&gt;"data missing", 'Waste results'!$P$82&lt;&gt;"data missing"), Calc!BC18*'Waste results'!$P$10+ Calc!BE18*'Waste results'!$P$82, "data missing"),
   IF(Calc!BC18=0,
     IF(OR('Waste results'!$P$45&lt;&gt;"data missing", 'Waste results'!$P$82&lt;&gt;"data missing"), Calc!BD18*'Waste results'!$P$45+Calc!BE18*'Waste results'!$P$82, "data missing"),
   IF(OR('Waste results'!$P$10&lt;&gt;"data missing", 'Waste results'!$P$45&lt;&gt;"data missing", 'Waste results'!$P$82&lt;&gt;"data missing"), Calc!BC18*'Waste results'!$P$10+Calc!BD18*'Waste results'!$P$45+ Calc!BE18*'Waste results'!$P$82, "data missing")))))))))))</f>
        <v/>
      </c>
      <c r="AJ20" s="237" t="str">
        <f ca="1">IF(B20="","",
IF(AI20="data missing","data missing",
IF(Calc!BF18=0,"n/a",
IF(AND(Calc!BH18&gt;=8,AI20&lt;500),"no benefit",
IF(OR(AND(Calc!BH18&lt;=4,AI20&gt;=500),AND(Calc!BH18&lt;8,AI20&gt;5000)),"benefit",
"limited benefit")))))</f>
        <v/>
      </c>
      <c r="AL20" s="238" t="str">
        <f ca="1">IF(B20="","",
IF(AND('Field information 2'!$O$5="", 'Field information 2'!$Q$5=""),
   IF('Waste results'!$S$25&lt;&gt;"data missing", Calc!BC18*'Waste results'!$S$25, "data missing"),
IF('Field information 2'!$Q$5="",
   IF(Calc!BD18=0,
     IF('Waste results'!$S$25&lt;&gt;"data missing", Calc!BC18*'Waste results'!$S$25, "data missing"),
   IF(Calc!BC18=0,
     IF('Waste results'!$S$61&lt;&gt;"data missing", Calc!BD18*'Waste results'!$S$61, "data missing"),
   IF(OR('Waste results'!$S$25&lt;&gt;"data missing", 'Waste results'!$S$61&lt;&gt;"data missing"), Calc!BC18*'Waste results'!$S$25+ Calc!BD18*'Waste results'!$S$61, "data missing"))),
IF(AND('Field information 2'!$M$5&lt;&gt;"", 'Field information 2'!$O$5&lt;&gt;"", 'Field information 2'!$Q$5&lt;&gt;""),
   IF(AND(Calc!BD18=0,Calc!BE18=0),
     IF('Waste results'!$S$25&lt;&gt;"data missing", Calc!BC18*'Waste results'!$S$25, "data missing"),
   IF(AND(Calc!BC18=0,Calc!BE18=0),
     IF('Waste results'!$S$61&lt;&gt;"data missing", Calc!BD18*'Waste results'!$S$61, "data missing"),
   IF(AND(Calc!BC18=0,Calc!BD18=0),
     IF('Waste results'!$S$97&lt;&gt;"data missing", Calc!BE18*'Waste results'!$S$97, "data missing"),
   IF(Calc!BE18=0,
     IF(OR('Waste results'!$S$25&lt;&gt;"data missing", 'Waste results'!$S$61&lt;&gt;"data missing"), Calc!BC18*'Waste results'!$S$25+ Calc!BD18*'Waste results'!$S$61, "data missing"),
   IF(Calc!BD18=0,
     IF(OR('Waste results'!$S$25&lt;&gt;"data missing", 'Waste results'!$S$97&lt;&gt;"data missing"), Calc!BC18*'Waste results'!$S$25+ Calc!BE18*'Waste results'!$S$97, "data missing"),
   IF(Calc!BC18=0,
     IF(OR('Waste results'!$S$61&lt;&gt;"data missing", 'Waste results'!$S$97&lt;&gt;"data missing"), Calc!BD18*'Waste results'!$S$61+Calc!BE18*'Waste results'!$S$97, "data missing"),
   IF(OR('Waste results'!$S$25&lt;&gt;"data missing", 'Waste results'!$S$61&lt;&gt;"data missing", 'Waste results'!$S$97&lt;&gt;"data missing"), Calc!BC18*'Waste results'!$S$25+Calc!BD18*'Waste results'!$S$61+ Calc!BE18*'Waste results'!$S$97, "data missing")))))))))))</f>
        <v/>
      </c>
      <c r="AM20" s="239" t="str">
        <f ca="1">IF($B20="","",
IF(ISBLANK('Soil results'!K23),"data missing",'Soil results'!K23))</f>
        <v/>
      </c>
      <c r="AN20" s="239" t="str">
        <f t="shared" ca="1" si="6"/>
        <v/>
      </c>
      <c r="AO20" s="9" t="str">
        <f t="shared" ca="1" si="7"/>
        <v/>
      </c>
      <c r="AQ20" s="240" t="str">
        <f ca="1">IF(B20="","",
IF(AND('Field information 2'!$O$5="", 'Field information 2'!$Q$5=""),
   IF('Waste results'!$S$26&lt;&gt;"data missing", Calc!BC18*'Waste results'!$S$26, "data missing"),
IF('Field information 2'!$Q$5="",
   IF(Calc!BD18=0,
     IF('Waste results'!$S$26&lt;&gt;"data missing", Calc!BC18*'Waste results'!$S$26, "data missing"),
   IF(Calc!BC18=0,
     IF('Waste results'!$S$62&lt;&gt;"data missing", Calc!BD18*'Waste results'!$S$62, "data missing"),
   IF(OR('Waste results'!$S$26&lt;&gt;"data missing", 'Waste results'!$S$62&lt;&gt;"data missing"), Calc!BC18*'Waste results'!$S$26+ Calc!BD18*'Waste results'!$S$62, "data missing"))),
IF(AND('Field information 2'!$M$5&lt;&gt;"", 'Field information 2'!$O$5&lt;&gt;"", 'Field information 2'!$Q$5&lt;&gt;""),
   IF(AND(Calc!BD18=0,Calc!BE18=0),
     IF('Waste results'!$S$26&lt;&gt;"data missing", Calc!BC18*'Waste results'!$S$26, "data missing"),
   IF(AND(Calc!BC18=0,Calc!BE18=0),
     IF('Waste results'!$S$62&lt;&gt;"data missing", Calc!BD18*'Waste results'!$S$62, "data missing"),
   IF(AND(Calc!BC18=0,Calc!BD18=0),
     IF('Waste results'!$S$98&lt;&gt;"data missing", Calc!BE18*'Waste results'!$S$98, "data missing"),
   IF(Calc!BE18=0,
     IF(OR('Waste results'!$S$26&lt;&gt;"data missing", 'Waste results'!$S$62&lt;&gt;"data missing"), Calc!BC18*'Waste results'!$S$26+ Calc!BD18*'Waste results'!$S$62, "data missing"),
   IF(Calc!BD18=0,
     IF(OR('Waste results'!$S$26&lt;&gt;"data missing", 'Waste results'!$S$98&lt;&gt;"data missing"), Calc!BC18*'Waste results'!$S$26+ Calc!BE18*'Waste results'!$S$98, "data missing"),
   IF(Calc!BC18=0,
     IF(OR('Waste results'!$S$62&lt;&gt;"data missing", 'Waste results'!$S$98&lt;&gt;"data missing"), Calc!BD18*'Waste results'!$S$62+Calc!BE18*'Waste results'!$S$98, "data missing"),
   IF(OR('Waste results'!$S$26&lt;&gt;"data missing", 'Waste results'!$S$62&lt;&gt;"data missing", 'Waste results'!$S$98&lt;&gt;"data missing"), Calc!BC18*'Waste results'!$S$26+Calc!BD18*'Waste results'!$S$62+ Calc!BE18*'Waste results'!$S$98, "data missing")))))))))))</f>
        <v/>
      </c>
      <c r="AR20" s="241" t="str">
        <f ca="1">IF($B20="","",
IF(ISBLANK('Soil results'!L23),"data missing",'Soil results'!L23))</f>
        <v/>
      </c>
      <c r="AS20" s="241" t="str">
        <f t="shared" ca="1" si="8"/>
        <v/>
      </c>
      <c r="AT20" s="66" t="str">
        <f t="shared" ca="1" si="9"/>
        <v/>
      </c>
      <c r="AV20" s="238" t="str">
        <f ca="1">IF(B20="","",
IF(AND('Field information 2'!$O$5="", 'Field information 2'!$Q$5=""),
   IF('Waste results'!$S$27&lt;&gt;"data missing", Calc!BC18*'Waste results'!$S$27, "data missing"),
IF('Field information 2'!$Q$5="",
   IF(Calc!BD18=0,
     IF('Waste results'!$S$27&lt;&gt;"data missing", Calc!BC18*'Waste results'!$S$27, "data missing"),
   IF(Calc!BC18=0,
     IF('Waste results'!$S$63&lt;&gt;"data missing", Calc!BD18*'Waste results'!$S$63, "data missing"),
   IF(OR('Waste results'!$S$27&lt;&gt;"data missing", 'Waste results'!$S$63&lt;&gt;"data missing"), Calc!BC18*'Waste results'!$S$27+ Calc!BD18*'Waste results'!$S$63, "data missing"))),
IF(AND('Field information 2'!$M$5&lt;&gt;"", 'Field information 2'!$O$5&lt;&gt;"", 'Field information 2'!$Q$5&lt;&gt;""),
   IF(AND(Calc!BD18=0,Calc!BE18=0),
     IF('Waste results'!$S$27&lt;&gt;"data missing", Calc!BC18*'Waste results'!$S$27, "data missing"),
   IF(AND(Calc!BC18=0,Calc!BE18=0),
     IF('Waste results'!$S$63&lt;&gt;"data missing", Calc!BD18*'Waste results'!$S$63, "data missing"),
   IF(AND(Calc!BC18=0,Calc!BD18=0),
     IF('Waste results'!$S$99&lt;&gt;"data missing", Calc!BE18*'Waste results'!$S$99, "data missing"),
   IF(Calc!BE18=0,
     IF(OR('Waste results'!$S$27&lt;&gt;"data missing", 'Waste results'!$S$63&lt;&gt;"data missing"), Calc!BC18*'Waste results'!$S$27+ Calc!BD18*'Waste results'!$S$63, "data missing"),
   IF(Calc!BD18=0,
     IF(OR('Waste results'!$S$27&lt;&gt;"data missing", 'Waste results'!$S$99&lt;&gt;"data missing"), Calc!BC18*'Waste results'!$S$27+ Calc!BE18*'Waste results'!$S$99, "data missing"),
   IF(Calc!BC18=0,
     IF(OR('Waste results'!$S$63&lt;&gt;"data missing", 'Waste results'!$S$99&lt;&gt;"data missing"), Calc!BD18*'Waste results'!$S$63+Calc!BE18*'Waste results'!$S$99, "data missing"),
   IF(OR('Waste results'!$S$27&lt;&gt;"data missing", 'Waste results'!$S$63&lt;&gt;"data missing", 'Waste results'!$S$99&lt;&gt;"data missing"), Calc!BC18*'Waste results'!$S$27+Calc!BD18*'Waste results'!$S$63+ Calc!BE18*'Waste results'!$S$99, "data missing")))))))))))</f>
        <v/>
      </c>
      <c r="AW20" s="239" t="str">
        <f ca="1">IF($B20="","",
IF(ISBLANK('Soil results'!M23),"data missing",'Soil results'!M23))</f>
        <v/>
      </c>
      <c r="AX20" s="239" t="str">
        <f t="shared" ca="1" si="10"/>
        <v/>
      </c>
      <c r="AY20" s="9" t="str">
        <f ca="1">IF(B20="","",
IF(AV20=0,"n/a",
IF(OR(AV20="data missing",AW20="data missing"),"data missing",
IF(AV20&gt;7.5,"application rate too high - permissible rate exceeds limit",
IF('Soil results'!$F23&lt;=5.5,
  IF(AW20&gt;80,"no application - soil conc. already above limit",
  IF(AX20&gt;80,"application rate too high - soil conc. will exceed limit",
  IF(AW20&gt;80*0.9,"soil conc. is at or above 90% of the limit",
  IF(10*AV20*1000/3000+AW20&gt;80,"soil limit likely to be exceeded in 10yrs",
  IF(50*AV20*1000/3000+AW20&gt;80,"soil limit likely to be exceeded in 50yrs","ok"))))),
IF('Soil results'!$F23&lt;=6,
  IF(AW20&gt;100,"no application - soil conc. already above limit",
  IF(AX20&gt;100,"application rate too high - soil conc. will exceed limit",
  IF(AW20&gt;100*0.9,"soil conc. is at or above 90% of the limit",
  IF(10*AV20*1000/3000+AW20&gt;100,"soil limit likely to be exceeded in 10yrs",
  IF(50*AV20*1000/3000+AW20&gt;100,"soil limit likely to be exceeded in 50yrs","ok"))))),
IF('Soil results'!$F23&lt;=7,
  IF(AW20&gt;135,"no application - soil conc. already above limit",
  IF(AX20&gt;135,"application rate too high - soil conc. will exceed limit",
  IF(AW20&gt;135*0.9,"soil conc. is at or above 90% of the limit",
  IF(10*AV20*1000/3000+AW20&gt;135,"soil limit likely to be exceeded in 10yrs",
  IF(50*AV20*1000/3000+AW20&gt;135,"soil limit likely to be exceeded in 50yrs","ok"))))),
IF('Soil results'!$F23&gt;7,
  IF(AW20&gt;200,"no application - soil conc. already above limit",
  IF(AX20&gt;200,"application too high - soil conc. will exceed limit",
  IF(AW20&gt;200*0.9,"soil conc. is at or above 90% of the limit",
  IF(10*AV20*1000/3000+AW20&gt;200,"soil limit likely to be exceeded in 10yrs",
  IF(50*AV20*1000/3000+AW20&gt;200,"soil limit likely to be exceeded in 50yrs","ok")))))
))))))))</f>
        <v/>
      </c>
      <c r="BA20" s="238" t="str">
        <f ca="1">IF(B20="","",
IF(AND('Field information 2'!$O$5="", 'Field information 2'!$Q$5=""),
   IF('Waste results'!$S$28&lt;&gt;"data missing", Calc!BC18*'Waste results'!$S$28, "data missing"),
IF('Field information 2'!$Q$5="",
   IF(Calc!BD18=0,
     IF('Waste results'!$S$28&lt;&gt;"data missing", Calc!BC18*'Waste results'!$S$28, "data missing"),
   IF(Calc!BC18=0,
     IF('Waste results'!$S$64&lt;&gt;"data missing", Calc!BD18*'Waste results'!$S$64, "data missing"),
   IF(OR('Waste results'!$S$28&lt;&gt;"data missing", 'Waste results'!$S$64&lt;&gt;"data missing"), Calc!BC18*'Waste results'!$S$28+ Calc!BD18*'Waste results'!$S$64, "data missing"))),
IF(AND('Field information 2'!$M$5&lt;&gt;"", 'Field information 2'!$O$5&lt;&gt;"", 'Field information 2'!$Q$5&lt;&gt;""),
   IF(AND(Calc!BD18=0,Calc!BE18=0),
     IF('Waste results'!$S$28&lt;&gt;"data missing", Calc!BC18*'Waste results'!$S$28, "data missing"),
   IF(AND(Calc!BC18=0,Calc!BE18=0),
     IF('Waste results'!$S$64&lt;&gt;"data missing", Calc!BD18*'Waste results'!$S$64, "data missing"),
   IF(AND(Calc!BC18=0,Calc!BD18=0),
     IF('Waste results'!$S$100&lt;&gt;"data missing", Calc!BE18*'Waste results'!$S$100, "data missing"),
   IF(Calc!BE18=0,
     IF(OR('Waste results'!$S$28&lt;&gt;"data missing", 'Waste results'!$S$64&lt;&gt;"data missing"), Calc!BC18*'Waste results'!$S$28+ Calc!BD18*'Waste results'!$S$64, "data missing"),
   IF(Calc!BD18=0,
     IF(OR('Waste results'!$S$28&lt;&gt;"data missing", 'Waste results'!$S$100&lt;&gt;"data missing"), Calc!BC18*'Waste results'!$S$28+ Calc!BE18*'Waste results'!$S$100, "data missing"),
   IF(Calc!BC18=0,
     IF(OR('Waste results'!$S$64&lt;&gt;"data missing", 'Waste results'!$S$100&lt;&gt;"data missing"), Calc!BD18*'Waste results'!$S$64+Calc!BE18*'Waste results'!$S$100, "data missing"),
   IF(OR('Waste results'!$S$28&lt;&gt;"data missing", 'Waste results'!$S$64&lt;&gt;"data missing", 'Waste results'!$S$100&lt;&gt;"data missing"), Calc!BC18*'Waste results'!$S$28+Calc!BD18*'Waste results'!$S$64+ Calc!BE18*'Waste results'!$S$100, "data missing")))))))))))</f>
        <v/>
      </c>
      <c r="BB20" s="239" t="str">
        <f ca="1">IF($B20="","",
IF(ISBLANK('Soil results'!N23),"data missing",'Soil results'!N23))</f>
        <v/>
      </c>
      <c r="BC20" s="239" t="str">
        <f t="shared" ca="1" si="11"/>
        <v/>
      </c>
      <c r="BD20" s="9" t="str">
        <f t="shared" ca="1" si="12"/>
        <v/>
      </c>
      <c r="BF20" s="238" t="str">
        <f ca="1">IF(B20="","",
IF(AND('Field information 2'!$O$5="", 'Field information 2'!$Q$5=""),
   IF('Waste results'!$S$29&lt;&gt;"data missing", Calc!BC18*'Waste results'!$S$29, "data missing"),
IF('Field information 2'!$Q$5="",
   IF(Calc!BD18=0,
     IF('Waste results'!$S$29&lt;&gt;"data missing", Calc!BC18*'Waste results'!$S$29, "data missing"),
   IF(Calc!BC18=0,
     IF('Waste results'!$S$65&lt;&gt;"data missing", Calc!BD18*'Waste results'!$S$65, "data missing"),
   IF(OR('Waste results'!$S$29&lt;&gt;"data missing", 'Waste results'!$S$65&lt;&gt;"data missing"), Calc!BC18*'Waste results'!$S$29+ Calc!BD18*'Waste results'!$S$65, "data missing"))),
IF(AND('Field information 2'!$M$5&lt;&gt;"", 'Field information 2'!$O$5&lt;&gt;"", 'Field information 2'!$Q$5&lt;&gt;""),
   IF(AND(Calc!BD18=0,Calc!BE18=0),
     IF('Waste results'!$S$29&lt;&gt;"data missing", Calc!BC18*'Waste results'!$S$29, "data missing"),
   IF(AND(Calc!BC18=0,Calc!BE18=0),
     IF('Waste results'!$S$65&lt;&gt;"data missing", Calc!BD18*'Waste results'!$S$65, "data missing"),
   IF(AND(Calc!BC18=0,Calc!BD18=0),
     IF('Waste results'!$S$101&lt;&gt;"data missing", Calc!BE18*'Waste results'!$S$101, "data missing"),
   IF(Calc!BE18=0,
     IF(OR('Waste results'!$S$29&lt;&gt;"data missing", 'Waste results'!$S$65&lt;&gt;"data missing"), Calc!BC18*'Waste results'!$S$29+ Calc!BD18*'Waste results'!$S$65, "data missing"),
   IF(Calc!BD18=0,
     IF(OR('Waste results'!$S$29&lt;&gt;"data missing", 'Waste results'!$S$101&lt;&gt;"data missing"), Calc!BC18*'Waste results'!$S$29+ Calc!BE18*'Waste results'!$S$101, "data missing"),
   IF(Calc!BC18=0,
     IF(OR('Waste results'!$S$65&lt;&gt;"data missing", 'Waste results'!$S$101&lt;&gt;"data missing"), Calc!BD18*'Waste results'!$S$65+Calc!BE18*'Waste results'!$S$101, "data missing"),
   IF(OR('Waste results'!$S$29&lt;&gt;"data missing", 'Waste results'!$S$65&lt;&gt;"data missing", 'Waste results'!$S$101&lt;&gt;"data missing"), Calc!BC18*'Waste results'!$S$29+Calc!BD18*'Waste results'!$S$65+ Calc!BE18*'Waste results'!$S$101, "data missing")))))))))))</f>
        <v/>
      </c>
      <c r="BG20" s="239" t="str">
        <f ca="1">IF($B20="","",
IF(ISBLANK('Soil results'!O23),"data missing",'Soil results'!O23))</f>
        <v/>
      </c>
      <c r="BH20" s="239" t="str">
        <f t="shared" ca="1" si="13"/>
        <v/>
      </c>
      <c r="BI20" s="9" t="str">
        <f ca="1">IF(B20="","",
IF(BF20=0,"n/a",
IF(OR(BF20="data missing",BG20="data missing"),"data missing",
IF(BF20&gt;3,"application rate too high - permissible rate exceeds limit",
IF('Soil results'!F23&lt;=5.5,
  IF(BG20&gt;50,"no application - soil conc. already above limit",
  IF(BH20&gt;50,"application rate too high - soil conc. will exceed limit",
  IF(BG20&gt;50*0.9,"soil conc. is at or above 90% of the limit",
  IF(10*BF20*1000/3000+BG20&gt;50,"soil limit likely to be exceeded in 10yrs",
  IF(50*BF20*1000/3000+BG20&gt;50,"soil limit likely to be exceeded in 50yrs","ok"))))),
IF('Soil results'!F23&lt;=6,
  IF(BG20&gt;60,"no application - soil conc. already above limit",
  IF(BH20&gt;60,"application rate too high - soil conc. will exceed limit",
  IF(BG20&gt;60*0.9,"soil conc. is at or above 90% of the limit",
  IF(10*BF20*1000/3000+BG20&gt;60,"soil limit likely to be exceeded in 10yrs",
  IF(50*BF20*1000/3000+BG20&gt;60,"soil limit likely to be exceeded in 50yrs","ok"))))),
IF('Soil results'!F23&lt;=7,
  IF(BG20&gt;75,"no application - soil conc. already above limit",
  IF(BH20&gt;75,"application rate too high - soil conc. will exceed limit",
  IF(BG20&gt;75*0.9,"soil conc. is at or above 90% of the limit",
  IF(10*BF20*1000/3000+BG20&gt;75,"soil limit likely to be exceeded in 10yrs",
  IF(50*BF20*1000/3000+BG20&gt;75,"soil limit likely to be exceeded in 50yrs","ok"))))),
IF('Soil results'!F23&gt;7,
  IF(BG20&gt;100,"no application - soil conc. already above limit",
  IF(BH20&gt;100,"application rate too high - soil conc. will exceed limit",
  IF(BG20&gt;100*0.9,"soil conc. is at or above 90% of the limit",
  IF(10*BF20*1000/3000+BG20&gt;100,"soil limit likely to be exceeded in 10yrs",
  IF(50*BF20*1000/3000+BG20&gt;100,"soil limit likely to beexceeded in 50yrs","ok")))))
))))))))</f>
        <v/>
      </c>
      <c r="BK20" s="240" t="str">
        <f ca="1">IF(B20="","",
IF(AND('Field information 2'!$O$5="", 'Field information 2'!$Q$5=""),
   IF('Waste results'!$S$30&lt;&gt;"data missing", Calc!BC18*'Waste results'!$S$30, "data missing"),
IF('Field information 2'!$Q$5="",
   IF(Calc!BD18=0,
     IF('Waste results'!$S$30&lt;&gt;"data missing", Calc!BC18*'Waste results'!$S$30, "data missing"),
   IF(Calc!BC18=0,
     IF('Waste results'!$S$66&lt;&gt;"data missing", Calc!BD18*'Waste results'!$S$66, "data missing"),
   IF(OR('Waste results'!$S$30&lt;&gt;"data missing", 'Waste results'!$S$66&lt;&gt;"data missing"), Calc!BC18*'Waste results'!$S$30+ Calc!BD18*'Waste results'!$S$66, "data missing"))),
IF(AND('Field information 2'!$M$5&lt;&gt;"", 'Field information 2'!$O$5&lt;&gt;"", 'Field information 2'!$Q$5&lt;&gt;""),
   IF(AND(Calc!BD18=0,Calc!BE18=0),
     IF('Waste results'!$S$30&lt;&gt;"data missing", Calc!BC18*'Waste results'!$S$30, "data missing"),
   IF(AND(Calc!BC18=0,Calc!BE18=0),
     IF('Waste results'!$S$66&lt;&gt;"data missing", Calc!BD18*'Waste results'!$S$66, "data missing"),
   IF(AND(Calc!BC18=0,Calc!BD18=0),
     IF('Waste results'!$S$102&lt;&gt;"data missing", Calc!BE18*'Waste results'!$S$102, "data missing"),
   IF(Calc!BE18=0,
     IF(OR('Waste results'!$S$30&lt;&gt;"data missing", 'Waste results'!$S$66&lt;&gt;"data missing"), Calc!BC18*'Waste results'!$S$30+ Calc!BD18*'Waste results'!$S$66, "data missing"),
   IF(Calc!BD18=0,
     IF(OR('Waste results'!$S$30&lt;&gt;"data missing", 'Waste results'!$S$102&lt;&gt;"data missing"), Calc!BC18*'Waste results'!$S$30+ Calc!BE18*'Waste results'!$S$102, "data missing"),
   IF(Calc!BC18=0,
     IF(OR('Waste results'!$S$66&lt;&gt;"data missing", 'Waste results'!$S$102&lt;&gt;"data missing"), Calc!BD18*'Waste results'!$S$66+Calc!BE18*'Waste results'!$S$102, "data missing"),
   IF(OR('Waste results'!$S$30&lt;&gt;"data missing", 'Waste results'!$S$66&lt;&gt;"data missing", 'Waste results'!$S$102&lt;&gt;"data missing"), Calc!BC18*'Waste results'!$S$30+Calc!BD18*'Waste results'!$S$66+ Calc!BE18*'Waste results'!$S$102, "data missing")))))))))))</f>
        <v/>
      </c>
      <c r="BL20" s="241" t="str">
        <f ca="1">IF($B20="","",
IF(ISBLANK('Soil results'!P23),"data missing",'Soil results'!P23))</f>
        <v/>
      </c>
      <c r="BM20" s="241" t="str">
        <f t="shared" ca="1" si="14"/>
        <v/>
      </c>
      <c r="BN20" s="66" t="str">
        <f t="shared" ca="1" si="15"/>
        <v/>
      </c>
      <c r="BP20" s="238" t="str">
        <f ca="1">IF(B20="","",
IF(AND('Field information 2'!$O$5="", 'Field information 2'!$Q$5=""),
   IF('Waste results'!$S$31&lt;&gt;"data missing", Calc!BC18*'Waste results'!$S$31, "data missing"),
IF('Field information 2'!$Q$5="",
   IF(Calc!BD18=0,
     IF('Waste results'!$S$31&lt;&gt;"data missing", Calc!BC18*'Waste results'!$S$31, "data missing"),
   IF(Calc!BC18=0,
     IF('Waste results'!$S$67&lt;&gt;"data missing", Calc!BD18*'Waste results'!$S$67, "data missing"),
   IF(OR('Waste results'!$S$31&lt;&gt;"data missing", 'Waste results'!$S$67&lt;&gt;"data missing"), Calc!BC18*'Waste results'!$S$31+ Calc!BD18*'Waste results'!$S$67, "data missing"))),
IF(AND('Field information 2'!$M$5&lt;&gt;"", 'Field information 2'!$O$5&lt;&gt;"", 'Field information 2'!$Q$5&lt;&gt;""),
   IF(AND(Calc!BD18=0,Calc!BE18=0),
     IF('Waste results'!$S$31&lt;&gt;"data missing", Calc!BC18*'Waste results'!$S$31, "data missing"),
   IF(AND(Calc!BC18=0,Calc!BE18=0),
     IF('Waste results'!$S$67&lt;&gt;"data missing", Calc!BD18*'Waste results'!$S$67, "data missing"),
   IF(AND(Calc!BC18=0,Calc!BD18=0),
     IF('Waste results'!$S$103&lt;&gt;"data missing", Calc!BE18*'Waste results'!$S$103, "data missing"),
   IF(Calc!BE18=0,
     IF(OR('Waste results'!$S$31&lt;&gt;"data missing", 'Waste results'!$S$67&lt;&gt;"data missing"), Calc!BC18*'Waste results'!$S$31+ Calc!BD18*'Waste results'!$S$67, "data missing"),
   IF(Calc!BD18=0,
     IF(OR('Waste results'!$S$31&lt;&gt;"data missing", 'Waste results'!$S$103&lt;&gt;"data missing"), Calc!BC18*'Waste results'!$S$31+ Calc!BE18*'Waste results'!$S$103, "data missing"),
   IF(Calc!BC18=0,
     IF(OR('Waste results'!$S$67&lt;&gt;"data missing", 'Waste results'!$S$103&lt;&gt;"data missing"), Calc!BD18*'Waste results'!$S$67+Calc!BE18*'Waste results'!$S$103, "data missing"),
   IF(OR('Waste results'!$S$31&lt;&gt;"data missing", 'Waste results'!$S$67&lt;&gt;"data missing", 'Waste results'!$S$103&lt;&gt;"data missing"), Calc!BC18*'Waste results'!$S$31+Calc!BD18*'Waste results'!$S$67+ Calc!BE18*'Waste results'!$S$103, "data missing")))))))))))</f>
        <v/>
      </c>
      <c r="BQ20" s="239" t="str">
        <f ca="1">IF($B20="","",
IF(ISBLANK('Soil results'!Q23),"data missing",'Soil results'!Q23))</f>
        <v/>
      </c>
      <c r="BR20" s="239" t="str">
        <f t="shared" ca="1" si="16"/>
        <v/>
      </c>
      <c r="BS20" s="9" t="str">
        <f ca="1">IF(B20="","",
IF(BP20=0,"n/a",
IF(OR(BP20="data missing",BQ20=""),"data missing",
IF(BP20&gt;15,"application rate too high - permissible rate exceeds limit",
IF('Soil results'!F23&lt;=5.5,
  IF(BQ20&gt;200,"no application - soil conc. already above limit",
  IF(BR20&gt;200,"application rate too high - soil conc. will exceed limit",
  IF(BQ20&gt;200*0.9,"soil conc. is at or above 90% of the limit",
  IF(10*BP20*1000/3000+BQ20&gt;200,"soil limit likely to be exceeded in 10yrs",
  IF(50*BP20*1000/3000+BQ20&gt;200,"soil limit likely to be exceeded in 50yrs","ok"))))),
IF('Soil results'!F23&lt;=6,
  IF(BQ20&gt;250,"no application - soil conc. already above limit",
  IF(BR20&gt;250,"application rate too high - soil conc. will exceed limit",
  IF(BQ20&gt;250*0.9,"soil conc. is at or above 90% of the limit",
  IF(10*BP20*1000/3000+BQ20&gt;250,"soil limit likely to be exceeded in 10yrs",
  IF(50*BP20*1000/3000+BQ20&gt;250,"soil limit likely to be exceeded in 50yrs","ok"))))),
IF('Soil results'!F23&lt;=7,
  IF(BQ20&gt;300,"no application - soil conc. already above limit",
  IF(BR20&gt;300,"application rate too high - soil conc. will exceed limit",
  IF(BQ20&gt;300*0.9,"soil conc. is at or above 90% of the limit",
  IF(10*BP20*1000/3000+BQ20&gt;300,"soil limit likey to be exceeded in 10yrs",
  IF(50*BP20*1000/3000+BQ20&gt;300,"soil limit likely to be exceeded in 50yrs","ok"))))),
IF('Soil results'!F23&gt;7,
  IF(BQ20&gt;450,"no application - soil conc. already above limit",
  IF(BR20&gt;450,"application rate too high - soil conc. will exceed limit",
  IF(AW20&gt;450*0.9,"soil conc. is at or above 90% of the limit",
  IF(10*BP20*1000/3000+BQ20&gt;450,"soil limit likely to be exceeded in 10yrs",
  IF(50*BP20*1000/3000+BQ20&gt;450,"soil limit likely to be exceeded in 50yrs","ok")))))
))))))))</f>
        <v/>
      </c>
    </row>
    <row r="21" spans="2:71" s="9" customFormat="1" x14ac:dyDescent="0.35">
      <c r="B21" s="236" t="str">
        <f ca="1">'Soil results'!B24</f>
        <v/>
      </c>
      <c r="C21" s="91" t="str">
        <f ca="1">IF(B21="","",
IF(AND('Field information 2'!$O$5="", 'Field information 2'!$Q$5=""),
   IF('Waste results'!$S$12&lt;&gt;"data missing", Calc!BC19*'Waste results'!$S$12, "data missing"),
IF('Field information 2'!$Q$5="",
   IF(Calc!BD19=0,
     IF('Waste results'!$S$12&lt;&gt;"data missing", Calc!BC19*'Waste results'!$S$12, "data missing"),
   IF(Calc!BC19=0,
     IF('Waste results'!$S$48&lt;&gt;"data missing", Calc!BD19*'Waste results'!$S$48, "data missing"),
   IF(OR('Waste results'!$S$12&lt;&gt;"data missing", 'Waste results'!$S$48&lt;&gt;"data missing"), Calc!BC19*'Waste results'!$S$12+ Calc!BD19*'Waste results'!$S$48, "data missing"))),
IF(AND('Field information 2'!$M$5&lt;&gt;"", 'Field information 2'!$O$5&lt;&gt;"", 'Field information 2'!$Q$5&lt;&gt;""),
   IF(AND(Calc!BD19=0,Calc!BE19=0),
     IF('Waste results'!$S$12&lt;&gt;"data missing", Calc!BC19*'Waste results'!$S$12, "data missing"),
   IF(AND(Calc!BC19=0,Calc!BE19=0),
     IF('Waste results'!$S$48&lt;&gt;"data missing", Calc!BD19*'Waste results'!$S$48, "data missing"),
   IF(AND(Calc!BC19=0,Calc!BD19=0),
     IF('Waste results'!$S$84&lt;&gt;"data missing", Calc!BE19*'Waste results'!$S$84, "data missing"),
   IF(Calc!BE19=0,
     IF(OR('Waste results'!$S$12&lt;&gt;"data missing", 'Waste results'!$S$48&lt;&gt;"data missing"), Calc!BC19*'Waste results'!$S$12+ Calc!BD19*'Waste results'!$S$48, "data missing"),
   IF(Calc!BD19=0,
     IF(OR('Waste results'!$S$12&lt;&gt;"data missing", 'Waste results'!$S$84&lt;&gt;"data missing"), Calc!BC19*'Waste results'!$S$12+ Calc!BE19*'Waste results'!$S$84, "data missing"),
   IF(Calc!BC19=0,
     IF(OR('Waste results'!$S$48&lt;&gt;"data missing", 'Waste results'!$S$84&lt;&gt;"data missing"), Calc!BD19*'Waste results'!$S$48+Calc!BE19*'Waste results'!$S$84, "data missing"),
   IF(OR('Waste results'!$S$12&lt;&gt;"data missing", 'Waste results'!$S$48&lt;&gt;"data missing", 'Waste results'!$S$84&lt;&gt;"data missing"), Calc!BC19*'Waste results'!$S$12+Calc!BD19*'Waste results'!$S$48+ Calc!BE19*'Waste results'!$S$84, "data missing")))))))))))</f>
        <v/>
      </c>
      <c r="D21" s="161" t="str">
        <f ca="1">IF(B21="","",
IF(Calc!BG19="","soil texture missing",
IF(OR(Calc!BG19="SL; SZL; ZL",Calc!BG19="SCL; CL; ZCL; SC; ZC; C"),VLOOKUP(Calc!BI19,'Fertiliser recommendations'!$A$4:$C$63,3,FALSE),
IF(Calc!BG19="S; LS",VLOOKUP(Calc!BI19,'Fertiliser recommendations'!$A$4:$C$63,3,FALSE)+VLOOKUP(Calc!BI19,'Fertiliser recommendations'!$A$4:$D$63,4,FALSE),
IF(Calc!BG19="10-25% OM",VLOOKUP(Calc!BI19,'Fertiliser recommendations'!$A$4:$C$63,3,FALSE)+VLOOKUP(Calc!BI19,'Fertiliser recommendations'!$A$4:$E$63,5,FALSE),
IF(Calc!BG19="&gt;25% OM",VLOOKUP(Calc!BI19,'Fertiliser recommendations'!$A$4:$C$63,3,FALSE)+VLOOKUP(Calc!BI19,'Fertiliser recommendations'!$A$4:$F$63,6,FALSE),
""))))))</f>
        <v/>
      </c>
      <c r="E21" s="91" t="str">
        <f t="shared" ca="1" si="0"/>
        <v/>
      </c>
      <c r="F21" s="9" t="str">
        <f ca="1">IF(B21="","",
IF(OR(C21="data missing",D21="soil texture missing"),"data missing",
IF(Calc!BF19=0,"n/a",
IF(C21&lt;0.1*D21,"no benefit",
IF(C21&lt;0.3*D21,"limited benefit",
IF(C21&gt;250,"exceeds limit",
IF(OR(AND(D21=0,C21&gt;75),C21&gt;1.25*D21),"excessive",
IF(D21=0, "no requirement",
"benefit"))))))))</f>
        <v/>
      </c>
      <c r="H21" s="91" t="str">
        <f ca="1">IF(B21="","",
IF(AND('Field information 2'!$O$5="", 'Field information 2'!$Q$5=""),
   IF('Waste results'!$S$17&lt;&gt;"data missing", Calc!BC19*'Waste results'!$S$17, "data missing"),
IF('Field information 2'!$Q$5="",
   IF(Calc!BD19=0,
     IF('Waste results'!$S$17&lt;&gt;"data missing", Calc!BC19*'Waste results'!$S$17, "data missing"),
   IF(Calc!BC19=0,
     IF('Waste results'!$S$53&lt;&gt;"data missing", Calc!BD19*'Waste results'!$S$53, "data missing"),
   IF(OR('Waste results'!$S$17&lt;&gt;"data missing", 'Waste results'!$S$53&lt;&gt;"data missing"), Calc!BC19*'Waste results'!$S$17+ Calc!BD19*'Waste results'!$S$53, "data missing"))),
IF(AND('Field information 2'!$M$5&lt;&gt;"", 'Field information 2'!$O$5&lt;&gt;"", 'Field information 2'!$Q$5&lt;&gt;""),
   IF(AND(Calc!BD19=0,Calc!BE19=0),
     IF('Waste results'!$S$17&lt;&gt;"data missing", Calc!BC19*'Waste results'!$S$17, "data missing"),
   IF(AND(Calc!BC19=0,Calc!BE19=0),
     IF('Waste results'!$S$53&lt;&gt;"data missing", Calc!BD19*'Waste results'!$S$53, "data missing"),
   IF(AND(Calc!BC19=0,Calc!BD19=0),
     IF('Waste results'!$S$89&lt;&gt;"data missing", Calc!BE19*'Waste results'!$S$89, "data missing"),
   IF(Calc!BE19=0,
     IF(OR('Waste results'!$S$17&lt;&gt;"data missing", 'Waste results'!$S$53&lt;&gt;"data missing"), Calc!BC19*'Waste results'!$S$17+ Calc!BD19*'Waste results'!$S$53, "data missing"),
   IF(Calc!BD19=0,
     IF(OR('Waste results'!$S$17&lt;&gt;"data missing", 'Waste results'!$S$89&lt;&gt;"data missing"), Calc!BC19*'Waste results'!$S$17+ Calc!BE19*'Waste results'!$S$89, "data missing"),
   IF(Calc!BC19=0,
     IF(OR('Waste results'!$S$53&lt;&gt;"data missing", 'Waste results'!$S$89&lt;&gt;"data missing"), Calc!BD19*'Waste results'!$S$53+Calc!BE19*'Waste results'!$S$89, "data missing"),
   IF(OR('Waste results'!$S$17&lt;&gt;"data missing", 'Waste results'!$S$53&lt;&gt;"data missing", 'Waste results'!$S$89&lt;&gt;"data missing"), Calc!BC19*'Waste results'!$S$17+Calc!BD19*'Waste results'!$S$53+ Calc!BE19*'Waste results'!$S$89, "data missing")))))))))))</f>
        <v/>
      </c>
      <c r="I21" s="195" t="str">
        <f ca="1">IF(B21="","",
IF(OR(ISBLANK('Soil results'!G24), ISBLANK('Soil results'!G$7)),"data missing",
IF(OR(AND('Soil results'!G$7="Olsen (ADAS)",'Soil results'!G24&lt;16),AND('Soil results'!G$7="modified Morgan (SAC)",'Soil results'!G24&lt;4.5)),50,100)))</f>
        <v/>
      </c>
      <c r="J21" s="49" t="str">
        <f ca="1">IF(B21="","",
IF(OR(ISBLANK('Soil results'!G$7),ISBLANK('Soil results'!G24)),"data missing",
IF(OR(AND('Soil results'!G$7="Olsen (ADAS)",'Soil results'!G24&gt;45),AND('Soil results'!G$7="modified Morgan (SAC)",'Soil results'!G24&gt;30)),0,
IF(OR(AND('Soil results'!G$7="Olsen (ADAS)",'Soil results'!G24&gt;=16,'Soil results'!G24&lt;=20),AND('Soil results'!G$7="modified Morgan (SAC)",'Soil results'!G24&gt;=4.5,'Soil results'!G24&lt;=9.4)),VLOOKUP(Calc!BI19,'Fertiliser recommendations'!$A$4:$I$63,9,FALSE),
IF(OR(AND('Soil results'!G$7="Olsen (ADAS)",'Soil results'!G24&lt;10),AND('Soil results'!G$7="modified Morgan (SAC)",'Soil results'!G24&lt;1.8)),VLOOKUP(Calc!BI19,'Fertiliser recommendations'!$A$4:$I$63,9,FALSE)+VLOOKUP(Calc!BI19,'Fertiliser recommendations'!$A$4:$J$63,10,FALSE),
IF(OR(AND('Soil results'!G$7="Olsen (ADAS)",'Soil results'!G24&lt;16),AND('Soil results'!G$7="modified Morgan (SAC)",'Soil results'!G24&lt;4.5)),VLOOKUP(Calc!BI19,'Fertiliser recommendations'!$A$4:$I$63,9,FALSE)+VLOOKUP(Calc!BI19,'Fertiliser recommendations'!$A$4:$K$63,11,FALSE),
IF(OR(AND('Soil results'!G$7="Olsen (ADAS)",'Soil results'!G24&lt;26),AND('Soil results'!G$7="modified Morgan (SAC)",'Soil results'!G24&lt;13.5)),VLOOKUP(Calc!BI19,'Fertiliser recommendations'!$A$4:$I$63,9,FALSE)+VLOOKUP(Calc!BI19,'Fertiliser recommendations'!$A$4:$L$63,12,FALSE),
IF(OR(AND('Soil results'!G$7="Olsen (ADAS)",'Soil results'!G24&lt;=45),AND('Soil results'!G$7="modified Morgan (SAC)",'Soil results'!G24&lt;=30)),VLOOKUP(Calc!BI19,'Fertiliser recommendations'!$A$4:$I$63,9,FALSE)+VLOOKUP(Calc!BI19,'Fertiliser recommendations'!$A$4:$M$63,13,FALSE),
""))))))))</f>
        <v/>
      </c>
      <c r="K21" s="161" t="str">
        <f t="shared" ca="1" si="1"/>
        <v/>
      </c>
      <c r="L21" s="47" t="str">
        <f ca="1">IF(OR(ISBLANK('Soil results'!G$7),ISBLANK('Soil results'!G24),B21="", H21="data missing"),"",
IF('Soil results'!G$7="Olsen (ADAS)",
IF(((H21*Calc!BM19/2.291-(VLOOKUP(Calc!BI19,'Fertiliser recommendations'!$A$4:$I$63,9,FALSE))/2.291)*10/(400/2.291)+'Soil results'!G24)&lt;10,"0 (VL)",
IF(((H21*Calc!BM19/2.291-(VLOOKUP(Calc!BI19,'Fertiliser recommendations'!$A$4:$I$63,9,FALSE))/2.291)*10/(400/2.291)+'Soil results'!G24)&lt;16,"1 (L)",
IF(((H21*Calc!BM19/2.291-(VLOOKUP(Calc!BI19,'Fertiliser recommendations'!$A$4:$I$63,9,FALSE))/2.291)*10/(400/2.291)+'Soil results'!G24)&lt;21,"2 (M-)",
IF(((H21*Calc!BM19/2.291-(VLOOKUP(Calc!BI19,'Fertiliser recommendations'!$A$4:$I$63,9,FALSE))/2.291)*10/(400/2.291)+'Soil results'!G24)&lt;26,"2 (M+)",
IF(((H21*Calc!BM19/2.291-(VLOOKUP(Calc!BI19,'Fertiliser recommendations'!$A$4:$I$63,9,FALSE))/2.291)*10/(400/2.291)+'Soil results'!G24)&lt;45,"3 (H)","&gt;3 (VH)"))))),
IF('Soil results'!G$7="modified Morgan (SAC)",
IF('Soil results'!G24&gt;=6,
IF(((H21*Calc!BM19/2.291-(VLOOKUP(Calc!BI19,'Fertiliser recommendations'!$A$4:$I$63,9,FALSE))/2.291)*5/(147/2.291)+'Soil results'!G24)&lt;9.5,"2 (M-)",
IF(((H21*Calc!BM19/2.291-(VLOOKUP(Calc!BI19,'Fertiliser recommendations'!$A$4:$I$63,9,FALSE))/2.291)*5/(147/2.291)+'Soil results'!G24)&lt;13.5,"2 (M+)",
IF(((H21*Calc!BM19/2.291-(VLOOKUP(Calc!BI19,'Fertiliser recommendations'!$A$4:$I$63,9,FALSE))/2.291)*5/(147/2.291)+'Soil results'!G24)&lt;30,"3 (H)","4 (VH)"))),
IF(((H21*Calc!BM19/2.291-(VLOOKUP(Calc!BI19,'Fertiliser recommendations'!$A$4:$I$63,9,FALSE))/2.291)*5/(346/2.291)+'Soil results'!G24)&lt;1.8,"0 (VL)",
IF(((H21*Calc!BM19/2.291-(VLOOKUP(Calc!BI19,'Fertiliser recommendations'!$A$4:$I$63,9,FALSE))/2.291)*5/(147/2.291)+'Soil results'!G24)&lt;4.5,"1 (L)","2 (M-)"))))))</f>
        <v/>
      </c>
      <c r="M21" s="9" t="str">
        <f ca="1">IF(B21="","",
IF(OR(H21="data missing",I21="data missing",J21="data missing"),"data missing",
IF(Calc!BF19=0,"n/a",
IF(OR(AND('Soil results'!G$7="Olsen (ADAS)",'Soil results'!G24&gt;45),AND('Soil results'!G$7="modified Morgan (SAC)",'Soil results'!G24&gt;30)),
IF(H21&gt;2,"too high, not acceptable","no requirement"),IF(OR(AND('Soil results'!G$7="Olsen (ADAS)",'Soil results'!G24&gt;25),AND('Soil results'!G$7="modified Morgan (SAC)",'Soil results'!G24&gt;13.4)),
IF(H21*(I21/100)&lt;0.1*J21,"no benefit",
IF(H21*(I21/100)&lt;0.3*J21,"limited benefit",
IF(H21*(I21/100)&lt;1.1*J21,"benefit",
IF(H21*(I21/100)&lt;0.7*VLOOKUP(Calc!BI19,'Fertiliser recommendations'!$A$4:$I$63,9,FALSE),"excessive","too high, not acceptable")))),
IF(OR(AND('Soil results'!G$7="Olsen (ADAS)",'Soil results'!G24&gt;20),AND('Soil results'!G$7="modified Morgan (SAC)",'Soil results'!G24&gt;9.4)),
IF(H21*Calc!BM19*(I21/100)&lt;0.1*J21,"no benefit",
IF(H21*Calc!BM19*(I21/100)&lt;0.3*J21,"limited benefit",
IF(H21*Calc!BM19*(I21/100)&lt;1.1*J21,"benefit",
IF(L21="3 (H)","too high, not acceptable","excessive")))),
IF(OR(AND('Soil results'!G$7="Olsen (ADAS)",'Soil results'!G24&gt;15),AND('Soil results'!G$7="modified Morgan (SAC)",'Soil results'!G24&gt;4.4)),
IF(H21*Calc!BM19*(I21/100)&lt;0.1*VLOOKUP(Calc!BI19,'Fertiliser recommendations'!$A$4:$I$63,9,FALSE),"no benefit",
IF(H21*Calc!BM19*(I21/100)&lt;0.3*VLOOKUP(Calc!BI19,'Fertiliser recommendations'!$A$4:$I$63,9,FALSE),"limited benefit",
IF(H21*Calc!BM19*(I21/100)&lt;1.1*VLOOKUP(Calc!BI19,'Fertiliser recommendations'!$A$4:$I$63,9,FALSE),"benefit",
IF(L21="3 (H)", "too high, not acceptable", "excessive")))),
IF(OR(AND('Soil results'!G$7="Olsen (ADAS)",'Soil results'!G24&lt;=15),AND('Soil results'!G$7="modified Morgan (SAC)",'Soil results'!G24&lt;=4.4)),
IF(H21*Calc!BM19*(I21/100)&lt;0.1*VLOOKUP(Calc!BI19,'Fertiliser recommendations'!$A$4:$I$63,9,FALSE),"no benefit",
IF(H21*Calc!BM19*(I21/100)&lt;0.3*VLOOKUP(Calc!BI19,'Fertiliser recommendations'!$A$4:$I$63,9,FALSE),"limited benefit",
IF(H21*Calc!BM19*(I21/100)&lt;1.1*J21,"benefit","excessive")))))))))))</f>
        <v/>
      </c>
      <c r="O21" s="91" t="str">
        <f ca="1">IF(B21="","",
IF(AND('Field information 2'!$O$5="", 'Field information 2'!$Q$5=""),
   IF('Waste results'!$S$19&lt;&gt;"data missing", Calc!BC19*'Waste results'!$S$19, "data missing"),
IF('Field information 2'!$Q$5="",
   IF(Calc!BD19=0,
     IF('Waste results'!$S$19&lt;&gt;"data missing", Calc!BC19*'Waste results'!$S$19, "data missing"),
   IF(Calc!BC19=0,
     IF('Waste results'!$S$55&lt;&gt;"data missing", Calc!BD19*'Waste results'!$S$55, "data missing"),
   IF(OR('Waste results'!$S$19&lt;&gt;"data missing", 'Waste results'!$S$55&lt;&gt;"data missing"), Calc!BC19*'Waste results'!$S$19+ Calc!BD19*'Waste results'!$S$55, "data missing"))),
IF(AND('Field information 2'!$M$5&lt;&gt;"", 'Field information 2'!$O$5&lt;&gt;"", 'Field information 2'!$Q$5&lt;&gt;""),
   IF(AND(Calc!BD19=0,Calc!BE19=0),
     IF('Waste results'!$S$19&lt;&gt;"data missing", Calc!BC19*'Waste results'!$S$19, "data missing"),
   IF(AND(Calc!BC19=0,Calc!BE19=0),
     IF('Waste results'!$S$55&lt;&gt;"data missing", Calc!BD19*'Waste results'!$S$55, "data missing"),
   IF(AND(Calc!BC19=0,Calc!BD19=0),
     IF('Waste results'!$S$91&lt;&gt;"data missing", Calc!BE19*'Waste results'!$S$91, "data missing"),
   IF(Calc!BE19=0,
     IF(OR('Waste results'!$S$19&lt;&gt;"data missing", 'Waste results'!$S$55&lt;&gt;"data missing"), Calc!BC19*'Waste results'!$S$19+ Calc!BD19*'Waste results'!$S$55, "data missing"),
   IF(Calc!BD19=0,
     IF(OR('Waste results'!$S$19&lt;&gt;"data missing", 'Waste results'!$S$91&lt;&gt;"data missing"), Calc!BC19*'Waste results'!$S$19+ Calc!BE19*'Waste results'!$S$91, "data missing"),
   IF(Calc!BC19=0,
     IF(OR('Waste results'!$S$55&lt;&gt;"data missing", 'Waste results'!$S$91&lt;&gt;"data missing"), Calc!BD19*'Waste results'!$S$55+Calc!BE19*'Waste results'!$S$91, "data missing"),
   IF(OR('Waste results'!$S$19&lt;&gt;"data missing", 'Waste results'!$S$55&lt;&gt;"data missing", 'Waste results'!$S$91&lt;&gt;"data missing"), Calc!BC19*'Waste results'!$S$19+Calc!BD19*'Waste results'!$S$55+ Calc!BE19*'Waste results'!$S$91, "data missing")))))))))))</f>
        <v/>
      </c>
      <c r="P21" s="91" t="str">
        <f ca="1">IF(B21="","",
IF(OR(ISBLANK('Soil results'!H$7),ISBLANK('Soil results'!H24)),"data missing",
IF(OR(AND('Soil results'!H$7="ammonium nitrate (ADAS)",'Soil results'!H24&gt;400),AND('Soil results'!H$7="modified Morgan (SAC)",'Soil results'!H24&gt;400)),0,
IF(OR(AND('Soil results'!H$7="ammonium nitrate (ADAS)",'Soil results'!H24&gt;=121,'Soil results'!H24&lt;=180),AND('Soil results'!H$7="modified Morgan (SAC)",'Soil results'!H24&gt;=76,'Soil results'!H24&lt;=140)),VLOOKUP(Calc!BI19,'Fertiliser recommendations'!$A$4:$Z$63,26,FALSE),
IF(OR(AND('Soil results'!H$7="ammonium nitrate (ADAS)",'Soil results'!H24&lt;61),AND('Soil results'!H$7="modified Morgan (SAC)",'Soil results'!H24&lt;40)),VLOOKUP(Calc!BI19,'Fertiliser recommendations'!$A$4:$Z$63,26,FALSE)+VLOOKUP(Calc!BI19,'Fertiliser recommendations'!$A$4:$AA$63,27,FALSE),
IF(OR(AND('Soil results'!H$7="ammonium nitrate (ADAS)",'Soil results'!H24&lt;121),AND('Soil results'!H$7="modified Morgan (SAC)",'Soil results'!H24&lt;76)),VLOOKUP(Calc!BI19,'Fertiliser recommendations'!$A$4:$Z$63,26,FALSE)+VLOOKUP(Calc!BI19,'Fertiliser recommendations'!$A$4:$AB$63,28,FALSE),
IF(OR(AND('Soil results'!H$7="ammonium nitrate (ADAS)",'Soil results'!H24&lt;241),AND('Soil results'!H$7="modified Morgan (SAC)",'Soil results'!H24&lt;201)),VLOOKUP(Calc!BI19,'Fertiliser recommendations'!$A$4:$Z$63,26,FALSE)+VLOOKUP(Calc!BI19,'Fertiliser recommendations'!$A$4:$AC$63,29,FALSE),
IF(OR(AND('Soil results'!H$7="ammonium nitrate (ADAS)",'Soil results'!H24&lt;=400),AND('Soil results'!H$7="modified Morgan (SAC)",'Soil results'!H24&lt;=400)),VLOOKUP(Calc!BI19,'Fertiliser recommendations'!$A$4:$Z$63,26,FALSE)+VLOOKUP(Calc!BI19,'Fertiliser recommendations'!$A$4:$AD$63,30,FALSE),
"??"))))))))</f>
        <v/>
      </c>
      <c r="Q21" s="91" t="str">
        <f t="shared" ca="1" si="2"/>
        <v/>
      </c>
      <c r="R21" s="9" t="str">
        <f ca="1">IF(B21="","",
IF(OR(O21="data missing",P21="data missing"),"data missing",
IF(Calc!BF19=0,"n/a",
IF(P21=0, "no requirement",
IF(O21&lt;0.1*P21,"no benefit",
IF(O21&lt;0.3*P21,"limited benefit",
IF(O21&gt;1.25*P21,"excessive",
"benefit")))))))</f>
        <v/>
      </c>
      <c r="T21" s="91" t="str">
        <f ca="1">IF(B21="","",
IF(AND('Field information 2'!$O$5="", 'Field information 2'!$Q$5=""),
   IF('Waste results'!$S$21&lt;&gt;"data missing", Calc!BC19*'Waste results'!$S$21, "data missing"),
IF('Field information 2'!$Q$5="",
   IF(Calc!BD19=0,
     IF('Waste results'!$S$21&lt;&gt;"data missing", Calc!BC19*'Waste results'!$S$21, "data missing"),
   IF(Calc!BC19=0,
     IF('Waste results'!$S$57&lt;&gt;"data missing", Calc!BD19*'Waste results'!$S$57, "data missing"),
   IF(OR('Waste results'!$S$21&lt;&gt;"data missing", 'Waste results'!$S$57&lt;&gt;"data missing"), Calc!BC19*'Waste results'!$S$21+ Calc!BD19*'Waste results'!$S$57, "data missing"))),
IF(AND('Field information 2'!$M$5&lt;&gt;"", 'Field information 2'!$O$5&lt;&gt;"", 'Field information 2'!$Q$5&lt;&gt;""),
   IF(AND(Calc!BD19=0,Calc!BE19=0),
     IF('Waste results'!$S$21&lt;&gt;"data missing", Calc!BC19*'Waste results'!$S$21, "data missing"),
   IF(AND(Calc!BC19=0,Calc!BE19=0),
     IF('Waste results'!$S$57&lt;&gt;"data missing", Calc!BD19*'Waste results'!$S$57, "data missing"),
   IF(AND(Calc!BC19=0,Calc!BD19=0),
     IF('Waste results'!$S$93&lt;&gt;"data missing", Calc!BE19*'Waste results'!$S$93, "data missing"),
   IF(Calc!BE19=0,
     IF(OR('Waste results'!$S$21&lt;&gt;"data missing", 'Waste results'!$S$57&lt;&gt;"data missing"), Calc!BC19*'Waste results'!$S$21+ Calc!BD19*'Waste results'!$S$57, "data missing"),
   IF(Calc!BD19=0,
     IF(OR('Waste results'!$S$21&lt;&gt;"data missing", 'Waste results'!$S$93&lt;&gt;"data missing"), Calc!BC19*'Waste results'!$S$21+ Calc!BE19*'Waste results'!$S$93, "data missing"),
   IF(Calc!BC19=0,
     IF(OR('Waste results'!$S$57&lt;&gt;"data missing", 'Waste results'!$S$93&lt;&gt;"data missing"), Calc!BD19*'Waste results'!$S$57+Calc!BE19*'Waste results'!$S$93, "data missing"),
   IF(OR('Waste results'!$S$21&lt;&gt;"data missing", 'Waste results'!$S$57&lt;&gt;"data missing", 'Waste results'!$S$93&lt;&gt;"data missing"), Calc!BC19*'Waste results'!$S$21+Calc!BD19*'Waste results'!$S$57+ Calc!BE19*'Waste results'!$S$93, "data missing")))))))))))</f>
        <v/>
      </c>
      <c r="U21" s="7" t="str">
        <f ca="1">IF(B21="","",
IF(OR(ISBLANK('Soil results'!I$7),ISBLANK('Soil results'!I24)),"data missing",
IF(OR(AND('Soil results'!I$7="ammonium nitrate (ADAS)",'Soil results'!I24&gt;51),AND('Soil results'!I$7="modified Morgan (SAC)",'Soil results'!I24&gt;61)),0,
IF(OR(AND('Soil results'!I$7="ammonium nitrate (ADAS)",'Soil results'!I24&lt;25),AND('Soil results'!I$7="modified Morgan (SAC)",'Soil results'!I24&lt;19)),VLOOKUP(Calc!BI19,'Fertiliser recommendations'!$A$4:$AH$63,34,FALSE),
IF(OR(AND('Soil results'!I$7="ammonium nitrate (ADAS)",'Soil results'!I24&lt;=51),AND('Soil results'!I$7="modified Morgan (SAC)",'Soil results'!I24&lt;=61)),VLOOKUP(Calc!BI19,'Fertiliser recommendations'!$A$4:$AI$63,35,FALSE),
"")))))</f>
        <v/>
      </c>
      <c r="V21" s="91" t="str">
        <f t="shared" ca="1" si="3"/>
        <v/>
      </c>
      <c r="W21" s="9" t="str">
        <f ca="1">IF(B21="","",
IF(OR(T21="data missing",U21="data missing"),"data missing",
IF(Calc!BF19=0,"n/a",
IF(U21=0,"no requirement",
IF(T21&lt;0.1*U21,"no benefit",
IF(T21&lt;0.3*U21,"limited benefit",
IF(OR(T21&gt;1.5*U21,AND(Calc!BJ19="g",T21&gt;100)),"excessive",
"benefit")))))))</f>
        <v/>
      </c>
      <c r="Y21" s="91" t="str">
        <f ca="1">IF(B21="","",
IF(AND('Field information 2'!$O$5="", 'Field information 2'!$Q$5=""),
   IF('Waste results'!$P$23&lt;&gt;"", Calc!BC19*'Waste results'!$P$23, "no data"),
IF('Field information 2'!$Q$5="",
   IF(Calc!BD19=0,
     IF('Waste results'!$P$23&lt;&gt;"", Calc!BC19*'Waste results'!$P$23, "no data"),
   IF(Calc!BC19=0,
     IF('Waste results'!$P$59&lt;&gt;"", Calc!BD19*'Waste results'!$P$59, "no data"),
   IF(OR('Waste results'!$P$23&lt;&gt;"", 'Waste results'!$P$59&lt;&gt;""), Calc!BC19*'Waste results'!$P$23+ Calc!BD19*'Waste results'!$P$59, "no data"))),
IF(AND('Field information 2'!$M$5&lt;&gt;"", 'Field information 2'!$O$5&lt;&gt;"", 'Field information 2'!$Q$5&lt;&gt;""),
   IF(AND(Calc!BD19=0,Calc!BE19=0),
     IF('Waste results'!$P$23&lt;&gt;"", Calc!BC19*'Waste results'!$P$23, "no data"),
   IF(AND(Calc!BC19=0,Calc!BE19=0),
     IF('Waste results'!$P$59&lt;&gt;"", Calc!BD19*'Waste results'!$P$59, "no data"),
   IF(AND(Calc!BC19=0,Calc!BD19=0),
     IF('Waste results'!$P$95&lt;&gt;"", Calc!BE19*'Waste results'!$P$95, "no data"),
   IF(Calc!BE19=0,
     IF(OR('Waste results'!$P$23&lt;&gt;"", 'Waste results'!$P$59&lt;&gt;""), Calc!BC19*'Waste results'!$P$23+ Calc!BD19*'Waste results'!$P$59, "no data"),
   IF(Calc!BD19=0,
     IF(OR('Waste results'!$P$23&lt;&gt;"", 'Waste results'!$P$95&lt;&gt;""), Calc!BC19*'Waste results'!$P$23+ Calc!BE19*'Waste results'!$P$95, "no data"),
   IF(Calc!BC19=0,
     IF(OR('Waste results'!$P$59&lt;&gt;"", 'Waste results'!$P$95&lt;&gt;""), Calc!BD19*'Waste results'!$P$59+Calc!BE19*'Waste results'!$P$95, "no data"),
   IF(OR('Waste results'!$P$23&lt;&gt;"", 'Waste results'!$P$59&lt;&gt;"", 'Waste results'!$P$95&lt;&gt;""), Calc!BC19*'Waste results'!$P$23+Calc!BD19*'Waste results'!$P$59+ Calc!BE19*'Waste results'!$P$95, "no data")))))))))))</f>
        <v/>
      </c>
      <c r="Z21" s="7" t="str">
        <f ca="1">IF(OR(ISBLANK('Soil results'!I$7),ISBLANK('Soil results'!I24),'Soil results'!B24=""),"",
VLOOKUP(Calc!BI19,'Fertiliser recommendations'!$A$4:$AM$63,39,FALSE))</f>
        <v/>
      </c>
      <c r="AA21" s="91" t="str">
        <f t="shared" ca="1" si="4"/>
        <v/>
      </c>
      <c r="AB21" s="9" t="str">
        <f t="shared" ca="1" si="5"/>
        <v/>
      </c>
      <c r="AD21" s="48" t="str">
        <f>IF(ISBLANK('Soil results'!F24),"",'Soil results'!F24)</f>
        <v/>
      </c>
      <c r="AE21" s="49" t="str">
        <f ca="1">IF(B21="","",
IF(AND(Calc!BJ19="g", VLOOKUP(LEFT($B21,LEN($B21)-2),'Field information 2'!$B$12:$P$111,9,FALSE)&lt;&gt;"yes"),
 IF(Calc!BG19="10-25% OM", 5.9, IF(Calc!BG19="&gt;25% OM", 5.5, 6.2)),
IF(OR(Calc!BJ19="a", VLOOKUP(LEFT($B21,LEN($B21)-2),'Field information 2'!$B$12:$P$111,9,FALSE)="yes"),
 IF(Calc!BG19="10-25% OM", 6.4, IF(Calc!BG19="&gt;25% OM", 6, 6.7)), "")))</f>
        <v/>
      </c>
      <c r="AF21" s="91" t="str">
        <f ca="1">IF(B21="","",
IF('Waste results'!$Q$33="","no (significant) liming properties",
IF('Waste results'!Q$33&gt;100,"no (significant) liming properties",
IF(AD21="","",
IF(AD21&gt;=AE21,0,ROUNDDOWN((AE21-AD21)*Calc!BK19*'Waste results'!$Q$33+0.2,0))))))</f>
        <v/>
      </c>
      <c r="AG21" s="9" t="str">
        <f ca="1">IF(B21="","",
IF(T21=0,"n/a",
IF(AD21="","data missing",
IF(AND(AD21&lt;5,AF21="no (significant) liming properties"),"no waste application - pH too low",
IF(AND(AD21&gt;5.1,AF21="no (significant) liming properties",Calc!BH19&gt;25, LEFT(Calc!BI19,4)="graz"),"ok",
IF(AND(AD21&lt;=5.2,AF21="no (significant) liming properties"),"liming highly recommended",
IF(AF21=0,"no waste application - liming not required",
IF(AF21&lt;Calc!BC19,"application rate too high - exceeds liming requirement",
"ok"))))))))</f>
        <v/>
      </c>
      <c r="AI21" s="91" t="str">
        <f ca="1">IF(B21="","",
IF(AND('Field information 2'!$O$5="", 'Field information 2'!$Q$5=""),
   IF('Waste results'!$P$10&lt;&gt;"data missing", Calc!BC19*'Waste results'!$P$10, "data missing"),
IF('Field information 2'!$Q$5="",
   IF(Calc!BD19=0,
     IF('Waste results'!$P$10&lt;&gt;"data missing", Calc!BC19*'Waste results'!$P$10, "data missing"),
   IF(Calc!BC19=0,
     IF('Waste results'!$P$45&lt;&gt;"data missing", Calc!BD19*'Waste results'!$P$45, "data missing"),
   IF(OR('Waste results'!$P$10&lt;&gt;"data missing", 'Waste results'!$P$45&lt;&gt;"data missing"), Calc!BC19*'Waste results'!$P$10+ Calc!BD19*'Waste results'!$P$45, "data missing"))),
IF(AND('Field information 2'!$M$5&lt;&gt;"", 'Field information 2'!$O$5&lt;&gt;"", 'Field information 2'!$Q$5&lt;&gt;""),
   IF(AND(Calc!BD19=0,Calc!BE19=0),
     IF('Waste results'!$P$10&lt;&gt;"data missing", Calc!BC19*'Waste results'!$P$10, "data missing"),
   IF(AND(Calc!BC19=0,Calc!BE19=0),
     IF('Waste results'!$P$45&lt;&gt;"data missing", Calc!BD19*'Waste results'!$P$45, "data missing"),
   IF(AND(Calc!BC19=0,Calc!BD19=0),
     IF('Waste results'!$P$82&lt;&gt;"data missing", Calc!BE19*'Waste results'!$P$82, "data missing"),
   IF(Calc!BE19=0,
     IF(OR('Waste results'!$P$10&lt;&gt;"data missing", 'Waste results'!$P$45&lt;&gt;"data missing"), Calc!BC19*'Waste results'!$P$10+ Calc!BD19*'Waste results'!$P$45, "data missing"),
   IF(Calc!BD19=0,
     IF(OR('Waste results'!$P$10&lt;&gt;"data missing", 'Waste results'!$P$82&lt;&gt;"data missing"), Calc!BC19*'Waste results'!$P$10+ Calc!BE19*'Waste results'!$P$82, "data missing"),
   IF(Calc!BC19=0,
     IF(OR('Waste results'!$P$45&lt;&gt;"data missing", 'Waste results'!$P$82&lt;&gt;"data missing"), Calc!BD19*'Waste results'!$P$45+Calc!BE19*'Waste results'!$P$82, "data missing"),
   IF(OR('Waste results'!$P$10&lt;&gt;"data missing", 'Waste results'!$P$45&lt;&gt;"data missing", 'Waste results'!$P$82&lt;&gt;"data missing"), Calc!BC19*'Waste results'!$P$10+Calc!BD19*'Waste results'!$P$45+ Calc!BE19*'Waste results'!$P$82, "data missing")))))))))))</f>
        <v/>
      </c>
      <c r="AJ21" s="237" t="str">
        <f ca="1">IF(B21="","",
IF(AI21="data missing","data missing",
IF(Calc!BF19=0,"n/a",
IF(AND(Calc!BH19&gt;=8,AI21&lt;500),"no benefit",
IF(OR(AND(Calc!BH19&lt;=4,AI21&gt;=500),AND(Calc!BH19&lt;8,AI21&gt;5000)),"benefit",
"limited benefit")))))</f>
        <v/>
      </c>
      <c r="AL21" s="238" t="str">
        <f ca="1">IF(B21="","",
IF(AND('Field information 2'!$O$5="", 'Field information 2'!$Q$5=""),
   IF('Waste results'!$S$25&lt;&gt;"data missing", Calc!BC19*'Waste results'!$S$25, "data missing"),
IF('Field information 2'!$Q$5="",
   IF(Calc!BD19=0,
     IF('Waste results'!$S$25&lt;&gt;"data missing", Calc!BC19*'Waste results'!$S$25, "data missing"),
   IF(Calc!BC19=0,
     IF('Waste results'!$S$61&lt;&gt;"data missing", Calc!BD19*'Waste results'!$S$61, "data missing"),
   IF(OR('Waste results'!$S$25&lt;&gt;"data missing", 'Waste results'!$S$61&lt;&gt;"data missing"), Calc!BC19*'Waste results'!$S$25+ Calc!BD19*'Waste results'!$S$61, "data missing"))),
IF(AND('Field information 2'!$M$5&lt;&gt;"", 'Field information 2'!$O$5&lt;&gt;"", 'Field information 2'!$Q$5&lt;&gt;""),
   IF(AND(Calc!BD19=0,Calc!BE19=0),
     IF('Waste results'!$S$25&lt;&gt;"data missing", Calc!BC19*'Waste results'!$S$25, "data missing"),
   IF(AND(Calc!BC19=0,Calc!BE19=0),
     IF('Waste results'!$S$61&lt;&gt;"data missing", Calc!BD19*'Waste results'!$S$61, "data missing"),
   IF(AND(Calc!BC19=0,Calc!BD19=0),
     IF('Waste results'!$S$97&lt;&gt;"data missing", Calc!BE19*'Waste results'!$S$97, "data missing"),
   IF(Calc!BE19=0,
     IF(OR('Waste results'!$S$25&lt;&gt;"data missing", 'Waste results'!$S$61&lt;&gt;"data missing"), Calc!BC19*'Waste results'!$S$25+ Calc!BD19*'Waste results'!$S$61, "data missing"),
   IF(Calc!BD19=0,
     IF(OR('Waste results'!$S$25&lt;&gt;"data missing", 'Waste results'!$S$97&lt;&gt;"data missing"), Calc!BC19*'Waste results'!$S$25+ Calc!BE19*'Waste results'!$S$97, "data missing"),
   IF(Calc!BC19=0,
     IF(OR('Waste results'!$S$61&lt;&gt;"data missing", 'Waste results'!$S$97&lt;&gt;"data missing"), Calc!BD19*'Waste results'!$S$61+Calc!BE19*'Waste results'!$S$97, "data missing"),
   IF(OR('Waste results'!$S$25&lt;&gt;"data missing", 'Waste results'!$S$61&lt;&gt;"data missing", 'Waste results'!$S$97&lt;&gt;"data missing"), Calc!BC19*'Waste results'!$S$25+Calc!BD19*'Waste results'!$S$61+ Calc!BE19*'Waste results'!$S$97, "data missing")))))))))))</f>
        <v/>
      </c>
      <c r="AM21" s="239" t="str">
        <f ca="1">IF($B21="","",
IF(ISBLANK('Soil results'!K24),"data missing",'Soil results'!K24))</f>
        <v/>
      </c>
      <c r="AN21" s="239" t="str">
        <f t="shared" ca="1" si="6"/>
        <v/>
      </c>
      <c r="AO21" s="9" t="str">
        <f t="shared" ca="1" si="7"/>
        <v/>
      </c>
      <c r="AQ21" s="240" t="str">
        <f ca="1">IF(B21="","",
IF(AND('Field information 2'!$O$5="", 'Field information 2'!$Q$5=""),
   IF('Waste results'!$S$26&lt;&gt;"data missing", Calc!BC19*'Waste results'!$S$26, "data missing"),
IF('Field information 2'!$Q$5="",
   IF(Calc!BD19=0,
     IF('Waste results'!$S$26&lt;&gt;"data missing", Calc!BC19*'Waste results'!$S$26, "data missing"),
   IF(Calc!BC19=0,
     IF('Waste results'!$S$62&lt;&gt;"data missing", Calc!BD19*'Waste results'!$S$62, "data missing"),
   IF(OR('Waste results'!$S$26&lt;&gt;"data missing", 'Waste results'!$S$62&lt;&gt;"data missing"), Calc!BC19*'Waste results'!$S$26+ Calc!BD19*'Waste results'!$S$62, "data missing"))),
IF(AND('Field information 2'!$M$5&lt;&gt;"", 'Field information 2'!$O$5&lt;&gt;"", 'Field information 2'!$Q$5&lt;&gt;""),
   IF(AND(Calc!BD19=0,Calc!BE19=0),
     IF('Waste results'!$S$26&lt;&gt;"data missing", Calc!BC19*'Waste results'!$S$26, "data missing"),
   IF(AND(Calc!BC19=0,Calc!BE19=0),
     IF('Waste results'!$S$62&lt;&gt;"data missing", Calc!BD19*'Waste results'!$S$62, "data missing"),
   IF(AND(Calc!BC19=0,Calc!BD19=0),
     IF('Waste results'!$S$98&lt;&gt;"data missing", Calc!BE19*'Waste results'!$S$98, "data missing"),
   IF(Calc!BE19=0,
     IF(OR('Waste results'!$S$26&lt;&gt;"data missing", 'Waste results'!$S$62&lt;&gt;"data missing"), Calc!BC19*'Waste results'!$S$26+ Calc!BD19*'Waste results'!$S$62, "data missing"),
   IF(Calc!BD19=0,
     IF(OR('Waste results'!$S$26&lt;&gt;"data missing", 'Waste results'!$S$98&lt;&gt;"data missing"), Calc!BC19*'Waste results'!$S$26+ Calc!BE19*'Waste results'!$S$98, "data missing"),
   IF(Calc!BC19=0,
     IF(OR('Waste results'!$S$62&lt;&gt;"data missing", 'Waste results'!$S$98&lt;&gt;"data missing"), Calc!BD19*'Waste results'!$S$62+Calc!BE19*'Waste results'!$S$98, "data missing"),
   IF(OR('Waste results'!$S$26&lt;&gt;"data missing", 'Waste results'!$S$62&lt;&gt;"data missing", 'Waste results'!$S$98&lt;&gt;"data missing"), Calc!BC19*'Waste results'!$S$26+Calc!BD19*'Waste results'!$S$62+ Calc!BE19*'Waste results'!$S$98, "data missing")))))))))))</f>
        <v/>
      </c>
      <c r="AR21" s="241" t="str">
        <f ca="1">IF($B21="","",
IF(ISBLANK('Soil results'!L24),"data missing",'Soil results'!L24))</f>
        <v/>
      </c>
      <c r="AS21" s="241" t="str">
        <f t="shared" ca="1" si="8"/>
        <v/>
      </c>
      <c r="AT21" s="66" t="str">
        <f t="shared" ca="1" si="9"/>
        <v/>
      </c>
      <c r="AV21" s="238" t="str">
        <f ca="1">IF(B21="","",
IF(AND('Field information 2'!$O$5="", 'Field information 2'!$Q$5=""),
   IF('Waste results'!$S$27&lt;&gt;"data missing", Calc!BC19*'Waste results'!$S$27, "data missing"),
IF('Field information 2'!$Q$5="",
   IF(Calc!BD19=0,
     IF('Waste results'!$S$27&lt;&gt;"data missing", Calc!BC19*'Waste results'!$S$27, "data missing"),
   IF(Calc!BC19=0,
     IF('Waste results'!$S$63&lt;&gt;"data missing", Calc!BD19*'Waste results'!$S$63, "data missing"),
   IF(OR('Waste results'!$S$27&lt;&gt;"data missing", 'Waste results'!$S$63&lt;&gt;"data missing"), Calc!BC19*'Waste results'!$S$27+ Calc!BD19*'Waste results'!$S$63, "data missing"))),
IF(AND('Field information 2'!$M$5&lt;&gt;"", 'Field information 2'!$O$5&lt;&gt;"", 'Field information 2'!$Q$5&lt;&gt;""),
   IF(AND(Calc!BD19=0,Calc!BE19=0),
     IF('Waste results'!$S$27&lt;&gt;"data missing", Calc!BC19*'Waste results'!$S$27, "data missing"),
   IF(AND(Calc!BC19=0,Calc!BE19=0),
     IF('Waste results'!$S$63&lt;&gt;"data missing", Calc!BD19*'Waste results'!$S$63, "data missing"),
   IF(AND(Calc!BC19=0,Calc!BD19=0),
     IF('Waste results'!$S$99&lt;&gt;"data missing", Calc!BE19*'Waste results'!$S$99, "data missing"),
   IF(Calc!BE19=0,
     IF(OR('Waste results'!$S$27&lt;&gt;"data missing", 'Waste results'!$S$63&lt;&gt;"data missing"), Calc!BC19*'Waste results'!$S$27+ Calc!BD19*'Waste results'!$S$63, "data missing"),
   IF(Calc!BD19=0,
     IF(OR('Waste results'!$S$27&lt;&gt;"data missing", 'Waste results'!$S$99&lt;&gt;"data missing"), Calc!BC19*'Waste results'!$S$27+ Calc!BE19*'Waste results'!$S$99, "data missing"),
   IF(Calc!BC19=0,
     IF(OR('Waste results'!$S$63&lt;&gt;"data missing", 'Waste results'!$S$99&lt;&gt;"data missing"), Calc!BD19*'Waste results'!$S$63+Calc!BE19*'Waste results'!$S$99, "data missing"),
   IF(OR('Waste results'!$S$27&lt;&gt;"data missing", 'Waste results'!$S$63&lt;&gt;"data missing", 'Waste results'!$S$99&lt;&gt;"data missing"), Calc!BC19*'Waste results'!$S$27+Calc!BD19*'Waste results'!$S$63+ Calc!BE19*'Waste results'!$S$99, "data missing")))))))))))</f>
        <v/>
      </c>
      <c r="AW21" s="239" t="str">
        <f ca="1">IF($B21="","",
IF(ISBLANK('Soil results'!M24),"data missing",'Soil results'!M24))</f>
        <v/>
      </c>
      <c r="AX21" s="239" t="str">
        <f t="shared" ca="1" si="10"/>
        <v/>
      </c>
      <c r="AY21" s="9" t="str">
        <f ca="1">IF(B21="","",
IF(AV21=0,"n/a",
IF(OR(AV21="data missing",AW21="data missing"),"data missing",
IF(AV21&gt;7.5,"application rate too high - permissible rate exceeds limit",
IF('Soil results'!$F24&lt;=5.5,
  IF(AW21&gt;80,"no application - soil conc. already above limit",
  IF(AX21&gt;80,"application rate too high - soil conc. will exceed limit",
  IF(AW21&gt;80*0.9,"soil conc. is at or above 90% of the limit",
  IF(10*AV21*1000/3000+AW21&gt;80,"soil limit likely to be exceeded in 10yrs",
  IF(50*AV21*1000/3000+AW21&gt;80,"soil limit likely to be exceeded in 50yrs","ok"))))),
IF('Soil results'!$F24&lt;=6,
  IF(AW21&gt;100,"no application - soil conc. already above limit",
  IF(AX21&gt;100,"application rate too high - soil conc. will exceed limit",
  IF(AW21&gt;100*0.9,"soil conc. is at or above 90% of the limit",
  IF(10*AV21*1000/3000+AW21&gt;100,"soil limit likely to be exceeded in 10yrs",
  IF(50*AV21*1000/3000+AW21&gt;100,"soil limit likely to be exceeded in 50yrs","ok"))))),
IF('Soil results'!$F24&lt;=7,
  IF(AW21&gt;135,"no application - soil conc. already above limit",
  IF(AX21&gt;135,"application rate too high - soil conc. will exceed limit",
  IF(AW21&gt;135*0.9,"soil conc. is at or above 90% of the limit",
  IF(10*AV21*1000/3000+AW21&gt;135,"soil limit likely to be exceeded in 10yrs",
  IF(50*AV21*1000/3000+AW21&gt;135,"soil limit likely to be exceeded in 50yrs","ok"))))),
IF('Soil results'!$F24&gt;7,
  IF(AW21&gt;200,"no application - soil conc. already above limit",
  IF(AX21&gt;200,"application too high - soil conc. will exceed limit",
  IF(AW21&gt;200*0.9,"soil conc. is at or above 90% of the limit",
  IF(10*AV21*1000/3000+AW21&gt;200,"soil limit likely to be exceeded in 10yrs",
  IF(50*AV21*1000/3000+AW21&gt;200,"soil limit likely to be exceeded in 50yrs","ok")))))
))))))))</f>
        <v/>
      </c>
      <c r="BA21" s="238" t="str">
        <f ca="1">IF(B21="","",
IF(AND('Field information 2'!$O$5="", 'Field information 2'!$Q$5=""),
   IF('Waste results'!$S$28&lt;&gt;"data missing", Calc!BC19*'Waste results'!$S$28, "data missing"),
IF('Field information 2'!$Q$5="",
   IF(Calc!BD19=0,
     IF('Waste results'!$S$28&lt;&gt;"data missing", Calc!BC19*'Waste results'!$S$28, "data missing"),
   IF(Calc!BC19=0,
     IF('Waste results'!$S$64&lt;&gt;"data missing", Calc!BD19*'Waste results'!$S$64, "data missing"),
   IF(OR('Waste results'!$S$28&lt;&gt;"data missing", 'Waste results'!$S$64&lt;&gt;"data missing"), Calc!BC19*'Waste results'!$S$28+ Calc!BD19*'Waste results'!$S$64, "data missing"))),
IF(AND('Field information 2'!$M$5&lt;&gt;"", 'Field information 2'!$O$5&lt;&gt;"", 'Field information 2'!$Q$5&lt;&gt;""),
   IF(AND(Calc!BD19=0,Calc!BE19=0),
     IF('Waste results'!$S$28&lt;&gt;"data missing", Calc!BC19*'Waste results'!$S$28, "data missing"),
   IF(AND(Calc!BC19=0,Calc!BE19=0),
     IF('Waste results'!$S$64&lt;&gt;"data missing", Calc!BD19*'Waste results'!$S$64, "data missing"),
   IF(AND(Calc!BC19=0,Calc!BD19=0),
     IF('Waste results'!$S$100&lt;&gt;"data missing", Calc!BE19*'Waste results'!$S$100, "data missing"),
   IF(Calc!BE19=0,
     IF(OR('Waste results'!$S$28&lt;&gt;"data missing", 'Waste results'!$S$64&lt;&gt;"data missing"), Calc!BC19*'Waste results'!$S$28+ Calc!BD19*'Waste results'!$S$64, "data missing"),
   IF(Calc!BD19=0,
     IF(OR('Waste results'!$S$28&lt;&gt;"data missing", 'Waste results'!$S$100&lt;&gt;"data missing"), Calc!BC19*'Waste results'!$S$28+ Calc!BE19*'Waste results'!$S$100, "data missing"),
   IF(Calc!BC19=0,
     IF(OR('Waste results'!$S$64&lt;&gt;"data missing", 'Waste results'!$S$100&lt;&gt;"data missing"), Calc!BD19*'Waste results'!$S$64+Calc!BE19*'Waste results'!$S$100, "data missing"),
   IF(OR('Waste results'!$S$28&lt;&gt;"data missing", 'Waste results'!$S$64&lt;&gt;"data missing", 'Waste results'!$S$100&lt;&gt;"data missing"), Calc!BC19*'Waste results'!$S$28+Calc!BD19*'Waste results'!$S$64+ Calc!BE19*'Waste results'!$S$100, "data missing")))))))))))</f>
        <v/>
      </c>
      <c r="BB21" s="239" t="str">
        <f ca="1">IF($B21="","",
IF(ISBLANK('Soil results'!N24),"data missing",'Soil results'!N24))</f>
        <v/>
      </c>
      <c r="BC21" s="239" t="str">
        <f t="shared" ca="1" si="11"/>
        <v/>
      </c>
      <c r="BD21" s="9" t="str">
        <f t="shared" ca="1" si="12"/>
        <v/>
      </c>
      <c r="BF21" s="238" t="str">
        <f ca="1">IF(B21="","",
IF(AND('Field information 2'!$O$5="", 'Field information 2'!$Q$5=""),
   IF('Waste results'!$S$29&lt;&gt;"data missing", Calc!BC19*'Waste results'!$S$29, "data missing"),
IF('Field information 2'!$Q$5="",
   IF(Calc!BD19=0,
     IF('Waste results'!$S$29&lt;&gt;"data missing", Calc!BC19*'Waste results'!$S$29, "data missing"),
   IF(Calc!BC19=0,
     IF('Waste results'!$S$65&lt;&gt;"data missing", Calc!BD19*'Waste results'!$S$65, "data missing"),
   IF(OR('Waste results'!$S$29&lt;&gt;"data missing", 'Waste results'!$S$65&lt;&gt;"data missing"), Calc!BC19*'Waste results'!$S$29+ Calc!BD19*'Waste results'!$S$65, "data missing"))),
IF(AND('Field information 2'!$M$5&lt;&gt;"", 'Field information 2'!$O$5&lt;&gt;"", 'Field information 2'!$Q$5&lt;&gt;""),
   IF(AND(Calc!BD19=0,Calc!BE19=0),
     IF('Waste results'!$S$29&lt;&gt;"data missing", Calc!BC19*'Waste results'!$S$29, "data missing"),
   IF(AND(Calc!BC19=0,Calc!BE19=0),
     IF('Waste results'!$S$65&lt;&gt;"data missing", Calc!BD19*'Waste results'!$S$65, "data missing"),
   IF(AND(Calc!BC19=0,Calc!BD19=0),
     IF('Waste results'!$S$101&lt;&gt;"data missing", Calc!BE19*'Waste results'!$S$101, "data missing"),
   IF(Calc!BE19=0,
     IF(OR('Waste results'!$S$29&lt;&gt;"data missing", 'Waste results'!$S$65&lt;&gt;"data missing"), Calc!BC19*'Waste results'!$S$29+ Calc!BD19*'Waste results'!$S$65, "data missing"),
   IF(Calc!BD19=0,
     IF(OR('Waste results'!$S$29&lt;&gt;"data missing", 'Waste results'!$S$101&lt;&gt;"data missing"), Calc!BC19*'Waste results'!$S$29+ Calc!BE19*'Waste results'!$S$101, "data missing"),
   IF(Calc!BC19=0,
     IF(OR('Waste results'!$S$65&lt;&gt;"data missing", 'Waste results'!$S$101&lt;&gt;"data missing"), Calc!BD19*'Waste results'!$S$65+Calc!BE19*'Waste results'!$S$101, "data missing"),
   IF(OR('Waste results'!$S$29&lt;&gt;"data missing", 'Waste results'!$S$65&lt;&gt;"data missing", 'Waste results'!$S$101&lt;&gt;"data missing"), Calc!BC19*'Waste results'!$S$29+Calc!BD19*'Waste results'!$S$65+ Calc!BE19*'Waste results'!$S$101, "data missing")))))))))))</f>
        <v/>
      </c>
      <c r="BG21" s="239" t="str">
        <f ca="1">IF($B21="","",
IF(ISBLANK('Soil results'!O24),"data missing",'Soil results'!O24))</f>
        <v/>
      </c>
      <c r="BH21" s="239" t="str">
        <f t="shared" ca="1" si="13"/>
        <v/>
      </c>
      <c r="BI21" s="9" t="str">
        <f ca="1">IF(B21="","",
IF(BF21=0,"n/a",
IF(OR(BF21="data missing",BG21="data missing"),"data missing",
IF(BF21&gt;3,"application rate too high - permissible rate exceeds limit",
IF('Soil results'!F24&lt;=5.5,
  IF(BG21&gt;50,"no application - soil conc. already above limit",
  IF(BH21&gt;50,"application rate too high - soil conc. will exceed limit",
  IF(BG21&gt;50*0.9,"soil conc. is at or above 90% of the limit",
  IF(10*BF21*1000/3000+BG21&gt;50,"soil limit likely to be exceeded in 10yrs",
  IF(50*BF21*1000/3000+BG21&gt;50,"soil limit likely to be exceeded in 50yrs","ok"))))),
IF('Soil results'!F24&lt;=6,
  IF(BG21&gt;60,"no application - soil conc. already above limit",
  IF(BH21&gt;60,"application rate too high - soil conc. will exceed limit",
  IF(BG21&gt;60*0.9,"soil conc. is at or above 90% of the limit",
  IF(10*BF21*1000/3000+BG21&gt;60,"soil limit likely to be exceeded in 10yrs",
  IF(50*BF21*1000/3000+BG21&gt;60,"soil limit likely to be exceeded in 50yrs","ok"))))),
IF('Soil results'!F24&lt;=7,
  IF(BG21&gt;75,"no application - soil conc. already above limit",
  IF(BH21&gt;75,"application rate too high - soil conc. will exceed limit",
  IF(BG21&gt;75*0.9,"soil conc. is at or above 90% of the limit",
  IF(10*BF21*1000/3000+BG21&gt;75,"soil limit likely to be exceeded in 10yrs",
  IF(50*BF21*1000/3000+BG21&gt;75,"soil limit likely to be exceeded in 50yrs","ok"))))),
IF('Soil results'!F24&gt;7,
  IF(BG21&gt;100,"no application - soil conc. already above limit",
  IF(BH21&gt;100,"application rate too high - soil conc. will exceed limit",
  IF(BG21&gt;100*0.9,"soil conc. is at or above 90% of the limit",
  IF(10*BF21*1000/3000+BG21&gt;100,"soil limit likely to be exceeded in 10yrs",
  IF(50*BF21*1000/3000+BG21&gt;100,"soil limit likely to beexceeded in 50yrs","ok")))))
))))))))</f>
        <v/>
      </c>
      <c r="BK21" s="240" t="str">
        <f ca="1">IF(B21="","",
IF(AND('Field information 2'!$O$5="", 'Field information 2'!$Q$5=""),
   IF('Waste results'!$S$30&lt;&gt;"data missing", Calc!BC19*'Waste results'!$S$30, "data missing"),
IF('Field information 2'!$Q$5="",
   IF(Calc!BD19=0,
     IF('Waste results'!$S$30&lt;&gt;"data missing", Calc!BC19*'Waste results'!$S$30, "data missing"),
   IF(Calc!BC19=0,
     IF('Waste results'!$S$66&lt;&gt;"data missing", Calc!BD19*'Waste results'!$S$66, "data missing"),
   IF(OR('Waste results'!$S$30&lt;&gt;"data missing", 'Waste results'!$S$66&lt;&gt;"data missing"), Calc!BC19*'Waste results'!$S$30+ Calc!BD19*'Waste results'!$S$66, "data missing"))),
IF(AND('Field information 2'!$M$5&lt;&gt;"", 'Field information 2'!$O$5&lt;&gt;"", 'Field information 2'!$Q$5&lt;&gt;""),
   IF(AND(Calc!BD19=0,Calc!BE19=0),
     IF('Waste results'!$S$30&lt;&gt;"data missing", Calc!BC19*'Waste results'!$S$30, "data missing"),
   IF(AND(Calc!BC19=0,Calc!BE19=0),
     IF('Waste results'!$S$66&lt;&gt;"data missing", Calc!BD19*'Waste results'!$S$66, "data missing"),
   IF(AND(Calc!BC19=0,Calc!BD19=0),
     IF('Waste results'!$S$102&lt;&gt;"data missing", Calc!BE19*'Waste results'!$S$102, "data missing"),
   IF(Calc!BE19=0,
     IF(OR('Waste results'!$S$30&lt;&gt;"data missing", 'Waste results'!$S$66&lt;&gt;"data missing"), Calc!BC19*'Waste results'!$S$30+ Calc!BD19*'Waste results'!$S$66, "data missing"),
   IF(Calc!BD19=0,
     IF(OR('Waste results'!$S$30&lt;&gt;"data missing", 'Waste results'!$S$102&lt;&gt;"data missing"), Calc!BC19*'Waste results'!$S$30+ Calc!BE19*'Waste results'!$S$102, "data missing"),
   IF(Calc!BC19=0,
     IF(OR('Waste results'!$S$66&lt;&gt;"data missing", 'Waste results'!$S$102&lt;&gt;"data missing"), Calc!BD19*'Waste results'!$S$66+Calc!BE19*'Waste results'!$S$102, "data missing"),
   IF(OR('Waste results'!$S$30&lt;&gt;"data missing", 'Waste results'!$S$66&lt;&gt;"data missing", 'Waste results'!$S$102&lt;&gt;"data missing"), Calc!BC19*'Waste results'!$S$30+Calc!BD19*'Waste results'!$S$66+ Calc!BE19*'Waste results'!$S$102, "data missing")))))))))))</f>
        <v/>
      </c>
      <c r="BL21" s="241" t="str">
        <f ca="1">IF($B21="","",
IF(ISBLANK('Soil results'!P24),"data missing",'Soil results'!P24))</f>
        <v/>
      </c>
      <c r="BM21" s="241" t="str">
        <f t="shared" ca="1" si="14"/>
        <v/>
      </c>
      <c r="BN21" s="66" t="str">
        <f t="shared" ca="1" si="15"/>
        <v/>
      </c>
      <c r="BP21" s="238" t="str">
        <f ca="1">IF(B21="","",
IF(AND('Field information 2'!$O$5="", 'Field information 2'!$Q$5=""),
   IF('Waste results'!$S$31&lt;&gt;"data missing", Calc!BC19*'Waste results'!$S$31, "data missing"),
IF('Field information 2'!$Q$5="",
   IF(Calc!BD19=0,
     IF('Waste results'!$S$31&lt;&gt;"data missing", Calc!BC19*'Waste results'!$S$31, "data missing"),
   IF(Calc!BC19=0,
     IF('Waste results'!$S$67&lt;&gt;"data missing", Calc!BD19*'Waste results'!$S$67, "data missing"),
   IF(OR('Waste results'!$S$31&lt;&gt;"data missing", 'Waste results'!$S$67&lt;&gt;"data missing"), Calc!BC19*'Waste results'!$S$31+ Calc!BD19*'Waste results'!$S$67, "data missing"))),
IF(AND('Field information 2'!$M$5&lt;&gt;"", 'Field information 2'!$O$5&lt;&gt;"", 'Field information 2'!$Q$5&lt;&gt;""),
   IF(AND(Calc!BD19=0,Calc!BE19=0),
     IF('Waste results'!$S$31&lt;&gt;"data missing", Calc!BC19*'Waste results'!$S$31, "data missing"),
   IF(AND(Calc!BC19=0,Calc!BE19=0),
     IF('Waste results'!$S$67&lt;&gt;"data missing", Calc!BD19*'Waste results'!$S$67, "data missing"),
   IF(AND(Calc!BC19=0,Calc!BD19=0),
     IF('Waste results'!$S$103&lt;&gt;"data missing", Calc!BE19*'Waste results'!$S$103, "data missing"),
   IF(Calc!BE19=0,
     IF(OR('Waste results'!$S$31&lt;&gt;"data missing", 'Waste results'!$S$67&lt;&gt;"data missing"), Calc!BC19*'Waste results'!$S$31+ Calc!BD19*'Waste results'!$S$67, "data missing"),
   IF(Calc!BD19=0,
     IF(OR('Waste results'!$S$31&lt;&gt;"data missing", 'Waste results'!$S$103&lt;&gt;"data missing"), Calc!BC19*'Waste results'!$S$31+ Calc!BE19*'Waste results'!$S$103, "data missing"),
   IF(Calc!BC19=0,
     IF(OR('Waste results'!$S$67&lt;&gt;"data missing", 'Waste results'!$S$103&lt;&gt;"data missing"), Calc!BD19*'Waste results'!$S$67+Calc!BE19*'Waste results'!$S$103, "data missing"),
   IF(OR('Waste results'!$S$31&lt;&gt;"data missing", 'Waste results'!$S$67&lt;&gt;"data missing", 'Waste results'!$S$103&lt;&gt;"data missing"), Calc!BC19*'Waste results'!$S$31+Calc!BD19*'Waste results'!$S$67+ Calc!BE19*'Waste results'!$S$103, "data missing")))))))))))</f>
        <v/>
      </c>
      <c r="BQ21" s="239" t="str">
        <f ca="1">IF($B21="","",
IF(ISBLANK('Soil results'!Q24),"data missing",'Soil results'!Q24))</f>
        <v/>
      </c>
      <c r="BR21" s="239" t="str">
        <f t="shared" ca="1" si="16"/>
        <v/>
      </c>
      <c r="BS21" s="9" t="str">
        <f ca="1">IF(B21="","",
IF(BP21=0,"n/a",
IF(OR(BP21="data missing",BQ21=""),"data missing",
IF(BP21&gt;15,"application rate too high - permissible rate exceeds limit",
IF('Soil results'!F24&lt;=5.5,
  IF(BQ21&gt;200,"no application - soil conc. already above limit",
  IF(BR21&gt;200,"application rate too high - soil conc. will exceed limit",
  IF(BQ21&gt;200*0.9,"soil conc. is at or above 90% of the limit",
  IF(10*BP21*1000/3000+BQ21&gt;200,"soil limit likely to be exceeded in 10yrs",
  IF(50*BP21*1000/3000+BQ21&gt;200,"soil limit likely to be exceeded in 50yrs","ok"))))),
IF('Soil results'!F24&lt;=6,
  IF(BQ21&gt;250,"no application - soil conc. already above limit",
  IF(BR21&gt;250,"application rate too high - soil conc. will exceed limit",
  IF(BQ21&gt;250*0.9,"soil conc. is at or above 90% of the limit",
  IF(10*BP21*1000/3000+BQ21&gt;250,"soil limit likely to be exceeded in 10yrs",
  IF(50*BP21*1000/3000+BQ21&gt;250,"soil limit likely to be exceeded in 50yrs","ok"))))),
IF('Soil results'!F24&lt;=7,
  IF(BQ21&gt;300,"no application - soil conc. already above limit",
  IF(BR21&gt;300,"application rate too high - soil conc. will exceed limit",
  IF(BQ21&gt;300*0.9,"soil conc. is at or above 90% of the limit",
  IF(10*BP21*1000/3000+BQ21&gt;300,"soil limit likey to be exceeded in 10yrs",
  IF(50*BP21*1000/3000+BQ21&gt;300,"soil limit likely to be exceeded in 50yrs","ok"))))),
IF('Soil results'!F24&gt;7,
  IF(BQ21&gt;450,"no application - soil conc. already above limit",
  IF(BR21&gt;450,"application rate too high - soil conc. will exceed limit",
  IF(AW21&gt;450*0.9,"soil conc. is at or above 90% of the limit",
  IF(10*BP21*1000/3000+BQ21&gt;450,"soil limit likely to be exceeded in 10yrs",
  IF(50*BP21*1000/3000+BQ21&gt;450,"soil limit likely to be exceeded in 50yrs","ok")))))
))))))))</f>
        <v/>
      </c>
    </row>
    <row r="22" spans="2:71" s="9" customFormat="1" x14ac:dyDescent="0.35">
      <c r="B22" s="236" t="str">
        <f ca="1">'Soil results'!B25</f>
        <v/>
      </c>
      <c r="C22" s="91" t="str">
        <f ca="1">IF(B22="","",
IF(AND('Field information 2'!$O$5="", 'Field information 2'!$Q$5=""),
   IF('Waste results'!$S$12&lt;&gt;"data missing", Calc!BC20*'Waste results'!$S$12, "data missing"),
IF('Field information 2'!$Q$5="",
   IF(Calc!BD20=0,
     IF('Waste results'!$S$12&lt;&gt;"data missing", Calc!BC20*'Waste results'!$S$12, "data missing"),
   IF(Calc!BC20=0,
     IF('Waste results'!$S$48&lt;&gt;"data missing", Calc!BD20*'Waste results'!$S$48, "data missing"),
   IF(OR('Waste results'!$S$12&lt;&gt;"data missing", 'Waste results'!$S$48&lt;&gt;"data missing"), Calc!BC20*'Waste results'!$S$12+ Calc!BD20*'Waste results'!$S$48, "data missing"))),
IF(AND('Field information 2'!$M$5&lt;&gt;"", 'Field information 2'!$O$5&lt;&gt;"", 'Field information 2'!$Q$5&lt;&gt;""),
   IF(AND(Calc!BD20=0,Calc!BE20=0),
     IF('Waste results'!$S$12&lt;&gt;"data missing", Calc!BC20*'Waste results'!$S$12, "data missing"),
   IF(AND(Calc!BC20=0,Calc!BE20=0),
     IF('Waste results'!$S$48&lt;&gt;"data missing", Calc!BD20*'Waste results'!$S$48, "data missing"),
   IF(AND(Calc!BC20=0,Calc!BD20=0),
     IF('Waste results'!$S$84&lt;&gt;"data missing", Calc!BE20*'Waste results'!$S$84, "data missing"),
   IF(Calc!BE20=0,
     IF(OR('Waste results'!$S$12&lt;&gt;"data missing", 'Waste results'!$S$48&lt;&gt;"data missing"), Calc!BC20*'Waste results'!$S$12+ Calc!BD20*'Waste results'!$S$48, "data missing"),
   IF(Calc!BD20=0,
     IF(OR('Waste results'!$S$12&lt;&gt;"data missing", 'Waste results'!$S$84&lt;&gt;"data missing"), Calc!BC20*'Waste results'!$S$12+ Calc!BE20*'Waste results'!$S$84, "data missing"),
   IF(Calc!BC20=0,
     IF(OR('Waste results'!$S$48&lt;&gt;"data missing", 'Waste results'!$S$84&lt;&gt;"data missing"), Calc!BD20*'Waste results'!$S$48+Calc!BE20*'Waste results'!$S$84, "data missing"),
   IF(OR('Waste results'!$S$12&lt;&gt;"data missing", 'Waste results'!$S$48&lt;&gt;"data missing", 'Waste results'!$S$84&lt;&gt;"data missing"), Calc!BC20*'Waste results'!$S$12+Calc!BD20*'Waste results'!$S$48+ Calc!BE20*'Waste results'!$S$84, "data missing")))))))))))</f>
        <v/>
      </c>
      <c r="D22" s="161" t="str">
        <f ca="1">IF(B22="","",
IF(Calc!BG20="","soil texture missing",
IF(OR(Calc!BG20="SL; SZL; ZL",Calc!BG20="SCL; CL; ZCL; SC; ZC; C"),VLOOKUP(Calc!BI20,'Fertiliser recommendations'!$A$4:$C$63,3,FALSE),
IF(Calc!BG20="S; LS",VLOOKUP(Calc!BI20,'Fertiliser recommendations'!$A$4:$C$63,3,FALSE)+VLOOKUP(Calc!BI20,'Fertiliser recommendations'!$A$4:$D$63,4,FALSE),
IF(Calc!BG20="10-25% OM",VLOOKUP(Calc!BI20,'Fertiliser recommendations'!$A$4:$C$63,3,FALSE)+VLOOKUP(Calc!BI20,'Fertiliser recommendations'!$A$4:$E$63,5,FALSE),
IF(Calc!BG20="&gt;25% OM",VLOOKUP(Calc!BI20,'Fertiliser recommendations'!$A$4:$C$63,3,FALSE)+VLOOKUP(Calc!BI20,'Fertiliser recommendations'!$A$4:$F$63,6,FALSE),
""))))))</f>
        <v/>
      </c>
      <c r="E22" s="91" t="str">
        <f t="shared" ca="1" si="0"/>
        <v/>
      </c>
      <c r="F22" s="9" t="str">
        <f ca="1">IF(B22="","",
IF(OR(C22="data missing",D22="soil texture missing"),"data missing",
IF(Calc!BF20=0,"n/a",
IF(C22&lt;0.1*D22,"no benefit",
IF(C22&lt;0.3*D22,"limited benefit",
IF(C22&gt;250,"exceeds limit",
IF(OR(AND(D22=0,C22&gt;75),C22&gt;1.25*D22),"excessive",
IF(D22=0, "no requirement",
"benefit"))))))))</f>
        <v/>
      </c>
      <c r="H22" s="91" t="str">
        <f ca="1">IF(B22="","",
IF(AND('Field information 2'!$O$5="", 'Field information 2'!$Q$5=""),
   IF('Waste results'!$S$17&lt;&gt;"data missing", Calc!BC20*'Waste results'!$S$17, "data missing"),
IF('Field information 2'!$Q$5="",
   IF(Calc!BD20=0,
     IF('Waste results'!$S$17&lt;&gt;"data missing", Calc!BC20*'Waste results'!$S$17, "data missing"),
   IF(Calc!BC20=0,
     IF('Waste results'!$S$53&lt;&gt;"data missing", Calc!BD20*'Waste results'!$S$53, "data missing"),
   IF(OR('Waste results'!$S$17&lt;&gt;"data missing", 'Waste results'!$S$53&lt;&gt;"data missing"), Calc!BC20*'Waste results'!$S$17+ Calc!BD20*'Waste results'!$S$53, "data missing"))),
IF(AND('Field information 2'!$M$5&lt;&gt;"", 'Field information 2'!$O$5&lt;&gt;"", 'Field information 2'!$Q$5&lt;&gt;""),
   IF(AND(Calc!BD20=0,Calc!BE20=0),
     IF('Waste results'!$S$17&lt;&gt;"data missing", Calc!BC20*'Waste results'!$S$17, "data missing"),
   IF(AND(Calc!BC20=0,Calc!BE20=0),
     IF('Waste results'!$S$53&lt;&gt;"data missing", Calc!BD20*'Waste results'!$S$53, "data missing"),
   IF(AND(Calc!BC20=0,Calc!BD20=0),
     IF('Waste results'!$S$89&lt;&gt;"data missing", Calc!BE20*'Waste results'!$S$89, "data missing"),
   IF(Calc!BE20=0,
     IF(OR('Waste results'!$S$17&lt;&gt;"data missing", 'Waste results'!$S$53&lt;&gt;"data missing"), Calc!BC20*'Waste results'!$S$17+ Calc!BD20*'Waste results'!$S$53, "data missing"),
   IF(Calc!BD20=0,
     IF(OR('Waste results'!$S$17&lt;&gt;"data missing", 'Waste results'!$S$89&lt;&gt;"data missing"), Calc!BC20*'Waste results'!$S$17+ Calc!BE20*'Waste results'!$S$89, "data missing"),
   IF(Calc!BC20=0,
     IF(OR('Waste results'!$S$53&lt;&gt;"data missing", 'Waste results'!$S$89&lt;&gt;"data missing"), Calc!BD20*'Waste results'!$S$53+Calc!BE20*'Waste results'!$S$89, "data missing"),
   IF(OR('Waste results'!$S$17&lt;&gt;"data missing", 'Waste results'!$S$53&lt;&gt;"data missing", 'Waste results'!$S$89&lt;&gt;"data missing"), Calc!BC20*'Waste results'!$S$17+Calc!BD20*'Waste results'!$S$53+ Calc!BE20*'Waste results'!$S$89, "data missing")))))))))))</f>
        <v/>
      </c>
      <c r="I22" s="195" t="str">
        <f ca="1">IF(B22="","",
IF(OR(ISBLANK('Soil results'!G25), ISBLANK('Soil results'!G$7)),"data missing",
IF(OR(AND('Soil results'!G$7="Olsen (ADAS)",'Soil results'!G25&lt;16),AND('Soil results'!G$7="modified Morgan (SAC)",'Soil results'!G25&lt;4.5)),50,100)))</f>
        <v/>
      </c>
      <c r="J22" s="49" t="str">
        <f ca="1">IF(B22="","",
IF(OR(ISBLANK('Soil results'!G$7),ISBLANK('Soil results'!G25)),"data missing",
IF(OR(AND('Soil results'!G$7="Olsen (ADAS)",'Soil results'!G25&gt;45),AND('Soil results'!G$7="modified Morgan (SAC)",'Soil results'!G25&gt;30)),0,
IF(OR(AND('Soil results'!G$7="Olsen (ADAS)",'Soil results'!G25&gt;=16,'Soil results'!G25&lt;=20),AND('Soil results'!G$7="modified Morgan (SAC)",'Soil results'!G25&gt;=4.5,'Soil results'!G25&lt;=9.4)),VLOOKUP(Calc!BI20,'Fertiliser recommendations'!$A$4:$I$63,9,FALSE),
IF(OR(AND('Soil results'!G$7="Olsen (ADAS)",'Soil results'!G25&lt;10),AND('Soil results'!G$7="modified Morgan (SAC)",'Soil results'!G25&lt;1.8)),VLOOKUP(Calc!BI20,'Fertiliser recommendations'!$A$4:$I$63,9,FALSE)+VLOOKUP(Calc!BI20,'Fertiliser recommendations'!$A$4:$J$63,10,FALSE),
IF(OR(AND('Soil results'!G$7="Olsen (ADAS)",'Soil results'!G25&lt;16),AND('Soil results'!G$7="modified Morgan (SAC)",'Soil results'!G25&lt;4.5)),VLOOKUP(Calc!BI20,'Fertiliser recommendations'!$A$4:$I$63,9,FALSE)+VLOOKUP(Calc!BI20,'Fertiliser recommendations'!$A$4:$K$63,11,FALSE),
IF(OR(AND('Soil results'!G$7="Olsen (ADAS)",'Soil results'!G25&lt;26),AND('Soil results'!G$7="modified Morgan (SAC)",'Soil results'!G25&lt;13.5)),VLOOKUP(Calc!BI20,'Fertiliser recommendations'!$A$4:$I$63,9,FALSE)+VLOOKUP(Calc!BI20,'Fertiliser recommendations'!$A$4:$L$63,12,FALSE),
IF(OR(AND('Soil results'!G$7="Olsen (ADAS)",'Soil results'!G25&lt;=45),AND('Soil results'!G$7="modified Morgan (SAC)",'Soil results'!G25&lt;=30)),VLOOKUP(Calc!BI20,'Fertiliser recommendations'!$A$4:$I$63,9,FALSE)+VLOOKUP(Calc!BI20,'Fertiliser recommendations'!$A$4:$M$63,13,FALSE),
""))))))))</f>
        <v/>
      </c>
      <c r="K22" s="161" t="str">
        <f t="shared" ca="1" si="1"/>
        <v/>
      </c>
      <c r="L22" s="47" t="str">
        <f ca="1">IF(OR(ISBLANK('Soil results'!G$7),ISBLANK('Soil results'!G25),B22="", H22="data missing"),"",
IF('Soil results'!G$7="Olsen (ADAS)",
IF(((H22*Calc!BM20/2.291-(VLOOKUP(Calc!BI20,'Fertiliser recommendations'!$A$4:$I$63,9,FALSE))/2.291)*10/(400/2.291)+'Soil results'!G25)&lt;10,"0 (VL)",
IF(((H22*Calc!BM20/2.291-(VLOOKUP(Calc!BI20,'Fertiliser recommendations'!$A$4:$I$63,9,FALSE))/2.291)*10/(400/2.291)+'Soil results'!G25)&lt;16,"1 (L)",
IF(((H22*Calc!BM20/2.291-(VLOOKUP(Calc!BI20,'Fertiliser recommendations'!$A$4:$I$63,9,FALSE))/2.291)*10/(400/2.291)+'Soil results'!G25)&lt;21,"2 (M-)",
IF(((H22*Calc!BM20/2.291-(VLOOKUP(Calc!BI20,'Fertiliser recommendations'!$A$4:$I$63,9,FALSE))/2.291)*10/(400/2.291)+'Soil results'!G25)&lt;26,"2 (M+)",
IF(((H22*Calc!BM20/2.291-(VLOOKUP(Calc!BI20,'Fertiliser recommendations'!$A$4:$I$63,9,FALSE))/2.291)*10/(400/2.291)+'Soil results'!G25)&lt;45,"3 (H)","&gt;3 (VH)"))))),
IF('Soil results'!G$7="modified Morgan (SAC)",
IF('Soil results'!G25&gt;=6,
IF(((H22*Calc!BM20/2.291-(VLOOKUP(Calc!BI20,'Fertiliser recommendations'!$A$4:$I$63,9,FALSE))/2.291)*5/(147/2.291)+'Soil results'!G25)&lt;9.5,"2 (M-)",
IF(((H22*Calc!BM20/2.291-(VLOOKUP(Calc!BI20,'Fertiliser recommendations'!$A$4:$I$63,9,FALSE))/2.291)*5/(147/2.291)+'Soil results'!G25)&lt;13.5,"2 (M+)",
IF(((H22*Calc!BM20/2.291-(VLOOKUP(Calc!BI20,'Fertiliser recommendations'!$A$4:$I$63,9,FALSE))/2.291)*5/(147/2.291)+'Soil results'!G25)&lt;30,"3 (H)","4 (VH)"))),
IF(((H22*Calc!BM20/2.291-(VLOOKUP(Calc!BI20,'Fertiliser recommendations'!$A$4:$I$63,9,FALSE))/2.291)*5/(346/2.291)+'Soil results'!G25)&lt;1.8,"0 (VL)",
IF(((H22*Calc!BM20/2.291-(VLOOKUP(Calc!BI20,'Fertiliser recommendations'!$A$4:$I$63,9,FALSE))/2.291)*5/(147/2.291)+'Soil results'!G25)&lt;4.5,"1 (L)","2 (M-)"))))))</f>
        <v/>
      </c>
      <c r="M22" s="9" t="str">
        <f ca="1">IF(B22="","",
IF(OR(H22="data missing",I22="data missing",J22="data missing"),"data missing",
IF(Calc!BF20=0,"n/a",
IF(OR(AND('Soil results'!G$7="Olsen (ADAS)",'Soil results'!G25&gt;45),AND('Soil results'!G$7="modified Morgan (SAC)",'Soil results'!G25&gt;30)),
IF(H22&gt;2,"too high, not acceptable","no requirement"),IF(OR(AND('Soil results'!G$7="Olsen (ADAS)",'Soil results'!G25&gt;25),AND('Soil results'!G$7="modified Morgan (SAC)",'Soil results'!G25&gt;13.4)),
IF(H22*(I22/100)&lt;0.1*J22,"no benefit",
IF(H22*(I22/100)&lt;0.3*J22,"limited benefit",
IF(H22*(I22/100)&lt;1.1*J22,"benefit",
IF(H22*(I22/100)&lt;0.7*VLOOKUP(Calc!BI20,'Fertiliser recommendations'!$A$4:$I$63,9,FALSE),"excessive","too high, not acceptable")))),
IF(OR(AND('Soil results'!G$7="Olsen (ADAS)",'Soil results'!G25&gt;20),AND('Soil results'!G$7="modified Morgan (SAC)",'Soil results'!G25&gt;9.4)),
IF(H22*Calc!BM20*(I22/100)&lt;0.1*J22,"no benefit",
IF(H22*Calc!BM20*(I22/100)&lt;0.3*J22,"limited benefit",
IF(H22*Calc!BM20*(I22/100)&lt;1.1*J22,"benefit",
IF(L22="3 (H)","too high, not acceptable","excessive")))),
IF(OR(AND('Soil results'!G$7="Olsen (ADAS)",'Soil results'!G25&gt;15),AND('Soil results'!G$7="modified Morgan (SAC)",'Soil results'!G25&gt;4.4)),
IF(H22*Calc!BM20*(I22/100)&lt;0.1*VLOOKUP(Calc!BI20,'Fertiliser recommendations'!$A$4:$I$63,9,FALSE),"no benefit",
IF(H22*Calc!BM20*(I22/100)&lt;0.3*VLOOKUP(Calc!BI20,'Fertiliser recommendations'!$A$4:$I$63,9,FALSE),"limited benefit",
IF(H22*Calc!BM20*(I22/100)&lt;1.1*VLOOKUP(Calc!BI20,'Fertiliser recommendations'!$A$4:$I$63,9,FALSE),"benefit",
IF(L22="3 (H)", "too high, not acceptable", "excessive")))),
IF(OR(AND('Soil results'!G$7="Olsen (ADAS)",'Soil results'!G25&lt;=15),AND('Soil results'!G$7="modified Morgan (SAC)",'Soil results'!G25&lt;=4.4)),
IF(H22*Calc!BM20*(I22/100)&lt;0.1*VLOOKUP(Calc!BI20,'Fertiliser recommendations'!$A$4:$I$63,9,FALSE),"no benefit",
IF(H22*Calc!BM20*(I22/100)&lt;0.3*VLOOKUP(Calc!BI20,'Fertiliser recommendations'!$A$4:$I$63,9,FALSE),"limited benefit",
IF(H22*Calc!BM20*(I22/100)&lt;1.1*J22,"benefit","excessive")))))))))))</f>
        <v/>
      </c>
      <c r="O22" s="91" t="str">
        <f ca="1">IF(B22="","",
IF(AND('Field information 2'!$O$5="", 'Field information 2'!$Q$5=""),
   IF('Waste results'!$S$19&lt;&gt;"data missing", Calc!BC20*'Waste results'!$S$19, "data missing"),
IF('Field information 2'!$Q$5="",
   IF(Calc!BD20=0,
     IF('Waste results'!$S$19&lt;&gt;"data missing", Calc!BC20*'Waste results'!$S$19, "data missing"),
   IF(Calc!BC20=0,
     IF('Waste results'!$S$55&lt;&gt;"data missing", Calc!BD20*'Waste results'!$S$55, "data missing"),
   IF(OR('Waste results'!$S$19&lt;&gt;"data missing", 'Waste results'!$S$55&lt;&gt;"data missing"), Calc!BC20*'Waste results'!$S$19+ Calc!BD20*'Waste results'!$S$55, "data missing"))),
IF(AND('Field information 2'!$M$5&lt;&gt;"", 'Field information 2'!$O$5&lt;&gt;"", 'Field information 2'!$Q$5&lt;&gt;""),
   IF(AND(Calc!BD20=0,Calc!BE20=0),
     IF('Waste results'!$S$19&lt;&gt;"data missing", Calc!BC20*'Waste results'!$S$19, "data missing"),
   IF(AND(Calc!BC20=0,Calc!BE20=0),
     IF('Waste results'!$S$55&lt;&gt;"data missing", Calc!BD20*'Waste results'!$S$55, "data missing"),
   IF(AND(Calc!BC20=0,Calc!BD20=0),
     IF('Waste results'!$S$91&lt;&gt;"data missing", Calc!BE20*'Waste results'!$S$91, "data missing"),
   IF(Calc!BE20=0,
     IF(OR('Waste results'!$S$19&lt;&gt;"data missing", 'Waste results'!$S$55&lt;&gt;"data missing"), Calc!BC20*'Waste results'!$S$19+ Calc!BD20*'Waste results'!$S$55, "data missing"),
   IF(Calc!BD20=0,
     IF(OR('Waste results'!$S$19&lt;&gt;"data missing", 'Waste results'!$S$91&lt;&gt;"data missing"), Calc!BC20*'Waste results'!$S$19+ Calc!BE20*'Waste results'!$S$91, "data missing"),
   IF(Calc!BC20=0,
     IF(OR('Waste results'!$S$55&lt;&gt;"data missing", 'Waste results'!$S$91&lt;&gt;"data missing"), Calc!BD20*'Waste results'!$S$55+Calc!BE20*'Waste results'!$S$91, "data missing"),
   IF(OR('Waste results'!$S$19&lt;&gt;"data missing", 'Waste results'!$S$55&lt;&gt;"data missing", 'Waste results'!$S$91&lt;&gt;"data missing"), Calc!BC20*'Waste results'!$S$19+Calc!BD20*'Waste results'!$S$55+ Calc!BE20*'Waste results'!$S$91, "data missing")))))))))))</f>
        <v/>
      </c>
      <c r="P22" s="91" t="str">
        <f ca="1">IF(B22="","",
IF(OR(ISBLANK('Soil results'!H$7),ISBLANK('Soil results'!H25)),"data missing",
IF(OR(AND('Soil results'!H$7="ammonium nitrate (ADAS)",'Soil results'!H25&gt;400),AND('Soil results'!H$7="modified Morgan (SAC)",'Soil results'!H25&gt;400)),0,
IF(OR(AND('Soil results'!H$7="ammonium nitrate (ADAS)",'Soil results'!H25&gt;=121,'Soil results'!H25&lt;=180),AND('Soil results'!H$7="modified Morgan (SAC)",'Soil results'!H25&gt;=76,'Soil results'!H25&lt;=140)),VLOOKUP(Calc!BI20,'Fertiliser recommendations'!$A$4:$Z$63,26,FALSE),
IF(OR(AND('Soil results'!H$7="ammonium nitrate (ADAS)",'Soil results'!H25&lt;61),AND('Soil results'!H$7="modified Morgan (SAC)",'Soil results'!H25&lt;40)),VLOOKUP(Calc!BI20,'Fertiliser recommendations'!$A$4:$Z$63,26,FALSE)+VLOOKUP(Calc!BI20,'Fertiliser recommendations'!$A$4:$AA$63,27,FALSE),
IF(OR(AND('Soil results'!H$7="ammonium nitrate (ADAS)",'Soil results'!H25&lt;121),AND('Soil results'!H$7="modified Morgan (SAC)",'Soil results'!H25&lt;76)),VLOOKUP(Calc!BI20,'Fertiliser recommendations'!$A$4:$Z$63,26,FALSE)+VLOOKUP(Calc!BI20,'Fertiliser recommendations'!$A$4:$AB$63,28,FALSE),
IF(OR(AND('Soil results'!H$7="ammonium nitrate (ADAS)",'Soil results'!H25&lt;241),AND('Soil results'!H$7="modified Morgan (SAC)",'Soil results'!H25&lt;201)),VLOOKUP(Calc!BI20,'Fertiliser recommendations'!$A$4:$Z$63,26,FALSE)+VLOOKUP(Calc!BI20,'Fertiliser recommendations'!$A$4:$AC$63,29,FALSE),
IF(OR(AND('Soil results'!H$7="ammonium nitrate (ADAS)",'Soil results'!H25&lt;=400),AND('Soil results'!H$7="modified Morgan (SAC)",'Soil results'!H25&lt;=400)),VLOOKUP(Calc!BI20,'Fertiliser recommendations'!$A$4:$Z$63,26,FALSE)+VLOOKUP(Calc!BI20,'Fertiliser recommendations'!$A$4:$AD$63,30,FALSE),
"??"))))))))</f>
        <v/>
      </c>
      <c r="Q22" s="91" t="str">
        <f t="shared" ca="1" si="2"/>
        <v/>
      </c>
      <c r="R22" s="9" t="str">
        <f ca="1">IF(B22="","",
IF(OR(O22="data missing",P22="data missing"),"data missing",
IF(Calc!BF20=0,"n/a",
IF(P22=0, "no requirement",
IF(O22&lt;0.1*P22,"no benefit",
IF(O22&lt;0.3*P22,"limited benefit",
IF(O22&gt;1.25*P22,"excessive",
"benefit")))))))</f>
        <v/>
      </c>
      <c r="T22" s="91" t="str">
        <f ca="1">IF(B22="","",
IF(AND('Field information 2'!$O$5="", 'Field information 2'!$Q$5=""),
   IF('Waste results'!$S$21&lt;&gt;"data missing", Calc!BC20*'Waste results'!$S$21, "data missing"),
IF('Field information 2'!$Q$5="",
   IF(Calc!BD20=0,
     IF('Waste results'!$S$21&lt;&gt;"data missing", Calc!BC20*'Waste results'!$S$21, "data missing"),
   IF(Calc!BC20=0,
     IF('Waste results'!$S$57&lt;&gt;"data missing", Calc!BD20*'Waste results'!$S$57, "data missing"),
   IF(OR('Waste results'!$S$21&lt;&gt;"data missing", 'Waste results'!$S$57&lt;&gt;"data missing"), Calc!BC20*'Waste results'!$S$21+ Calc!BD20*'Waste results'!$S$57, "data missing"))),
IF(AND('Field information 2'!$M$5&lt;&gt;"", 'Field information 2'!$O$5&lt;&gt;"", 'Field information 2'!$Q$5&lt;&gt;""),
   IF(AND(Calc!BD20=0,Calc!BE20=0),
     IF('Waste results'!$S$21&lt;&gt;"data missing", Calc!BC20*'Waste results'!$S$21, "data missing"),
   IF(AND(Calc!BC20=0,Calc!BE20=0),
     IF('Waste results'!$S$57&lt;&gt;"data missing", Calc!BD20*'Waste results'!$S$57, "data missing"),
   IF(AND(Calc!BC20=0,Calc!BD20=0),
     IF('Waste results'!$S$93&lt;&gt;"data missing", Calc!BE20*'Waste results'!$S$93, "data missing"),
   IF(Calc!BE20=0,
     IF(OR('Waste results'!$S$21&lt;&gt;"data missing", 'Waste results'!$S$57&lt;&gt;"data missing"), Calc!BC20*'Waste results'!$S$21+ Calc!BD20*'Waste results'!$S$57, "data missing"),
   IF(Calc!BD20=0,
     IF(OR('Waste results'!$S$21&lt;&gt;"data missing", 'Waste results'!$S$93&lt;&gt;"data missing"), Calc!BC20*'Waste results'!$S$21+ Calc!BE20*'Waste results'!$S$93, "data missing"),
   IF(Calc!BC20=0,
     IF(OR('Waste results'!$S$57&lt;&gt;"data missing", 'Waste results'!$S$93&lt;&gt;"data missing"), Calc!BD20*'Waste results'!$S$57+Calc!BE20*'Waste results'!$S$93, "data missing"),
   IF(OR('Waste results'!$S$21&lt;&gt;"data missing", 'Waste results'!$S$57&lt;&gt;"data missing", 'Waste results'!$S$93&lt;&gt;"data missing"), Calc!BC20*'Waste results'!$S$21+Calc!BD20*'Waste results'!$S$57+ Calc!BE20*'Waste results'!$S$93, "data missing")))))))))))</f>
        <v/>
      </c>
      <c r="U22" s="7" t="str">
        <f ca="1">IF(B22="","",
IF(OR(ISBLANK('Soil results'!I$7),ISBLANK('Soil results'!I25)),"data missing",
IF(OR(AND('Soil results'!I$7="ammonium nitrate (ADAS)",'Soil results'!I25&gt;51),AND('Soil results'!I$7="modified Morgan (SAC)",'Soil results'!I25&gt;61)),0,
IF(OR(AND('Soil results'!I$7="ammonium nitrate (ADAS)",'Soil results'!I25&lt;25),AND('Soil results'!I$7="modified Morgan (SAC)",'Soil results'!I25&lt;19)),VLOOKUP(Calc!BI20,'Fertiliser recommendations'!$A$4:$AH$63,34,FALSE),
IF(OR(AND('Soil results'!I$7="ammonium nitrate (ADAS)",'Soil results'!I25&lt;=51),AND('Soil results'!I$7="modified Morgan (SAC)",'Soil results'!I25&lt;=61)),VLOOKUP(Calc!BI20,'Fertiliser recommendations'!$A$4:$AI$63,35,FALSE),
"")))))</f>
        <v/>
      </c>
      <c r="V22" s="91" t="str">
        <f t="shared" ca="1" si="3"/>
        <v/>
      </c>
      <c r="W22" s="9" t="str">
        <f ca="1">IF(B22="","",
IF(OR(T22="data missing",U22="data missing"),"data missing",
IF(Calc!BF20=0,"n/a",
IF(U22=0,"no requirement",
IF(T22&lt;0.1*U22,"no benefit",
IF(T22&lt;0.3*U22,"limited benefit",
IF(OR(T22&gt;1.5*U22,AND(Calc!BJ20="g",T22&gt;100)),"excessive",
"benefit")))))))</f>
        <v/>
      </c>
      <c r="Y22" s="91" t="str">
        <f ca="1">IF(B22="","",
IF(AND('Field information 2'!$O$5="", 'Field information 2'!$Q$5=""),
   IF('Waste results'!$P$23&lt;&gt;"", Calc!BC20*'Waste results'!$P$23, "no data"),
IF('Field information 2'!$Q$5="",
   IF(Calc!BD20=0,
     IF('Waste results'!$P$23&lt;&gt;"", Calc!BC20*'Waste results'!$P$23, "no data"),
   IF(Calc!BC20=0,
     IF('Waste results'!$P$59&lt;&gt;"", Calc!BD20*'Waste results'!$P$59, "no data"),
   IF(OR('Waste results'!$P$23&lt;&gt;"", 'Waste results'!$P$59&lt;&gt;""), Calc!BC20*'Waste results'!$P$23+ Calc!BD20*'Waste results'!$P$59, "no data"))),
IF(AND('Field information 2'!$M$5&lt;&gt;"", 'Field information 2'!$O$5&lt;&gt;"", 'Field information 2'!$Q$5&lt;&gt;""),
   IF(AND(Calc!BD20=0,Calc!BE20=0),
     IF('Waste results'!$P$23&lt;&gt;"", Calc!BC20*'Waste results'!$P$23, "no data"),
   IF(AND(Calc!BC20=0,Calc!BE20=0),
     IF('Waste results'!$P$59&lt;&gt;"", Calc!BD20*'Waste results'!$P$59, "no data"),
   IF(AND(Calc!BC20=0,Calc!BD20=0),
     IF('Waste results'!$P$95&lt;&gt;"", Calc!BE20*'Waste results'!$P$95, "no data"),
   IF(Calc!BE20=0,
     IF(OR('Waste results'!$P$23&lt;&gt;"", 'Waste results'!$P$59&lt;&gt;""), Calc!BC20*'Waste results'!$P$23+ Calc!BD20*'Waste results'!$P$59, "no data"),
   IF(Calc!BD20=0,
     IF(OR('Waste results'!$P$23&lt;&gt;"", 'Waste results'!$P$95&lt;&gt;""), Calc!BC20*'Waste results'!$P$23+ Calc!BE20*'Waste results'!$P$95, "no data"),
   IF(Calc!BC20=0,
     IF(OR('Waste results'!$P$59&lt;&gt;"", 'Waste results'!$P$95&lt;&gt;""), Calc!BD20*'Waste results'!$P$59+Calc!BE20*'Waste results'!$P$95, "no data"),
   IF(OR('Waste results'!$P$23&lt;&gt;"", 'Waste results'!$P$59&lt;&gt;"", 'Waste results'!$P$95&lt;&gt;""), Calc!BC20*'Waste results'!$P$23+Calc!BD20*'Waste results'!$P$59+ Calc!BE20*'Waste results'!$P$95, "no data")))))))))))</f>
        <v/>
      </c>
      <c r="Z22" s="7" t="str">
        <f ca="1">IF(OR(ISBLANK('Soil results'!I$7),ISBLANK('Soil results'!I25),'Soil results'!B25=""),"",
VLOOKUP(Calc!BI20,'Fertiliser recommendations'!$A$4:$AM$63,39,FALSE))</f>
        <v/>
      </c>
      <c r="AA22" s="91" t="str">
        <f t="shared" ca="1" si="4"/>
        <v/>
      </c>
      <c r="AB22" s="9" t="str">
        <f t="shared" ca="1" si="5"/>
        <v/>
      </c>
      <c r="AD22" s="48" t="str">
        <f>IF(ISBLANK('Soil results'!F25),"",'Soil results'!F25)</f>
        <v/>
      </c>
      <c r="AE22" s="49" t="str">
        <f ca="1">IF(B22="","",
IF(AND(Calc!BJ20="g", VLOOKUP(LEFT($B22,LEN($B22)-2),'Field information 2'!$B$12:$P$111,9,FALSE)&lt;&gt;"yes"),
 IF(Calc!BG20="10-25% OM", 5.9, IF(Calc!BG20="&gt;25% OM", 5.5, 6.2)),
IF(OR(Calc!BJ20="a", VLOOKUP(LEFT($B22,LEN($B22)-2),'Field information 2'!$B$12:$P$111,9,FALSE)="yes"),
 IF(Calc!BG20="10-25% OM", 6.4, IF(Calc!BG20="&gt;25% OM", 6, 6.7)), "")))</f>
        <v/>
      </c>
      <c r="AF22" s="91" t="str">
        <f ca="1">IF(B22="","",
IF('Waste results'!$Q$33="","no (significant) liming properties",
IF('Waste results'!Q$33&gt;100,"no (significant) liming properties",
IF(AD22="","",
IF(AD22&gt;=AE22,0,ROUNDDOWN((AE22-AD22)*Calc!BK20*'Waste results'!$Q$33+0.2,0))))))</f>
        <v/>
      </c>
      <c r="AG22" s="9" t="str">
        <f ca="1">IF(B22="","",
IF(T22=0,"n/a",
IF(AD22="","data missing",
IF(AND(AD22&lt;5,AF22="no (significant) liming properties"),"no waste application - pH too low",
IF(AND(AD22&gt;5.1,AF22="no (significant) liming properties",Calc!BH20&gt;25, LEFT(Calc!BI20,4)="graz"),"ok",
IF(AND(AD22&lt;=5.2,AF22="no (significant) liming properties"),"liming highly recommended",
IF(AF22=0,"no waste application - liming not required",
IF(AF22&lt;Calc!BC20,"application rate too high - exceeds liming requirement",
"ok"))))))))</f>
        <v/>
      </c>
      <c r="AI22" s="91" t="str">
        <f ca="1">IF(B22="","",
IF(AND('Field information 2'!$O$5="", 'Field information 2'!$Q$5=""),
   IF('Waste results'!$P$10&lt;&gt;"data missing", Calc!BC20*'Waste results'!$P$10, "data missing"),
IF('Field information 2'!$Q$5="",
   IF(Calc!BD20=0,
     IF('Waste results'!$P$10&lt;&gt;"data missing", Calc!BC20*'Waste results'!$P$10, "data missing"),
   IF(Calc!BC20=0,
     IF('Waste results'!$P$45&lt;&gt;"data missing", Calc!BD20*'Waste results'!$P$45, "data missing"),
   IF(OR('Waste results'!$P$10&lt;&gt;"data missing", 'Waste results'!$P$45&lt;&gt;"data missing"), Calc!BC20*'Waste results'!$P$10+ Calc!BD20*'Waste results'!$P$45, "data missing"))),
IF(AND('Field information 2'!$M$5&lt;&gt;"", 'Field information 2'!$O$5&lt;&gt;"", 'Field information 2'!$Q$5&lt;&gt;""),
   IF(AND(Calc!BD20=0,Calc!BE20=0),
     IF('Waste results'!$P$10&lt;&gt;"data missing", Calc!BC20*'Waste results'!$P$10, "data missing"),
   IF(AND(Calc!BC20=0,Calc!BE20=0),
     IF('Waste results'!$P$45&lt;&gt;"data missing", Calc!BD20*'Waste results'!$P$45, "data missing"),
   IF(AND(Calc!BC20=0,Calc!BD20=0),
     IF('Waste results'!$P$82&lt;&gt;"data missing", Calc!BE20*'Waste results'!$P$82, "data missing"),
   IF(Calc!BE20=0,
     IF(OR('Waste results'!$P$10&lt;&gt;"data missing", 'Waste results'!$P$45&lt;&gt;"data missing"), Calc!BC20*'Waste results'!$P$10+ Calc!BD20*'Waste results'!$P$45, "data missing"),
   IF(Calc!BD20=0,
     IF(OR('Waste results'!$P$10&lt;&gt;"data missing", 'Waste results'!$P$82&lt;&gt;"data missing"), Calc!BC20*'Waste results'!$P$10+ Calc!BE20*'Waste results'!$P$82, "data missing"),
   IF(Calc!BC20=0,
     IF(OR('Waste results'!$P$45&lt;&gt;"data missing", 'Waste results'!$P$82&lt;&gt;"data missing"), Calc!BD20*'Waste results'!$P$45+Calc!BE20*'Waste results'!$P$82, "data missing"),
   IF(OR('Waste results'!$P$10&lt;&gt;"data missing", 'Waste results'!$P$45&lt;&gt;"data missing", 'Waste results'!$P$82&lt;&gt;"data missing"), Calc!BC20*'Waste results'!$P$10+Calc!BD20*'Waste results'!$P$45+ Calc!BE20*'Waste results'!$P$82, "data missing")))))))))))</f>
        <v/>
      </c>
      <c r="AJ22" s="237" t="str">
        <f ca="1">IF(B22="","",
IF(AI22="data missing","data missing",
IF(Calc!BF20=0,"n/a",
IF(AND(Calc!BH20&gt;=8,AI22&lt;500),"no benefit",
IF(OR(AND(Calc!BH20&lt;=4,AI22&gt;=500),AND(Calc!BH20&lt;8,AI22&gt;5000)),"benefit",
"limited benefit")))))</f>
        <v/>
      </c>
      <c r="AL22" s="238" t="str">
        <f ca="1">IF(B22="","",
IF(AND('Field information 2'!$O$5="", 'Field information 2'!$Q$5=""),
   IF('Waste results'!$S$25&lt;&gt;"data missing", Calc!BC20*'Waste results'!$S$25, "data missing"),
IF('Field information 2'!$Q$5="",
   IF(Calc!BD20=0,
     IF('Waste results'!$S$25&lt;&gt;"data missing", Calc!BC20*'Waste results'!$S$25, "data missing"),
   IF(Calc!BC20=0,
     IF('Waste results'!$S$61&lt;&gt;"data missing", Calc!BD20*'Waste results'!$S$61, "data missing"),
   IF(OR('Waste results'!$S$25&lt;&gt;"data missing", 'Waste results'!$S$61&lt;&gt;"data missing"), Calc!BC20*'Waste results'!$S$25+ Calc!BD20*'Waste results'!$S$61, "data missing"))),
IF(AND('Field information 2'!$M$5&lt;&gt;"", 'Field information 2'!$O$5&lt;&gt;"", 'Field information 2'!$Q$5&lt;&gt;""),
   IF(AND(Calc!BD20=0,Calc!BE20=0),
     IF('Waste results'!$S$25&lt;&gt;"data missing", Calc!BC20*'Waste results'!$S$25, "data missing"),
   IF(AND(Calc!BC20=0,Calc!BE20=0),
     IF('Waste results'!$S$61&lt;&gt;"data missing", Calc!BD20*'Waste results'!$S$61, "data missing"),
   IF(AND(Calc!BC20=0,Calc!BD20=0),
     IF('Waste results'!$S$97&lt;&gt;"data missing", Calc!BE20*'Waste results'!$S$97, "data missing"),
   IF(Calc!BE20=0,
     IF(OR('Waste results'!$S$25&lt;&gt;"data missing", 'Waste results'!$S$61&lt;&gt;"data missing"), Calc!BC20*'Waste results'!$S$25+ Calc!BD20*'Waste results'!$S$61, "data missing"),
   IF(Calc!BD20=0,
     IF(OR('Waste results'!$S$25&lt;&gt;"data missing", 'Waste results'!$S$97&lt;&gt;"data missing"), Calc!BC20*'Waste results'!$S$25+ Calc!BE20*'Waste results'!$S$97, "data missing"),
   IF(Calc!BC20=0,
     IF(OR('Waste results'!$S$61&lt;&gt;"data missing", 'Waste results'!$S$97&lt;&gt;"data missing"), Calc!BD20*'Waste results'!$S$61+Calc!BE20*'Waste results'!$S$97, "data missing"),
   IF(OR('Waste results'!$S$25&lt;&gt;"data missing", 'Waste results'!$S$61&lt;&gt;"data missing", 'Waste results'!$S$97&lt;&gt;"data missing"), Calc!BC20*'Waste results'!$S$25+Calc!BD20*'Waste results'!$S$61+ Calc!BE20*'Waste results'!$S$97, "data missing")))))))))))</f>
        <v/>
      </c>
      <c r="AM22" s="239" t="str">
        <f ca="1">IF($B22="","",
IF(ISBLANK('Soil results'!K25),"data missing",'Soil results'!K25))</f>
        <v/>
      </c>
      <c r="AN22" s="239" t="str">
        <f t="shared" ca="1" si="6"/>
        <v/>
      </c>
      <c r="AO22" s="9" t="str">
        <f t="shared" ca="1" si="7"/>
        <v/>
      </c>
      <c r="AQ22" s="240" t="str">
        <f ca="1">IF(B22="","",
IF(AND('Field information 2'!$O$5="", 'Field information 2'!$Q$5=""),
   IF('Waste results'!$S$26&lt;&gt;"data missing", Calc!BC20*'Waste results'!$S$26, "data missing"),
IF('Field information 2'!$Q$5="",
   IF(Calc!BD20=0,
     IF('Waste results'!$S$26&lt;&gt;"data missing", Calc!BC20*'Waste results'!$S$26, "data missing"),
   IF(Calc!BC20=0,
     IF('Waste results'!$S$62&lt;&gt;"data missing", Calc!BD20*'Waste results'!$S$62, "data missing"),
   IF(OR('Waste results'!$S$26&lt;&gt;"data missing", 'Waste results'!$S$62&lt;&gt;"data missing"), Calc!BC20*'Waste results'!$S$26+ Calc!BD20*'Waste results'!$S$62, "data missing"))),
IF(AND('Field information 2'!$M$5&lt;&gt;"", 'Field information 2'!$O$5&lt;&gt;"", 'Field information 2'!$Q$5&lt;&gt;""),
   IF(AND(Calc!BD20=0,Calc!BE20=0),
     IF('Waste results'!$S$26&lt;&gt;"data missing", Calc!BC20*'Waste results'!$S$26, "data missing"),
   IF(AND(Calc!BC20=0,Calc!BE20=0),
     IF('Waste results'!$S$62&lt;&gt;"data missing", Calc!BD20*'Waste results'!$S$62, "data missing"),
   IF(AND(Calc!BC20=0,Calc!BD20=0),
     IF('Waste results'!$S$98&lt;&gt;"data missing", Calc!BE20*'Waste results'!$S$98, "data missing"),
   IF(Calc!BE20=0,
     IF(OR('Waste results'!$S$26&lt;&gt;"data missing", 'Waste results'!$S$62&lt;&gt;"data missing"), Calc!BC20*'Waste results'!$S$26+ Calc!BD20*'Waste results'!$S$62, "data missing"),
   IF(Calc!BD20=0,
     IF(OR('Waste results'!$S$26&lt;&gt;"data missing", 'Waste results'!$S$98&lt;&gt;"data missing"), Calc!BC20*'Waste results'!$S$26+ Calc!BE20*'Waste results'!$S$98, "data missing"),
   IF(Calc!BC20=0,
     IF(OR('Waste results'!$S$62&lt;&gt;"data missing", 'Waste results'!$S$98&lt;&gt;"data missing"), Calc!BD20*'Waste results'!$S$62+Calc!BE20*'Waste results'!$S$98, "data missing"),
   IF(OR('Waste results'!$S$26&lt;&gt;"data missing", 'Waste results'!$S$62&lt;&gt;"data missing", 'Waste results'!$S$98&lt;&gt;"data missing"), Calc!BC20*'Waste results'!$S$26+Calc!BD20*'Waste results'!$S$62+ Calc!BE20*'Waste results'!$S$98, "data missing")))))))))))</f>
        <v/>
      </c>
      <c r="AR22" s="241" t="str">
        <f ca="1">IF($B22="","",
IF(ISBLANK('Soil results'!L25),"data missing",'Soil results'!L25))</f>
        <v/>
      </c>
      <c r="AS22" s="241" t="str">
        <f t="shared" ca="1" si="8"/>
        <v/>
      </c>
      <c r="AT22" s="66" t="str">
        <f t="shared" ca="1" si="9"/>
        <v/>
      </c>
      <c r="AV22" s="238" t="str">
        <f ca="1">IF(B22="","",
IF(AND('Field information 2'!$O$5="", 'Field information 2'!$Q$5=""),
   IF('Waste results'!$S$27&lt;&gt;"data missing", Calc!BC20*'Waste results'!$S$27, "data missing"),
IF('Field information 2'!$Q$5="",
   IF(Calc!BD20=0,
     IF('Waste results'!$S$27&lt;&gt;"data missing", Calc!BC20*'Waste results'!$S$27, "data missing"),
   IF(Calc!BC20=0,
     IF('Waste results'!$S$63&lt;&gt;"data missing", Calc!BD20*'Waste results'!$S$63, "data missing"),
   IF(OR('Waste results'!$S$27&lt;&gt;"data missing", 'Waste results'!$S$63&lt;&gt;"data missing"), Calc!BC20*'Waste results'!$S$27+ Calc!BD20*'Waste results'!$S$63, "data missing"))),
IF(AND('Field information 2'!$M$5&lt;&gt;"", 'Field information 2'!$O$5&lt;&gt;"", 'Field information 2'!$Q$5&lt;&gt;""),
   IF(AND(Calc!BD20=0,Calc!BE20=0),
     IF('Waste results'!$S$27&lt;&gt;"data missing", Calc!BC20*'Waste results'!$S$27, "data missing"),
   IF(AND(Calc!BC20=0,Calc!BE20=0),
     IF('Waste results'!$S$63&lt;&gt;"data missing", Calc!BD20*'Waste results'!$S$63, "data missing"),
   IF(AND(Calc!BC20=0,Calc!BD20=0),
     IF('Waste results'!$S$99&lt;&gt;"data missing", Calc!BE20*'Waste results'!$S$99, "data missing"),
   IF(Calc!BE20=0,
     IF(OR('Waste results'!$S$27&lt;&gt;"data missing", 'Waste results'!$S$63&lt;&gt;"data missing"), Calc!BC20*'Waste results'!$S$27+ Calc!BD20*'Waste results'!$S$63, "data missing"),
   IF(Calc!BD20=0,
     IF(OR('Waste results'!$S$27&lt;&gt;"data missing", 'Waste results'!$S$99&lt;&gt;"data missing"), Calc!BC20*'Waste results'!$S$27+ Calc!BE20*'Waste results'!$S$99, "data missing"),
   IF(Calc!BC20=0,
     IF(OR('Waste results'!$S$63&lt;&gt;"data missing", 'Waste results'!$S$99&lt;&gt;"data missing"), Calc!BD20*'Waste results'!$S$63+Calc!BE20*'Waste results'!$S$99, "data missing"),
   IF(OR('Waste results'!$S$27&lt;&gt;"data missing", 'Waste results'!$S$63&lt;&gt;"data missing", 'Waste results'!$S$99&lt;&gt;"data missing"), Calc!BC20*'Waste results'!$S$27+Calc!BD20*'Waste results'!$S$63+ Calc!BE20*'Waste results'!$S$99, "data missing")))))))))))</f>
        <v/>
      </c>
      <c r="AW22" s="239" t="str">
        <f ca="1">IF($B22="","",
IF(ISBLANK('Soil results'!M25),"data missing",'Soil results'!M25))</f>
        <v/>
      </c>
      <c r="AX22" s="239" t="str">
        <f t="shared" ca="1" si="10"/>
        <v/>
      </c>
      <c r="AY22" s="9" t="str">
        <f ca="1">IF(B22="","",
IF(AV22=0,"n/a",
IF(OR(AV22="data missing",AW22="data missing"),"data missing",
IF(AV22&gt;7.5,"application rate too high - permissible rate exceeds limit",
IF('Soil results'!$F25&lt;=5.5,
  IF(AW22&gt;80,"no application - soil conc. already above limit",
  IF(AX22&gt;80,"application rate too high - soil conc. will exceed limit",
  IF(AW22&gt;80*0.9,"soil conc. is at or above 90% of the limit",
  IF(10*AV22*1000/3000+AW22&gt;80,"soil limit likely to be exceeded in 10yrs",
  IF(50*AV22*1000/3000+AW22&gt;80,"soil limit likely to be exceeded in 50yrs","ok"))))),
IF('Soil results'!$F25&lt;=6,
  IF(AW22&gt;100,"no application - soil conc. already above limit",
  IF(AX22&gt;100,"application rate too high - soil conc. will exceed limit",
  IF(AW22&gt;100*0.9,"soil conc. is at or above 90% of the limit",
  IF(10*AV22*1000/3000+AW22&gt;100,"soil limit likely to be exceeded in 10yrs",
  IF(50*AV22*1000/3000+AW22&gt;100,"soil limit likely to be exceeded in 50yrs","ok"))))),
IF('Soil results'!$F25&lt;=7,
  IF(AW22&gt;135,"no application - soil conc. already above limit",
  IF(AX22&gt;135,"application rate too high - soil conc. will exceed limit",
  IF(AW22&gt;135*0.9,"soil conc. is at or above 90% of the limit",
  IF(10*AV22*1000/3000+AW22&gt;135,"soil limit likely to be exceeded in 10yrs",
  IF(50*AV22*1000/3000+AW22&gt;135,"soil limit likely to be exceeded in 50yrs","ok"))))),
IF('Soil results'!$F25&gt;7,
  IF(AW22&gt;200,"no application - soil conc. already above limit",
  IF(AX22&gt;200,"application too high - soil conc. will exceed limit",
  IF(AW22&gt;200*0.9,"soil conc. is at or above 90% of the limit",
  IF(10*AV22*1000/3000+AW22&gt;200,"soil limit likely to be exceeded in 10yrs",
  IF(50*AV22*1000/3000+AW22&gt;200,"soil limit likely to be exceeded in 50yrs","ok")))))
))))))))</f>
        <v/>
      </c>
      <c r="BA22" s="238" t="str">
        <f ca="1">IF(B22="","",
IF(AND('Field information 2'!$O$5="", 'Field information 2'!$Q$5=""),
   IF('Waste results'!$S$28&lt;&gt;"data missing", Calc!BC20*'Waste results'!$S$28, "data missing"),
IF('Field information 2'!$Q$5="",
   IF(Calc!BD20=0,
     IF('Waste results'!$S$28&lt;&gt;"data missing", Calc!BC20*'Waste results'!$S$28, "data missing"),
   IF(Calc!BC20=0,
     IF('Waste results'!$S$64&lt;&gt;"data missing", Calc!BD20*'Waste results'!$S$64, "data missing"),
   IF(OR('Waste results'!$S$28&lt;&gt;"data missing", 'Waste results'!$S$64&lt;&gt;"data missing"), Calc!BC20*'Waste results'!$S$28+ Calc!BD20*'Waste results'!$S$64, "data missing"))),
IF(AND('Field information 2'!$M$5&lt;&gt;"", 'Field information 2'!$O$5&lt;&gt;"", 'Field information 2'!$Q$5&lt;&gt;""),
   IF(AND(Calc!BD20=0,Calc!BE20=0),
     IF('Waste results'!$S$28&lt;&gt;"data missing", Calc!BC20*'Waste results'!$S$28, "data missing"),
   IF(AND(Calc!BC20=0,Calc!BE20=0),
     IF('Waste results'!$S$64&lt;&gt;"data missing", Calc!BD20*'Waste results'!$S$64, "data missing"),
   IF(AND(Calc!BC20=0,Calc!BD20=0),
     IF('Waste results'!$S$100&lt;&gt;"data missing", Calc!BE20*'Waste results'!$S$100, "data missing"),
   IF(Calc!BE20=0,
     IF(OR('Waste results'!$S$28&lt;&gt;"data missing", 'Waste results'!$S$64&lt;&gt;"data missing"), Calc!BC20*'Waste results'!$S$28+ Calc!BD20*'Waste results'!$S$64, "data missing"),
   IF(Calc!BD20=0,
     IF(OR('Waste results'!$S$28&lt;&gt;"data missing", 'Waste results'!$S$100&lt;&gt;"data missing"), Calc!BC20*'Waste results'!$S$28+ Calc!BE20*'Waste results'!$S$100, "data missing"),
   IF(Calc!BC20=0,
     IF(OR('Waste results'!$S$64&lt;&gt;"data missing", 'Waste results'!$S$100&lt;&gt;"data missing"), Calc!BD20*'Waste results'!$S$64+Calc!BE20*'Waste results'!$S$100, "data missing"),
   IF(OR('Waste results'!$S$28&lt;&gt;"data missing", 'Waste results'!$S$64&lt;&gt;"data missing", 'Waste results'!$S$100&lt;&gt;"data missing"), Calc!BC20*'Waste results'!$S$28+Calc!BD20*'Waste results'!$S$64+ Calc!BE20*'Waste results'!$S$100, "data missing")))))))))))</f>
        <v/>
      </c>
      <c r="BB22" s="239" t="str">
        <f ca="1">IF($B22="","",
IF(ISBLANK('Soil results'!N25),"data missing",'Soil results'!N25))</f>
        <v/>
      </c>
      <c r="BC22" s="239" t="str">
        <f t="shared" ca="1" si="11"/>
        <v/>
      </c>
      <c r="BD22" s="9" t="str">
        <f t="shared" ca="1" si="12"/>
        <v/>
      </c>
      <c r="BF22" s="238" t="str">
        <f ca="1">IF(B22="","",
IF(AND('Field information 2'!$O$5="", 'Field information 2'!$Q$5=""),
   IF('Waste results'!$S$29&lt;&gt;"data missing", Calc!BC20*'Waste results'!$S$29, "data missing"),
IF('Field information 2'!$Q$5="",
   IF(Calc!BD20=0,
     IF('Waste results'!$S$29&lt;&gt;"data missing", Calc!BC20*'Waste results'!$S$29, "data missing"),
   IF(Calc!BC20=0,
     IF('Waste results'!$S$65&lt;&gt;"data missing", Calc!BD20*'Waste results'!$S$65, "data missing"),
   IF(OR('Waste results'!$S$29&lt;&gt;"data missing", 'Waste results'!$S$65&lt;&gt;"data missing"), Calc!BC20*'Waste results'!$S$29+ Calc!BD20*'Waste results'!$S$65, "data missing"))),
IF(AND('Field information 2'!$M$5&lt;&gt;"", 'Field information 2'!$O$5&lt;&gt;"", 'Field information 2'!$Q$5&lt;&gt;""),
   IF(AND(Calc!BD20=0,Calc!BE20=0),
     IF('Waste results'!$S$29&lt;&gt;"data missing", Calc!BC20*'Waste results'!$S$29, "data missing"),
   IF(AND(Calc!BC20=0,Calc!BE20=0),
     IF('Waste results'!$S$65&lt;&gt;"data missing", Calc!BD20*'Waste results'!$S$65, "data missing"),
   IF(AND(Calc!BC20=0,Calc!BD20=0),
     IF('Waste results'!$S$101&lt;&gt;"data missing", Calc!BE20*'Waste results'!$S$101, "data missing"),
   IF(Calc!BE20=0,
     IF(OR('Waste results'!$S$29&lt;&gt;"data missing", 'Waste results'!$S$65&lt;&gt;"data missing"), Calc!BC20*'Waste results'!$S$29+ Calc!BD20*'Waste results'!$S$65, "data missing"),
   IF(Calc!BD20=0,
     IF(OR('Waste results'!$S$29&lt;&gt;"data missing", 'Waste results'!$S$101&lt;&gt;"data missing"), Calc!BC20*'Waste results'!$S$29+ Calc!BE20*'Waste results'!$S$101, "data missing"),
   IF(Calc!BC20=0,
     IF(OR('Waste results'!$S$65&lt;&gt;"data missing", 'Waste results'!$S$101&lt;&gt;"data missing"), Calc!BD20*'Waste results'!$S$65+Calc!BE20*'Waste results'!$S$101, "data missing"),
   IF(OR('Waste results'!$S$29&lt;&gt;"data missing", 'Waste results'!$S$65&lt;&gt;"data missing", 'Waste results'!$S$101&lt;&gt;"data missing"), Calc!BC20*'Waste results'!$S$29+Calc!BD20*'Waste results'!$S$65+ Calc!BE20*'Waste results'!$S$101, "data missing")))))))))))</f>
        <v/>
      </c>
      <c r="BG22" s="239" t="str">
        <f ca="1">IF($B22="","",
IF(ISBLANK('Soil results'!O25),"data missing",'Soil results'!O25))</f>
        <v/>
      </c>
      <c r="BH22" s="239" t="str">
        <f t="shared" ca="1" si="13"/>
        <v/>
      </c>
      <c r="BI22" s="9" t="str">
        <f ca="1">IF(B22="","",
IF(BF22=0,"n/a",
IF(OR(BF22="data missing",BG22="data missing"),"data missing",
IF(BF22&gt;3,"application rate too high - permissible rate exceeds limit",
IF('Soil results'!F25&lt;=5.5,
  IF(BG22&gt;50,"no application - soil conc. already above limit",
  IF(BH22&gt;50,"application rate too high - soil conc. will exceed limit",
  IF(BG22&gt;50*0.9,"soil conc. is at or above 90% of the limit",
  IF(10*BF22*1000/3000+BG22&gt;50,"soil limit likely to be exceeded in 10yrs",
  IF(50*BF22*1000/3000+BG22&gt;50,"soil limit likely to be exceeded in 50yrs","ok"))))),
IF('Soil results'!F25&lt;=6,
  IF(BG22&gt;60,"no application - soil conc. already above limit",
  IF(BH22&gt;60,"application rate too high - soil conc. will exceed limit",
  IF(BG22&gt;60*0.9,"soil conc. is at or above 90% of the limit",
  IF(10*BF22*1000/3000+BG22&gt;60,"soil limit likely to be exceeded in 10yrs",
  IF(50*BF22*1000/3000+BG22&gt;60,"soil limit likely to be exceeded in 50yrs","ok"))))),
IF('Soil results'!F25&lt;=7,
  IF(BG22&gt;75,"no application - soil conc. already above limit",
  IF(BH22&gt;75,"application rate too high - soil conc. will exceed limit",
  IF(BG22&gt;75*0.9,"soil conc. is at or above 90% of the limit",
  IF(10*BF22*1000/3000+BG22&gt;75,"soil limit likely to be exceeded in 10yrs",
  IF(50*BF22*1000/3000+BG22&gt;75,"soil limit likely to be exceeded in 50yrs","ok"))))),
IF('Soil results'!F25&gt;7,
  IF(BG22&gt;100,"no application - soil conc. already above limit",
  IF(BH22&gt;100,"application rate too high - soil conc. will exceed limit",
  IF(BG22&gt;100*0.9,"soil conc. is at or above 90% of the limit",
  IF(10*BF22*1000/3000+BG22&gt;100,"soil limit likely to be exceeded in 10yrs",
  IF(50*BF22*1000/3000+BG22&gt;100,"soil limit likely to beexceeded in 50yrs","ok")))))
))))))))</f>
        <v/>
      </c>
      <c r="BK22" s="240" t="str">
        <f ca="1">IF(B22="","",
IF(AND('Field information 2'!$O$5="", 'Field information 2'!$Q$5=""),
   IF('Waste results'!$S$30&lt;&gt;"data missing", Calc!BC20*'Waste results'!$S$30, "data missing"),
IF('Field information 2'!$Q$5="",
   IF(Calc!BD20=0,
     IF('Waste results'!$S$30&lt;&gt;"data missing", Calc!BC20*'Waste results'!$S$30, "data missing"),
   IF(Calc!BC20=0,
     IF('Waste results'!$S$66&lt;&gt;"data missing", Calc!BD20*'Waste results'!$S$66, "data missing"),
   IF(OR('Waste results'!$S$30&lt;&gt;"data missing", 'Waste results'!$S$66&lt;&gt;"data missing"), Calc!BC20*'Waste results'!$S$30+ Calc!BD20*'Waste results'!$S$66, "data missing"))),
IF(AND('Field information 2'!$M$5&lt;&gt;"", 'Field information 2'!$O$5&lt;&gt;"", 'Field information 2'!$Q$5&lt;&gt;""),
   IF(AND(Calc!BD20=0,Calc!BE20=0),
     IF('Waste results'!$S$30&lt;&gt;"data missing", Calc!BC20*'Waste results'!$S$30, "data missing"),
   IF(AND(Calc!BC20=0,Calc!BE20=0),
     IF('Waste results'!$S$66&lt;&gt;"data missing", Calc!BD20*'Waste results'!$S$66, "data missing"),
   IF(AND(Calc!BC20=0,Calc!BD20=0),
     IF('Waste results'!$S$102&lt;&gt;"data missing", Calc!BE20*'Waste results'!$S$102, "data missing"),
   IF(Calc!BE20=0,
     IF(OR('Waste results'!$S$30&lt;&gt;"data missing", 'Waste results'!$S$66&lt;&gt;"data missing"), Calc!BC20*'Waste results'!$S$30+ Calc!BD20*'Waste results'!$S$66, "data missing"),
   IF(Calc!BD20=0,
     IF(OR('Waste results'!$S$30&lt;&gt;"data missing", 'Waste results'!$S$102&lt;&gt;"data missing"), Calc!BC20*'Waste results'!$S$30+ Calc!BE20*'Waste results'!$S$102, "data missing"),
   IF(Calc!BC20=0,
     IF(OR('Waste results'!$S$66&lt;&gt;"data missing", 'Waste results'!$S$102&lt;&gt;"data missing"), Calc!BD20*'Waste results'!$S$66+Calc!BE20*'Waste results'!$S$102, "data missing"),
   IF(OR('Waste results'!$S$30&lt;&gt;"data missing", 'Waste results'!$S$66&lt;&gt;"data missing", 'Waste results'!$S$102&lt;&gt;"data missing"), Calc!BC20*'Waste results'!$S$30+Calc!BD20*'Waste results'!$S$66+ Calc!BE20*'Waste results'!$S$102, "data missing")))))))))))</f>
        <v/>
      </c>
      <c r="BL22" s="241" t="str">
        <f ca="1">IF($B22="","",
IF(ISBLANK('Soil results'!P25),"data missing",'Soil results'!P25))</f>
        <v/>
      </c>
      <c r="BM22" s="241" t="str">
        <f t="shared" ca="1" si="14"/>
        <v/>
      </c>
      <c r="BN22" s="66" t="str">
        <f t="shared" ca="1" si="15"/>
        <v/>
      </c>
      <c r="BP22" s="238" t="str">
        <f ca="1">IF(B22="","",
IF(AND('Field information 2'!$O$5="", 'Field information 2'!$Q$5=""),
   IF('Waste results'!$S$31&lt;&gt;"data missing", Calc!BC20*'Waste results'!$S$31, "data missing"),
IF('Field information 2'!$Q$5="",
   IF(Calc!BD20=0,
     IF('Waste results'!$S$31&lt;&gt;"data missing", Calc!BC20*'Waste results'!$S$31, "data missing"),
   IF(Calc!BC20=0,
     IF('Waste results'!$S$67&lt;&gt;"data missing", Calc!BD20*'Waste results'!$S$67, "data missing"),
   IF(OR('Waste results'!$S$31&lt;&gt;"data missing", 'Waste results'!$S$67&lt;&gt;"data missing"), Calc!BC20*'Waste results'!$S$31+ Calc!BD20*'Waste results'!$S$67, "data missing"))),
IF(AND('Field information 2'!$M$5&lt;&gt;"", 'Field information 2'!$O$5&lt;&gt;"", 'Field information 2'!$Q$5&lt;&gt;""),
   IF(AND(Calc!BD20=0,Calc!BE20=0),
     IF('Waste results'!$S$31&lt;&gt;"data missing", Calc!BC20*'Waste results'!$S$31, "data missing"),
   IF(AND(Calc!BC20=0,Calc!BE20=0),
     IF('Waste results'!$S$67&lt;&gt;"data missing", Calc!BD20*'Waste results'!$S$67, "data missing"),
   IF(AND(Calc!BC20=0,Calc!BD20=0),
     IF('Waste results'!$S$103&lt;&gt;"data missing", Calc!BE20*'Waste results'!$S$103, "data missing"),
   IF(Calc!BE20=0,
     IF(OR('Waste results'!$S$31&lt;&gt;"data missing", 'Waste results'!$S$67&lt;&gt;"data missing"), Calc!BC20*'Waste results'!$S$31+ Calc!BD20*'Waste results'!$S$67, "data missing"),
   IF(Calc!BD20=0,
     IF(OR('Waste results'!$S$31&lt;&gt;"data missing", 'Waste results'!$S$103&lt;&gt;"data missing"), Calc!BC20*'Waste results'!$S$31+ Calc!BE20*'Waste results'!$S$103, "data missing"),
   IF(Calc!BC20=0,
     IF(OR('Waste results'!$S$67&lt;&gt;"data missing", 'Waste results'!$S$103&lt;&gt;"data missing"), Calc!BD20*'Waste results'!$S$67+Calc!BE20*'Waste results'!$S$103, "data missing"),
   IF(OR('Waste results'!$S$31&lt;&gt;"data missing", 'Waste results'!$S$67&lt;&gt;"data missing", 'Waste results'!$S$103&lt;&gt;"data missing"), Calc!BC20*'Waste results'!$S$31+Calc!BD20*'Waste results'!$S$67+ Calc!BE20*'Waste results'!$S$103, "data missing")))))))))))</f>
        <v/>
      </c>
      <c r="BQ22" s="239" t="str">
        <f ca="1">IF($B22="","",
IF(ISBLANK('Soil results'!Q25),"data missing",'Soil results'!Q25))</f>
        <v/>
      </c>
      <c r="BR22" s="239" t="str">
        <f t="shared" ca="1" si="16"/>
        <v/>
      </c>
      <c r="BS22" s="9" t="str">
        <f ca="1">IF(B22="","",
IF(BP22=0,"n/a",
IF(OR(BP22="data missing",BQ22=""),"data missing",
IF(BP22&gt;15,"application rate too high - permissible rate exceeds limit",
IF('Soil results'!F25&lt;=5.5,
  IF(BQ22&gt;200,"no application - soil conc. already above limit",
  IF(BR22&gt;200,"application rate too high - soil conc. will exceed limit",
  IF(BQ22&gt;200*0.9,"soil conc. is at or above 90% of the limit",
  IF(10*BP22*1000/3000+BQ22&gt;200,"soil limit likely to be exceeded in 10yrs",
  IF(50*BP22*1000/3000+BQ22&gt;200,"soil limit likely to be exceeded in 50yrs","ok"))))),
IF('Soil results'!F25&lt;=6,
  IF(BQ22&gt;250,"no application - soil conc. already above limit",
  IF(BR22&gt;250,"application rate too high - soil conc. will exceed limit",
  IF(BQ22&gt;250*0.9,"soil conc. is at or above 90% of the limit",
  IF(10*BP22*1000/3000+BQ22&gt;250,"soil limit likely to be exceeded in 10yrs",
  IF(50*BP22*1000/3000+BQ22&gt;250,"soil limit likely to be exceeded in 50yrs","ok"))))),
IF('Soil results'!F25&lt;=7,
  IF(BQ22&gt;300,"no application - soil conc. already above limit",
  IF(BR22&gt;300,"application rate too high - soil conc. will exceed limit",
  IF(BQ22&gt;300*0.9,"soil conc. is at or above 90% of the limit",
  IF(10*BP22*1000/3000+BQ22&gt;300,"soil limit likey to be exceeded in 10yrs",
  IF(50*BP22*1000/3000+BQ22&gt;300,"soil limit likely to be exceeded in 50yrs","ok"))))),
IF('Soil results'!F25&gt;7,
  IF(BQ22&gt;450,"no application - soil conc. already above limit",
  IF(BR22&gt;450,"application rate too high - soil conc. will exceed limit",
  IF(AW22&gt;450*0.9,"soil conc. is at or above 90% of the limit",
  IF(10*BP22*1000/3000+BQ22&gt;450,"soil limit likely to be exceeded in 10yrs",
  IF(50*BP22*1000/3000+BQ22&gt;450,"soil limit likely to be exceeded in 50yrs","ok")))))
))))))))</f>
        <v/>
      </c>
    </row>
    <row r="23" spans="2:71" s="9" customFormat="1" x14ac:dyDescent="0.35">
      <c r="B23" s="236" t="str">
        <f ca="1">'Soil results'!B26</f>
        <v/>
      </c>
      <c r="C23" s="91" t="str">
        <f ca="1">IF(B23="","",
IF(AND('Field information 2'!$O$5="", 'Field information 2'!$Q$5=""),
   IF('Waste results'!$S$12&lt;&gt;"data missing", Calc!BC21*'Waste results'!$S$12, "data missing"),
IF('Field information 2'!$Q$5="",
   IF(Calc!BD21=0,
     IF('Waste results'!$S$12&lt;&gt;"data missing", Calc!BC21*'Waste results'!$S$12, "data missing"),
   IF(Calc!BC21=0,
     IF('Waste results'!$S$48&lt;&gt;"data missing", Calc!BD21*'Waste results'!$S$48, "data missing"),
   IF(OR('Waste results'!$S$12&lt;&gt;"data missing", 'Waste results'!$S$48&lt;&gt;"data missing"), Calc!BC21*'Waste results'!$S$12+ Calc!BD21*'Waste results'!$S$48, "data missing"))),
IF(AND('Field information 2'!$M$5&lt;&gt;"", 'Field information 2'!$O$5&lt;&gt;"", 'Field information 2'!$Q$5&lt;&gt;""),
   IF(AND(Calc!BD21=0,Calc!BE21=0),
     IF('Waste results'!$S$12&lt;&gt;"data missing", Calc!BC21*'Waste results'!$S$12, "data missing"),
   IF(AND(Calc!BC21=0,Calc!BE21=0),
     IF('Waste results'!$S$48&lt;&gt;"data missing", Calc!BD21*'Waste results'!$S$48, "data missing"),
   IF(AND(Calc!BC21=0,Calc!BD21=0),
     IF('Waste results'!$S$84&lt;&gt;"data missing", Calc!BE21*'Waste results'!$S$84, "data missing"),
   IF(Calc!BE21=0,
     IF(OR('Waste results'!$S$12&lt;&gt;"data missing", 'Waste results'!$S$48&lt;&gt;"data missing"), Calc!BC21*'Waste results'!$S$12+ Calc!BD21*'Waste results'!$S$48, "data missing"),
   IF(Calc!BD21=0,
     IF(OR('Waste results'!$S$12&lt;&gt;"data missing", 'Waste results'!$S$84&lt;&gt;"data missing"), Calc!BC21*'Waste results'!$S$12+ Calc!BE21*'Waste results'!$S$84, "data missing"),
   IF(Calc!BC21=0,
     IF(OR('Waste results'!$S$48&lt;&gt;"data missing", 'Waste results'!$S$84&lt;&gt;"data missing"), Calc!BD21*'Waste results'!$S$48+Calc!BE21*'Waste results'!$S$84, "data missing"),
   IF(OR('Waste results'!$S$12&lt;&gt;"data missing", 'Waste results'!$S$48&lt;&gt;"data missing", 'Waste results'!$S$84&lt;&gt;"data missing"), Calc!BC21*'Waste results'!$S$12+Calc!BD21*'Waste results'!$S$48+ Calc!BE21*'Waste results'!$S$84, "data missing")))))))))))</f>
        <v/>
      </c>
      <c r="D23" s="161" t="str">
        <f ca="1">IF(B23="","",
IF(Calc!BG21="","soil texture missing",
IF(OR(Calc!BG21="SL; SZL; ZL",Calc!BG21="SCL; CL; ZCL; SC; ZC; C"),VLOOKUP(Calc!BI21,'Fertiliser recommendations'!$A$4:$C$63,3,FALSE),
IF(Calc!BG21="S; LS",VLOOKUP(Calc!BI21,'Fertiliser recommendations'!$A$4:$C$63,3,FALSE)+VLOOKUP(Calc!BI21,'Fertiliser recommendations'!$A$4:$D$63,4,FALSE),
IF(Calc!BG21="10-25% OM",VLOOKUP(Calc!BI21,'Fertiliser recommendations'!$A$4:$C$63,3,FALSE)+VLOOKUP(Calc!BI21,'Fertiliser recommendations'!$A$4:$E$63,5,FALSE),
IF(Calc!BG21="&gt;25% OM",VLOOKUP(Calc!BI21,'Fertiliser recommendations'!$A$4:$C$63,3,FALSE)+VLOOKUP(Calc!BI21,'Fertiliser recommendations'!$A$4:$F$63,6,FALSE),
""))))))</f>
        <v/>
      </c>
      <c r="E23" s="91" t="str">
        <f t="shared" ca="1" si="0"/>
        <v/>
      </c>
      <c r="F23" s="9" t="str">
        <f ca="1">IF(B23="","",
IF(OR(C23="data missing",D23="soil texture missing"),"data missing",
IF(Calc!BF21=0,"n/a",
IF(C23&lt;0.1*D23,"no benefit",
IF(C23&lt;0.3*D23,"limited benefit",
IF(C23&gt;250,"exceeds limit",
IF(OR(AND(D23=0,C23&gt;75),C23&gt;1.25*D23),"excessive",
IF(D23=0, "no requirement",
"benefit"))))))))</f>
        <v/>
      </c>
      <c r="H23" s="91" t="str">
        <f ca="1">IF(B23="","",
IF(AND('Field information 2'!$O$5="", 'Field information 2'!$Q$5=""),
   IF('Waste results'!$S$17&lt;&gt;"data missing", Calc!BC21*'Waste results'!$S$17, "data missing"),
IF('Field information 2'!$Q$5="",
   IF(Calc!BD21=0,
     IF('Waste results'!$S$17&lt;&gt;"data missing", Calc!BC21*'Waste results'!$S$17, "data missing"),
   IF(Calc!BC21=0,
     IF('Waste results'!$S$53&lt;&gt;"data missing", Calc!BD21*'Waste results'!$S$53, "data missing"),
   IF(OR('Waste results'!$S$17&lt;&gt;"data missing", 'Waste results'!$S$53&lt;&gt;"data missing"), Calc!BC21*'Waste results'!$S$17+ Calc!BD21*'Waste results'!$S$53, "data missing"))),
IF(AND('Field information 2'!$M$5&lt;&gt;"", 'Field information 2'!$O$5&lt;&gt;"", 'Field information 2'!$Q$5&lt;&gt;""),
   IF(AND(Calc!BD21=0,Calc!BE21=0),
     IF('Waste results'!$S$17&lt;&gt;"data missing", Calc!BC21*'Waste results'!$S$17, "data missing"),
   IF(AND(Calc!BC21=0,Calc!BE21=0),
     IF('Waste results'!$S$53&lt;&gt;"data missing", Calc!BD21*'Waste results'!$S$53, "data missing"),
   IF(AND(Calc!BC21=0,Calc!BD21=0),
     IF('Waste results'!$S$89&lt;&gt;"data missing", Calc!BE21*'Waste results'!$S$89, "data missing"),
   IF(Calc!BE21=0,
     IF(OR('Waste results'!$S$17&lt;&gt;"data missing", 'Waste results'!$S$53&lt;&gt;"data missing"), Calc!BC21*'Waste results'!$S$17+ Calc!BD21*'Waste results'!$S$53, "data missing"),
   IF(Calc!BD21=0,
     IF(OR('Waste results'!$S$17&lt;&gt;"data missing", 'Waste results'!$S$89&lt;&gt;"data missing"), Calc!BC21*'Waste results'!$S$17+ Calc!BE21*'Waste results'!$S$89, "data missing"),
   IF(Calc!BC21=0,
     IF(OR('Waste results'!$S$53&lt;&gt;"data missing", 'Waste results'!$S$89&lt;&gt;"data missing"), Calc!BD21*'Waste results'!$S$53+Calc!BE21*'Waste results'!$S$89, "data missing"),
   IF(OR('Waste results'!$S$17&lt;&gt;"data missing", 'Waste results'!$S$53&lt;&gt;"data missing", 'Waste results'!$S$89&lt;&gt;"data missing"), Calc!BC21*'Waste results'!$S$17+Calc!BD21*'Waste results'!$S$53+ Calc!BE21*'Waste results'!$S$89, "data missing")))))))))))</f>
        <v/>
      </c>
      <c r="I23" s="195" t="str">
        <f ca="1">IF(B23="","",
IF(OR(ISBLANK('Soil results'!G26), ISBLANK('Soil results'!G$7)),"data missing",
IF(OR(AND('Soil results'!G$7="Olsen (ADAS)",'Soil results'!G26&lt;16),AND('Soil results'!G$7="modified Morgan (SAC)",'Soil results'!G26&lt;4.5)),50,100)))</f>
        <v/>
      </c>
      <c r="J23" s="49" t="str">
        <f ca="1">IF(B23="","",
IF(OR(ISBLANK('Soil results'!G$7),ISBLANK('Soil results'!G26)),"data missing",
IF(OR(AND('Soil results'!G$7="Olsen (ADAS)",'Soil results'!G26&gt;45),AND('Soil results'!G$7="modified Morgan (SAC)",'Soil results'!G26&gt;30)),0,
IF(OR(AND('Soil results'!G$7="Olsen (ADAS)",'Soil results'!G26&gt;=16,'Soil results'!G26&lt;=20),AND('Soil results'!G$7="modified Morgan (SAC)",'Soil results'!G26&gt;=4.5,'Soil results'!G26&lt;=9.4)),VLOOKUP(Calc!BI21,'Fertiliser recommendations'!$A$4:$I$63,9,FALSE),
IF(OR(AND('Soil results'!G$7="Olsen (ADAS)",'Soil results'!G26&lt;10),AND('Soil results'!G$7="modified Morgan (SAC)",'Soil results'!G26&lt;1.8)),VLOOKUP(Calc!BI21,'Fertiliser recommendations'!$A$4:$I$63,9,FALSE)+VLOOKUP(Calc!BI21,'Fertiliser recommendations'!$A$4:$J$63,10,FALSE),
IF(OR(AND('Soil results'!G$7="Olsen (ADAS)",'Soil results'!G26&lt;16),AND('Soil results'!G$7="modified Morgan (SAC)",'Soil results'!G26&lt;4.5)),VLOOKUP(Calc!BI21,'Fertiliser recommendations'!$A$4:$I$63,9,FALSE)+VLOOKUP(Calc!BI21,'Fertiliser recommendations'!$A$4:$K$63,11,FALSE),
IF(OR(AND('Soil results'!G$7="Olsen (ADAS)",'Soil results'!G26&lt;26),AND('Soil results'!G$7="modified Morgan (SAC)",'Soil results'!G26&lt;13.5)),VLOOKUP(Calc!BI21,'Fertiliser recommendations'!$A$4:$I$63,9,FALSE)+VLOOKUP(Calc!BI21,'Fertiliser recommendations'!$A$4:$L$63,12,FALSE),
IF(OR(AND('Soil results'!G$7="Olsen (ADAS)",'Soil results'!G26&lt;=45),AND('Soil results'!G$7="modified Morgan (SAC)",'Soil results'!G26&lt;=30)),VLOOKUP(Calc!BI21,'Fertiliser recommendations'!$A$4:$I$63,9,FALSE)+VLOOKUP(Calc!BI21,'Fertiliser recommendations'!$A$4:$M$63,13,FALSE),
""))))))))</f>
        <v/>
      </c>
      <c r="K23" s="161" t="str">
        <f t="shared" ca="1" si="1"/>
        <v/>
      </c>
      <c r="L23" s="47" t="str">
        <f ca="1">IF(OR(ISBLANK('Soil results'!G$7),ISBLANK('Soil results'!G26),B23="", H23="data missing"),"",
IF('Soil results'!G$7="Olsen (ADAS)",
IF(((H23*Calc!BM21/2.291-(VLOOKUP(Calc!BI21,'Fertiliser recommendations'!$A$4:$I$63,9,FALSE))/2.291)*10/(400/2.291)+'Soil results'!G26)&lt;10,"0 (VL)",
IF(((H23*Calc!BM21/2.291-(VLOOKUP(Calc!BI21,'Fertiliser recommendations'!$A$4:$I$63,9,FALSE))/2.291)*10/(400/2.291)+'Soil results'!G26)&lt;16,"1 (L)",
IF(((H23*Calc!BM21/2.291-(VLOOKUP(Calc!BI21,'Fertiliser recommendations'!$A$4:$I$63,9,FALSE))/2.291)*10/(400/2.291)+'Soil results'!G26)&lt;21,"2 (M-)",
IF(((H23*Calc!BM21/2.291-(VLOOKUP(Calc!BI21,'Fertiliser recommendations'!$A$4:$I$63,9,FALSE))/2.291)*10/(400/2.291)+'Soil results'!G26)&lt;26,"2 (M+)",
IF(((H23*Calc!BM21/2.291-(VLOOKUP(Calc!BI21,'Fertiliser recommendations'!$A$4:$I$63,9,FALSE))/2.291)*10/(400/2.291)+'Soil results'!G26)&lt;45,"3 (H)","&gt;3 (VH)"))))),
IF('Soil results'!G$7="modified Morgan (SAC)",
IF('Soil results'!G26&gt;=6,
IF(((H23*Calc!BM21/2.291-(VLOOKUP(Calc!BI21,'Fertiliser recommendations'!$A$4:$I$63,9,FALSE))/2.291)*5/(147/2.291)+'Soil results'!G26)&lt;9.5,"2 (M-)",
IF(((H23*Calc!BM21/2.291-(VLOOKUP(Calc!BI21,'Fertiliser recommendations'!$A$4:$I$63,9,FALSE))/2.291)*5/(147/2.291)+'Soil results'!G26)&lt;13.5,"2 (M+)",
IF(((H23*Calc!BM21/2.291-(VLOOKUP(Calc!BI21,'Fertiliser recommendations'!$A$4:$I$63,9,FALSE))/2.291)*5/(147/2.291)+'Soil results'!G26)&lt;30,"3 (H)","4 (VH)"))),
IF(((H23*Calc!BM21/2.291-(VLOOKUP(Calc!BI21,'Fertiliser recommendations'!$A$4:$I$63,9,FALSE))/2.291)*5/(346/2.291)+'Soil results'!G26)&lt;1.8,"0 (VL)",
IF(((H23*Calc!BM21/2.291-(VLOOKUP(Calc!BI21,'Fertiliser recommendations'!$A$4:$I$63,9,FALSE))/2.291)*5/(147/2.291)+'Soil results'!G26)&lt;4.5,"1 (L)","2 (M-)"))))))</f>
        <v/>
      </c>
      <c r="M23" s="9" t="str">
        <f ca="1">IF(B23="","",
IF(OR(H23="data missing",I23="data missing",J23="data missing"),"data missing",
IF(Calc!BF21=0,"n/a",
IF(OR(AND('Soil results'!G$7="Olsen (ADAS)",'Soil results'!G26&gt;45),AND('Soil results'!G$7="modified Morgan (SAC)",'Soil results'!G26&gt;30)),
IF(H23&gt;2,"too high, not acceptable","no requirement"),IF(OR(AND('Soil results'!G$7="Olsen (ADAS)",'Soil results'!G26&gt;25),AND('Soil results'!G$7="modified Morgan (SAC)",'Soil results'!G26&gt;13.4)),
IF(H23*(I23/100)&lt;0.1*J23,"no benefit",
IF(H23*(I23/100)&lt;0.3*J23,"limited benefit",
IF(H23*(I23/100)&lt;1.1*J23,"benefit",
IF(H23*(I23/100)&lt;0.7*VLOOKUP(Calc!BI21,'Fertiliser recommendations'!$A$4:$I$63,9,FALSE),"excessive","too high, not acceptable")))),
IF(OR(AND('Soil results'!G$7="Olsen (ADAS)",'Soil results'!G26&gt;20),AND('Soil results'!G$7="modified Morgan (SAC)",'Soil results'!G26&gt;9.4)),
IF(H23*Calc!BM21*(I23/100)&lt;0.1*J23,"no benefit",
IF(H23*Calc!BM21*(I23/100)&lt;0.3*J23,"limited benefit",
IF(H23*Calc!BM21*(I23/100)&lt;1.1*J23,"benefit",
IF(L23="3 (H)","too high, not acceptable","excessive")))),
IF(OR(AND('Soil results'!G$7="Olsen (ADAS)",'Soil results'!G26&gt;15),AND('Soil results'!G$7="modified Morgan (SAC)",'Soil results'!G26&gt;4.4)),
IF(H23*Calc!BM21*(I23/100)&lt;0.1*VLOOKUP(Calc!BI21,'Fertiliser recommendations'!$A$4:$I$63,9,FALSE),"no benefit",
IF(H23*Calc!BM21*(I23/100)&lt;0.3*VLOOKUP(Calc!BI21,'Fertiliser recommendations'!$A$4:$I$63,9,FALSE),"limited benefit",
IF(H23*Calc!BM21*(I23/100)&lt;1.1*VLOOKUP(Calc!BI21,'Fertiliser recommendations'!$A$4:$I$63,9,FALSE),"benefit",
IF(L23="3 (H)", "too high, not acceptable", "excessive")))),
IF(OR(AND('Soil results'!G$7="Olsen (ADAS)",'Soil results'!G26&lt;=15),AND('Soil results'!G$7="modified Morgan (SAC)",'Soil results'!G26&lt;=4.4)),
IF(H23*Calc!BM21*(I23/100)&lt;0.1*VLOOKUP(Calc!BI21,'Fertiliser recommendations'!$A$4:$I$63,9,FALSE),"no benefit",
IF(H23*Calc!BM21*(I23/100)&lt;0.3*VLOOKUP(Calc!BI21,'Fertiliser recommendations'!$A$4:$I$63,9,FALSE),"limited benefit",
IF(H23*Calc!BM21*(I23/100)&lt;1.1*J23,"benefit","excessive")))))))))))</f>
        <v/>
      </c>
      <c r="O23" s="91" t="str">
        <f ca="1">IF(B23="","",
IF(AND('Field information 2'!$O$5="", 'Field information 2'!$Q$5=""),
   IF('Waste results'!$S$19&lt;&gt;"data missing", Calc!BC21*'Waste results'!$S$19, "data missing"),
IF('Field information 2'!$Q$5="",
   IF(Calc!BD21=0,
     IF('Waste results'!$S$19&lt;&gt;"data missing", Calc!BC21*'Waste results'!$S$19, "data missing"),
   IF(Calc!BC21=0,
     IF('Waste results'!$S$55&lt;&gt;"data missing", Calc!BD21*'Waste results'!$S$55, "data missing"),
   IF(OR('Waste results'!$S$19&lt;&gt;"data missing", 'Waste results'!$S$55&lt;&gt;"data missing"), Calc!BC21*'Waste results'!$S$19+ Calc!BD21*'Waste results'!$S$55, "data missing"))),
IF(AND('Field information 2'!$M$5&lt;&gt;"", 'Field information 2'!$O$5&lt;&gt;"", 'Field information 2'!$Q$5&lt;&gt;""),
   IF(AND(Calc!BD21=0,Calc!BE21=0),
     IF('Waste results'!$S$19&lt;&gt;"data missing", Calc!BC21*'Waste results'!$S$19, "data missing"),
   IF(AND(Calc!BC21=0,Calc!BE21=0),
     IF('Waste results'!$S$55&lt;&gt;"data missing", Calc!BD21*'Waste results'!$S$55, "data missing"),
   IF(AND(Calc!BC21=0,Calc!BD21=0),
     IF('Waste results'!$S$91&lt;&gt;"data missing", Calc!BE21*'Waste results'!$S$91, "data missing"),
   IF(Calc!BE21=0,
     IF(OR('Waste results'!$S$19&lt;&gt;"data missing", 'Waste results'!$S$55&lt;&gt;"data missing"), Calc!BC21*'Waste results'!$S$19+ Calc!BD21*'Waste results'!$S$55, "data missing"),
   IF(Calc!BD21=0,
     IF(OR('Waste results'!$S$19&lt;&gt;"data missing", 'Waste results'!$S$91&lt;&gt;"data missing"), Calc!BC21*'Waste results'!$S$19+ Calc!BE21*'Waste results'!$S$91, "data missing"),
   IF(Calc!BC21=0,
     IF(OR('Waste results'!$S$55&lt;&gt;"data missing", 'Waste results'!$S$91&lt;&gt;"data missing"), Calc!BD21*'Waste results'!$S$55+Calc!BE21*'Waste results'!$S$91, "data missing"),
   IF(OR('Waste results'!$S$19&lt;&gt;"data missing", 'Waste results'!$S$55&lt;&gt;"data missing", 'Waste results'!$S$91&lt;&gt;"data missing"), Calc!BC21*'Waste results'!$S$19+Calc!BD21*'Waste results'!$S$55+ Calc!BE21*'Waste results'!$S$91, "data missing")))))))))))</f>
        <v/>
      </c>
      <c r="P23" s="91" t="str">
        <f ca="1">IF(B23="","",
IF(OR(ISBLANK('Soil results'!H$7),ISBLANK('Soil results'!H26)),"data missing",
IF(OR(AND('Soil results'!H$7="ammonium nitrate (ADAS)",'Soil results'!H26&gt;400),AND('Soil results'!H$7="modified Morgan (SAC)",'Soil results'!H26&gt;400)),0,
IF(OR(AND('Soil results'!H$7="ammonium nitrate (ADAS)",'Soil results'!H26&gt;=121,'Soil results'!H26&lt;=180),AND('Soil results'!H$7="modified Morgan (SAC)",'Soil results'!H26&gt;=76,'Soil results'!H26&lt;=140)),VLOOKUP(Calc!BI21,'Fertiliser recommendations'!$A$4:$Z$63,26,FALSE),
IF(OR(AND('Soil results'!H$7="ammonium nitrate (ADAS)",'Soil results'!H26&lt;61),AND('Soil results'!H$7="modified Morgan (SAC)",'Soil results'!H26&lt;40)),VLOOKUP(Calc!BI21,'Fertiliser recommendations'!$A$4:$Z$63,26,FALSE)+VLOOKUP(Calc!BI21,'Fertiliser recommendations'!$A$4:$AA$63,27,FALSE),
IF(OR(AND('Soil results'!H$7="ammonium nitrate (ADAS)",'Soil results'!H26&lt;121),AND('Soil results'!H$7="modified Morgan (SAC)",'Soil results'!H26&lt;76)),VLOOKUP(Calc!BI21,'Fertiliser recommendations'!$A$4:$Z$63,26,FALSE)+VLOOKUP(Calc!BI21,'Fertiliser recommendations'!$A$4:$AB$63,28,FALSE),
IF(OR(AND('Soil results'!H$7="ammonium nitrate (ADAS)",'Soil results'!H26&lt;241),AND('Soil results'!H$7="modified Morgan (SAC)",'Soil results'!H26&lt;201)),VLOOKUP(Calc!BI21,'Fertiliser recommendations'!$A$4:$Z$63,26,FALSE)+VLOOKUP(Calc!BI21,'Fertiliser recommendations'!$A$4:$AC$63,29,FALSE),
IF(OR(AND('Soil results'!H$7="ammonium nitrate (ADAS)",'Soil results'!H26&lt;=400),AND('Soil results'!H$7="modified Morgan (SAC)",'Soil results'!H26&lt;=400)),VLOOKUP(Calc!BI21,'Fertiliser recommendations'!$A$4:$Z$63,26,FALSE)+VLOOKUP(Calc!BI21,'Fertiliser recommendations'!$A$4:$AD$63,30,FALSE),
"??"))))))))</f>
        <v/>
      </c>
      <c r="Q23" s="91" t="str">
        <f t="shared" ca="1" si="2"/>
        <v/>
      </c>
      <c r="R23" s="9" t="str">
        <f ca="1">IF(B23="","",
IF(OR(O23="data missing",P23="data missing"),"data missing",
IF(Calc!BF21=0,"n/a",
IF(P23=0, "no requirement",
IF(O23&lt;0.1*P23,"no benefit",
IF(O23&lt;0.3*P23,"limited benefit",
IF(O23&gt;1.25*P23,"excessive",
"benefit")))))))</f>
        <v/>
      </c>
      <c r="T23" s="91" t="str">
        <f ca="1">IF(B23="","",
IF(AND('Field information 2'!$O$5="", 'Field information 2'!$Q$5=""),
   IF('Waste results'!$S$21&lt;&gt;"data missing", Calc!BC21*'Waste results'!$S$21, "data missing"),
IF('Field information 2'!$Q$5="",
   IF(Calc!BD21=0,
     IF('Waste results'!$S$21&lt;&gt;"data missing", Calc!BC21*'Waste results'!$S$21, "data missing"),
   IF(Calc!BC21=0,
     IF('Waste results'!$S$57&lt;&gt;"data missing", Calc!BD21*'Waste results'!$S$57, "data missing"),
   IF(OR('Waste results'!$S$21&lt;&gt;"data missing", 'Waste results'!$S$57&lt;&gt;"data missing"), Calc!BC21*'Waste results'!$S$21+ Calc!BD21*'Waste results'!$S$57, "data missing"))),
IF(AND('Field information 2'!$M$5&lt;&gt;"", 'Field information 2'!$O$5&lt;&gt;"", 'Field information 2'!$Q$5&lt;&gt;""),
   IF(AND(Calc!BD21=0,Calc!BE21=0),
     IF('Waste results'!$S$21&lt;&gt;"data missing", Calc!BC21*'Waste results'!$S$21, "data missing"),
   IF(AND(Calc!BC21=0,Calc!BE21=0),
     IF('Waste results'!$S$57&lt;&gt;"data missing", Calc!BD21*'Waste results'!$S$57, "data missing"),
   IF(AND(Calc!BC21=0,Calc!BD21=0),
     IF('Waste results'!$S$93&lt;&gt;"data missing", Calc!BE21*'Waste results'!$S$93, "data missing"),
   IF(Calc!BE21=0,
     IF(OR('Waste results'!$S$21&lt;&gt;"data missing", 'Waste results'!$S$57&lt;&gt;"data missing"), Calc!BC21*'Waste results'!$S$21+ Calc!BD21*'Waste results'!$S$57, "data missing"),
   IF(Calc!BD21=0,
     IF(OR('Waste results'!$S$21&lt;&gt;"data missing", 'Waste results'!$S$93&lt;&gt;"data missing"), Calc!BC21*'Waste results'!$S$21+ Calc!BE21*'Waste results'!$S$93, "data missing"),
   IF(Calc!BC21=0,
     IF(OR('Waste results'!$S$57&lt;&gt;"data missing", 'Waste results'!$S$93&lt;&gt;"data missing"), Calc!BD21*'Waste results'!$S$57+Calc!BE21*'Waste results'!$S$93, "data missing"),
   IF(OR('Waste results'!$S$21&lt;&gt;"data missing", 'Waste results'!$S$57&lt;&gt;"data missing", 'Waste results'!$S$93&lt;&gt;"data missing"), Calc!BC21*'Waste results'!$S$21+Calc!BD21*'Waste results'!$S$57+ Calc!BE21*'Waste results'!$S$93, "data missing")))))))))))</f>
        <v/>
      </c>
      <c r="U23" s="7" t="str">
        <f ca="1">IF(B23="","",
IF(OR(ISBLANK('Soil results'!I$7),ISBLANK('Soil results'!I26)),"data missing",
IF(OR(AND('Soil results'!I$7="ammonium nitrate (ADAS)",'Soil results'!I26&gt;51),AND('Soil results'!I$7="modified Morgan (SAC)",'Soil results'!I26&gt;61)),0,
IF(OR(AND('Soil results'!I$7="ammonium nitrate (ADAS)",'Soil results'!I26&lt;25),AND('Soil results'!I$7="modified Morgan (SAC)",'Soil results'!I26&lt;19)),VLOOKUP(Calc!BI21,'Fertiliser recommendations'!$A$4:$AH$63,34,FALSE),
IF(OR(AND('Soil results'!I$7="ammonium nitrate (ADAS)",'Soil results'!I26&lt;=51),AND('Soil results'!I$7="modified Morgan (SAC)",'Soil results'!I26&lt;=61)),VLOOKUP(Calc!BI21,'Fertiliser recommendations'!$A$4:$AI$63,35,FALSE),
"")))))</f>
        <v/>
      </c>
      <c r="V23" s="91" t="str">
        <f t="shared" ca="1" si="3"/>
        <v/>
      </c>
      <c r="W23" s="9" t="str">
        <f ca="1">IF(B23="","",
IF(OR(T23="data missing",U23="data missing"),"data missing",
IF(Calc!BF21=0,"n/a",
IF(U23=0,"no requirement",
IF(T23&lt;0.1*U23,"no benefit",
IF(T23&lt;0.3*U23,"limited benefit",
IF(OR(T23&gt;1.5*U23,AND(Calc!BJ21="g",T23&gt;100)),"excessive",
"benefit")))))))</f>
        <v/>
      </c>
      <c r="Y23" s="91" t="str">
        <f ca="1">IF(B23="","",
IF(AND('Field information 2'!$O$5="", 'Field information 2'!$Q$5=""),
   IF('Waste results'!$P$23&lt;&gt;"", Calc!BC21*'Waste results'!$P$23, "no data"),
IF('Field information 2'!$Q$5="",
   IF(Calc!BD21=0,
     IF('Waste results'!$P$23&lt;&gt;"", Calc!BC21*'Waste results'!$P$23, "no data"),
   IF(Calc!BC21=0,
     IF('Waste results'!$P$59&lt;&gt;"", Calc!BD21*'Waste results'!$P$59, "no data"),
   IF(OR('Waste results'!$P$23&lt;&gt;"", 'Waste results'!$P$59&lt;&gt;""), Calc!BC21*'Waste results'!$P$23+ Calc!BD21*'Waste results'!$P$59, "no data"))),
IF(AND('Field information 2'!$M$5&lt;&gt;"", 'Field information 2'!$O$5&lt;&gt;"", 'Field information 2'!$Q$5&lt;&gt;""),
   IF(AND(Calc!BD21=0,Calc!BE21=0),
     IF('Waste results'!$P$23&lt;&gt;"", Calc!BC21*'Waste results'!$P$23, "no data"),
   IF(AND(Calc!BC21=0,Calc!BE21=0),
     IF('Waste results'!$P$59&lt;&gt;"", Calc!BD21*'Waste results'!$P$59, "no data"),
   IF(AND(Calc!BC21=0,Calc!BD21=0),
     IF('Waste results'!$P$95&lt;&gt;"", Calc!BE21*'Waste results'!$P$95, "no data"),
   IF(Calc!BE21=0,
     IF(OR('Waste results'!$P$23&lt;&gt;"", 'Waste results'!$P$59&lt;&gt;""), Calc!BC21*'Waste results'!$P$23+ Calc!BD21*'Waste results'!$P$59, "no data"),
   IF(Calc!BD21=0,
     IF(OR('Waste results'!$P$23&lt;&gt;"", 'Waste results'!$P$95&lt;&gt;""), Calc!BC21*'Waste results'!$P$23+ Calc!BE21*'Waste results'!$P$95, "no data"),
   IF(Calc!BC21=0,
     IF(OR('Waste results'!$P$59&lt;&gt;"", 'Waste results'!$P$95&lt;&gt;""), Calc!BD21*'Waste results'!$P$59+Calc!BE21*'Waste results'!$P$95, "no data"),
   IF(OR('Waste results'!$P$23&lt;&gt;"", 'Waste results'!$P$59&lt;&gt;"", 'Waste results'!$P$95&lt;&gt;""), Calc!BC21*'Waste results'!$P$23+Calc!BD21*'Waste results'!$P$59+ Calc!BE21*'Waste results'!$P$95, "no data")))))))))))</f>
        <v/>
      </c>
      <c r="Z23" s="7" t="str">
        <f ca="1">IF(OR(ISBLANK('Soil results'!I$7),ISBLANK('Soil results'!I26),'Soil results'!B26=""),"",
VLOOKUP(Calc!BI21,'Fertiliser recommendations'!$A$4:$AM$63,39,FALSE))</f>
        <v/>
      </c>
      <c r="AA23" s="91" t="str">
        <f t="shared" ca="1" si="4"/>
        <v/>
      </c>
      <c r="AB23" s="9" t="str">
        <f t="shared" ca="1" si="5"/>
        <v/>
      </c>
      <c r="AD23" s="48" t="str">
        <f>IF(ISBLANK('Soil results'!F26),"",'Soil results'!F26)</f>
        <v/>
      </c>
      <c r="AE23" s="49" t="str">
        <f ca="1">IF(B23="","",
IF(AND(Calc!BJ21="g", VLOOKUP(LEFT($B23,LEN($B23)-2),'Field information 2'!$B$12:$P$111,9,FALSE)&lt;&gt;"yes"),
 IF(Calc!BG21="10-25% OM", 5.9, IF(Calc!BG21="&gt;25% OM", 5.5, 6.2)),
IF(OR(Calc!BJ21="a", VLOOKUP(LEFT($B23,LEN($B23)-2),'Field information 2'!$B$12:$P$111,9,FALSE)="yes"),
 IF(Calc!BG21="10-25% OM", 6.4, IF(Calc!BG21="&gt;25% OM", 6, 6.7)), "")))</f>
        <v/>
      </c>
      <c r="AF23" s="91" t="str">
        <f ca="1">IF(B23="","",
IF('Waste results'!$Q$33="","no (significant) liming properties",
IF('Waste results'!Q$33&gt;100,"no (significant) liming properties",
IF(AD23="","",
IF(AD23&gt;=AE23,0,ROUNDDOWN((AE23-AD23)*Calc!BK21*'Waste results'!$Q$33+0.2,0))))))</f>
        <v/>
      </c>
      <c r="AG23" s="9" t="str">
        <f ca="1">IF(B23="","",
IF(T23=0,"n/a",
IF(AD23="","data missing",
IF(AND(AD23&lt;5,AF23="no (significant) liming properties"),"no waste application - pH too low",
IF(AND(AD23&gt;5.1,AF23="no (significant) liming properties",Calc!BH21&gt;25, LEFT(Calc!BI21,4)="graz"),"ok",
IF(AND(AD23&lt;=5.2,AF23="no (significant) liming properties"),"liming highly recommended",
IF(AF23=0,"no waste application - liming not required",
IF(AF23&lt;Calc!BC21,"application rate too high - exceeds liming requirement",
"ok"))))))))</f>
        <v/>
      </c>
      <c r="AI23" s="91" t="str">
        <f ca="1">IF(B23="","",
IF(AND('Field information 2'!$O$5="", 'Field information 2'!$Q$5=""),
   IF('Waste results'!$P$10&lt;&gt;"data missing", Calc!BC21*'Waste results'!$P$10, "data missing"),
IF('Field information 2'!$Q$5="",
   IF(Calc!BD21=0,
     IF('Waste results'!$P$10&lt;&gt;"data missing", Calc!BC21*'Waste results'!$P$10, "data missing"),
   IF(Calc!BC21=0,
     IF('Waste results'!$P$45&lt;&gt;"data missing", Calc!BD21*'Waste results'!$P$45, "data missing"),
   IF(OR('Waste results'!$P$10&lt;&gt;"data missing", 'Waste results'!$P$45&lt;&gt;"data missing"), Calc!BC21*'Waste results'!$P$10+ Calc!BD21*'Waste results'!$P$45, "data missing"))),
IF(AND('Field information 2'!$M$5&lt;&gt;"", 'Field information 2'!$O$5&lt;&gt;"", 'Field information 2'!$Q$5&lt;&gt;""),
   IF(AND(Calc!BD21=0,Calc!BE21=0),
     IF('Waste results'!$P$10&lt;&gt;"data missing", Calc!BC21*'Waste results'!$P$10, "data missing"),
   IF(AND(Calc!BC21=0,Calc!BE21=0),
     IF('Waste results'!$P$45&lt;&gt;"data missing", Calc!BD21*'Waste results'!$P$45, "data missing"),
   IF(AND(Calc!BC21=0,Calc!BD21=0),
     IF('Waste results'!$P$82&lt;&gt;"data missing", Calc!BE21*'Waste results'!$P$82, "data missing"),
   IF(Calc!BE21=0,
     IF(OR('Waste results'!$P$10&lt;&gt;"data missing", 'Waste results'!$P$45&lt;&gt;"data missing"), Calc!BC21*'Waste results'!$P$10+ Calc!BD21*'Waste results'!$P$45, "data missing"),
   IF(Calc!BD21=0,
     IF(OR('Waste results'!$P$10&lt;&gt;"data missing", 'Waste results'!$P$82&lt;&gt;"data missing"), Calc!BC21*'Waste results'!$P$10+ Calc!BE21*'Waste results'!$P$82, "data missing"),
   IF(Calc!BC21=0,
     IF(OR('Waste results'!$P$45&lt;&gt;"data missing", 'Waste results'!$P$82&lt;&gt;"data missing"), Calc!BD21*'Waste results'!$P$45+Calc!BE21*'Waste results'!$P$82, "data missing"),
   IF(OR('Waste results'!$P$10&lt;&gt;"data missing", 'Waste results'!$P$45&lt;&gt;"data missing", 'Waste results'!$P$82&lt;&gt;"data missing"), Calc!BC21*'Waste results'!$P$10+Calc!BD21*'Waste results'!$P$45+ Calc!BE21*'Waste results'!$P$82, "data missing")))))))))))</f>
        <v/>
      </c>
      <c r="AJ23" s="237" t="str">
        <f ca="1">IF(B23="","",
IF(AI23="data missing","data missing",
IF(Calc!BF21=0,"n/a",
IF(AND(Calc!BH21&gt;=8,AI23&lt;500),"no benefit",
IF(OR(AND(Calc!BH21&lt;=4,AI23&gt;=500),AND(Calc!BH21&lt;8,AI23&gt;5000)),"benefit",
"limited benefit")))))</f>
        <v/>
      </c>
      <c r="AL23" s="238" t="str">
        <f ca="1">IF(B23="","",
IF(AND('Field information 2'!$O$5="", 'Field information 2'!$Q$5=""),
   IF('Waste results'!$S$25&lt;&gt;"data missing", Calc!BC21*'Waste results'!$S$25, "data missing"),
IF('Field information 2'!$Q$5="",
   IF(Calc!BD21=0,
     IF('Waste results'!$S$25&lt;&gt;"data missing", Calc!BC21*'Waste results'!$S$25, "data missing"),
   IF(Calc!BC21=0,
     IF('Waste results'!$S$61&lt;&gt;"data missing", Calc!BD21*'Waste results'!$S$61, "data missing"),
   IF(OR('Waste results'!$S$25&lt;&gt;"data missing", 'Waste results'!$S$61&lt;&gt;"data missing"), Calc!BC21*'Waste results'!$S$25+ Calc!BD21*'Waste results'!$S$61, "data missing"))),
IF(AND('Field information 2'!$M$5&lt;&gt;"", 'Field information 2'!$O$5&lt;&gt;"", 'Field information 2'!$Q$5&lt;&gt;""),
   IF(AND(Calc!BD21=0,Calc!BE21=0),
     IF('Waste results'!$S$25&lt;&gt;"data missing", Calc!BC21*'Waste results'!$S$25, "data missing"),
   IF(AND(Calc!BC21=0,Calc!BE21=0),
     IF('Waste results'!$S$61&lt;&gt;"data missing", Calc!BD21*'Waste results'!$S$61, "data missing"),
   IF(AND(Calc!BC21=0,Calc!BD21=0),
     IF('Waste results'!$S$97&lt;&gt;"data missing", Calc!BE21*'Waste results'!$S$97, "data missing"),
   IF(Calc!BE21=0,
     IF(OR('Waste results'!$S$25&lt;&gt;"data missing", 'Waste results'!$S$61&lt;&gt;"data missing"), Calc!BC21*'Waste results'!$S$25+ Calc!BD21*'Waste results'!$S$61, "data missing"),
   IF(Calc!BD21=0,
     IF(OR('Waste results'!$S$25&lt;&gt;"data missing", 'Waste results'!$S$97&lt;&gt;"data missing"), Calc!BC21*'Waste results'!$S$25+ Calc!BE21*'Waste results'!$S$97, "data missing"),
   IF(Calc!BC21=0,
     IF(OR('Waste results'!$S$61&lt;&gt;"data missing", 'Waste results'!$S$97&lt;&gt;"data missing"), Calc!BD21*'Waste results'!$S$61+Calc!BE21*'Waste results'!$S$97, "data missing"),
   IF(OR('Waste results'!$S$25&lt;&gt;"data missing", 'Waste results'!$S$61&lt;&gt;"data missing", 'Waste results'!$S$97&lt;&gt;"data missing"), Calc!BC21*'Waste results'!$S$25+Calc!BD21*'Waste results'!$S$61+ Calc!BE21*'Waste results'!$S$97, "data missing")))))))))))</f>
        <v/>
      </c>
      <c r="AM23" s="239" t="str">
        <f ca="1">IF($B23="","",
IF(ISBLANK('Soil results'!K26),"data missing",'Soil results'!K26))</f>
        <v/>
      </c>
      <c r="AN23" s="239" t="str">
        <f t="shared" ca="1" si="6"/>
        <v/>
      </c>
      <c r="AO23" s="9" t="str">
        <f t="shared" ca="1" si="7"/>
        <v/>
      </c>
      <c r="AQ23" s="240" t="str">
        <f ca="1">IF(B23="","",
IF(AND('Field information 2'!$O$5="", 'Field information 2'!$Q$5=""),
   IF('Waste results'!$S$26&lt;&gt;"data missing", Calc!BC21*'Waste results'!$S$26, "data missing"),
IF('Field information 2'!$Q$5="",
   IF(Calc!BD21=0,
     IF('Waste results'!$S$26&lt;&gt;"data missing", Calc!BC21*'Waste results'!$S$26, "data missing"),
   IF(Calc!BC21=0,
     IF('Waste results'!$S$62&lt;&gt;"data missing", Calc!BD21*'Waste results'!$S$62, "data missing"),
   IF(OR('Waste results'!$S$26&lt;&gt;"data missing", 'Waste results'!$S$62&lt;&gt;"data missing"), Calc!BC21*'Waste results'!$S$26+ Calc!BD21*'Waste results'!$S$62, "data missing"))),
IF(AND('Field information 2'!$M$5&lt;&gt;"", 'Field information 2'!$O$5&lt;&gt;"", 'Field information 2'!$Q$5&lt;&gt;""),
   IF(AND(Calc!BD21=0,Calc!BE21=0),
     IF('Waste results'!$S$26&lt;&gt;"data missing", Calc!BC21*'Waste results'!$S$26, "data missing"),
   IF(AND(Calc!BC21=0,Calc!BE21=0),
     IF('Waste results'!$S$62&lt;&gt;"data missing", Calc!BD21*'Waste results'!$S$62, "data missing"),
   IF(AND(Calc!BC21=0,Calc!BD21=0),
     IF('Waste results'!$S$98&lt;&gt;"data missing", Calc!BE21*'Waste results'!$S$98, "data missing"),
   IF(Calc!BE21=0,
     IF(OR('Waste results'!$S$26&lt;&gt;"data missing", 'Waste results'!$S$62&lt;&gt;"data missing"), Calc!BC21*'Waste results'!$S$26+ Calc!BD21*'Waste results'!$S$62, "data missing"),
   IF(Calc!BD21=0,
     IF(OR('Waste results'!$S$26&lt;&gt;"data missing", 'Waste results'!$S$98&lt;&gt;"data missing"), Calc!BC21*'Waste results'!$S$26+ Calc!BE21*'Waste results'!$S$98, "data missing"),
   IF(Calc!BC21=0,
     IF(OR('Waste results'!$S$62&lt;&gt;"data missing", 'Waste results'!$S$98&lt;&gt;"data missing"), Calc!BD21*'Waste results'!$S$62+Calc!BE21*'Waste results'!$S$98, "data missing"),
   IF(OR('Waste results'!$S$26&lt;&gt;"data missing", 'Waste results'!$S$62&lt;&gt;"data missing", 'Waste results'!$S$98&lt;&gt;"data missing"), Calc!BC21*'Waste results'!$S$26+Calc!BD21*'Waste results'!$S$62+ Calc!BE21*'Waste results'!$S$98, "data missing")))))))))))</f>
        <v/>
      </c>
      <c r="AR23" s="241" t="str">
        <f ca="1">IF($B23="","",
IF(ISBLANK('Soil results'!L26),"data missing",'Soil results'!L26))</f>
        <v/>
      </c>
      <c r="AS23" s="241" t="str">
        <f t="shared" ca="1" si="8"/>
        <v/>
      </c>
      <c r="AT23" s="66" t="str">
        <f t="shared" ca="1" si="9"/>
        <v/>
      </c>
      <c r="AV23" s="238" t="str">
        <f ca="1">IF(B23="","",
IF(AND('Field information 2'!$O$5="", 'Field information 2'!$Q$5=""),
   IF('Waste results'!$S$27&lt;&gt;"data missing", Calc!BC21*'Waste results'!$S$27, "data missing"),
IF('Field information 2'!$Q$5="",
   IF(Calc!BD21=0,
     IF('Waste results'!$S$27&lt;&gt;"data missing", Calc!BC21*'Waste results'!$S$27, "data missing"),
   IF(Calc!BC21=0,
     IF('Waste results'!$S$63&lt;&gt;"data missing", Calc!BD21*'Waste results'!$S$63, "data missing"),
   IF(OR('Waste results'!$S$27&lt;&gt;"data missing", 'Waste results'!$S$63&lt;&gt;"data missing"), Calc!BC21*'Waste results'!$S$27+ Calc!BD21*'Waste results'!$S$63, "data missing"))),
IF(AND('Field information 2'!$M$5&lt;&gt;"", 'Field information 2'!$O$5&lt;&gt;"", 'Field information 2'!$Q$5&lt;&gt;""),
   IF(AND(Calc!BD21=0,Calc!BE21=0),
     IF('Waste results'!$S$27&lt;&gt;"data missing", Calc!BC21*'Waste results'!$S$27, "data missing"),
   IF(AND(Calc!BC21=0,Calc!BE21=0),
     IF('Waste results'!$S$63&lt;&gt;"data missing", Calc!BD21*'Waste results'!$S$63, "data missing"),
   IF(AND(Calc!BC21=0,Calc!BD21=0),
     IF('Waste results'!$S$99&lt;&gt;"data missing", Calc!BE21*'Waste results'!$S$99, "data missing"),
   IF(Calc!BE21=0,
     IF(OR('Waste results'!$S$27&lt;&gt;"data missing", 'Waste results'!$S$63&lt;&gt;"data missing"), Calc!BC21*'Waste results'!$S$27+ Calc!BD21*'Waste results'!$S$63, "data missing"),
   IF(Calc!BD21=0,
     IF(OR('Waste results'!$S$27&lt;&gt;"data missing", 'Waste results'!$S$99&lt;&gt;"data missing"), Calc!BC21*'Waste results'!$S$27+ Calc!BE21*'Waste results'!$S$99, "data missing"),
   IF(Calc!BC21=0,
     IF(OR('Waste results'!$S$63&lt;&gt;"data missing", 'Waste results'!$S$99&lt;&gt;"data missing"), Calc!BD21*'Waste results'!$S$63+Calc!BE21*'Waste results'!$S$99, "data missing"),
   IF(OR('Waste results'!$S$27&lt;&gt;"data missing", 'Waste results'!$S$63&lt;&gt;"data missing", 'Waste results'!$S$99&lt;&gt;"data missing"), Calc!BC21*'Waste results'!$S$27+Calc!BD21*'Waste results'!$S$63+ Calc!BE21*'Waste results'!$S$99, "data missing")))))))))))</f>
        <v/>
      </c>
      <c r="AW23" s="239" t="str">
        <f ca="1">IF($B23="","",
IF(ISBLANK('Soil results'!M26),"data missing",'Soil results'!M26))</f>
        <v/>
      </c>
      <c r="AX23" s="239" t="str">
        <f t="shared" ca="1" si="10"/>
        <v/>
      </c>
      <c r="AY23" s="9" t="str">
        <f ca="1">IF(B23="","",
IF(AV23=0,"n/a",
IF(OR(AV23="data missing",AW23="data missing"),"data missing",
IF(AV23&gt;7.5,"application rate too high - permissible rate exceeds limit",
IF('Soil results'!$F26&lt;=5.5,
  IF(AW23&gt;80,"no application - soil conc. already above limit",
  IF(AX23&gt;80,"application rate too high - soil conc. will exceed limit",
  IF(AW23&gt;80*0.9,"soil conc. is at or above 90% of the limit",
  IF(10*AV23*1000/3000+AW23&gt;80,"soil limit likely to be exceeded in 10yrs",
  IF(50*AV23*1000/3000+AW23&gt;80,"soil limit likely to be exceeded in 50yrs","ok"))))),
IF('Soil results'!$F26&lt;=6,
  IF(AW23&gt;100,"no application - soil conc. already above limit",
  IF(AX23&gt;100,"application rate too high - soil conc. will exceed limit",
  IF(AW23&gt;100*0.9,"soil conc. is at or above 90% of the limit",
  IF(10*AV23*1000/3000+AW23&gt;100,"soil limit likely to be exceeded in 10yrs",
  IF(50*AV23*1000/3000+AW23&gt;100,"soil limit likely to be exceeded in 50yrs","ok"))))),
IF('Soil results'!$F26&lt;=7,
  IF(AW23&gt;135,"no application - soil conc. already above limit",
  IF(AX23&gt;135,"application rate too high - soil conc. will exceed limit",
  IF(AW23&gt;135*0.9,"soil conc. is at or above 90% of the limit",
  IF(10*AV23*1000/3000+AW23&gt;135,"soil limit likely to be exceeded in 10yrs",
  IF(50*AV23*1000/3000+AW23&gt;135,"soil limit likely to be exceeded in 50yrs","ok"))))),
IF('Soil results'!$F26&gt;7,
  IF(AW23&gt;200,"no application - soil conc. already above limit",
  IF(AX23&gt;200,"application too high - soil conc. will exceed limit",
  IF(AW23&gt;200*0.9,"soil conc. is at or above 90% of the limit",
  IF(10*AV23*1000/3000+AW23&gt;200,"soil limit likely to be exceeded in 10yrs",
  IF(50*AV23*1000/3000+AW23&gt;200,"soil limit likely to be exceeded in 50yrs","ok")))))
))))))))</f>
        <v/>
      </c>
      <c r="BA23" s="238" t="str">
        <f ca="1">IF(B23="","",
IF(AND('Field information 2'!$O$5="", 'Field information 2'!$Q$5=""),
   IF('Waste results'!$S$28&lt;&gt;"data missing", Calc!BC21*'Waste results'!$S$28, "data missing"),
IF('Field information 2'!$Q$5="",
   IF(Calc!BD21=0,
     IF('Waste results'!$S$28&lt;&gt;"data missing", Calc!BC21*'Waste results'!$S$28, "data missing"),
   IF(Calc!BC21=0,
     IF('Waste results'!$S$64&lt;&gt;"data missing", Calc!BD21*'Waste results'!$S$64, "data missing"),
   IF(OR('Waste results'!$S$28&lt;&gt;"data missing", 'Waste results'!$S$64&lt;&gt;"data missing"), Calc!BC21*'Waste results'!$S$28+ Calc!BD21*'Waste results'!$S$64, "data missing"))),
IF(AND('Field information 2'!$M$5&lt;&gt;"", 'Field information 2'!$O$5&lt;&gt;"", 'Field information 2'!$Q$5&lt;&gt;""),
   IF(AND(Calc!BD21=0,Calc!BE21=0),
     IF('Waste results'!$S$28&lt;&gt;"data missing", Calc!BC21*'Waste results'!$S$28, "data missing"),
   IF(AND(Calc!BC21=0,Calc!BE21=0),
     IF('Waste results'!$S$64&lt;&gt;"data missing", Calc!BD21*'Waste results'!$S$64, "data missing"),
   IF(AND(Calc!BC21=0,Calc!BD21=0),
     IF('Waste results'!$S$100&lt;&gt;"data missing", Calc!BE21*'Waste results'!$S$100, "data missing"),
   IF(Calc!BE21=0,
     IF(OR('Waste results'!$S$28&lt;&gt;"data missing", 'Waste results'!$S$64&lt;&gt;"data missing"), Calc!BC21*'Waste results'!$S$28+ Calc!BD21*'Waste results'!$S$64, "data missing"),
   IF(Calc!BD21=0,
     IF(OR('Waste results'!$S$28&lt;&gt;"data missing", 'Waste results'!$S$100&lt;&gt;"data missing"), Calc!BC21*'Waste results'!$S$28+ Calc!BE21*'Waste results'!$S$100, "data missing"),
   IF(Calc!BC21=0,
     IF(OR('Waste results'!$S$64&lt;&gt;"data missing", 'Waste results'!$S$100&lt;&gt;"data missing"), Calc!BD21*'Waste results'!$S$64+Calc!BE21*'Waste results'!$S$100, "data missing"),
   IF(OR('Waste results'!$S$28&lt;&gt;"data missing", 'Waste results'!$S$64&lt;&gt;"data missing", 'Waste results'!$S$100&lt;&gt;"data missing"), Calc!BC21*'Waste results'!$S$28+Calc!BD21*'Waste results'!$S$64+ Calc!BE21*'Waste results'!$S$100, "data missing")))))))))))</f>
        <v/>
      </c>
      <c r="BB23" s="239" t="str">
        <f ca="1">IF($B23="","",
IF(ISBLANK('Soil results'!N26),"data missing",'Soil results'!N26))</f>
        <v/>
      </c>
      <c r="BC23" s="239" t="str">
        <f t="shared" ca="1" si="11"/>
        <v/>
      </c>
      <c r="BD23" s="9" t="str">
        <f t="shared" ca="1" si="12"/>
        <v/>
      </c>
      <c r="BF23" s="238" t="str">
        <f ca="1">IF(B23="","",
IF(AND('Field information 2'!$O$5="", 'Field information 2'!$Q$5=""),
   IF('Waste results'!$S$29&lt;&gt;"data missing", Calc!BC21*'Waste results'!$S$29, "data missing"),
IF('Field information 2'!$Q$5="",
   IF(Calc!BD21=0,
     IF('Waste results'!$S$29&lt;&gt;"data missing", Calc!BC21*'Waste results'!$S$29, "data missing"),
   IF(Calc!BC21=0,
     IF('Waste results'!$S$65&lt;&gt;"data missing", Calc!BD21*'Waste results'!$S$65, "data missing"),
   IF(OR('Waste results'!$S$29&lt;&gt;"data missing", 'Waste results'!$S$65&lt;&gt;"data missing"), Calc!BC21*'Waste results'!$S$29+ Calc!BD21*'Waste results'!$S$65, "data missing"))),
IF(AND('Field information 2'!$M$5&lt;&gt;"", 'Field information 2'!$O$5&lt;&gt;"", 'Field information 2'!$Q$5&lt;&gt;""),
   IF(AND(Calc!BD21=0,Calc!BE21=0),
     IF('Waste results'!$S$29&lt;&gt;"data missing", Calc!BC21*'Waste results'!$S$29, "data missing"),
   IF(AND(Calc!BC21=0,Calc!BE21=0),
     IF('Waste results'!$S$65&lt;&gt;"data missing", Calc!BD21*'Waste results'!$S$65, "data missing"),
   IF(AND(Calc!BC21=0,Calc!BD21=0),
     IF('Waste results'!$S$101&lt;&gt;"data missing", Calc!BE21*'Waste results'!$S$101, "data missing"),
   IF(Calc!BE21=0,
     IF(OR('Waste results'!$S$29&lt;&gt;"data missing", 'Waste results'!$S$65&lt;&gt;"data missing"), Calc!BC21*'Waste results'!$S$29+ Calc!BD21*'Waste results'!$S$65, "data missing"),
   IF(Calc!BD21=0,
     IF(OR('Waste results'!$S$29&lt;&gt;"data missing", 'Waste results'!$S$101&lt;&gt;"data missing"), Calc!BC21*'Waste results'!$S$29+ Calc!BE21*'Waste results'!$S$101, "data missing"),
   IF(Calc!BC21=0,
     IF(OR('Waste results'!$S$65&lt;&gt;"data missing", 'Waste results'!$S$101&lt;&gt;"data missing"), Calc!BD21*'Waste results'!$S$65+Calc!BE21*'Waste results'!$S$101, "data missing"),
   IF(OR('Waste results'!$S$29&lt;&gt;"data missing", 'Waste results'!$S$65&lt;&gt;"data missing", 'Waste results'!$S$101&lt;&gt;"data missing"), Calc!BC21*'Waste results'!$S$29+Calc!BD21*'Waste results'!$S$65+ Calc!BE21*'Waste results'!$S$101, "data missing")))))))))))</f>
        <v/>
      </c>
      <c r="BG23" s="239" t="str">
        <f ca="1">IF($B23="","",
IF(ISBLANK('Soil results'!O26),"data missing",'Soil results'!O26))</f>
        <v/>
      </c>
      <c r="BH23" s="239" t="str">
        <f t="shared" ca="1" si="13"/>
        <v/>
      </c>
      <c r="BI23" s="9" t="str">
        <f ca="1">IF(B23="","",
IF(BF23=0,"n/a",
IF(OR(BF23="data missing",BG23="data missing"),"data missing",
IF(BF23&gt;3,"application rate too high - permissible rate exceeds limit",
IF('Soil results'!F26&lt;=5.5,
  IF(BG23&gt;50,"no application - soil conc. already above limit",
  IF(BH23&gt;50,"application rate too high - soil conc. will exceed limit",
  IF(BG23&gt;50*0.9,"soil conc. is at or above 90% of the limit",
  IF(10*BF23*1000/3000+BG23&gt;50,"soil limit likely to be exceeded in 10yrs",
  IF(50*BF23*1000/3000+BG23&gt;50,"soil limit likely to be exceeded in 50yrs","ok"))))),
IF('Soil results'!F26&lt;=6,
  IF(BG23&gt;60,"no application - soil conc. already above limit",
  IF(BH23&gt;60,"application rate too high - soil conc. will exceed limit",
  IF(BG23&gt;60*0.9,"soil conc. is at or above 90% of the limit",
  IF(10*BF23*1000/3000+BG23&gt;60,"soil limit likely to be exceeded in 10yrs",
  IF(50*BF23*1000/3000+BG23&gt;60,"soil limit likely to be exceeded in 50yrs","ok"))))),
IF('Soil results'!F26&lt;=7,
  IF(BG23&gt;75,"no application - soil conc. already above limit",
  IF(BH23&gt;75,"application rate too high - soil conc. will exceed limit",
  IF(BG23&gt;75*0.9,"soil conc. is at or above 90% of the limit",
  IF(10*BF23*1000/3000+BG23&gt;75,"soil limit likely to be exceeded in 10yrs",
  IF(50*BF23*1000/3000+BG23&gt;75,"soil limit likely to be exceeded in 50yrs","ok"))))),
IF('Soil results'!F26&gt;7,
  IF(BG23&gt;100,"no application - soil conc. already above limit",
  IF(BH23&gt;100,"application rate too high - soil conc. will exceed limit",
  IF(BG23&gt;100*0.9,"soil conc. is at or above 90% of the limit",
  IF(10*BF23*1000/3000+BG23&gt;100,"soil limit likely to be exceeded in 10yrs",
  IF(50*BF23*1000/3000+BG23&gt;100,"soil limit likely to beexceeded in 50yrs","ok")))))
))))))))</f>
        <v/>
      </c>
      <c r="BK23" s="240" t="str">
        <f ca="1">IF(B23="","",
IF(AND('Field information 2'!$O$5="", 'Field information 2'!$Q$5=""),
   IF('Waste results'!$S$30&lt;&gt;"data missing", Calc!BC21*'Waste results'!$S$30, "data missing"),
IF('Field information 2'!$Q$5="",
   IF(Calc!BD21=0,
     IF('Waste results'!$S$30&lt;&gt;"data missing", Calc!BC21*'Waste results'!$S$30, "data missing"),
   IF(Calc!BC21=0,
     IF('Waste results'!$S$66&lt;&gt;"data missing", Calc!BD21*'Waste results'!$S$66, "data missing"),
   IF(OR('Waste results'!$S$30&lt;&gt;"data missing", 'Waste results'!$S$66&lt;&gt;"data missing"), Calc!BC21*'Waste results'!$S$30+ Calc!BD21*'Waste results'!$S$66, "data missing"))),
IF(AND('Field information 2'!$M$5&lt;&gt;"", 'Field information 2'!$O$5&lt;&gt;"", 'Field information 2'!$Q$5&lt;&gt;""),
   IF(AND(Calc!BD21=0,Calc!BE21=0),
     IF('Waste results'!$S$30&lt;&gt;"data missing", Calc!BC21*'Waste results'!$S$30, "data missing"),
   IF(AND(Calc!BC21=0,Calc!BE21=0),
     IF('Waste results'!$S$66&lt;&gt;"data missing", Calc!BD21*'Waste results'!$S$66, "data missing"),
   IF(AND(Calc!BC21=0,Calc!BD21=0),
     IF('Waste results'!$S$102&lt;&gt;"data missing", Calc!BE21*'Waste results'!$S$102, "data missing"),
   IF(Calc!BE21=0,
     IF(OR('Waste results'!$S$30&lt;&gt;"data missing", 'Waste results'!$S$66&lt;&gt;"data missing"), Calc!BC21*'Waste results'!$S$30+ Calc!BD21*'Waste results'!$S$66, "data missing"),
   IF(Calc!BD21=0,
     IF(OR('Waste results'!$S$30&lt;&gt;"data missing", 'Waste results'!$S$102&lt;&gt;"data missing"), Calc!BC21*'Waste results'!$S$30+ Calc!BE21*'Waste results'!$S$102, "data missing"),
   IF(Calc!BC21=0,
     IF(OR('Waste results'!$S$66&lt;&gt;"data missing", 'Waste results'!$S$102&lt;&gt;"data missing"), Calc!BD21*'Waste results'!$S$66+Calc!BE21*'Waste results'!$S$102, "data missing"),
   IF(OR('Waste results'!$S$30&lt;&gt;"data missing", 'Waste results'!$S$66&lt;&gt;"data missing", 'Waste results'!$S$102&lt;&gt;"data missing"), Calc!BC21*'Waste results'!$S$30+Calc!BD21*'Waste results'!$S$66+ Calc!BE21*'Waste results'!$S$102, "data missing")))))))))))</f>
        <v/>
      </c>
      <c r="BL23" s="241" t="str">
        <f ca="1">IF($B23="","",
IF(ISBLANK('Soil results'!P26),"data missing",'Soil results'!P26))</f>
        <v/>
      </c>
      <c r="BM23" s="241" t="str">
        <f t="shared" ca="1" si="14"/>
        <v/>
      </c>
      <c r="BN23" s="66" t="str">
        <f t="shared" ca="1" si="15"/>
        <v/>
      </c>
      <c r="BP23" s="238" t="str">
        <f ca="1">IF(B23="","",
IF(AND('Field information 2'!$O$5="", 'Field information 2'!$Q$5=""),
   IF('Waste results'!$S$31&lt;&gt;"data missing", Calc!BC21*'Waste results'!$S$31, "data missing"),
IF('Field information 2'!$Q$5="",
   IF(Calc!BD21=0,
     IF('Waste results'!$S$31&lt;&gt;"data missing", Calc!BC21*'Waste results'!$S$31, "data missing"),
   IF(Calc!BC21=0,
     IF('Waste results'!$S$67&lt;&gt;"data missing", Calc!BD21*'Waste results'!$S$67, "data missing"),
   IF(OR('Waste results'!$S$31&lt;&gt;"data missing", 'Waste results'!$S$67&lt;&gt;"data missing"), Calc!BC21*'Waste results'!$S$31+ Calc!BD21*'Waste results'!$S$67, "data missing"))),
IF(AND('Field information 2'!$M$5&lt;&gt;"", 'Field information 2'!$O$5&lt;&gt;"", 'Field information 2'!$Q$5&lt;&gt;""),
   IF(AND(Calc!BD21=0,Calc!BE21=0),
     IF('Waste results'!$S$31&lt;&gt;"data missing", Calc!BC21*'Waste results'!$S$31, "data missing"),
   IF(AND(Calc!BC21=0,Calc!BE21=0),
     IF('Waste results'!$S$67&lt;&gt;"data missing", Calc!BD21*'Waste results'!$S$67, "data missing"),
   IF(AND(Calc!BC21=0,Calc!BD21=0),
     IF('Waste results'!$S$103&lt;&gt;"data missing", Calc!BE21*'Waste results'!$S$103, "data missing"),
   IF(Calc!BE21=0,
     IF(OR('Waste results'!$S$31&lt;&gt;"data missing", 'Waste results'!$S$67&lt;&gt;"data missing"), Calc!BC21*'Waste results'!$S$31+ Calc!BD21*'Waste results'!$S$67, "data missing"),
   IF(Calc!BD21=0,
     IF(OR('Waste results'!$S$31&lt;&gt;"data missing", 'Waste results'!$S$103&lt;&gt;"data missing"), Calc!BC21*'Waste results'!$S$31+ Calc!BE21*'Waste results'!$S$103, "data missing"),
   IF(Calc!BC21=0,
     IF(OR('Waste results'!$S$67&lt;&gt;"data missing", 'Waste results'!$S$103&lt;&gt;"data missing"), Calc!BD21*'Waste results'!$S$67+Calc!BE21*'Waste results'!$S$103, "data missing"),
   IF(OR('Waste results'!$S$31&lt;&gt;"data missing", 'Waste results'!$S$67&lt;&gt;"data missing", 'Waste results'!$S$103&lt;&gt;"data missing"), Calc!BC21*'Waste results'!$S$31+Calc!BD21*'Waste results'!$S$67+ Calc!BE21*'Waste results'!$S$103, "data missing")))))))))))</f>
        <v/>
      </c>
      <c r="BQ23" s="239" t="str">
        <f ca="1">IF($B23="","",
IF(ISBLANK('Soil results'!Q26),"data missing",'Soil results'!Q26))</f>
        <v/>
      </c>
      <c r="BR23" s="239" t="str">
        <f t="shared" ca="1" si="16"/>
        <v/>
      </c>
      <c r="BS23" s="9" t="str">
        <f ca="1">IF(B23="","",
IF(BP23=0,"n/a",
IF(OR(BP23="data missing",BQ23=""),"data missing",
IF(BP23&gt;15,"application rate too high - permissible rate exceeds limit",
IF('Soil results'!F26&lt;=5.5,
  IF(BQ23&gt;200,"no application - soil conc. already above limit",
  IF(BR23&gt;200,"application rate too high - soil conc. will exceed limit",
  IF(BQ23&gt;200*0.9,"soil conc. is at or above 90% of the limit",
  IF(10*BP23*1000/3000+BQ23&gt;200,"soil limit likely to be exceeded in 10yrs",
  IF(50*BP23*1000/3000+BQ23&gt;200,"soil limit likely to be exceeded in 50yrs","ok"))))),
IF('Soil results'!F26&lt;=6,
  IF(BQ23&gt;250,"no application - soil conc. already above limit",
  IF(BR23&gt;250,"application rate too high - soil conc. will exceed limit",
  IF(BQ23&gt;250*0.9,"soil conc. is at or above 90% of the limit",
  IF(10*BP23*1000/3000+BQ23&gt;250,"soil limit likely to be exceeded in 10yrs",
  IF(50*BP23*1000/3000+BQ23&gt;250,"soil limit likely to be exceeded in 50yrs","ok"))))),
IF('Soil results'!F26&lt;=7,
  IF(BQ23&gt;300,"no application - soil conc. already above limit",
  IF(BR23&gt;300,"application rate too high - soil conc. will exceed limit",
  IF(BQ23&gt;300*0.9,"soil conc. is at or above 90% of the limit",
  IF(10*BP23*1000/3000+BQ23&gt;300,"soil limit likey to be exceeded in 10yrs",
  IF(50*BP23*1000/3000+BQ23&gt;300,"soil limit likely to be exceeded in 50yrs","ok"))))),
IF('Soil results'!F26&gt;7,
  IF(BQ23&gt;450,"no application - soil conc. already above limit",
  IF(BR23&gt;450,"application rate too high - soil conc. will exceed limit",
  IF(AW23&gt;450*0.9,"soil conc. is at or above 90% of the limit",
  IF(10*BP23*1000/3000+BQ23&gt;450,"soil limit likely to be exceeded in 10yrs",
  IF(50*BP23*1000/3000+BQ23&gt;450,"soil limit likely to be exceeded in 50yrs","ok")))))
))))))))</f>
        <v/>
      </c>
    </row>
    <row r="24" spans="2:71" s="9" customFormat="1" x14ac:dyDescent="0.35">
      <c r="B24" s="236" t="str">
        <f ca="1">'Soil results'!B27</f>
        <v/>
      </c>
      <c r="C24" s="91" t="str">
        <f ca="1">IF(B24="","",
IF(AND('Field information 2'!$O$5="", 'Field information 2'!$Q$5=""),
   IF('Waste results'!$S$12&lt;&gt;"data missing", Calc!BC22*'Waste results'!$S$12, "data missing"),
IF('Field information 2'!$Q$5="",
   IF(Calc!BD22=0,
     IF('Waste results'!$S$12&lt;&gt;"data missing", Calc!BC22*'Waste results'!$S$12, "data missing"),
   IF(Calc!BC22=0,
     IF('Waste results'!$S$48&lt;&gt;"data missing", Calc!BD22*'Waste results'!$S$48, "data missing"),
   IF(OR('Waste results'!$S$12&lt;&gt;"data missing", 'Waste results'!$S$48&lt;&gt;"data missing"), Calc!BC22*'Waste results'!$S$12+ Calc!BD22*'Waste results'!$S$48, "data missing"))),
IF(AND('Field information 2'!$M$5&lt;&gt;"", 'Field information 2'!$O$5&lt;&gt;"", 'Field information 2'!$Q$5&lt;&gt;""),
   IF(AND(Calc!BD22=0,Calc!BE22=0),
     IF('Waste results'!$S$12&lt;&gt;"data missing", Calc!BC22*'Waste results'!$S$12, "data missing"),
   IF(AND(Calc!BC22=0,Calc!BE22=0),
     IF('Waste results'!$S$48&lt;&gt;"data missing", Calc!BD22*'Waste results'!$S$48, "data missing"),
   IF(AND(Calc!BC22=0,Calc!BD22=0),
     IF('Waste results'!$S$84&lt;&gt;"data missing", Calc!BE22*'Waste results'!$S$84, "data missing"),
   IF(Calc!BE22=0,
     IF(OR('Waste results'!$S$12&lt;&gt;"data missing", 'Waste results'!$S$48&lt;&gt;"data missing"), Calc!BC22*'Waste results'!$S$12+ Calc!BD22*'Waste results'!$S$48, "data missing"),
   IF(Calc!BD22=0,
     IF(OR('Waste results'!$S$12&lt;&gt;"data missing", 'Waste results'!$S$84&lt;&gt;"data missing"), Calc!BC22*'Waste results'!$S$12+ Calc!BE22*'Waste results'!$S$84, "data missing"),
   IF(Calc!BC22=0,
     IF(OR('Waste results'!$S$48&lt;&gt;"data missing", 'Waste results'!$S$84&lt;&gt;"data missing"), Calc!BD22*'Waste results'!$S$48+Calc!BE22*'Waste results'!$S$84, "data missing"),
   IF(OR('Waste results'!$S$12&lt;&gt;"data missing", 'Waste results'!$S$48&lt;&gt;"data missing", 'Waste results'!$S$84&lt;&gt;"data missing"), Calc!BC22*'Waste results'!$S$12+Calc!BD22*'Waste results'!$S$48+ Calc!BE22*'Waste results'!$S$84, "data missing")))))))))))</f>
        <v/>
      </c>
      <c r="D24" s="161" t="str">
        <f ca="1">IF(B24="","",
IF(Calc!BG22="","soil texture missing",
IF(OR(Calc!BG22="SL; SZL; ZL",Calc!BG22="SCL; CL; ZCL; SC; ZC; C"),VLOOKUP(Calc!BI22,'Fertiliser recommendations'!$A$4:$C$63,3,FALSE),
IF(Calc!BG22="S; LS",VLOOKUP(Calc!BI22,'Fertiliser recommendations'!$A$4:$C$63,3,FALSE)+VLOOKUP(Calc!BI22,'Fertiliser recommendations'!$A$4:$D$63,4,FALSE),
IF(Calc!BG22="10-25% OM",VLOOKUP(Calc!BI22,'Fertiliser recommendations'!$A$4:$C$63,3,FALSE)+VLOOKUP(Calc!BI22,'Fertiliser recommendations'!$A$4:$E$63,5,FALSE),
IF(Calc!BG22="&gt;25% OM",VLOOKUP(Calc!BI22,'Fertiliser recommendations'!$A$4:$C$63,3,FALSE)+VLOOKUP(Calc!BI22,'Fertiliser recommendations'!$A$4:$F$63,6,FALSE),
""))))))</f>
        <v/>
      </c>
      <c r="E24" s="91" t="str">
        <f t="shared" ca="1" si="0"/>
        <v/>
      </c>
      <c r="F24" s="9" t="str">
        <f ca="1">IF(B24="","",
IF(OR(C24="data missing",D24="soil texture missing"),"data missing",
IF(Calc!BF22=0,"n/a",
IF(C24&lt;0.1*D24,"no benefit",
IF(C24&lt;0.3*D24,"limited benefit",
IF(C24&gt;250,"exceeds limit",
IF(OR(AND(D24=0,C24&gt;75),C24&gt;1.25*D24),"excessive",
IF(D24=0, "no requirement",
"benefit"))))))))</f>
        <v/>
      </c>
      <c r="H24" s="91" t="str">
        <f ca="1">IF(B24="","",
IF(AND('Field information 2'!$O$5="", 'Field information 2'!$Q$5=""),
   IF('Waste results'!$S$17&lt;&gt;"data missing", Calc!BC22*'Waste results'!$S$17, "data missing"),
IF('Field information 2'!$Q$5="",
   IF(Calc!BD22=0,
     IF('Waste results'!$S$17&lt;&gt;"data missing", Calc!BC22*'Waste results'!$S$17, "data missing"),
   IF(Calc!BC22=0,
     IF('Waste results'!$S$53&lt;&gt;"data missing", Calc!BD22*'Waste results'!$S$53, "data missing"),
   IF(OR('Waste results'!$S$17&lt;&gt;"data missing", 'Waste results'!$S$53&lt;&gt;"data missing"), Calc!BC22*'Waste results'!$S$17+ Calc!BD22*'Waste results'!$S$53, "data missing"))),
IF(AND('Field information 2'!$M$5&lt;&gt;"", 'Field information 2'!$O$5&lt;&gt;"", 'Field information 2'!$Q$5&lt;&gt;""),
   IF(AND(Calc!BD22=0,Calc!BE22=0),
     IF('Waste results'!$S$17&lt;&gt;"data missing", Calc!BC22*'Waste results'!$S$17, "data missing"),
   IF(AND(Calc!BC22=0,Calc!BE22=0),
     IF('Waste results'!$S$53&lt;&gt;"data missing", Calc!BD22*'Waste results'!$S$53, "data missing"),
   IF(AND(Calc!BC22=0,Calc!BD22=0),
     IF('Waste results'!$S$89&lt;&gt;"data missing", Calc!BE22*'Waste results'!$S$89, "data missing"),
   IF(Calc!BE22=0,
     IF(OR('Waste results'!$S$17&lt;&gt;"data missing", 'Waste results'!$S$53&lt;&gt;"data missing"), Calc!BC22*'Waste results'!$S$17+ Calc!BD22*'Waste results'!$S$53, "data missing"),
   IF(Calc!BD22=0,
     IF(OR('Waste results'!$S$17&lt;&gt;"data missing", 'Waste results'!$S$89&lt;&gt;"data missing"), Calc!BC22*'Waste results'!$S$17+ Calc!BE22*'Waste results'!$S$89, "data missing"),
   IF(Calc!BC22=0,
     IF(OR('Waste results'!$S$53&lt;&gt;"data missing", 'Waste results'!$S$89&lt;&gt;"data missing"), Calc!BD22*'Waste results'!$S$53+Calc!BE22*'Waste results'!$S$89, "data missing"),
   IF(OR('Waste results'!$S$17&lt;&gt;"data missing", 'Waste results'!$S$53&lt;&gt;"data missing", 'Waste results'!$S$89&lt;&gt;"data missing"), Calc!BC22*'Waste results'!$S$17+Calc!BD22*'Waste results'!$S$53+ Calc!BE22*'Waste results'!$S$89, "data missing")))))))))))</f>
        <v/>
      </c>
      <c r="I24" s="195" t="str">
        <f ca="1">IF(B24="","",
IF(OR(ISBLANK('Soil results'!G27), ISBLANK('Soil results'!G$7)),"data missing",
IF(OR(AND('Soil results'!G$7="Olsen (ADAS)",'Soil results'!G27&lt;16),AND('Soil results'!G$7="modified Morgan (SAC)",'Soil results'!G27&lt;4.5)),50,100)))</f>
        <v/>
      </c>
      <c r="J24" s="49" t="str">
        <f ca="1">IF(B24="","",
IF(OR(ISBLANK('Soil results'!G$7),ISBLANK('Soil results'!G27)),"data missing",
IF(OR(AND('Soil results'!G$7="Olsen (ADAS)",'Soil results'!G27&gt;45),AND('Soil results'!G$7="modified Morgan (SAC)",'Soil results'!G27&gt;30)),0,
IF(OR(AND('Soil results'!G$7="Olsen (ADAS)",'Soil results'!G27&gt;=16,'Soil results'!G27&lt;=20),AND('Soil results'!G$7="modified Morgan (SAC)",'Soil results'!G27&gt;=4.5,'Soil results'!G27&lt;=9.4)),VLOOKUP(Calc!BI22,'Fertiliser recommendations'!$A$4:$I$63,9,FALSE),
IF(OR(AND('Soil results'!G$7="Olsen (ADAS)",'Soil results'!G27&lt;10),AND('Soil results'!G$7="modified Morgan (SAC)",'Soil results'!G27&lt;1.8)),VLOOKUP(Calc!BI22,'Fertiliser recommendations'!$A$4:$I$63,9,FALSE)+VLOOKUP(Calc!BI22,'Fertiliser recommendations'!$A$4:$J$63,10,FALSE),
IF(OR(AND('Soil results'!G$7="Olsen (ADAS)",'Soil results'!G27&lt;16),AND('Soil results'!G$7="modified Morgan (SAC)",'Soil results'!G27&lt;4.5)),VLOOKUP(Calc!BI22,'Fertiliser recommendations'!$A$4:$I$63,9,FALSE)+VLOOKUP(Calc!BI22,'Fertiliser recommendations'!$A$4:$K$63,11,FALSE),
IF(OR(AND('Soil results'!G$7="Olsen (ADAS)",'Soil results'!G27&lt;26),AND('Soil results'!G$7="modified Morgan (SAC)",'Soil results'!G27&lt;13.5)),VLOOKUP(Calc!BI22,'Fertiliser recommendations'!$A$4:$I$63,9,FALSE)+VLOOKUP(Calc!BI22,'Fertiliser recommendations'!$A$4:$L$63,12,FALSE),
IF(OR(AND('Soil results'!G$7="Olsen (ADAS)",'Soil results'!G27&lt;=45),AND('Soil results'!G$7="modified Morgan (SAC)",'Soil results'!G27&lt;=30)),VLOOKUP(Calc!BI22,'Fertiliser recommendations'!$A$4:$I$63,9,FALSE)+VLOOKUP(Calc!BI22,'Fertiliser recommendations'!$A$4:$M$63,13,FALSE),
""))))))))</f>
        <v/>
      </c>
      <c r="K24" s="161" t="str">
        <f t="shared" ca="1" si="1"/>
        <v/>
      </c>
      <c r="L24" s="47" t="str">
        <f ca="1">IF(OR(ISBLANK('Soil results'!G$7),ISBLANK('Soil results'!G27),B24="", H24="data missing"),"",
IF('Soil results'!G$7="Olsen (ADAS)",
IF(((H24*Calc!BM22/2.291-(VLOOKUP(Calc!BI22,'Fertiliser recommendations'!$A$4:$I$63,9,FALSE))/2.291)*10/(400/2.291)+'Soil results'!G27)&lt;10,"0 (VL)",
IF(((H24*Calc!BM22/2.291-(VLOOKUP(Calc!BI22,'Fertiliser recommendations'!$A$4:$I$63,9,FALSE))/2.291)*10/(400/2.291)+'Soil results'!G27)&lt;16,"1 (L)",
IF(((H24*Calc!BM22/2.291-(VLOOKUP(Calc!BI22,'Fertiliser recommendations'!$A$4:$I$63,9,FALSE))/2.291)*10/(400/2.291)+'Soil results'!G27)&lt;21,"2 (M-)",
IF(((H24*Calc!BM22/2.291-(VLOOKUP(Calc!BI22,'Fertiliser recommendations'!$A$4:$I$63,9,FALSE))/2.291)*10/(400/2.291)+'Soil results'!G27)&lt;26,"2 (M+)",
IF(((H24*Calc!BM22/2.291-(VLOOKUP(Calc!BI22,'Fertiliser recommendations'!$A$4:$I$63,9,FALSE))/2.291)*10/(400/2.291)+'Soil results'!G27)&lt;45,"3 (H)","&gt;3 (VH)"))))),
IF('Soil results'!G$7="modified Morgan (SAC)",
IF('Soil results'!G27&gt;=6,
IF(((H24*Calc!BM22/2.291-(VLOOKUP(Calc!BI22,'Fertiliser recommendations'!$A$4:$I$63,9,FALSE))/2.291)*5/(147/2.291)+'Soil results'!G27)&lt;9.5,"2 (M-)",
IF(((H24*Calc!BM22/2.291-(VLOOKUP(Calc!BI22,'Fertiliser recommendations'!$A$4:$I$63,9,FALSE))/2.291)*5/(147/2.291)+'Soil results'!G27)&lt;13.5,"2 (M+)",
IF(((H24*Calc!BM22/2.291-(VLOOKUP(Calc!BI22,'Fertiliser recommendations'!$A$4:$I$63,9,FALSE))/2.291)*5/(147/2.291)+'Soil results'!G27)&lt;30,"3 (H)","4 (VH)"))),
IF(((H24*Calc!BM22/2.291-(VLOOKUP(Calc!BI22,'Fertiliser recommendations'!$A$4:$I$63,9,FALSE))/2.291)*5/(346/2.291)+'Soil results'!G27)&lt;1.8,"0 (VL)",
IF(((H24*Calc!BM22/2.291-(VLOOKUP(Calc!BI22,'Fertiliser recommendations'!$A$4:$I$63,9,FALSE))/2.291)*5/(147/2.291)+'Soil results'!G27)&lt;4.5,"1 (L)","2 (M-)"))))))</f>
        <v/>
      </c>
      <c r="M24" s="9" t="str">
        <f ca="1">IF(B24="","",
IF(OR(H24="data missing",I24="data missing",J24="data missing"),"data missing",
IF(Calc!BF22=0,"n/a",
IF(OR(AND('Soil results'!G$7="Olsen (ADAS)",'Soil results'!G27&gt;45),AND('Soil results'!G$7="modified Morgan (SAC)",'Soil results'!G27&gt;30)),
IF(H24&gt;2,"too high, not acceptable","no requirement"),IF(OR(AND('Soil results'!G$7="Olsen (ADAS)",'Soil results'!G27&gt;25),AND('Soil results'!G$7="modified Morgan (SAC)",'Soil results'!G27&gt;13.4)),
IF(H24*(I24/100)&lt;0.1*J24,"no benefit",
IF(H24*(I24/100)&lt;0.3*J24,"limited benefit",
IF(H24*(I24/100)&lt;1.1*J24,"benefit",
IF(H24*(I24/100)&lt;0.7*VLOOKUP(Calc!BI22,'Fertiliser recommendations'!$A$4:$I$63,9,FALSE),"excessive","too high, not acceptable")))),
IF(OR(AND('Soil results'!G$7="Olsen (ADAS)",'Soil results'!G27&gt;20),AND('Soil results'!G$7="modified Morgan (SAC)",'Soil results'!G27&gt;9.4)),
IF(H24*Calc!BM22*(I24/100)&lt;0.1*J24,"no benefit",
IF(H24*Calc!BM22*(I24/100)&lt;0.3*J24,"limited benefit",
IF(H24*Calc!BM22*(I24/100)&lt;1.1*J24,"benefit",
IF(L24="3 (H)","too high, not acceptable","excessive")))),
IF(OR(AND('Soil results'!G$7="Olsen (ADAS)",'Soil results'!G27&gt;15),AND('Soil results'!G$7="modified Morgan (SAC)",'Soil results'!G27&gt;4.4)),
IF(H24*Calc!BM22*(I24/100)&lt;0.1*VLOOKUP(Calc!BI22,'Fertiliser recommendations'!$A$4:$I$63,9,FALSE),"no benefit",
IF(H24*Calc!BM22*(I24/100)&lt;0.3*VLOOKUP(Calc!BI22,'Fertiliser recommendations'!$A$4:$I$63,9,FALSE),"limited benefit",
IF(H24*Calc!BM22*(I24/100)&lt;1.1*VLOOKUP(Calc!BI22,'Fertiliser recommendations'!$A$4:$I$63,9,FALSE),"benefit",
IF(L24="3 (H)", "too high, not acceptable", "excessive")))),
IF(OR(AND('Soil results'!G$7="Olsen (ADAS)",'Soil results'!G27&lt;=15),AND('Soil results'!G$7="modified Morgan (SAC)",'Soil results'!G27&lt;=4.4)),
IF(H24*Calc!BM22*(I24/100)&lt;0.1*VLOOKUP(Calc!BI22,'Fertiliser recommendations'!$A$4:$I$63,9,FALSE),"no benefit",
IF(H24*Calc!BM22*(I24/100)&lt;0.3*VLOOKUP(Calc!BI22,'Fertiliser recommendations'!$A$4:$I$63,9,FALSE),"limited benefit",
IF(H24*Calc!BM22*(I24/100)&lt;1.1*J24,"benefit","excessive")))))))))))</f>
        <v/>
      </c>
      <c r="O24" s="91" t="str">
        <f ca="1">IF(B24="","",
IF(AND('Field information 2'!$O$5="", 'Field information 2'!$Q$5=""),
   IF('Waste results'!$S$19&lt;&gt;"data missing", Calc!BC22*'Waste results'!$S$19, "data missing"),
IF('Field information 2'!$Q$5="",
   IF(Calc!BD22=0,
     IF('Waste results'!$S$19&lt;&gt;"data missing", Calc!BC22*'Waste results'!$S$19, "data missing"),
   IF(Calc!BC22=0,
     IF('Waste results'!$S$55&lt;&gt;"data missing", Calc!BD22*'Waste results'!$S$55, "data missing"),
   IF(OR('Waste results'!$S$19&lt;&gt;"data missing", 'Waste results'!$S$55&lt;&gt;"data missing"), Calc!BC22*'Waste results'!$S$19+ Calc!BD22*'Waste results'!$S$55, "data missing"))),
IF(AND('Field information 2'!$M$5&lt;&gt;"", 'Field information 2'!$O$5&lt;&gt;"", 'Field information 2'!$Q$5&lt;&gt;""),
   IF(AND(Calc!BD22=0,Calc!BE22=0),
     IF('Waste results'!$S$19&lt;&gt;"data missing", Calc!BC22*'Waste results'!$S$19, "data missing"),
   IF(AND(Calc!BC22=0,Calc!BE22=0),
     IF('Waste results'!$S$55&lt;&gt;"data missing", Calc!BD22*'Waste results'!$S$55, "data missing"),
   IF(AND(Calc!BC22=0,Calc!BD22=0),
     IF('Waste results'!$S$91&lt;&gt;"data missing", Calc!BE22*'Waste results'!$S$91, "data missing"),
   IF(Calc!BE22=0,
     IF(OR('Waste results'!$S$19&lt;&gt;"data missing", 'Waste results'!$S$55&lt;&gt;"data missing"), Calc!BC22*'Waste results'!$S$19+ Calc!BD22*'Waste results'!$S$55, "data missing"),
   IF(Calc!BD22=0,
     IF(OR('Waste results'!$S$19&lt;&gt;"data missing", 'Waste results'!$S$91&lt;&gt;"data missing"), Calc!BC22*'Waste results'!$S$19+ Calc!BE22*'Waste results'!$S$91, "data missing"),
   IF(Calc!BC22=0,
     IF(OR('Waste results'!$S$55&lt;&gt;"data missing", 'Waste results'!$S$91&lt;&gt;"data missing"), Calc!BD22*'Waste results'!$S$55+Calc!BE22*'Waste results'!$S$91, "data missing"),
   IF(OR('Waste results'!$S$19&lt;&gt;"data missing", 'Waste results'!$S$55&lt;&gt;"data missing", 'Waste results'!$S$91&lt;&gt;"data missing"), Calc!BC22*'Waste results'!$S$19+Calc!BD22*'Waste results'!$S$55+ Calc!BE22*'Waste results'!$S$91, "data missing")))))))))))</f>
        <v/>
      </c>
      <c r="P24" s="91" t="str">
        <f ca="1">IF(B24="","",
IF(OR(ISBLANK('Soil results'!H$7),ISBLANK('Soil results'!H27)),"data missing",
IF(OR(AND('Soil results'!H$7="ammonium nitrate (ADAS)",'Soil results'!H27&gt;400),AND('Soil results'!H$7="modified Morgan (SAC)",'Soil results'!H27&gt;400)),0,
IF(OR(AND('Soil results'!H$7="ammonium nitrate (ADAS)",'Soil results'!H27&gt;=121,'Soil results'!H27&lt;=180),AND('Soil results'!H$7="modified Morgan (SAC)",'Soil results'!H27&gt;=76,'Soil results'!H27&lt;=140)),VLOOKUP(Calc!BI22,'Fertiliser recommendations'!$A$4:$Z$63,26,FALSE),
IF(OR(AND('Soil results'!H$7="ammonium nitrate (ADAS)",'Soil results'!H27&lt;61),AND('Soil results'!H$7="modified Morgan (SAC)",'Soil results'!H27&lt;40)),VLOOKUP(Calc!BI22,'Fertiliser recommendations'!$A$4:$Z$63,26,FALSE)+VLOOKUP(Calc!BI22,'Fertiliser recommendations'!$A$4:$AA$63,27,FALSE),
IF(OR(AND('Soil results'!H$7="ammonium nitrate (ADAS)",'Soil results'!H27&lt;121),AND('Soil results'!H$7="modified Morgan (SAC)",'Soil results'!H27&lt;76)),VLOOKUP(Calc!BI22,'Fertiliser recommendations'!$A$4:$Z$63,26,FALSE)+VLOOKUP(Calc!BI22,'Fertiliser recommendations'!$A$4:$AB$63,28,FALSE),
IF(OR(AND('Soil results'!H$7="ammonium nitrate (ADAS)",'Soil results'!H27&lt;241),AND('Soil results'!H$7="modified Morgan (SAC)",'Soil results'!H27&lt;201)),VLOOKUP(Calc!BI22,'Fertiliser recommendations'!$A$4:$Z$63,26,FALSE)+VLOOKUP(Calc!BI22,'Fertiliser recommendations'!$A$4:$AC$63,29,FALSE),
IF(OR(AND('Soil results'!H$7="ammonium nitrate (ADAS)",'Soil results'!H27&lt;=400),AND('Soil results'!H$7="modified Morgan (SAC)",'Soil results'!H27&lt;=400)),VLOOKUP(Calc!BI22,'Fertiliser recommendations'!$A$4:$Z$63,26,FALSE)+VLOOKUP(Calc!BI22,'Fertiliser recommendations'!$A$4:$AD$63,30,FALSE),
"??"))))))))</f>
        <v/>
      </c>
      <c r="Q24" s="91" t="str">
        <f t="shared" ca="1" si="2"/>
        <v/>
      </c>
      <c r="R24" s="9" t="str">
        <f ca="1">IF(B24="","",
IF(OR(O24="data missing",P24="data missing"),"data missing",
IF(Calc!BF22=0,"n/a",
IF(P24=0, "no requirement",
IF(O24&lt;0.1*P24,"no benefit",
IF(O24&lt;0.3*P24,"limited benefit",
IF(O24&gt;1.25*P24,"excessive",
"benefit")))))))</f>
        <v/>
      </c>
      <c r="T24" s="91" t="str">
        <f ca="1">IF(B24="","",
IF(AND('Field information 2'!$O$5="", 'Field information 2'!$Q$5=""),
   IF('Waste results'!$S$21&lt;&gt;"data missing", Calc!BC22*'Waste results'!$S$21, "data missing"),
IF('Field information 2'!$Q$5="",
   IF(Calc!BD22=0,
     IF('Waste results'!$S$21&lt;&gt;"data missing", Calc!BC22*'Waste results'!$S$21, "data missing"),
   IF(Calc!BC22=0,
     IF('Waste results'!$S$57&lt;&gt;"data missing", Calc!BD22*'Waste results'!$S$57, "data missing"),
   IF(OR('Waste results'!$S$21&lt;&gt;"data missing", 'Waste results'!$S$57&lt;&gt;"data missing"), Calc!BC22*'Waste results'!$S$21+ Calc!BD22*'Waste results'!$S$57, "data missing"))),
IF(AND('Field information 2'!$M$5&lt;&gt;"", 'Field information 2'!$O$5&lt;&gt;"", 'Field information 2'!$Q$5&lt;&gt;""),
   IF(AND(Calc!BD22=0,Calc!BE22=0),
     IF('Waste results'!$S$21&lt;&gt;"data missing", Calc!BC22*'Waste results'!$S$21, "data missing"),
   IF(AND(Calc!BC22=0,Calc!BE22=0),
     IF('Waste results'!$S$57&lt;&gt;"data missing", Calc!BD22*'Waste results'!$S$57, "data missing"),
   IF(AND(Calc!BC22=0,Calc!BD22=0),
     IF('Waste results'!$S$93&lt;&gt;"data missing", Calc!BE22*'Waste results'!$S$93, "data missing"),
   IF(Calc!BE22=0,
     IF(OR('Waste results'!$S$21&lt;&gt;"data missing", 'Waste results'!$S$57&lt;&gt;"data missing"), Calc!BC22*'Waste results'!$S$21+ Calc!BD22*'Waste results'!$S$57, "data missing"),
   IF(Calc!BD22=0,
     IF(OR('Waste results'!$S$21&lt;&gt;"data missing", 'Waste results'!$S$93&lt;&gt;"data missing"), Calc!BC22*'Waste results'!$S$21+ Calc!BE22*'Waste results'!$S$93, "data missing"),
   IF(Calc!BC22=0,
     IF(OR('Waste results'!$S$57&lt;&gt;"data missing", 'Waste results'!$S$93&lt;&gt;"data missing"), Calc!BD22*'Waste results'!$S$57+Calc!BE22*'Waste results'!$S$93, "data missing"),
   IF(OR('Waste results'!$S$21&lt;&gt;"data missing", 'Waste results'!$S$57&lt;&gt;"data missing", 'Waste results'!$S$93&lt;&gt;"data missing"), Calc!BC22*'Waste results'!$S$21+Calc!BD22*'Waste results'!$S$57+ Calc!BE22*'Waste results'!$S$93, "data missing")))))))))))</f>
        <v/>
      </c>
      <c r="U24" s="7" t="str">
        <f ca="1">IF(B24="","",
IF(OR(ISBLANK('Soil results'!I$7),ISBLANK('Soil results'!I27)),"data missing",
IF(OR(AND('Soil results'!I$7="ammonium nitrate (ADAS)",'Soil results'!I27&gt;51),AND('Soil results'!I$7="modified Morgan (SAC)",'Soil results'!I27&gt;61)),0,
IF(OR(AND('Soil results'!I$7="ammonium nitrate (ADAS)",'Soil results'!I27&lt;25),AND('Soil results'!I$7="modified Morgan (SAC)",'Soil results'!I27&lt;19)),VLOOKUP(Calc!BI22,'Fertiliser recommendations'!$A$4:$AH$63,34,FALSE),
IF(OR(AND('Soil results'!I$7="ammonium nitrate (ADAS)",'Soil results'!I27&lt;=51),AND('Soil results'!I$7="modified Morgan (SAC)",'Soil results'!I27&lt;=61)),VLOOKUP(Calc!BI22,'Fertiliser recommendations'!$A$4:$AI$63,35,FALSE),
"")))))</f>
        <v/>
      </c>
      <c r="V24" s="91" t="str">
        <f t="shared" ca="1" si="3"/>
        <v/>
      </c>
      <c r="W24" s="9" t="str">
        <f ca="1">IF(B24="","",
IF(OR(T24="data missing",U24="data missing"),"data missing",
IF(Calc!BF22=0,"n/a",
IF(U24=0,"no requirement",
IF(T24&lt;0.1*U24,"no benefit",
IF(T24&lt;0.3*U24,"limited benefit",
IF(OR(T24&gt;1.5*U24,AND(Calc!BJ22="g",T24&gt;100)),"excessive",
"benefit")))))))</f>
        <v/>
      </c>
      <c r="Y24" s="91" t="str">
        <f ca="1">IF(B24="","",
IF(AND('Field information 2'!$O$5="", 'Field information 2'!$Q$5=""),
   IF('Waste results'!$P$23&lt;&gt;"", Calc!BC22*'Waste results'!$P$23, "no data"),
IF('Field information 2'!$Q$5="",
   IF(Calc!BD22=0,
     IF('Waste results'!$P$23&lt;&gt;"", Calc!BC22*'Waste results'!$P$23, "no data"),
   IF(Calc!BC22=0,
     IF('Waste results'!$P$59&lt;&gt;"", Calc!BD22*'Waste results'!$P$59, "no data"),
   IF(OR('Waste results'!$P$23&lt;&gt;"", 'Waste results'!$P$59&lt;&gt;""), Calc!BC22*'Waste results'!$P$23+ Calc!BD22*'Waste results'!$P$59, "no data"))),
IF(AND('Field information 2'!$M$5&lt;&gt;"", 'Field information 2'!$O$5&lt;&gt;"", 'Field information 2'!$Q$5&lt;&gt;""),
   IF(AND(Calc!BD22=0,Calc!BE22=0),
     IF('Waste results'!$P$23&lt;&gt;"", Calc!BC22*'Waste results'!$P$23, "no data"),
   IF(AND(Calc!BC22=0,Calc!BE22=0),
     IF('Waste results'!$P$59&lt;&gt;"", Calc!BD22*'Waste results'!$P$59, "no data"),
   IF(AND(Calc!BC22=0,Calc!BD22=0),
     IF('Waste results'!$P$95&lt;&gt;"", Calc!BE22*'Waste results'!$P$95, "no data"),
   IF(Calc!BE22=0,
     IF(OR('Waste results'!$P$23&lt;&gt;"", 'Waste results'!$P$59&lt;&gt;""), Calc!BC22*'Waste results'!$P$23+ Calc!BD22*'Waste results'!$P$59, "no data"),
   IF(Calc!BD22=0,
     IF(OR('Waste results'!$P$23&lt;&gt;"", 'Waste results'!$P$95&lt;&gt;""), Calc!BC22*'Waste results'!$P$23+ Calc!BE22*'Waste results'!$P$95, "no data"),
   IF(Calc!BC22=0,
     IF(OR('Waste results'!$P$59&lt;&gt;"", 'Waste results'!$P$95&lt;&gt;""), Calc!BD22*'Waste results'!$P$59+Calc!BE22*'Waste results'!$P$95, "no data"),
   IF(OR('Waste results'!$P$23&lt;&gt;"", 'Waste results'!$P$59&lt;&gt;"", 'Waste results'!$P$95&lt;&gt;""), Calc!BC22*'Waste results'!$P$23+Calc!BD22*'Waste results'!$P$59+ Calc!BE22*'Waste results'!$P$95, "no data")))))))))))</f>
        <v/>
      </c>
      <c r="Z24" s="7" t="str">
        <f ca="1">IF(OR(ISBLANK('Soil results'!I$7),ISBLANK('Soil results'!I27),'Soil results'!B27=""),"",
VLOOKUP(Calc!BI22,'Fertiliser recommendations'!$A$4:$AM$63,39,FALSE))</f>
        <v/>
      </c>
      <c r="AA24" s="91" t="str">
        <f t="shared" ca="1" si="4"/>
        <v/>
      </c>
      <c r="AB24" s="9" t="str">
        <f t="shared" ca="1" si="5"/>
        <v/>
      </c>
      <c r="AD24" s="48" t="str">
        <f>IF(ISBLANK('Soil results'!F27),"",'Soil results'!F27)</f>
        <v/>
      </c>
      <c r="AE24" s="49" t="str">
        <f ca="1">IF(B24="","",
IF(AND(Calc!BJ22="g", VLOOKUP(LEFT($B24,LEN($B24)-2),'Field information 2'!$B$12:$P$111,9,FALSE)&lt;&gt;"yes"),
 IF(Calc!BG22="10-25% OM", 5.9, IF(Calc!BG22="&gt;25% OM", 5.5, 6.2)),
IF(OR(Calc!BJ22="a", VLOOKUP(LEFT($B24,LEN($B24)-2),'Field information 2'!$B$12:$P$111,9,FALSE)="yes"),
 IF(Calc!BG22="10-25% OM", 6.4, IF(Calc!BG22="&gt;25% OM", 6, 6.7)), "")))</f>
        <v/>
      </c>
      <c r="AF24" s="91" t="str">
        <f ca="1">IF(B24="","",
IF('Waste results'!$Q$33="","no (significant) liming properties",
IF('Waste results'!Q$33&gt;100,"no (significant) liming properties",
IF(AD24="","",
IF(AD24&gt;=AE24,0,ROUNDDOWN((AE24-AD24)*Calc!BK22*'Waste results'!$Q$33+0.2,0))))))</f>
        <v/>
      </c>
      <c r="AG24" s="9" t="str">
        <f ca="1">IF(B24="","",
IF(T24=0,"n/a",
IF(AD24="","data missing",
IF(AND(AD24&lt;5,AF24="no (significant) liming properties"),"no waste application - pH too low",
IF(AND(AD24&gt;5.1,AF24="no (significant) liming properties",Calc!BH22&gt;25, LEFT(Calc!BI22,4)="graz"),"ok",
IF(AND(AD24&lt;=5.2,AF24="no (significant) liming properties"),"liming highly recommended",
IF(AF24=0,"no waste application - liming not required",
IF(AF24&lt;Calc!BC22,"application rate too high - exceeds liming requirement",
"ok"))))))))</f>
        <v/>
      </c>
      <c r="AI24" s="91" t="str">
        <f ca="1">IF(B24="","",
IF(AND('Field information 2'!$O$5="", 'Field information 2'!$Q$5=""),
   IF('Waste results'!$P$10&lt;&gt;"data missing", Calc!BC22*'Waste results'!$P$10, "data missing"),
IF('Field information 2'!$Q$5="",
   IF(Calc!BD22=0,
     IF('Waste results'!$P$10&lt;&gt;"data missing", Calc!BC22*'Waste results'!$P$10, "data missing"),
   IF(Calc!BC22=0,
     IF('Waste results'!$P$45&lt;&gt;"data missing", Calc!BD22*'Waste results'!$P$45, "data missing"),
   IF(OR('Waste results'!$P$10&lt;&gt;"data missing", 'Waste results'!$P$45&lt;&gt;"data missing"), Calc!BC22*'Waste results'!$P$10+ Calc!BD22*'Waste results'!$P$45, "data missing"))),
IF(AND('Field information 2'!$M$5&lt;&gt;"", 'Field information 2'!$O$5&lt;&gt;"", 'Field information 2'!$Q$5&lt;&gt;""),
   IF(AND(Calc!BD22=0,Calc!BE22=0),
     IF('Waste results'!$P$10&lt;&gt;"data missing", Calc!BC22*'Waste results'!$P$10, "data missing"),
   IF(AND(Calc!BC22=0,Calc!BE22=0),
     IF('Waste results'!$P$45&lt;&gt;"data missing", Calc!BD22*'Waste results'!$P$45, "data missing"),
   IF(AND(Calc!BC22=0,Calc!BD22=0),
     IF('Waste results'!$P$82&lt;&gt;"data missing", Calc!BE22*'Waste results'!$P$82, "data missing"),
   IF(Calc!BE22=0,
     IF(OR('Waste results'!$P$10&lt;&gt;"data missing", 'Waste results'!$P$45&lt;&gt;"data missing"), Calc!BC22*'Waste results'!$P$10+ Calc!BD22*'Waste results'!$P$45, "data missing"),
   IF(Calc!BD22=0,
     IF(OR('Waste results'!$P$10&lt;&gt;"data missing", 'Waste results'!$P$82&lt;&gt;"data missing"), Calc!BC22*'Waste results'!$P$10+ Calc!BE22*'Waste results'!$P$82, "data missing"),
   IF(Calc!BC22=0,
     IF(OR('Waste results'!$P$45&lt;&gt;"data missing", 'Waste results'!$P$82&lt;&gt;"data missing"), Calc!BD22*'Waste results'!$P$45+Calc!BE22*'Waste results'!$P$82, "data missing"),
   IF(OR('Waste results'!$P$10&lt;&gt;"data missing", 'Waste results'!$P$45&lt;&gt;"data missing", 'Waste results'!$P$82&lt;&gt;"data missing"), Calc!BC22*'Waste results'!$P$10+Calc!BD22*'Waste results'!$P$45+ Calc!BE22*'Waste results'!$P$82, "data missing")))))))))))</f>
        <v/>
      </c>
      <c r="AJ24" s="237" t="str">
        <f ca="1">IF(B24="","",
IF(AI24="data missing","data missing",
IF(Calc!BF22=0,"n/a",
IF(AND(Calc!BH22&gt;=8,AI24&lt;500),"no benefit",
IF(OR(AND(Calc!BH22&lt;=4,AI24&gt;=500),AND(Calc!BH22&lt;8,AI24&gt;5000)),"benefit",
"limited benefit")))))</f>
        <v/>
      </c>
      <c r="AL24" s="238" t="str">
        <f ca="1">IF(B24="","",
IF(AND('Field information 2'!$O$5="", 'Field information 2'!$Q$5=""),
   IF('Waste results'!$S$25&lt;&gt;"data missing", Calc!BC22*'Waste results'!$S$25, "data missing"),
IF('Field information 2'!$Q$5="",
   IF(Calc!BD22=0,
     IF('Waste results'!$S$25&lt;&gt;"data missing", Calc!BC22*'Waste results'!$S$25, "data missing"),
   IF(Calc!BC22=0,
     IF('Waste results'!$S$61&lt;&gt;"data missing", Calc!BD22*'Waste results'!$S$61, "data missing"),
   IF(OR('Waste results'!$S$25&lt;&gt;"data missing", 'Waste results'!$S$61&lt;&gt;"data missing"), Calc!BC22*'Waste results'!$S$25+ Calc!BD22*'Waste results'!$S$61, "data missing"))),
IF(AND('Field information 2'!$M$5&lt;&gt;"", 'Field information 2'!$O$5&lt;&gt;"", 'Field information 2'!$Q$5&lt;&gt;""),
   IF(AND(Calc!BD22=0,Calc!BE22=0),
     IF('Waste results'!$S$25&lt;&gt;"data missing", Calc!BC22*'Waste results'!$S$25, "data missing"),
   IF(AND(Calc!BC22=0,Calc!BE22=0),
     IF('Waste results'!$S$61&lt;&gt;"data missing", Calc!BD22*'Waste results'!$S$61, "data missing"),
   IF(AND(Calc!BC22=0,Calc!BD22=0),
     IF('Waste results'!$S$97&lt;&gt;"data missing", Calc!BE22*'Waste results'!$S$97, "data missing"),
   IF(Calc!BE22=0,
     IF(OR('Waste results'!$S$25&lt;&gt;"data missing", 'Waste results'!$S$61&lt;&gt;"data missing"), Calc!BC22*'Waste results'!$S$25+ Calc!BD22*'Waste results'!$S$61, "data missing"),
   IF(Calc!BD22=0,
     IF(OR('Waste results'!$S$25&lt;&gt;"data missing", 'Waste results'!$S$97&lt;&gt;"data missing"), Calc!BC22*'Waste results'!$S$25+ Calc!BE22*'Waste results'!$S$97, "data missing"),
   IF(Calc!BC22=0,
     IF(OR('Waste results'!$S$61&lt;&gt;"data missing", 'Waste results'!$S$97&lt;&gt;"data missing"), Calc!BD22*'Waste results'!$S$61+Calc!BE22*'Waste results'!$S$97, "data missing"),
   IF(OR('Waste results'!$S$25&lt;&gt;"data missing", 'Waste results'!$S$61&lt;&gt;"data missing", 'Waste results'!$S$97&lt;&gt;"data missing"), Calc!BC22*'Waste results'!$S$25+Calc!BD22*'Waste results'!$S$61+ Calc!BE22*'Waste results'!$S$97, "data missing")))))))))))</f>
        <v/>
      </c>
      <c r="AM24" s="239" t="str">
        <f ca="1">IF($B24="","",
IF(ISBLANK('Soil results'!K27),"data missing",'Soil results'!K27))</f>
        <v/>
      </c>
      <c r="AN24" s="239" t="str">
        <f t="shared" ca="1" si="6"/>
        <v/>
      </c>
      <c r="AO24" s="9" t="str">
        <f t="shared" ca="1" si="7"/>
        <v/>
      </c>
      <c r="AQ24" s="240" t="str">
        <f ca="1">IF(B24="","",
IF(AND('Field information 2'!$O$5="", 'Field information 2'!$Q$5=""),
   IF('Waste results'!$S$26&lt;&gt;"data missing", Calc!BC22*'Waste results'!$S$26, "data missing"),
IF('Field information 2'!$Q$5="",
   IF(Calc!BD22=0,
     IF('Waste results'!$S$26&lt;&gt;"data missing", Calc!BC22*'Waste results'!$S$26, "data missing"),
   IF(Calc!BC22=0,
     IF('Waste results'!$S$62&lt;&gt;"data missing", Calc!BD22*'Waste results'!$S$62, "data missing"),
   IF(OR('Waste results'!$S$26&lt;&gt;"data missing", 'Waste results'!$S$62&lt;&gt;"data missing"), Calc!BC22*'Waste results'!$S$26+ Calc!BD22*'Waste results'!$S$62, "data missing"))),
IF(AND('Field information 2'!$M$5&lt;&gt;"", 'Field information 2'!$O$5&lt;&gt;"", 'Field information 2'!$Q$5&lt;&gt;""),
   IF(AND(Calc!BD22=0,Calc!BE22=0),
     IF('Waste results'!$S$26&lt;&gt;"data missing", Calc!BC22*'Waste results'!$S$26, "data missing"),
   IF(AND(Calc!BC22=0,Calc!BE22=0),
     IF('Waste results'!$S$62&lt;&gt;"data missing", Calc!BD22*'Waste results'!$S$62, "data missing"),
   IF(AND(Calc!BC22=0,Calc!BD22=0),
     IF('Waste results'!$S$98&lt;&gt;"data missing", Calc!BE22*'Waste results'!$S$98, "data missing"),
   IF(Calc!BE22=0,
     IF(OR('Waste results'!$S$26&lt;&gt;"data missing", 'Waste results'!$S$62&lt;&gt;"data missing"), Calc!BC22*'Waste results'!$S$26+ Calc!BD22*'Waste results'!$S$62, "data missing"),
   IF(Calc!BD22=0,
     IF(OR('Waste results'!$S$26&lt;&gt;"data missing", 'Waste results'!$S$98&lt;&gt;"data missing"), Calc!BC22*'Waste results'!$S$26+ Calc!BE22*'Waste results'!$S$98, "data missing"),
   IF(Calc!BC22=0,
     IF(OR('Waste results'!$S$62&lt;&gt;"data missing", 'Waste results'!$S$98&lt;&gt;"data missing"), Calc!BD22*'Waste results'!$S$62+Calc!BE22*'Waste results'!$S$98, "data missing"),
   IF(OR('Waste results'!$S$26&lt;&gt;"data missing", 'Waste results'!$S$62&lt;&gt;"data missing", 'Waste results'!$S$98&lt;&gt;"data missing"), Calc!BC22*'Waste results'!$S$26+Calc!BD22*'Waste results'!$S$62+ Calc!BE22*'Waste results'!$S$98, "data missing")))))))))))</f>
        <v/>
      </c>
      <c r="AR24" s="241" t="str">
        <f ca="1">IF($B24="","",
IF(ISBLANK('Soil results'!L27),"data missing",'Soil results'!L27))</f>
        <v/>
      </c>
      <c r="AS24" s="241" t="str">
        <f t="shared" ca="1" si="8"/>
        <v/>
      </c>
      <c r="AT24" s="66" t="str">
        <f t="shared" ca="1" si="9"/>
        <v/>
      </c>
      <c r="AV24" s="238" t="str">
        <f ca="1">IF(B24="","",
IF(AND('Field information 2'!$O$5="", 'Field information 2'!$Q$5=""),
   IF('Waste results'!$S$27&lt;&gt;"data missing", Calc!BC22*'Waste results'!$S$27, "data missing"),
IF('Field information 2'!$Q$5="",
   IF(Calc!BD22=0,
     IF('Waste results'!$S$27&lt;&gt;"data missing", Calc!BC22*'Waste results'!$S$27, "data missing"),
   IF(Calc!BC22=0,
     IF('Waste results'!$S$63&lt;&gt;"data missing", Calc!BD22*'Waste results'!$S$63, "data missing"),
   IF(OR('Waste results'!$S$27&lt;&gt;"data missing", 'Waste results'!$S$63&lt;&gt;"data missing"), Calc!BC22*'Waste results'!$S$27+ Calc!BD22*'Waste results'!$S$63, "data missing"))),
IF(AND('Field information 2'!$M$5&lt;&gt;"", 'Field information 2'!$O$5&lt;&gt;"", 'Field information 2'!$Q$5&lt;&gt;""),
   IF(AND(Calc!BD22=0,Calc!BE22=0),
     IF('Waste results'!$S$27&lt;&gt;"data missing", Calc!BC22*'Waste results'!$S$27, "data missing"),
   IF(AND(Calc!BC22=0,Calc!BE22=0),
     IF('Waste results'!$S$63&lt;&gt;"data missing", Calc!BD22*'Waste results'!$S$63, "data missing"),
   IF(AND(Calc!BC22=0,Calc!BD22=0),
     IF('Waste results'!$S$99&lt;&gt;"data missing", Calc!BE22*'Waste results'!$S$99, "data missing"),
   IF(Calc!BE22=0,
     IF(OR('Waste results'!$S$27&lt;&gt;"data missing", 'Waste results'!$S$63&lt;&gt;"data missing"), Calc!BC22*'Waste results'!$S$27+ Calc!BD22*'Waste results'!$S$63, "data missing"),
   IF(Calc!BD22=0,
     IF(OR('Waste results'!$S$27&lt;&gt;"data missing", 'Waste results'!$S$99&lt;&gt;"data missing"), Calc!BC22*'Waste results'!$S$27+ Calc!BE22*'Waste results'!$S$99, "data missing"),
   IF(Calc!BC22=0,
     IF(OR('Waste results'!$S$63&lt;&gt;"data missing", 'Waste results'!$S$99&lt;&gt;"data missing"), Calc!BD22*'Waste results'!$S$63+Calc!BE22*'Waste results'!$S$99, "data missing"),
   IF(OR('Waste results'!$S$27&lt;&gt;"data missing", 'Waste results'!$S$63&lt;&gt;"data missing", 'Waste results'!$S$99&lt;&gt;"data missing"), Calc!BC22*'Waste results'!$S$27+Calc!BD22*'Waste results'!$S$63+ Calc!BE22*'Waste results'!$S$99, "data missing")))))))))))</f>
        <v/>
      </c>
      <c r="AW24" s="239" t="str">
        <f ca="1">IF($B24="","",
IF(ISBLANK('Soil results'!M27),"data missing",'Soil results'!M27))</f>
        <v/>
      </c>
      <c r="AX24" s="239" t="str">
        <f t="shared" ca="1" si="10"/>
        <v/>
      </c>
      <c r="AY24" s="9" t="str">
        <f ca="1">IF(B24="","",
IF(AV24=0,"n/a",
IF(OR(AV24="data missing",AW24="data missing"),"data missing",
IF(AV24&gt;7.5,"application rate too high - permissible rate exceeds limit",
IF('Soil results'!$F27&lt;=5.5,
  IF(AW24&gt;80,"no application - soil conc. already above limit",
  IF(AX24&gt;80,"application rate too high - soil conc. will exceed limit",
  IF(AW24&gt;80*0.9,"soil conc. is at or above 90% of the limit",
  IF(10*AV24*1000/3000+AW24&gt;80,"soil limit likely to be exceeded in 10yrs",
  IF(50*AV24*1000/3000+AW24&gt;80,"soil limit likely to be exceeded in 50yrs","ok"))))),
IF('Soil results'!$F27&lt;=6,
  IF(AW24&gt;100,"no application - soil conc. already above limit",
  IF(AX24&gt;100,"application rate too high - soil conc. will exceed limit",
  IF(AW24&gt;100*0.9,"soil conc. is at or above 90% of the limit",
  IF(10*AV24*1000/3000+AW24&gt;100,"soil limit likely to be exceeded in 10yrs",
  IF(50*AV24*1000/3000+AW24&gt;100,"soil limit likely to be exceeded in 50yrs","ok"))))),
IF('Soil results'!$F27&lt;=7,
  IF(AW24&gt;135,"no application - soil conc. already above limit",
  IF(AX24&gt;135,"application rate too high - soil conc. will exceed limit",
  IF(AW24&gt;135*0.9,"soil conc. is at or above 90% of the limit",
  IF(10*AV24*1000/3000+AW24&gt;135,"soil limit likely to be exceeded in 10yrs",
  IF(50*AV24*1000/3000+AW24&gt;135,"soil limit likely to be exceeded in 50yrs","ok"))))),
IF('Soil results'!$F27&gt;7,
  IF(AW24&gt;200,"no application - soil conc. already above limit",
  IF(AX24&gt;200,"application too high - soil conc. will exceed limit",
  IF(AW24&gt;200*0.9,"soil conc. is at or above 90% of the limit",
  IF(10*AV24*1000/3000+AW24&gt;200,"soil limit likely to be exceeded in 10yrs",
  IF(50*AV24*1000/3000+AW24&gt;200,"soil limit likely to be exceeded in 50yrs","ok")))))
))))))))</f>
        <v/>
      </c>
      <c r="BA24" s="238" t="str">
        <f ca="1">IF(B24="","",
IF(AND('Field information 2'!$O$5="", 'Field information 2'!$Q$5=""),
   IF('Waste results'!$S$28&lt;&gt;"data missing", Calc!BC22*'Waste results'!$S$28, "data missing"),
IF('Field information 2'!$Q$5="",
   IF(Calc!BD22=0,
     IF('Waste results'!$S$28&lt;&gt;"data missing", Calc!BC22*'Waste results'!$S$28, "data missing"),
   IF(Calc!BC22=0,
     IF('Waste results'!$S$64&lt;&gt;"data missing", Calc!BD22*'Waste results'!$S$64, "data missing"),
   IF(OR('Waste results'!$S$28&lt;&gt;"data missing", 'Waste results'!$S$64&lt;&gt;"data missing"), Calc!BC22*'Waste results'!$S$28+ Calc!BD22*'Waste results'!$S$64, "data missing"))),
IF(AND('Field information 2'!$M$5&lt;&gt;"", 'Field information 2'!$O$5&lt;&gt;"", 'Field information 2'!$Q$5&lt;&gt;""),
   IF(AND(Calc!BD22=0,Calc!BE22=0),
     IF('Waste results'!$S$28&lt;&gt;"data missing", Calc!BC22*'Waste results'!$S$28, "data missing"),
   IF(AND(Calc!BC22=0,Calc!BE22=0),
     IF('Waste results'!$S$64&lt;&gt;"data missing", Calc!BD22*'Waste results'!$S$64, "data missing"),
   IF(AND(Calc!BC22=0,Calc!BD22=0),
     IF('Waste results'!$S$100&lt;&gt;"data missing", Calc!BE22*'Waste results'!$S$100, "data missing"),
   IF(Calc!BE22=0,
     IF(OR('Waste results'!$S$28&lt;&gt;"data missing", 'Waste results'!$S$64&lt;&gt;"data missing"), Calc!BC22*'Waste results'!$S$28+ Calc!BD22*'Waste results'!$S$64, "data missing"),
   IF(Calc!BD22=0,
     IF(OR('Waste results'!$S$28&lt;&gt;"data missing", 'Waste results'!$S$100&lt;&gt;"data missing"), Calc!BC22*'Waste results'!$S$28+ Calc!BE22*'Waste results'!$S$100, "data missing"),
   IF(Calc!BC22=0,
     IF(OR('Waste results'!$S$64&lt;&gt;"data missing", 'Waste results'!$S$100&lt;&gt;"data missing"), Calc!BD22*'Waste results'!$S$64+Calc!BE22*'Waste results'!$S$100, "data missing"),
   IF(OR('Waste results'!$S$28&lt;&gt;"data missing", 'Waste results'!$S$64&lt;&gt;"data missing", 'Waste results'!$S$100&lt;&gt;"data missing"), Calc!BC22*'Waste results'!$S$28+Calc!BD22*'Waste results'!$S$64+ Calc!BE22*'Waste results'!$S$100, "data missing")))))))))))</f>
        <v/>
      </c>
      <c r="BB24" s="239" t="str">
        <f ca="1">IF($B24="","",
IF(ISBLANK('Soil results'!N27),"data missing",'Soil results'!N27))</f>
        <v/>
      </c>
      <c r="BC24" s="239" t="str">
        <f t="shared" ca="1" si="11"/>
        <v/>
      </c>
      <c r="BD24" s="9" t="str">
        <f t="shared" ca="1" si="12"/>
        <v/>
      </c>
      <c r="BF24" s="238" t="str">
        <f ca="1">IF(B24="","",
IF(AND('Field information 2'!$O$5="", 'Field information 2'!$Q$5=""),
   IF('Waste results'!$S$29&lt;&gt;"data missing", Calc!BC22*'Waste results'!$S$29, "data missing"),
IF('Field information 2'!$Q$5="",
   IF(Calc!BD22=0,
     IF('Waste results'!$S$29&lt;&gt;"data missing", Calc!BC22*'Waste results'!$S$29, "data missing"),
   IF(Calc!BC22=0,
     IF('Waste results'!$S$65&lt;&gt;"data missing", Calc!BD22*'Waste results'!$S$65, "data missing"),
   IF(OR('Waste results'!$S$29&lt;&gt;"data missing", 'Waste results'!$S$65&lt;&gt;"data missing"), Calc!BC22*'Waste results'!$S$29+ Calc!BD22*'Waste results'!$S$65, "data missing"))),
IF(AND('Field information 2'!$M$5&lt;&gt;"", 'Field information 2'!$O$5&lt;&gt;"", 'Field information 2'!$Q$5&lt;&gt;""),
   IF(AND(Calc!BD22=0,Calc!BE22=0),
     IF('Waste results'!$S$29&lt;&gt;"data missing", Calc!BC22*'Waste results'!$S$29, "data missing"),
   IF(AND(Calc!BC22=0,Calc!BE22=0),
     IF('Waste results'!$S$65&lt;&gt;"data missing", Calc!BD22*'Waste results'!$S$65, "data missing"),
   IF(AND(Calc!BC22=0,Calc!BD22=0),
     IF('Waste results'!$S$101&lt;&gt;"data missing", Calc!BE22*'Waste results'!$S$101, "data missing"),
   IF(Calc!BE22=0,
     IF(OR('Waste results'!$S$29&lt;&gt;"data missing", 'Waste results'!$S$65&lt;&gt;"data missing"), Calc!BC22*'Waste results'!$S$29+ Calc!BD22*'Waste results'!$S$65, "data missing"),
   IF(Calc!BD22=0,
     IF(OR('Waste results'!$S$29&lt;&gt;"data missing", 'Waste results'!$S$101&lt;&gt;"data missing"), Calc!BC22*'Waste results'!$S$29+ Calc!BE22*'Waste results'!$S$101, "data missing"),
   IF(Calc!BC22=0,
     IF(OR('Waste results'!$S$65&lt;&gt;"data missing", 'Waste results'!$S$101&lt;&gt;"data missing"), Calc!BD22*'Waste results'!$S$65+Calc!BE22*'Waste results'!$S$101, "data missing"),
   IF(OR('Waste results'!$S$29&lt;&gt;"data missing", 'Waste results'!$S$65&lt;&gt;"data missing", 'Waste results'!$S$101&lt;&gt;"data missing"), Calc!BC22*'Waste results'!$S$29+Calc!BD22*'Waste results'!$S$65+ Calc!BE22*'Waste results'!$S$101, "data missing")))))))))))</f>
        <v/>
      </c>
      <c r="BG24" s="239" t="str">
        <f ca="1">IF($B24="","",
IF(ISBLANK('Soil results'!O27),"data missing",'Soil results'!O27))</f>
        <v/>
      </c>
      <c r="BH24" s="239" t="str">
        <f t="shared" ca="1" si="13"/>
        <v/>
      </c>
      <c r="BI24" s="9" t="str">
        <f ca="1">IF(B24="","",
IF(BF24=0,"n/a",
IF(OR(BF24="data missing",BG24="data missing"),"data missing",
IF(BF24&gt;3,"application rate too high - permissible rate exceeds limit",
IF('Soil results'!F27&lt;=5.5,
  IF(BG24&gt;50,"no application - soil conc. already above limit",
  IF(BH24&gt;50,"application rate too high - soil conc. will exceed limit",
  IF(BG24&gt;50*0.9,"soil conc. is at or above 90% of the limit",
  IF(10*BF24*1000/3000+BG24&gt;50,"soil limit likely to be exceeded in 10yrs",
  IF(50*BF24*1000/3000+BG24&gt;50,"soil limit likely to be exceeded in 50yrs","ok"))))),
IF('Soil results'!F27&lt;=6,
  IF(BG24&gt;60,"no application - soil conc. already above limit",
  IF(BH24&gt;60,"application rate too high - soil conc. will exceed limit",
  IF(BG24&gt;60*0.9,"soil conc. is at or above 90% of the limit",
  IF(10*BF24*1000/3000+BG24&gt;60,"soil limit likely to be exceeded in 10yrs",
  IF(50*BF24*1000/3000+BG24&gt;60,"soil limit likely to be exceeded in 50yrs","ok"))))),
IF('Soil results'!F27&lt;=7,
  IF(BG24&gt;75,"no application - soil conc. already above limit",
  IF(BH24&gt;75,"application rate too high - soil conc. will exceed limit",
  IF(BG24&gt;75*0.9,"soil conc. is at or above 90% of the limit",
  IF(10*BF24*1000/3000+BG24&gt;75,"soil limit likely to be exceeded in 10yrs",
  IF(50*BF24*1000/3000+BG24&gt;75,"soil limit likely to be exceeded in 50yrs","ok"))))),
IF('Soil results'!F27&gt;7,
  IF(BG24&gt;100,"no application - soil conc. already above limit",
  IF(BH24&gt;100,"application rate too high - soil conc. will exceed limit",
  IF(BG24&gt;100*0.9,"soil conc. is at or above 90% of the limit",
  IF(10*BF24*1000/3000+BG24&gt;100,"soil limit likely to be exceeded in 10yrs",
  IF(50*BF24*1000/3000+BG24&gt;100,"soil limit likely to beexceeded in 50yrs","ok")))))
))))))))</f>
        <v/>
      </c>
      <c r="BK24" s="240" t="str">
        <f ca="1">IF(B24="","",
IF(AND('Field information 2'!$O$5="", 'Field information 2'!$Q$5=""),
   IF('Waste results'!$S$30&lt;&gt;"data missing", Calc!BC22*'Waste results'!$S$30, "data missing"),
IF('Field information 2'!$Q$5="",
   IF(Calc!BD22=0,
     IF('Waste results'!$S$30&lt;&gt;"data missing", Calc!BC22*'Waste results'!$S$30, "data missing"),
   IF(Calc!BC22=0,
     IF('Waste results'!$S$66&lt;&gt;"data missing", Calc!BD22*'Waste results'!$S$66, "data missing"),
   IF(OR('Waste results'!$S$30&lt;&gt;"data missing", 'Waste results'!$S$66&lt;&gt;"data missing"), Calc!BC22*'Waste results'!$S$30+ Calc!BD22*'Waste results'!$S$66, "data missing"))),
IF(AND('Field information 2'!$M$5&lt;&gt;"", 'Field information 2'!$O$5&lt;&gt;"", 'Field information 2'!$Q$5&lt;&gt;""),
   IF(AND(Calc!BD22=0,Calc!BE22=0),
     IF('Waste results'!$S$30&lt;&gt;"data missing", Calc!BC22*'Waste results'!$S$30, "data missing"),
   IF(AND(Calc!BC22=0,Calc!BE22=0),
     IF('Waste results'!$S$66&lt;&gt;"data missing", Calc!BD22*'Waste results'!$S$66, "data missing"),
   IF(AND(Calc!BC22=0,Calc!BD22=0),
     IF('Waste results'!$S$102&lt;&gt;"data missing", Calc!BE22*'Waste results'!$S$102, "data missing"),
   IF(Calc!BE22=0,
     IF(OR('Waste results'!$S$30&lt;&gt;"data missing", 'Waste results'!$S$66&lt;&gt;"data missing"), Calc!BC22*'Waste results'!$S$30+ Calc!BD22*'Waste results'!$S$66, "data missing"),
   IF(Calc!BD22=0,
     IF(OR('Waste results'!$S$30&lt;&gt;"data missing", 'Waste results'!$S$102&lt;&gt;"data missing"), Calc!BC22*'Waste results'!$S$30+ Calc!BE22*'Waste results'!$S$102, "data missing"),
   IF(Calc!BC22=0,
     IF(OR('Waste results'!$S$66&lt;&gt;"data missing", 'Waste results'!$S$102&lt;&gt;"data missing"), Calc!BD22*'Waste results'!$S$66+Calc!BE22*'Waste results'!$S$102, "data missing"),
   IF(OR('Waste results'!$S$30&lt;&gt;"data missing", 'Waste results'!$S$66&lt;&gt;"data missing", 'Waste results'!$S$102&lt;&gt;"data missing"), Calc!BC22*'Waste results'!$S$30+Calc!BD22*'Waste results'!$S$66+ Calc!BE22*'Waste results'!$S$102, "data missing")))))))))))</f>
        <v/>
      </c>
      <c r="BL24" s="241" t="str">
        <f ca="1">IF($B24="","",
IF(ISBLANK('Soil results'!P27),"data missing",'Soil results'!P27))</f>
        <v/>
      </c>
      <c r="BM24" s="241" t="str">
        <f t="shared" ca="1" si="14"/>
        <v/>
      </c>
      <c r="BN24" s="66" t="str">
        <f t="shared" ca="1" si="15"/>
        <v/>
      </c>
      <c r="BP24" s="238" t="str">
        <f ca="1">IF(B24="","",
IF(AND('Field information 2'!$O$5="", 'Field information 2'!$Q$5=""),
   IF('Waste results'!$S$31&lt;&gt;"data missing", Calc!BC22*'Waste results'!$S$31, "data missing"),
IF('Field information 2'!$Q$5="",
   IF(Calc!BD22=0,
     IF('Waste results'!$S$31&lt;&gt;"data missing", Calc!BC22*'Waste results'!$S$31, "data missing"),
   IF(Calc!BC22=0,
     IF('Waste results'!$S$67&lt;&gt;"data missing", Calc!BD22*'Waste results'!$S$67, "data missing"),
   IF(OR('Waste results'!$S$31&lt;&gt;"data missing", 'Waste results'!$S$67&lt;&gt;"data missing"), Calc!BC22*'Waste results'!$S$31+ Calc!BD22*'Waste results'!$S$67, "data missing"))),
IF(AND('Field information 2'!$M$5&lt;&gt;"", 'Field information 2'!$O$5&lt;&gt;"", 'Field information 2'!$Q$5&lt;&gt;""),
   IF(AND(Calc!BD22=0,Calc!BE22=0),
     IF('Waste results'!$S$31&lt;&gt;"data missing", Calc!BC22*'Waste results'!$S$31, "data missing"),
   IF(AND(Calc!BC22=0,Calc!BE22=0),
     IF('Waste results'!$S$67&lt;&gt;"data missing", Calc!BD22*'Waste results'!$S$67, "data missing"),
   IF(AND(Calc!BC22=0,Calc!BD22=0),
     IF('Waste results'!$S$103&lt;&gt;"data missing", Calc!BE22*'Waste results'!$S$103, "data missing"),
   IF(Calc!BE22=0,
     IF(OR('Waste results'!$S$31&lt;&gt;"data missing", 'Waste results'!$S$67&lt;&gt;"data missing"), Calc!BC22*'Waste results'!$S$31+ Calc!BD22*'Waste results'!$S$67, "data missing"),
   IF(Calc!BD22=0,
     IF(OR('Waste results'!$S$31&lt;&gt;"data missing", 'Waste results'!$S$103&lt;&gt;"data missing"), Calc!BC22*'Waste results'!$S$31+ Calc!BE22*'Waste results'!$S$103, "data missing"),
   IF(Calc!BC22=0,
     IF(OR('Waste results'!$S$67&lt;&gt;"data missing", 'Waste results'!$S$103&lt;&gt;"data missing"), Calc!BD22*'Waste results'!$S$67+Calc!BE22*'Waste results'!$S$103, "data missing"),
   IF(OR('Waste results'!$S$31&lt;&gt;"data missing", 'Waste results'!$S$67&lt;&gt;"data missing", 'Waste results'!$S$103&lt;&gt;"data missing"), Calc!BC22*'Waste results'!$S$31+Calc!BD22*'Waste results'!$S$67+ Calc!BE22*'Waste results'!$S$103, "data missing")))))))))))</f>
        <v/>
      </c>
      <c r="BQ24" s="239" t="str">
        <f ca="1">IF($B24="","",
IF(ISBLANK('Soil results'!Q27),"data missing",'Soil results'!Q27))</f>
        <v/>
      </c>
      <c r="BR24" s="239" t="str">
        <f t="shared" ca="1" si="16"/>
        <v/>
      </c>
      <c r="BS24" s="9" t="str">
        <f ca="1">IF(B24="","",
IF(BP24=0,"n/a",
IF(OR(BP24="data missing",BQ24=""),"data missing",
IF(BP24&gt;15,"application rate too high - permissible rate exceeds limit",
IF('Soil results'!F27&lt;=5.5,
  IF(BQ24&gt;200,"no application - soil conc. already above limit",
  IF(BR24&gt;200,"application rate too high - soil conc. will exceed limit",
  IF(BQ24&gt;200*0.9,"soil conc. is at or above 90% of the limit",
  IF(10*BP24*1000/3000+BQ24&gt;200,"soil limit likely to be exceeded in 10yrs",
  IF(50*BP24*1000/3000+BQ24&gt;200,"soil limit likely to be exceeded in 50yrs","ok"))))),
IF('Soil results'!F27&lt;=6,
  IF(BQ24&gt;250,"no application - soil conc. already above limit",
  IF(BR24&gt;250,"application rate too high - soil conc. will exceed limit",
  IF(BQ24&gt;250*0.9,"soil conc. is at or above 90% of the limit",
  IF(10*BP24*1000/3000+BQ24&gt;250,"soil limit likely to be exceeded in 10yrs",
  IF(50*BP24*1000/3000+BQ24&gt;250,"soil limit likely to be exceeded in 50yrs","ok"))))),
IF('Soil results'!F27&lt;=7,
  IF(BQ24&gt;300,"no application - soil conc. already above limit",
  IF(BR24&gt;300,"application rate too high - soil conc. will exceed limit",
  IF(BQ24&gt;300*0.9,"soil conc. is at or above 90% of the limit",
  IF(10*BP24*1000/3000+BQ24&gt;300,"soil limit likey to be exceeded in 10yrs",
  IF(50*BP24*1000/3000+BQ24&gt;300,"soil limit likely to be exceeded in 50yrs","ok"))))),
IF('Soil results'!F27&gt;7,
  IF(BQ24&gt;450,"no application - soil conc. already above limit",
  IF(BR24&gt;450,"application rate too high - soil conc. will exceed limit",
  IF(AW24&gt;450*0.9,"soil conc. is at or above 90% of the limit",
  IF(10*BP24*1000/3000+BQ24&gt;450,"soil limit likely to be exceeded in 10yrs",
  IF(50*BP24*1000/3000+BQ24&gt;450,"soil limit likely to be exceeded in 50yrs","ok")))))
))))))))</f>
        <v/>
      </c>
    </row>
    <row r="25" spans="2:71" s="9" customFormat="1" x14ac:dyDescent="0.35">
      <c r="B25" s="236" t="str">
        <f ca="1">'Soil results'!B28</f>
        <v/>
      </c>
      <c r="C25" s="91" t="str">
        <f ca="1">IF(B25="","",
IF(AND('Field information 2'!$O$5="", 'Field information 2'!$Q$5=""),
   IF('Waste results'!$S$12&lt;&gt;"data missing", Calc!BC23*'Waste results'!$S$12, "data missing"),
IF('Field information 2'!$Q$5="",
   IF(Calc!BD23=0,
     IF('Waste results'!$S$12&lt;&gt;"data missing", Calc!BC23*'Waste results'!$S$12, "data missing"),
   IF(Calc!BC23=0,
     IF('Waste results'!$S$48&lt;&gt;"data missing", Calc!BD23*'Waste results'!$S$48, "data missing"),
   IF(OR('Waste results'!$S$12&lt;&gt;"data missing", 'Waste results'!$S$48&lt;&gt;"data missing"), Calc!BC23*'Waste results'!$S$12+ Calc!BD23*'Waste results'!$S$48, "data missing"))),
IF(AND('Field information 2'!$M$5&lt;&gt;"", 'Field information 2'!$O$5&lt;&gt;"", 'Field information 2'!$Q$5&lt;&gt;""),
   IF(AND(Calc!BD23=0,Calc!BE23=0),
     IF('Waste results'!$S$12&lt;&gt;"data missing", Calc!BC23*'Waste results'!$S$12, "data missing"),
   IF(AND(Calc!BC23=0,Calc!BE23=0),
     IF('Waste results'!$S$48&lt;&gt;"data missing", Calc!BD23*'Waste results'!$S$48, "data missing"),
   IF(AND(Calc!BC23=0,Calc!BD23=0),
     IF('Waste results'!$S$84&lt;&gt;"data missing", Calc!BE23*'Waste results'!$S$84, "data missing"),
   IF(Calc!BE23=0,
     IF(OR('Waste results'!$S$12&lt;&gt;"data missing", 'Waste results'!$S$48&lt;&gt;"data missing"), Calc!BC23*'Waste results'!$S$12+ Calc!BD23*'Waste results'!$S$48, "data missing"),
   IF(Calc!BD23=0,
     IF(OR('Waste results'!$S$12&lt;&gt;"data missing", 'Waste results'!$S$84&lt;&gt;"data missing"), Calc!BC23*'Waste results'!$S$12+ Calc!BE23*'Waste results'!$S$84, "data missing"),
   IF(Calc!BC23=0,
     IF(OR('Waste results'!$S$48&lt;&gt;"data missing", 'Waste results'!$S$84&lt;&gt;"data missing"), Calc!BD23*'Waste results'!$S$48+Calc!BE23*'Waste results'!$S$84, "data missing"),
   IF(OR('Waste results'!$S$12&lt;&gt;"data missing", 'Waste results'!$S$48&lt;&gt;"data missing", 'Waste results'!$S$84&lt;&gt;"data missing"), Calc!BC23*'Waste results'!$S$12+Calc!BD23*'Waste results'!$S$48+ Calc!BE23*'Waste results'!$S$84, "data missing")))))))))))</f>
        <v/>
      </c>
      <c r="D25" s="161" t="str">
        <f ca="1">IF(B25="","",
IF(Calc!BG23="","soil texture missing",
IF(OR(Calc!BG23="SL; SZL; ZL",Calc!BG23="SCL; CL; ZCL; SC; ZC; C"),VLOOKUP(Calc!BI23,'Fertiliser recommendations'!$A$4:$C$63,3,FALSE),
IF(Calc!BG23="S; LS",VLOOKUP(Calc!BI23,'Fertiliser recommendations'!$A$4:$C$63,3,FALSE)+VLOOKUP(Calc!BI23,'Fertiliser recommendations'!$A$4:$D$63,4,FALSE),
IF(Calc!BG23="10-25% OM",VLOOKUP(Calc!BI23,'Fertiliser recommendations'!$A$4:$C$63,3,FALSE)+VLOOKUP(Calc!BI23,'Fertiliser recommendations'!$A$4:$E$63,5,FALSE),
IF(Calc!BG23="&gt;25% OM",VLOOKUP(Calc!BI23,'Fertiliser recommendations'!$A$4:$C$63,3,FALSE)+VLOOKUP(Calc!BI23,'Fertiliser recommendations'!$A$4:$F$63,6,FALSE),
""))))))</f>
        <v/>
      </c>
      <c r="E25" s="91" t="str">
        <f t="shared" ca="1" si="0"/>
        <v/>
      </c>
      <c r="F25" s="9" t="str">
        <f ca="1">IF(B25="","",
IF(OR(C25="data missing",D25="soil texture missing"),"data missing",
IF(Calc!BF23=0,"n/a",
IF(C25&lt;0.1*D25,"no benefit",
IF(C25&lt;0.3*D25,"limited benefit",
IF(C25&gt;250,"exceeds limit",
IF(OR(AND(D25=0,C25&gt;75),C25&gt;1.25*D25),"excessive",
IF(D25=0, "no requirement",
"benefit"))))))))</f>
        <v/>
      </c>
      <c r="H25" s="91" t="str">
        <f ca="1">IF(B25="","",
IF(AND('Field information 2'!$O$5="", 'Field information 2'!$Q$5=""),
   IF('Waste results'!$S$17&lt;&gt;"data missing", Calc!BC23*'Waste results'!$S$17, "data missing"),
IF('Field information 2'!$Q$5="",
   IF(Calc!BD23=0,
     IF('Waste results'!$S$17&lt;&gt;"data missing", Calc!BC23*'Waste results'!$S$17, "data missing"),
   IF(Calc!BC23=0,
     IF('Waste results'!$S$53&lt;&gt;"data missing", Calc!BD23*'Waste results'!$S$53, "data missing"),
   IF(OR('Waste results'!$S$17&lt;&gt;"data missing", 'Waste results'!$S$53&lt;&gt;"data missing"), Calc!BC23*'Waste results'!$S$17+ Calc!BD23*'Waste results'!$S$53, "data missing"))),
IF(AND('Field information 2'!$M$5&lt;&gt;"", 'Field information 2'!$O$5&lt;&gt;"", 'Field information 2'!$Q$5&lt;&gt;""),
   IF(AND(Calc!BD23=0,Calc!BE23=0),
     IF('Waste results'!$S$17&lt;&gt;"data missing", Calc!BC23*'Waste results'!$S$17, "data missing"),
   IF(AND(Calc!BC23=0,Calc!BE23=0),
     IF('Waste results'!$S$53&lt;&gt;"data missing", Calc!BD23*'Waste results'!$S$53, "data missing"),
   IF(AND(Calc!BC23=0,Calc!BD23=0),
     IF('Waste results'!$S$89&lt;&gt;"data missing", Calc!BE23*'Waste results'!$S$89, "data missing"),
   IF(Calc!BE23=0,
     IF(OR('Waste results'!$S$17&lt;&gt;"data missing", 'Waste results'!$S$53&lt;&gt;"data missing"), Calc!BC23*'Waste results'!$S$17+ Calc!BD23*'Waste results'!$S$53, "data missing"),
   IF(Calc!BD23=0,
     IF(OR('Waste results'!$S$17&lt;&gt;"data missing", 'Waste results'!$S$89&lt;&gt;"data missing"), Calc!BC23*'Waste results'!$S$17+ Calc!BE23*'Waste results'!$S$89, "data missing"),
   IF(Calc!BC23=0,
     IF(OR('Waste results'!$S$53&lt;&gt;"data missing", 'Waste results'!$S$89&lt;&gt;"data missing"), Calc!BD23*'Waste results'!$S$53+Calc!BE23*'Waste results'!$S$89, "data missing"),
   IF(OR('Waste results'!$S$17&lt;&gt;"data missing", 'Waste results'!$S$53&lt;&gt;"data missing", 'Waste results'!$S$89&lt;&gt;"data missing"), Calc!BC23*'Waste results'!$S$17+Calc!BD23*'Waste results'!$S$53+ Calc!BE23*'Waste results'!$S$89, "data missing")))))))))))</f>
        <v/>
      </c>
      <c r="I25" s="195" t="str">
        <f ca="1">IF(B25="","",
IF(OR(ISBLANK('Soil results'!G28), ISBLANK('Soil results'!G$7)),"data missing",
IF(OR(AND('Soil results'!G$7="Olsen (ADAS)",'Soil results'!G28&lt;16),AND('Soil results'!G$7="modified Morgan (SAC)",'Soil results'!G28&lt;4.5)),50,100)))</f>
        <v/>
      </c>
      <c r="J25" s="49" t="str">
        <f ca="1">IF(B25="","",
IF(OR(ISBLANK('Soil results'!G$7),ISBLANK('Soil results'!G28)),"data missing",
IF(OR(AND('Soil results'!G$7="Olsen (ADAS)",'Soil results'!G28&gt;45),AND('Soil results'!G$7="modified Morgan (SAC)",'Soil results'!G28&gt;30)),0,
IF(OR(AND('Soil results'!G$7="Olsen (ADAS)",'Soil results'!G28&gt;=16,'Soil results'!G28&lt;=20),AND('Soil results'!G$7="modified Morgan (SAC)",'Soil results'!G28&gt;=4.5,'Soil results'!G28&lt;=9.4)),VLOOKUP(Calc!BI23,'Fertiliser recommendations'!$A$4:$I$63,9,FALSE),
IF(OR(AND('Soil results'!G$7="Olsen (ADAS)",'Soil results'!G28&lt;10),AND('Soil results'!G$7="modified Morgan (SAC)",'Soil results'!G28&lt;1.8)),VLOOKUP(Calc!BI23,'Fertiliser recommendations'!$A$4:$I$63,9,FALSE)+VLOOKUP(Calc!BI23,'Fertiliser recommendations'!$A$4:$J$63,10,FALSE),
IF(OR(AND('Soil results'!G$7="Olsen (ADAS)",'Soil results'!G28&lt;16),AND('Soil results'!G$7="modified Morgan (SAC)",'Soil results'!G28&lt;4.5)),VLOOKUP(Calc!BI23,'Fertiliser recommendations'!$A$4:$I$63,9,FALSE)+VLOOKUP(Calc!BI23,'Fertiliser recommendations'!$A$4:$K$63,11,FALSE),
IF(OR(AND('Soil results'!G$7="Olsen (ADAS)",'Soil results'!G28&lt;26),AND('Soil results'!G$7="modified Morgan (SAC)",'Soil results'!G28&lt;13.5)),VLOOKUP(Calc!BI23,'Fertiliser recommendations'!$A$4:$I$63,9,FALSE)+VLOOKUP(Calc!BI23,'Fertiliser recommendations'!$A$4:$L$63,12,FALSE),
IF(OR(AND('Soil results'!G$7="Olsen (ADAS)",'Soil results'!G28&lt;=45),AND('Soil results'!G$7="modified Morgan (SAC)",'Soil results'!G28&lt;=30)),VLOOKUP(Calc!BI23,'Fertiliser recommendations'!$A$4:$I$63,9,FALSE)+VLOOKUP(Calc!BI23,'Fertiliser recommendations'!$A$4:$M$63,13,FALSE),
""))))))))</f>
        <v/>
      </c>
      <c r="K25" s="161" t="str">
        <f t="shared" ca="1" si="1"/>
        <v/>
      </c>
      <c r="L25" s="47" t="str">
        <f ca="1">IF(OR(ISBLANK('Soil results'!G$7),ISBLANK('Soil results'!G28),B25="", H25="data missing"),"",
IF('Soil results'!G$7="Olsen (ADAS)",
IF(((H25*Calc!BM23/2.291-(VLOOKUP(Calc!BI23,'Fertiliser recommendations'!$A$4:$I$63,9,FALSE))/2.291)*10/(400/2.291)+'Soil results'!G28)&lt;10,"0 (VL)",
IF(((H25*Calc!BM23/2.291-(VLOOKUP(Calc!BI23,'Fertiliser recommendations'!$A$4:$I$63,9,FALSE))/2.291)*10/(400/2.291)+'Soil results'!G28)&lt;16,"1 (L)",
IF(((H25*Calc!BM23/2.291-(VLOOKUP(Calc!BI23,'Fertiliser recommendations'!$A$4:$I$63,9,FALSE))/2.291)*10/(400/2.291)+'Soil results'!G28)&lt;21,"2 (M-)",
IF(((H25*Calc!BM23/2.291-(VLOOKUP(Calc!BI23,'Fertiliser recommendations'!$A$4:$I$63,9,FALSE))/2.291)*10/(400/2.291)+'Soil results'!G28)&lt;26,"2 (M+)",
IF(((H25*Calc!BM23/2.291-(VLOOKUP(Calc!BI23,'Fertiliser recommendations'!$A$4:$I$63,9,FALSE))/2.291)*10/(400/2.291)+'Soil results'!G28)&lt;45,"3 (H)","&gt;3 (VH)"))))),
IF('Soil results'!G$7="modified Morgan (SAC)",
IF('Soil results'!G28&gt;=6,
IF(((H25*Calc!BM23/2.291-(VLOOKUP(Calc!BI23,'Fertiliser recommendations'!$A$4:$I$63,9,FALSE))/2.291)*5/(147/2.291)+'Soil results'!G28)&lt;9.5,"2 (M-)",
IF(((H25*Calc!BM23/2.291-(VLOOKUP(Calc!BI23,'Fertiliser recommendations'!$A$4:$I$63,9,FALSE))/2.291)*5/(147/2.291)+'Soil results'!G28)&lt;13.5,"2 (M+)",
IF(((H25*Calc!BM23/2.291-(VLOOKUP(Calc!BI23,'Fertiliser recommendations'!$A$4:$I$63,9,FALSE))/2.291)*5/(147/2.291)+'Soil results'!G28)&lt;30,"3 (H)","4 (VH)"))),
IF(((H25*Calc!BM23/2.291-(VLOOKUP(Calc!BI23,'Fertiliser recommendations'!$A$4:$I$63,9,FALSE))/2.291)*5/(346/2.291)+'Soil results'!G28)&lt;1.8,"0 (VL)",
IF(((H25*Calc!BM23/2.291-(VLOOKUP(Calc!BI23,'Fertiliser recommendations'!$A$4:$I$63,9,FALSE))/2.291)*5/(147/2.291)+'Soil results'!G28)&lt;4.5,"1 (L)","2 (M-)"))))))</f>
        <v/>
      </c>
      <c r="M25" s="9" t="str">
        <f ca="1">IF(B25="","",
IF(OR(H25="data missing",I25="data missing",J25="data missing"),"data missing",
IF(Calc!BF23=0,"n/a",
IF(OR(AND('Soil results'!G$7="Olsen (ADAS)",'Soil results'!G28&gt;45),AND('Soil results'!G$7="modified Morgan (SAC)",'Soil results'!G28&gt;30)),
IF(H25&gt;2,"too high, not acceptable","no requirement"),IF(OR(AND('Soil results'!G$7="Olsen (ADAS)",'Soil results'!G28&gt;25),AND('Soil results'!G$7="modified Morgan (SAC)",'Soil results'!G28&gt;13.4)),
IF(H25*(I25/100)&lt;0.1*J25,"no benefit",
IF(H25*(I25/100)&lt;0.3*J25,"limited benefit",
IF(H25*(I25/100)&lt;1.1*J25,"benefit",
IF(H25*(I25/100)&lt;0.7*VLOOKUP(Calc!BI23,'Fertiliser recommendations'!$A$4:$I$63,9,FALSE),"excessive","too high, not acceptable")))),
IF(OR(AND('Soil results'!G$7="Olsen (ADAS)",'Soil results'!G28&gt;20),AND('Soil results'!G$7="modified Morgan (SAC)",'Soil results'!G28&gt;9.4)),
IF(H25*Calc!BM23*(I25/100)&lt;0.1*J25,"no benefit",
IF(H25*Calc!BM23*(I25/100)&lt;0.3*J25,"limited benefit",
IF(H25*Calc!BM23*(I25/100)&lt;1.1*J25,"benefit",
IF(L25="3 (H)","too high, not acceptable","excessive")))),
IF(OR(AND('Soil results'!G$7="Olsen (ADAS)",'Soil results'!G28&gt;15),AND('Soil results'!G$7="modified Morgan (SAC)",'Soil results'!G28&gt;4.4)),
IF(H25*Calc!BM23*(I25/100)&lt;0.1*VLOOKUP(Calc!BI23,'Fertiliser recommendations'!$A$4:$I$63,9,FALSE),"no benefit",
IF(H25*Calc!BM23*(I25/100)&lt;0.3*VLOOKUP(Calc!BI23,'Fertiliser recommendations'!$A$4:$I$63,9,FALSE),"limited benefit",
IF(H25*Calc!BM23*(I25/100)&lt;1.1*VLOOKUP(Calc!BI23,'Fertiliser recommendations'!$A$4:$I$63,9,FALSE),"benefit",
IF(L25="3 (H)", "too high, not acceptable", "excessive")))),
IF(OR(AND('Soil results'!G$7="Olsen (ADAS)",'Soil results'!G28&lt;=15),AND('Soil results'!G$7="modified Morgan (SAC)",'Soil results'!G28&lt;=4.4)),
IF(H25*Calc!BM23*(I25/100)&lt;0.1*VLOOKUP(Calc!BI23,'Fertiliser recommendations'!$A$4:$I$63,9,FALSE),"no benefit",
IF(H25*Calc!BM23*(I25/100)&lt;0.3*VLOOKUP(Calc!BI23,'Fertiliser recommendations'!$A$4:$I$63,9,FALSE),"limited benefit",
IF(H25*Calc!BM23*(I25/100)&lt;1.1*J25,"benefit","excessive")))))))))))</f>
        <v/>
      </c>
      <c r="O25" s="91" t="str">
        <f ca="1">IF(B25="","",
IF(AND('Field information 2'!$O$5="", 'Field information 2'!$Q$5=""),
   IF('Waste results'!$S$19&lt;&gt;"data missing", Calc!BC23*'Waste results'!$S$19, "data missing"),
IF('Field information 2'!$Q$5="",
   IF(Calc!BD23=0,
     IF('Waste results'!$S$19&lt;&gt;"data missing", Calc!BC23*'Waste results'!$S$19, "data missing"),
   IF(Calc!BC23=0,
     IF('Waste results'!$S$55&lt;&gt;"data missing", Calc!BD23*'Waste results'!$S$55, "data missing"),
   IF(OR('Waste results'!$S$19&lt;&gt;"data missing", 'Waste results'!$S$55&lt;&gt;"data missing"), Calc!BC23*'Waste results'!$S$19+ Calc!BD23*'Waste results'!$S$55, "data missing"))),
IF(AND('Field information 2'!$M$5&lt;&gt;"", 'Field information 2'!$O$5&lt;&gt;"", 'Field information 2'!$Q$5&lt;&gt;""),
   IF(AND(Calc!BD23=0,Calc!BE23=0),
     IF('Waste results'!$S$19&lt;&gt;"data missing", Calc!BC23*'Waste results'!$S$19, "data missing"),
   IF(AND(Calc!BC23=0,Calc!BE23=0),
     IF('Waste results'!$S$55&lt;&gt;"data missing", Calc!BD23*'Waste results'!$S$55, "data missing"),
   IF(AND(Calc!BC23=0,Calc!BD23=0),
     IF('Waste results'!$S$91&lt;&gt;"data missing", Calc!BE23*'Waste results'!$S$91, "data missing"),
   IF(Calc!BE23=0,
     IF(OR('Waste results'!$S$19&lt;&gt;"data missing", 'Waste results'!$S$55&lt;&gt;"data missing"), Calc!BC23*'Waste results'!$S$19+ Calc!BD23*'Waste results'!$S$55, "data missing"),
   IF(Calc!BD23=0,
     IF(OR('Waste results'!$S$19&lt;&gt;"data missing", 'Waste results'!$S$91&lt;&gt;"data missing"), Calc!BC23*'Waste results'!$S$19+ Calc!BE23*'Waste results'!$S$91, "data missing"),
   IF(Calc!BC23=0,
     IF(OR('Waste results'!$S$55&lt;&gt;"data missing", 'Waste results'!$S$91&lt;&gt;"data missing"), Calc!BD23*'Waste results'!$S$55+Calc!BE23*'Waste results'!$S$91, "data missing"),
   IF(OR('Waste results'!$S$19&lt;&gt;"data missing", 'Waste results'!$S$55&lt;&gt;"data missing", 'Waste results'!$S$91&lt;&gt;"data missing"), Calc!BC23*'Waste results'!$S$19+Calc!BD23*'Waste results'!$S$55+ Calc!BE23*'Waste results'!$S$91, "data missing")))))))))))</f>
        <v/>
      </c>
      <c r="P25" s="91" t="str">
        <f ca="1">IF(B25="","",
IF(OR(ISBLANK('Soil results'!H$7),ISBLANK('Soil results'!H28)),"data missing",
IF(OR(AND('Soil results'!H$7="ammonium nitrate (ADAS)",'Soil results'!H28&gt;400),AND('Soil results'!H$7="modified Morgan (SAC)",'Soil results'!H28&gt;400)),0,
IF(OR(AND('Soil results'!H$7="ammonium nitrate (ADAS)",'Soil results'!H28&gt;=121,'Soil results'!H28&lt;=180),AND('Soil results'!H$7="modified Morgan (SAC)",'Soil results'!H28&gt;=76,'Soil results'!H28&lt;=140)),VLOOKUP(Calc!BI23,'Fertiliser recommendations'!$A$4:$Z$63,26,FALSE),
IF(OR(AND('Soil results'!H$7="ammonium nitrate (ADAS)",'Soil results'!H28&lt;61),AND('Soil results'!H$7="modified Morgan (SAC)",'Soil results'!H28&lt;40)),VLOOKUP(Calc!BI23,'Fertiliser recommendations'!$A$4:$Z$63,26,FALSE)+VLOOKUP(Calc!BI23,'Fertiliser recommendations'!$A$4:$AA$63,27,FALSE),
IF(OR(AND('Soil results'!H$7="ammonium nitrate (ADAS)",'Soil results'!H28&lt;121),AND('Soil results'!H$7="modified Morgan (SAC)",'Soil results'!H28&lt;76)),VLOOKUP(Calc!BI23,'Fertiliser recommendations'!$A$4:$Z$63,26,FALSE)+VLOOKUP(Calc!BI23,'Fertiliser recommendations'!$A$4:$AB$63,28,FALSE),
IF(OR(AND('Soil results'!H$7="ammonium nitrate (ADAS)",'Soil results'!H28&lt;241),AND('Soil results'!H$7="modified Morgan (SAC)",'Soil results'!H28&lt;201)),VLOOKUP(Calc!BI23,'Fertiliser recommendations'!$A$4:$Z$63,26,FALSE)+VLOOKUP(Calc!BI23,'Fertiliser recommendations'!$A$4:$AC$63,29,FALSE),
IF(OR(AND('Soil results'!H$7="ammonium nitrate (ADAS)",'Soil results'!H28&lt;=400),AND('Soil results'!H$7="modified Morgan (SAC)",'Soil results'!H28&lt;=400)),VLOOKUP(Calc!BI23,'Fertiliser recommendations'!$A$4:$Z$63,26,FALSE)+VLOOKUP(Calc!BI23,'Fertiliser recommendations'!$A$4:$AD$63,30,FALSE),
"??"))))))))</f>
        <v/>
      </c>
      <c r="Q25" s="91" t="str">
        <f t="shared" ca="1" si="2"/>
        <v/>
      </c>
      <c r="R25" s="9" t="str">
        <f ca="1">IF(B25="","",
IF(OR(O25="data missing",P25="data missing"),"data missing",
IF(Calc!BF23=0,"n/a",
IF(P25=0, "no requirement",
IF(O25&lt;0.1*P25,"no benefit",
IF(O25&lt;0.3*P25,"limited benefit",
IF(O25&gt;1.25*P25,"excessive",
"benefit")))))))</f>
        <v/>
      </c>
      <c r="T25" s="91" t="str">
        <f ca="1">IF(B25="","",
IF(AND('Field information 2'!$O$5="", 'Field information 2'!$Q$5=""),
   IF('Waste results'!$S$21&lt;&gt;"data missing", Calc!BC23*'Waste results'!$S$21, "data missing"),
IF('Field information 2'!$Q$5="",
   IF(Calc!BD23=0,
     IF('Waste results'!$S$21&lt;&gt;"data missing", Calc!BC23*'Waste results'!$S$21, "data missing"),
   IF(Calc!BC23=0,
     IF('Waste results'!$S$57&lt;&gt;"data missing", Calc!BD23*'Waste results'!$S$57, "data missing"),
   IF(OR('Waste results'!$S$21&lt;&gt;"data missing", 'Waste results'!$S$57&lt;&gt;"data missing"), Calc!BC23*'Waste results'!$S$21+ Calc!BD23*'Waste results'!$S$57, "data missing"))),
IF(AND('Field information 2'!$M$5&lt;&gt;"", 'Field information 2'!$O$5&lt;&gt;"", 'Field information 2'!$Q$5&lt;&gt;""),
   IF(AND(Calc!BD23=0,Calc!BE23=0),
     IF('Waste results'!$S$21&lt;&gt;"data missing", Calc!BC23*'Waste results'!$S$21, "data missing"),
   IF(AND(Calc!BC23=0,Calc!BE23=0),
     IF('Waste results'!$S$57&lt;&gt;"data missing", Calc!BD23*'Waste results'!$S$57, "data missing"),
   IF(AND(Calc!BC23=0,Calc!BD23=0),
     IF('Waste results'!$S$93&lt;&gt;"data missing", Calc!BE23*'Waste results'!$S$93, "data missing"),
   IF(Calc!BE23=0,
     IF(OR('Waste results'!$S$21&lt;&gt;"data missing", 'Waste results'!$S$57&lt;&gt;"data missing"), Calc!BC23*'Waste results'!$S$21+ Calc!BD23*'Waste results'!$S$57, "data missing"),
   IF(Calc!BD23=0,
     IF(OR('Waste results'!$S$21&lt;&gt;"data missing", 'Waste results'!$S$93&lt;&gt;"data missing"), Calc!BC23*'Waste results'!$S$21+ Calc!BE23*'Waste results'!$S$93, "data missing"),
   IF(Calc!BC23=0,
     IF(OR('Waste results'!$S$57&lt;&gt;"data missing", 'Waste results'!$S$93&lt;&gt;"data missing"), Calc!BD23*'Waste results'!$S$57+Calc!BE23*'Waste results'!$S$93, "data missing"),
   IF(OR('Waste results'!$S$21&lt;&gt;"data missing", 'Waste results'!$S$57&lt;&gt;"data missing", 'Waste results'!$S$93&lt;&gt;"data missing"), Calc!BC23*'Waste results'!$S$21+Calc!BD23*'Waste results'!$S$57+ Calc!BE23*'Waste results'!$S$93, "data missing")))))))))))</f>
        <v/>
      </c>
      <c r="U25" s="7" t="str">
        <f ca="1">IF(B25="","",
IF(OR(ISBLANK('Soil results'!I$7),ISBLANK('Soil results'!I28)),"data missing",
IF(OR(AND('Soil results'!I$7="ammonium nitrate (ADAS)",'Soil results'!I28&gt;51),AND('Soil results'!I$7="modified Morgan (SAC)",'Soil results'!I28&gt;61)),0,
IF(OR(AND('Soil results'!I$7="ammonium nitrate (ADAS)",'Soil results'!I28&lt;25),AND('Soil results'!I$7="modified Morgan (SAC)",'Soil results'!I28&lt;19)),VLOOKUP(Calc!BI23,'Fertiliser recommendations'!$A$4:$AH$63,34,FALSE),
IF(OR(AND('Soil results'!I$7="ammonium nitrate (ADAS)",'Soil results'!I28&lt;=51),AND('Soil results'!I$7="modified Morgan (SAC)",'Soil results'!I28&lt;=61)),VLOOKUP(Calc!BI23,'Fertiliser recommendations'!$A$4:$AI$63,35,FALSE),
"")))))</f>
        <v/>
      </c>
      <c r="V25" s="91" t="str">
        <f t="shared" ca="1" si="3"/>
        <v/>
      </c>
      <c r="W25" s="9" t="str">
        <f ca="1">IF(B25="","",
IF(OR(T25="data missing",U25="data missing"),"data missing",
IF(Calc!BF23=0,"n/a",
IF(U25=0,"no requirement",
IF(T25&lt;0.1*U25,"no benefit",
IF(T25&lt;0.3*U25,"limited benefit",
IF(OR(T25&gt;1.5*U25,AND(Calc!BJ23="g",T25&gt;100)),"excessive",
"benefit")))))))</f>
        <v/>
      </c>
      <c r="Y25" s="91" t="str">
        <f ca="1">IF(B25="","",
IF(AND('Field information 2'!$O$5="", 'Field information 2'!$Q$5=""),
   IF('Waste results'!$P$23&lt;&gt;"", Calc!BC23*'Waste results'!$P$23, "no data"),
IF('Field information 2'!$Q$5="",
   IF(Calc!BD23=0,
     IF('Waste results'!$P$23&lt;&gt;"", Calc!BC23*'Waste results'!$P$23, "no data"),
   IF(Calc!BC23=0,
     IF('Waste results'!$P$59&lt;&gt;"", Calc!BD23*'Waste results'!$P$59, "no data"),
   IF(OR('Waste results'!$P$23&lt;&gt;"", 'Waste results'!$P$59&lt;&gt;""), Calc!BC23*'Waste results'!$P$23+ Calc!BD23*'Waste results'!$P$59, "no data"))),
IF(AND('Field information 2'!$M$5&lt;&gt;"", 'Field information 2'!$O$5&lt;&gt;"", 'Field information 2'!$Q$5&lt;&gt;""),
   IF(AND(Calc!BD23=0,Calc!BE23=0),
     IF('Waste results'!$P$23&lt;&gt;"", Calc!BC23*'Waste results'!$P$23, "no data"),
   IF(AND(Calc!BC23=0,Calc!BE23=0),
     IF('Waste results'!$P$59&lt;&gt;"", Calc!BD23*'Waste results'!$P$59, "no data"),
   IF(AND(Calc!BC23=0,Calc!BD23=0),
     IF('Waste results'!$P$95&lt;&gt;"", Calc!BE23*'Waste results'!$P$95, "no data"),
   IF(Calc!BE23=0,
     IF(OR('Waste results'!$P$23&lt;&gt;"", 'Waste results'!$P$59&lt;&gt;""), Calc!BC23*'Waste results'!$P$23+ Calc!BD23*'Waste results'!$P$59, "no data"),
   IF(Calc!BD23=0,
     IF(OR('Waste results'!$P$23&lt;&gt;"", 'Waste results'!$P$95&lt;&gt;""), Calc!BC23*'Waste results'!$P$23+ Calc!BE23*'Waste results'!$P$95, "no data"),
   IF(Calc!BC23=0,
     IF(OR('Waste results'!$P$59&lt;&gt;"", 'Waste results'!$P$95&lt;&gt;""), Calc!BD23*'Waste results'!$P$59+Calc!BE23*'Waste results'!$P$95, "no data"),
   IF(OR('Waste results'!$P$23&lt;&gt;"", 'Waste results'!$P$59&lt;&gt;"", 'Waste results'!$P$95&lt;&gt;""), Calc!BC23*'Waste results'!$P$23+Calc!BD23*'Waste results'!$P$59+ Calc!BE23*'Waste results'!$P$95, "no data")))))))))))</f>
        <v/>
      </c>
      <c r="Z25" s="7" t="str">
        <f ca="1">IF(OR(ISBLANK('Soil results'!I$7),ISBLANK('Soil results'!I28),'Soil results'!B28=""),"",
VLOOKUP(Calc!BI23,'Fertiliser recommendations'!$A$4:$AM$63,39,FALSE))</f>
        <v/>
      </c>
      <c r="AA25" s="91" t="str">
        <f t="shared" ca="1" si="4"/>
        <v/>
      </c>
      <c r="AB25" s="9" t="str">
        <f t="shared" ca="1" si="5"/>
        <v/>
      </c>
      <c r="AD25" s="48" t="str">
        <f>IF(ISBLANK('Soil results'!F28),"",'Soil results'!F28)</f>
        <v/>
      </c>
      <c r="AE25" s="49" t="str">
        <f ca="1">IF(B25="","",
IF(AND(Calc!BJ23="g", VLOOKUP(LEFT($B25,LEN($B25)-2),'Field information 2'!$B$12:$P$111,9,FALSE)&lt;&gt;"yes"),
 IF(Calc!BG23="10-25% OM", 5.9, IF(Calc!BG23="&gt;25% OM", 5.5, 6.2)),
IF(OR(Calc!BJ23="a", VLOOKUP(LEFT($B25,LEN($B25)-2),'Field information 2'!$B$12:$P$111,9,FALSE)="yes"),
 IF(Calc!BG23="10-25% OM", 6.4, IF(Calc!BG23="&gt;25% OM", 6, 6.7)), "")))</f>
        <v/>
      </c>
      <c r="AF25" s="91" t="str">
        <f ca="1">IF(B25="","",
IF('Waste results'!$Q$33="","no (significant) liming properties",
IF('Waste results'!Q$33&gt;100,"no (significant) liming properties",
IF(AD25="","",
IF(AD25&gt;=AE25,0,ROUNDDOWN((AE25-AD25)*Calc!BK23*'Waste results'!$Q$33+0.2,0))))))</f>
        <v/>
      </c>
      <c r="AG25" s="9" t="str">
        <f ca="1">IF(B25="","",
IF(T25=0,"n/a",
IF(AD25="","data missing",
IF(AND(AD25&lt;5,AF25="no (significant) liming properties"),"no waste application - pH too low",
IF(AND(AD25&gt;5.1,AF25="no (significant) liming properties",Calc!BH23&gt;25, LEFT(Calc!BI23,4)="graz"),"ok",
IF(AND(AD25&lt;=5.2,AF25="no (significant) liming properties"),"liming highly recommended",
IF(AF25=0,"no waste application - liming not required",
IF(AF25&lt;Calc!BC23,"application rate too high - exceeds liming requirement",
"ok"))))))))</f>
        <v/>
      </c>
      <c r="AI25" s="91" t="str">
        <f ca="1">IF(B25="","",
IF(AND('Field information 2'!$O$5="", 'Field information 2'!$Q$5=""),
   IF('Waste results'!$P$10&lt;&gt;"data missing", Calc!BC23*'Waste results'!$P$10, "data missing"),
IF('Field information 2'!$Q$5="",
   IF(Calc!BD23=0,
     IF('Waste results'!$P$10&lt;&gt;"data missing", Calc!BC23*'Waste results'!$P$10, "data missing"),
   IF(Calc!BC23=0,
     IF('Waste results'!$P$45&lt;&gt;"data missing", Calc!BD23*'Waste results'!$P$45, "data missing"),
   IF(OR('Waste results'!$P$10&lt;&gt;"data missing", 'Waste results'!$P$45&lt;&gt;"data missing"), Calc!BC23*'Waste results'!$P$10+ Calc!BD23*'Waste results'!$P$45, "data missing"))),
IF(AND('Field information 2'!$M$5&lt;&gt;"", 'Field information 2'!$O$5&lt;&gt;"", 'Field information 2'!$Q$5&lt;&gt;""),
   IF(AND(Calc!BD23=0,Calc!BE23=0),
     IF('Waste results'!$P$10&lt;&gt;"data missing", Calc!BC23*'Waste results'!$P$10, "data missing"),
   IF(AND(Calc!BC23=0,Calc!BE23=0),
     IF('Waste results'!$P$45&lt;&gt;"data missing", Calc!BD23*'Waste results'!$P$45, "data missing"),
   IF(AND(Calc!BC23=0,Calc!BD23=0),
     IF('Waste results'!$P$82&lt;&gt;"data missing", Calc!BE23*'Waste results'!$P$82, "data missing"),
   IF(Calc!BE23=0,
     IF(OR('Waste results'!$P$10&lt;&gt;"data missing", 'Waste results'!$P$45&lt;&gt;"data missing"), Calc!BC23*'Waste results'!$P$10+ Calc!BD23*'Waste results'!$P$45, "data missing"),
   IF(Calc!BD23=0,
     IF(OR('Waste results'!$P$10&lt;&gt;"data missing", 'Waste results'!$P$82&lt;&gt;"data missing"), Calc!BC23*'Waste results'!$P$10+ Calc!BE23*'Waste results'!$P$82, "data missing"),
   IF(Calc!BC23=0,
     IF(OR('Waste results'!$P$45&lt;&gt;"data missing", 'Waste results'!$P$82&lt;&gt;"data missing"), Calc!BD23*'Waste results'!$P$45+Calc!BE23*'Waste results'!$P$82, "data missing"),
   IF(OR('Waste results'!$P$10&lt;&gt;"data missing", 'Waste results'!$P$45&lt;&gt;"data missing", 'Waste results'!$P$82&lt;&gt;"data missing"), Calc!BC23*'Waste results'!$P$10+Calc!BD23*'Waste results'!$P$45+ Calc!BE23*'Waste results'!$P$82, "data missing")))))))))))</f>
        <v/>
      </c>
      <c r="AJ25" s="237" t="str">
        <f ca="1">IF(B25="","",
IF(AI25="data missing","data missing",
IF(Calc!BF23=0,"n/a",
IF(AND(Calc!BH23&gt;=8,AI25&lt;500),"no benefit",
IF(OR(AND(Calc!BH23&lt;=4,AI25&gt;=500),AND(Calc!BH23&lt;8,AI25&gt;5000)),"benefit",
"limited benefit")))))</f>
        <v/>
      </c>
      <c r="AL25" s="238" t="str">
        <f ca="1">IF(B25="","",
IF(AND('Field information 2'!$O$5="", 'Field information 2'!$Q$5=""),
   IF('Waste results'!$S$25&lt;&gt;"data missing", Calc!BC23*'Waste results'!$S$25, "data missing"),
IF('Field information 2'!$Q$5="",
   IF(Calc!BD23=0,
     IF('Waste results'!$S$25&lt;&gt;"data missing", Calc!BC23*'Waste results'!$S$25, "data missing"),
   IF(Calc!BC23=0,
     IF('Waste results'!$S$61&lt;&gt;"data missing", Calc!BD23*'Waste results'!$S$61, "data missing"),
   IF(OR('Waste results'!$S$25&lt;&gt;"data missing", 'Waste results'!$S$61&lt;&gt;"data missing"), Calc!BC23*'Waste results'!$S$25+ Calc!BD23*'Waste results'!$S$61, "data missing"))),
IF(AND('Field information 2'!$M$5&lt;&gt;"", 'Field information 2'!$O$5&lt;&gt;"", 'Field information 2'!$Q$5&lt;&gt;""),
   IF(AND(Calc!BD23=0,Calc!BE23=0),
     IF('Waste results'!$S$25&lt;&gt;"data missing", Calc!BC23*'Waste results'!$S$25, "data missing"),
   IF(AND(Calc!BC23=0,Calc!BE23=0),
     IF('Waste results'!$S$61&lt;&gt;"data missing", Calc!BD23*'Waste results'!$S$61, "data missing"),
   IF(AND(Calc!BC23=0,Calc!BD23=0),
     IF('Waste results'!$S$97&lt;&gt;"data missing", Calc!BE23*'Waste results'!$S$97, "data missing"),
   IF(Calc!BE23=0,
     IF(OR('Waste results'!$S$25&lt;&gt;"data missing", 'Waste results'!$S$61&lt;&gt;"data missing"), Calc!BC23*'Waste results'!$S$25+ Calc!BD23*'Waste results'!$S$61, "data missing"),
   IF(Calc!BD23=0,
     IF(OR('Waste results'!$S$25&lt;&gt;"data missing", 'Waste results'!$S$97&lt;&gt;"data missing"), Calc!BC23*'Waste results'!$S$25+ Calc!BE23*'Waste results'!$S$97, "data missing"),
   IF(Calc!BC23=0,
     IF(OR('Waste results'!$S$61&lt;&gt;"data missing", 'Waste results'!$S$97&lt;&gt;"data missing"), Calc!BD23*'Waste results'!$S$61+Calc!BE23*'Waste results'!$S$97, "data missing"),
   IF(OR('Waste results'!$S$25&lt;&gt;"data missing", 'Waste results'!$S$61&lt;&gt;"data missing", 'Waste results'!$S$97&lt;&gt;"data missing"), Calc!BC23*'Waste results'!$S$25+Calc!BD23*'Waste results'!$S$61+ Calc!BE23*'Waste results'!$S$97, "data missing")))))))))))</f>
        <v/>
      </c>
      <c r="AM25" s="239" t="str">
        <f ca="1">IF($B25="","",
IF(ISBLANK('Soil results'!K28),"data missing",'Soil results'!K28))</f>
        <v/>
      </c>
      <c r="AN25" s="239" t="str">
        <f t="shared" ca="1" si="6"/>
        <v/>
      </c>
      <c r="AO25" s="9" t="str">
        <f t="shared" ca="1" si="7"/>
        <v/>
      </c>
      <c r="AQ25" s="240" t="str">
        <f ca="1">IF(B25="","",
IF(AND('Field information 2'!$O$5="", 'Field information 2'!$Q$5=""),
   IF('Waste results'!$S$26&lt;&gt;"data missing", Calc!BC23*'Waste results'!$S$26, "data missing"),
IF('Field information 2'!$Q$5="",
   IF(Calc!BD23=0,
     IF('Waste results'!$S$26&lt;&gt;"data missing", Calc!BC23*'Waste results'!$S$26, "data missing"),
   IF(Calc!BC23=0,
     IF('Waste results'!$S$62&lt;&gt;"data missing", Calc!BD23*'Waste results'!$S$62, "data missing"),
   IF(OR('Waste results'!$S$26&lt;&gt;"data missing", 'Waste results'!$S$62&lt;&gt;"data missing"), Calc!BC23*'Waste results'!$S$26+ Calc!BD23*'Waste results'!$S$62, "data missing"))),
IF(AND('Field information 2'!$M$5&lt;&gt;"", 'Field information 2'!$O$5&lt;&gt;"", 'Field information 2'!$Q$5&lt;&gt;""),
   IF(AND(Calc!BD23=0,Calc!BE23=0),
     IF('Waste results'!$S$26&lt;&gt;"data missing", Calc!BC23*'Waste results'!$S$26, "data missing"),
   IF(AND(Calc!BC23=0,Calc!BE23=0),
     IF('Waste results'!$S$62&lt;&gt;"data missing", Calc!BD23*'Waste results'!$S$62, "data missing"),
   IF(AND(Calc!BC23=0,Calc!BD23=0),
     IF('Waste results'!$S$98&lt;&gt;"data missing", Calc!BE23*'Waste results'!$S$98, "data missing"),
   IF(Calc!BE23=0,
     IF(OR('Waste results'!$S$26&lt;&gt;"data missing", 'Waste results'!$S$62&lt;&gt;"data missing"), Calc!BC23*'Waste results'!$S$26+ Calc!BD23*'Waste results'!$S$62, "data missing"),
   IF(Calc!BD23=0,
     IF(OR('Waste results'!$S$26&lt;&gt;"data missing", 'Waste results'!$S$98&lt;&gt;"data missing"), Calc!BC23*'Waste results'!$S$26+ Calc!BE23*'Waste results'!$S$98, "data missing"),
   IF(Calc!BC23=0,
     IF(OR('Waste results'!$S$62&lt;&gt;"data missing", 'Waste results'!$S$98&lt;&gt;"data missing"), Calc!BD23*'Waste results'!$S$62+Calc!BE23*'Waste results'!$S$98, "data missing"),
   IF(OR('Waste results'!$S$26&lt;&gt;"data missing", 'Waste results'!$S$62&lt;&gt;"data missing", 'Waste results'!$S$98&lt;&gt;"data missing"), Calc!BC23*'Waste results'!$S$26+Calc!BD23*'Waste results'!$S$62+ Calc!BE23*'Waste results'!$S$98, "data missing")))))))))))</f>
        <v/>
      </c>
      <c r="AR25" s="241" t="str">
        <f ca="1">IF($B25="","",
IF(ISBLANK('Soil results'!L28),"data missing",'Soil results'!L28))</f>
        <v/>
      </c>
      <c r="AS25" s="241" t="str">
        <f t="shared" ca="1" si="8"/>
        <v/>
      </c>
      <c r="AT25" s="66" t="str">
        <f t="shared" ca="1" si="9"/>
        <v/>
      </c>
      <c r="AV25" s="238" t="str">
        <f ca="1">IF(B25="","",
IF(AND('Field information 2'!$O$5="", 'Field information 2'!$Q$5=""),
   IF('Waste results'!$S$27&lt;&gt;"data missing", Calc!BC23*'Waste results'!$S$27, "data missing"),
IF('Field information 2'!$Q$5="",
   IF(Calc!BD23=0,
     IF('Waste results'!$S$27&lt;&gt;"data missing", Calc!BC23*'Waste results'!$S$27, "data missing"),
   IF(Calc!BC23=0,
     IF('Waste results'!$S$63&lt;&gt;"data missing", Calc!BD23*'Waste results'!$S$63, "data missing"),
   IF(OR('Waste results'!$S$27&lt;&gt;"data missing", 'Waste results'!$S$63&lt;&gt;"data missing"), Calc!BC23*'Waste results'!$S$27+ Calc!BD23*'Waste results'!$S$63, "data missing"))),
IF(AND('Field information 2'!$M$5&lt;&gt;"", 'Field information 2'!$O$5&lt;&gt;"", 'Field information 2'!$Q$5&lt;&gt;""),
   IF(AND(Calc!BD23=0,Calc!BE23=0),
     IF('Waste results'!$S$27&lt;&gt;"data missing", Calc!BC23*'Waste results'!$S$27, "data missing"),
   IF(AND(Calc!BC23=0,Calc!BE23=0),
     IF('Waste results'!$S$63&lt;&gt;"data missing", Calc!BD23*'Waste results'!$S$63, "data missing"),
   IF(AND(Calc!BC23=0,Calc!BD23=0),
     IF('Waste results'!$S$99&lt;&gt;"data missing", Calc!BE23*'Waste results'!$S$99, "data missing"),
   IF(Calc!BE23=0,
     IF(OR('Waste results'!$S$27&lt;&gt;"data missing", 'Waste results'!$S$63&lt;&gt;"data missing"), Calc!BC23*'Waste results'!$S$27+ Calc!BD23*'Waste results'!$S$63, "data missing"),
   IF(Calc!BD23=0,
     IF(OR('Waste results'!$S$27&lt;&gt;"data missing", 'Waste results'!$S$99&lt;&gt;"data missing"), Calc!BC23*'Waste results'!$S$27+ Calc!BE23*'Waste results'!$S$99, "data missing"),
   IF(Calc!BC23=0,
     IF(OR('Waste results'!$S$63&lt;&gt;"data missing", 'Waste results'!$S$99&lt;&gt;"data missing"), Calc!BD23*'Waste results'!$S$63+Calc!BE23*'Waste results'!$S$99, "data missing"),
   IF(OR('Waste results'!$S$27&lt;&gt;"data missing", 'Waste results'!$S$63&lt;&gt;"data missing", 'Waste results'!$S$99&lt;&gt;"data missing"), Calc!BC23*'Waste results'!$S$27+Calc!BD23*'Waste results'!$S$63+ Calc!BE23*'Waste results'!$S$99, "data missing")))))))))))</f>
        <v/>
      </c>
      <c r="AW25" s="239" t="str">
        <f ca="1">IF($B25="","",
IF(ISBLANK('Soil results'!M28),"data missing",'Soil results'!M28))</f>
        <v/>
      </c>
      <c r="AX25" s="239" t="str">
        <f t="shared" ca="1" si="10"/>
        <v/>
      </c>
      <c r="AY25" s="9" t="str">
        <f ca="1">IF(B25="","",
IF(AV25=0,"n/a",
IF(OR(AV25="data missing",AW25="data missing"),"data missing",
IF(AV25&gt;7.5,"application rate too high - permissible rate exceeds limit",
IF('Soil results'!$F28&lt;=5.5,
  IF(AW25&gt;80,"no application - soil conc. already above limit",
  IF(AX25&gt;80,"application rate too high - soil conc. will exceed limit",
  IF(AW25&gt;80*0.9,"soil conc. is at or above 90% of the limit",
  IF(10*AV25*1000/3000+AW25&gt;80,"soil limit likely to be exceeded in 10yrs",
  IF(50*AV25*1000/3000+AW25&gt;80,"soil limit likely to be exceeded in 50yrs","ok"))))),
IF('Soil results'!$F28&lt;=6,
  IF(AW25&gt;100,"no application - soil conc. already above limit",
  IF(AX25&gt;100,"application rate too high - soil conc. will exceed limit",
  IF(AW25&gt;100*0.9,"soil conc. is at or above 90% of the limit",
  IF(10*AV25*1000/3000+AW25&gt;100,"soil limit likely to be exceeded in 10yrs",
  IF(50*AV25*1000/3000+AW25&gt;100,"soil limit likely to be exceeded in 50yrs","ok"))))),
IF('Soil results'!$F28&lt;=7,
  IF(AW25&gt;135,"no application - soil conc. already above limit",
  IF(AX25&gt;135,"application rate too high - soil conc. will exceed limit",
  IF(AW25&gt;135*0.9,"soil conc. is at or above 90% of the limit",
  IF(10*AV25*1000/3000+AW25&gt;135,"soil limit likely to be exceeded in 10yrs",
  IF(50*AV25*1000/3000+AW25&gt;135,"soil limit likely to be exceeded in 50yrs","ok"))))),
IF('Soil results'!$F28&gt;7,
  IF(AW25&gt;200,"no application - soil conc. already above limit",
  IF(AX25&gt;200,"application too high - soil conc. will exceed limit",
  IF(AW25&gt;200*0.9,"soil conc. is at or above 90% of the limit",
  IF(10*AV25*1000/3000+AW25&gt;200,"soil limit likely to be exceeded in 10yrs",
  IF(50*AV25*1000/3000+AW25&gt;200,"soil limit likely to be exceeded in 50yrs","ok")))))
))))))))</f>
        <v/>
      </c>
      <c r="BA25" s="238" t="str">
        <f ca="1">IF(B25="","",
IF(AND('Field information 2'!$O$5="", 'Field information 2'!$Q$5=""),
   IF('Waste results'!$S$28&lt;&gt;"data missing", Calc!BC23*'Waste results'!$S$28, "data missing"),
IF('Field information 2'!$Q$5="",
   IF(Calc!BD23=0,
     IF('Waste results'!$S$28&lt;&gt;"data missing", Calc!BC23*'Waste results'!$S$28, "data missing"),
   IF(Calc!BC23=0,
     IF('Waste results'!$S$64&lt;&gt;"data missing", Calc!BD23*'Waste results'!$S$64, "data missing"),
   IF(OR('Waste results'!$S$28&lt;&gt;"data missing", 'Waste results'!$S$64&lt;&gt;"data missing"), Calc!BC23*'Waste results'!$S$28+ Calc!BD23*'Waste results'!$S$64, "data missing"))),
IF(AND('Field information 2'!$M$5&lt;&gt;"", 'Field information 2'!$O$5&lt;&gt;"", 'Field information 2'!$Q$5&lt;&gt;""),
   IF(AND(Calc!BD23=0,Calc!BE23=0),
     IF('Waste results'!$S$28&lt;&gt;"data missing", Calc!BC23*'Waste results'!$S$28, "data missing"),
   IF(AND(Calc!BC23=0,Calc!BE23=0),
     IF('Waste results'!$S$64&lt;&gt;"data missing", Calc!BD23*'Waste results'!$S$64, "data missing"),
   IF(AND(Calc!BC23=0,Calc!BD23=0),
     IF('Waste results'!$S$100&lt;&gt;"data missing", Calc!BE23*'Waste results'!$S$100, "data missing"),
   IF(Calc!BE23=0,
     IF(OR('Waste results'!$S$28&lt;&gt;"data missing", 'Waste results'!$S$64&lt;&gt;"data missing"), Calc!BC23*'Waste results'!$S$28+ Calc!BD23*'Waste results'!$S$64, "data missing"),
   IF(Calc!BD23=0,
     IF(OR('Waste results'!$S$28&lt;&gt;"data missing", 'Waste results'!$S$100&lt;&gt;"data missing"), Calc!BC23*'Waste results'!$S$28+ Calc!BE23*'Waste results'!$S$100, "data missing"),
   IF(Calc!BC23=0,
     IF(OR('Waste results'!$S$64&lt;&gt;"data missing", 'Waste results'!$S$100&lt;&gt;"data missing"), Calc!BD23*'Waste results'!$S$64+Calc!BE23*'Waste results'!$S$100, "data missing"),
   IF(OR('Waste results'!$S$28&lt;&gt;"data missing", 'Waste results'!$S$64&lt;&gt;"data missing", 'Waste results'!$S$100&lt;&gt;"data missing"), Calc!BC23*'Waste results'!$S$28+Calc!BD23*'Waste results'!$S$64+ Calc!BE23*'Waste results'!$S$100, "data missing")))))))))))</f>
        <v/>
      </c>
      <c r="BB25" s="239" t="str">
        <f ca="1">IF($B25="","",
IF(ISBLANK('Soil results'!N28),"data missing",'Soil results'!N28))</f>
        <v/>
      </c>
      <c r="BC25" s="239" t="str">
        <f t="shared" ca="1" si="11"/>
        <v/>
      </c>
      <c r="BD25" s="9" t="str">
        <f t="shared" ca="1" si="12"/>
        <v/>
      </c>
      <c r="BF25" s="238" t="str">
        <f ca="1">IF(B25="","",
IF(AND('Field information 2'!$O$5="", 'Field information 2'!$Q$5=""),
   IF('Waste results'!$S$29&lt;&gt;"data missing", Calc!BC23*'Waste results'!$S$29, "data missing"),
IF('Field information 2'!$Q$5="",
   IF(Calc!BD23=0,
     IF('Waste results'!$S$29&lt;&gt;"data missing", Calc!BC23*'Waste results'!$S$29, "data missing"),
   IF(Calc!BC23=0,
     IF('Waste results'!$S$65&lt;&gt;"data missing", Calc!BD23*'Waste results'!$S$65, "data missing"),
   IF(OR('Waste results'!$S$29&lt;&gt;"data missing", 'Waste results'!$S$65&lt;&gt;"data missing"), Calc!BC23*'Waste results'!$S$29+ Calc!BD23*'Waste results'!$S$65, "data missing"))),
IF(AND('Field information 2'!$M$5&lt;&gt;"", 'Field information 2'!$O$5&lt;&gt;"", 'Field information 2'!$Q$5&lt;&gt;""),
   IF(AND(Calc!BD23=0,Calc!BE23=0),
     IF('Waste results'!$S$29&lt;&gt;"data missing", Calc!BC23*'Waste results'!$S$29, "data missing"),
   IF(AND(Calc!BC23=0,Calc!BE23=0),
     IF('Waste results'!$S$65&lt;&gt;"data missing", Calc!BD23*'Waste results'!$S$65, "data missing"),
   IF(AND(Calc!BC23=0,Calc!BD23=0),
     IF('Waste results'!$S$101&lt;&gt;"data missing", Calc!BE23*'Waste results'!$S$101, "data missing"),
   IF(Calc!BE23=0,
     IF(OR('Waste results'!$S$29&lt;&gt;"data missing", 'Waste results'!$S$65&lt;&gt;"data missing"), Calc!BC23*'Waste results'!$S$29+ Calc!BD23*'Waste results'!$S$65, "data missing"),
   IF(Calc!BD23=0,
     IF(OR('Waste results'!$S$29&lt;&gt;"data missing", 'Waste results'!$S$101&lt;&gt;"data missing"), Calc!BC23*'Waste results'!$S$29+ Calc!BE23*'Waste results'!$S$101, "data missing"),
   IF(Calc!BC23=0,
     IF(OR('Waste results'!$S$65&lt;&gt;"data missing", 'Waste results'!$S$101&lt;&gt;"data missing"), Calc!BD23*'Waste results'!$S$65+Calc!BE23*'Waste results'!$S$101, "data missing"),
   IF(OR('Waste results'!$S$29&lt;&gt;"data missing", 'Waste results'!$S$65&lt;&gt;"data missing", 'Waste results'!$S$101&lt;&gt;"data missing"), Calc!BC23*'Waste results'!$S$29+Calc!BD23*'Waste results'!$S$65+ Calc!BE23*'Waste results'!$S$101, "data missing")))))))))))</f>
        <v/>
      </c>
      <c r="BG25" s="239" t="str">
        <f ca="1">IF($B25="","",
IF(ISBLANK('Soil results'!O28),"data missing",'Soil results'!O28))</f>
        <v/>
      </c>
      <c r="BH25" s="239" t="str">
        <f t="shared" ca="1" si="13"/>
        <v/>
      </c>
      <c r="BI25" s="9" t="str">
        <f ca="1">IF(B25="","",
IF(BF25=0,"n/a",
IF(OR(BF25="data missing",BG25="data missing"),"data missing",
IF(BF25&gt;3,"application rate too high - permissible rate exceeds limit",
IF('Soil results'!F28&lt;=5.5,
  IF(BG25&gt;50,"no application - soil conc. already above limit",
  IF(BH25&gt;50,"application rate too high - soil conc. will exceed limit",
  IF(BG25&gt;50*0.9,"soil conc. is at or above 90% of the limit",
  IF(10*BF25*1000/3000+BG25&gt;50,"soil limit likely to be exceeded in 10yrs",
  IF(50*BF25*1000/3000+BG25&gt;50,"soil limit likely to be exceeded in 50yrs","ok"))))),
IF('Soil results'!F28&lt;=6,
  IF(BG25&gt;60,"no application - soil conc. already above limit",
  IF(BH25&gt;60,"application rate too high - soil conc. will exceed limit",
  IF(BG25&gt;60*0.9,"soil conc. is at or above 90% of the limit",
  IF(10*BF25*1000/3000+BG25&gt;60,"soil limit likely to be exceeded in 10yrs",
  IF(50*BF25*1000/3000+BG25&gt;60,"soil limit likely to be exceeded in 50yrs","ok"))))),
IF('Soil results'!F28&lt;=7,
  IF(BG25&gt;75,"no application - soil conc. already above limit",
  IF(BH25&gt;75,"application rate too high - soil conc. will exceed limit",
  IF(BG25&gt;75*0.9,"soil conc. is at or above 90% of the limit",
  IF(10*BF25*1000/3000+BG25&gt;75,"soil limit likely to be exceeded in 10yrs",
  IF(50*BF25*1000/3000+BG25&gt;75,"soil limit likely to be exceeded in 50yrs","ok"))))),
IF('Soil results'!F28&gt;7,
  IF(BG25&gt;100,"no application - soil conc. already above limit",
  IF(BH25&gt;100,"application rate too high - soil conc. will exceed limit",
  IF(BG25&gt;100*0.9,"soil conc. is at or above 90% of the limit",
  IF(10*BF25*1000/3000+BG25&gt;100,"soil limit likely to be exceeded in 10yrs",
  IF(50*BF25*1000/3000+BG25&gt;100,"soil limit likely to beexceeded in 50yrs","ok")))))
))))))))</f>
        <v/>
      </c>
      <c r="BK25" s="240" t="str">
        <f ca="1">IF(B25="","",
IF(AND('Field information 2'!$O$5="", 'Field information 2'!$Q$5=""),
   IF('Waste results'!$S$30&lt;&gt;"data missing", Calc!BC23*'Waste results'!$S$30, "data missing"),
IF('Field information 2'!$Q$5="",
   IF(Calc!BD23=0,
     IF('Waste results'!$S$30&lt;&gt;"data missing", Calc!BC23*'Waste results'!$S$30, "data missing"),
   IF(Calc!BC23=0,
     IF('Waste results'!$S$66&lt;&gt;"data missing", Calc!BD23*'Waste results'!$S$66, "data missing"),
   IF(OR('Waste results'!$S$30&lt;&gt;"data missing", 'Waste results'!$S$66&lt;&gt;"data missing"), Calc!BC23*'Waste results'!$S$30+ Calc!BD23*'Waste results'!$S$66, "data missing"))),
IF(AND('Field information 2'!$M$5&lt;&gt;"", 'Field information 2'!$O$5&lt;&gt;"", 'Field information 2'!$Q$5&lt;&gt;""),
   IF(AND(Calc!BD23=0,Calc!BE23=0),
     IF('Waste results'!$S$30&lt;&gt;"data missing", Calc!BC23*'Waste results'!$S$30, "data missing"),
   IF(AND(Calc!BC23=0,Calc!BE23=0),
     IF('Waste results'!$S$66&lt;&gt;"data missing", Calc!BD23*'Waste results'!$S$66, "data missing"),
   IF(AND(Calc!BC23=0,Calc!BD23=0),
     IF('Waste results'!$S$102&lt;&gt;"data missing", Calc!BE23*'Waste results'!$S$102, "data missing"),
   IF(Calc!BE23=0,
     IF(OR('Waste results'!$S$30&lt;&gt;"data missing", 'Waste results'!$S$66&lt;&gt;"data missing"), Calc!BC23*'Waste results'!$S$30+ Calc!BD23*'Waste results'!$S$66, "data missing"),
   IF(Calc!BD23=0,
     IF(OR('Waste results'!$S$30&lt;&gt;"data missing", 'Waste results'!$S$102&lt;&gt;"data missing"), Calc!BC23*'Waste results'!$S$30+ Calc!BE23*'Waste results'!$S$102, "data missing"),
   IF(Calc!BC23=0,
     IF(OR('Waste results'!$S$66&lt;&gt;"data missing", 'Waste results'!$S$102&lt;&gt;"data missing"), Calc!BD23*'Waste results'!$S$66+Calc!BE23*'Waste results'!$S$102, "data missing"),
   IF(OR('Waste results'!$S$30&lt;&gt;"data missing", 'Waste results'!$S$66&lt;&gt;"data missing", 'Waste results'!$S$102&lt;&gt;"data missing"), Calc!BC23*'Waste results'!$S$30+Calc!BD23*'Waste results'!$S$66+ Calc!BE23*'Waste results'!$S$102, "data missing")))))))))))</f>
        <v/>
      </c>
      <c r="BL25" s="241" t="str">
        <f ca="1">IF($B25="","",
IF(ISBLANK('Soil results'!P28),"data missing",'Soil results'!P28))</f>
        <v/>
      </c>
      <c r="BM25" s="241" t="str">
        <f t="shared" ca="1" si="14"/>
        <v/>
      </c>
      <c r="BN25" s="66" t="str">
        <f t="shared" ca="1" si="15"/>
        <v/>
      </c>
      <c r="BP25" s="238" t="str">
        <f ca="1">IF(B25="","",
IF(AND('Field information 2'!$O$5="", 'Field information 2'!$Q$5=""),
   IF('Waste results'!$S$31&lt;&gt;"data missing", Calc!BC23*'Waste results'!$S$31, "data missing"),
IF('Field information 2'!$Q$5="",
   IF(Calc!BD23=0,
     IF('Waste results'!$S$31&lt;&gt;"data missing", Calc!BC23*'Waste results'!$S$31, "data missing"),
   IF(Calc!BC23=0,
     IF('Waste results'!$S$67&lt;&gt;"data missing", Calc!BD23*'Waste results'!$S$67, "data missing"),
   IF(OR('Waste results'!$S$31&lt;&gt;"data missing", 'Waste results'!$S$67&lt;&gt;"data missing"), Calc!BC23*'Waste results'!$S$31+ Calc!BD23*'Waste results'!$S$67, "data missing"))),
IF(AND('Field information 2'!$M$5&lt;&gt;"", 'Field information 2'!$O$5&lt;&gt;"", 'Field information 2'!$Q$5&lt;&gt;""),
   IF(AND(Calc!BD23=0,Calc!BE23=0),
     IF('Waste results'!$S$31&lt;&gt;"data missing", Calc!BC23*'Waste results'!$S$31, "data missing"),
   IF(AND(Calc!BC23=0,Calc!BE23=0),
     IF('Waste results'!$S$67&lt;&gt;"data missing", Calc!BD23*'Waste results'!$S$67, "data missing"),
   IF(AND(Calc!BC23=0,Calc!BD23=0),
     IF('Waste results'!$S$103&lt;&gt;"data missing", Calc!BE23*'Waste results'!$S$103, "data missing"),
   IF(Calc!BE23=0,
     IF(OR('Waste results'!$S$31&lt;&gt;"data missing", 'Waste results'!$S$67&lt;&gt;"data missing"), Calc!BC23*'Waste results'!$S$31+ Calc!BD23*'Waste results'!$S$67, "data missing"),
   IF(Calc!BD23=0,
     IF(OR('Waste results'!$S$31&lt;&gt;"data missing", 'Waste results'!$S$103&lt;&gt;"data missing"), Calc!BC23*'Waste results'!$S$31+ Calc!BE23*'Waste results'!$S$103, "data missing"),
   IF(Calc!BC23=0,
     IF(OR('Waste results'!$S$67&lt;&gt;"data missing", 'Waste results'!$S$103&lt;&gt;"data missing"), Calc!BD23*'Waste results'!$S$67+Calc!BE23*'Waste results'!$S$103, "data missing"),
   IF(OR('Waste results'!$S$31&lt;&gt;"data missing", 'Waste results'!$S$67&lt;&gt;"data missing", 'Waste results'!$S$103&lt;&gt;"data missing"), Calc!BC23*'Waste results'!$S$31+Calc!BD23*'Waste results'!$S$67+ Calc!BE23*'Waste results'!$S$103, "data missing")))))))))))</f>
        <v/>
      </c>
      <c r="BQ25" s="239" t="str">
        <f ca="1">IF($B25="","",
IF(ISBLANK('Soil results'!Q28),"data missing",'Soil results'!Q28))</f>
        <v/>
      </c>
      <c r="BR25" s="239" t="str">
        <f t="shared" ca="1" si="16"/>
        <v/>
      </c>
      <c r="BS25" s="9" t="str">
        <f ca="1">IF(B25="","",
IF(BP25=0,"n/a",
IF(OR(BP25="data missing",BQ25=""),"data missing",
IF(BP25&gt;15,"application rate too high - permissible rate exceeds limit",
IF('Soil results'!F28&lt;=5.5,
  IF(BQ25&gt;200,"no application - soil conc. already above limit",
  IF(BR25&gt;200,"application rate too high - soil conc. will exceed limit",
  IF(BQ25&gt;200*0.9,"soil conc. is at or above 90% of the limit",
  IF(10*BP25*1000/3000+BQ25&gt;200,"soil limit likely to be exceeded in 10yrs",
  IF(50*BP25*1000/3000+BQ25&gt;200,"soil limit likely to be exceeded in 50yrs","ok"))))),
IF('Soil results'!F28&lt;=6,
  IF(BQ25&gt;250,"no application - soil conc. already above limit",
  IF(BR25&gt;250,"application rate too high - soil conc. will exceed limit",
  IF(BQ25&gt;250*0.9,"soil conc. is at or above 90% of the limit",
  IF(10*BP25*1000/3000+BQ25&gt;250,"soil limit likely to be exceeded in 10yrs",
  IF(50*BP25*1000/3000+BQ25&gt;250,"soil limit likely to be exceeded in 50yrs","ok"))))),
IF('Soil results'!F28&lt;=7,
  IF(BQ25&gt;300,"no application - soil conc. already above limit",
  IF(BR25&gt;300,"application rate too high - soil conc. will exceed limit",
  IF(BQ25&gt;300*0.9,"soil conc. is at or above 90% of the limit",
  IF(10*BP25*1000/3000+BQ25&gt;300,"soil limit likey to be exceeded in 10yrs",
  IF(50*BP25*1000/3000+BQ25&gt;300,"soil limit likely to be exceeded in 50yrs","ok"))))),
IF('Soil results'!F28&gt;7,
  IF(BQ25&gt;450,"no application - soil conc. already above limit",
  IF(BR25&gt;450,"application rate too high - soil conc. will exceed limit",
  IF(AW25&gt;450*0.9,"soil conc. is at or above 90% of the limit",
  IF(10*BP25*1000/3000+BQ25&gt;450,"soil limit likely to be exceeded in 10yrs",
  IF(50*BP25*1000/3000+BQ25&gt;450,"soil limit likely to be exceeded in 50yrs","ok")))))
))))))))</f>
        <v/>
      </c>
    </row>
    <row r="26" spans="2:71" s="9" customFormat="1" x14ac:dyDescent="0.35">
      <c r="B26" s="236" t="str">
        <f ca="1">'Soil results'!B29</f>
        <v/>
      </c>
      <c r="C26" s="91" t="str">
        <f ca="1">IF(B26="","",
IF(AND('Field information 2'!$O$5="", 'Field information 2'!$Q$5=""),
   IF('Waste results'!$S$12&lt;&gt;"data missing", Calc!BC24*'Waste results'!$S$12, "data missing"),
IF('Field information 2'!$Q$5="",
   IF(Calc!BD24=0,
     IF('Waste results'!$S$12&lt;&gt;"data missing", Calc!BC24*'Waste results'!$S$12, "data missing"),
   IF(Calc!BC24=0,
     IF('Waste results'!$S$48&lt;&gt;"data missing", Calc!BD24*'Waste results'!$S$48, "data missing"),
   IF(OR('Waste results'!$S$12&lt;&gt;"data missing", 'Waste results'!$S$48&lt;&gt;"data missing"), Calc!BC24*'Waste results'!$S$12+ Calc!BD24*'Waste results'!$S$48, "data missing"))),
IF(AND('Field information 2'!$M$5&lt;&gt;"", 'Field information 2'!$O$5&lt;&gt;"", 'Field information 2'!$Q$5&lt;&gt;""),
   IF(AND(Calc!BD24=0,Calc!BE24=0),
     IF('Waste results'!$S$12&lt;&gt;"data missing", Calc!BC24*'Waste results'!$S$12, "data missing"),
   IF(AND(Calc!BC24=0,Calc!BE24=0),
     IF('Waste results'!$S$48&lt;&gt;"data missing", Calc!BD24*'Waste results'!$S$48, "data missing"),
   IF(AND(Calc!BC24=0,Calc!BD24=0),
     IF('Waste results'!$S$84&lt;&gt;"data missing", Calc!BE24*'Waste results'!$S$84, "data missing"),
   IF(Calc!BE24=0,
     IF(OR('Waste results'!$S$12&lt;&gt;"data missing", 'Waste results'!$S$48&lt;&gt;"data missing"), Calc!BC24*'Waste results'!$S$12+ Calc!BD24*'Waste results'!$S$48, "data missing"),
   IF(Calc!BD24=0,
     IF(OR('Waste results'!$S$12&lt;&gt;"data missing", 'Waste results'!$S$84&lt;&gt;"data missing"), Calc!BC24*'Waste results'!$S$12+ Calc!BE24*'Waste results'!$S$84, "data missing"),
   IF(Calc!BC24=0,
     IF(OR('Waste results'!$S$48&lt;&gt;"data missing", 'Waste results'!$S$84&lt;&gt;"data missing"), Calc!BD24*'Waste results'!$S$48+Calc!BE24*'Waste results'!$S$84, "data missing"),
   IF(OR('Waste results'!$S$12&lt;&gt;"data missing", 'Waste results'!$S$48&lt;&gt;"data missing", 'Waste results'!$S$84&lt;&gt;"data missing"), Calc!BC24*'Waste results'!$S$12+Calc!BD24*'Waste results'!$S$48+ Calc!BE24*'Waste results'!$S$84, "data missing")))))))))))</f>
        <v/>
      </c>
      <c r="D26" s="161" t="str">
        <f ca="1">IF(B26="","",
IF(Calc!BG24="","soil texture missing",
IF(OR(Calc!BG24="SL; SZL; ZL",Calc!BG24="SCL; CL; ZCL; SC; ZC; C"),VLOOKUP(Calc!BI24,'Fertiliser recommendations'!$A$4:$C$63,3,FALSE),
IF(Calc!BG24="S; LS",VLOOKUP(Calc!BI24,'Fertiliser recommendations'!$A$4:$C$63,3,FALSE)+VLOOKUP(Calc!BI24,'Fertiliser recommendations'!$A$4:$D$63,4,FALSE),
IF(Calc!BG24="10-25% OM",VLOOKUP(Calc!BI24,'Fertiliser recommendations'!$A$4:$C$63,3,FALSE)+VLOOKUP(Calc!BI24,'Fertiliser recommendations'!$A$4:$E$63,5,FALSE),
IF(Calc!BG24="&gt;25% OM",VLOOKUP(Calc!BI24,'Fertiliser recommendations'!$A$4:$C$63,3,FALSE)+VLOOKUP(Calc!BI24,'Fertiliser recommendations'!$A$4:$F$63,6,FALSE),
""))))))</f>
        <v/>
      </c>
      <c r="E26" s="91" t="str">
        <f t="shared" ca="1" si="0"/>
        <v/>
      </c>
      <c r="F26" s="9" t="str">
        <f ca="1">IF(B26="","",
IF(OR(C26="data missing",D26="soil texture missing"),"data missing",
IF(Calc!BF24=0,"n/a",
IF(C26&lt;0.1*D26,"no benefit",
IF(C26&lt;0.3*D26,"limited benefit",
IF(C26&gt;250,"exceeds limit",
IF(OR(AND(D26=0,C26&gt;75),C26&gt;1.25*D26),"excessive",
IF(D26=0, "no requirement",
"benefit"))))))))</f>
        <v/>
      </c>
      <c r="H26" s="91" t="str">
        <f ca="1">IF(B26="","",
IF(AND('Field information 2'!$O$5="", 'Field information 2'!$Q$5=""),
   IF('Waste results'!$S$17&lt;&gt;"data missing", Calc!BC24*'Waste results'!$S$17, "data missing"),
IF('Field information 2'!$Q$5="",
   IF(Calc!BD24=0,
     IF('Waste results'!$S$17&lt;&gt;"data missing", Calc!BC24*'Waste results'!$S$17, "data missing"),
   IF(Calc!BC24=0,
     IF('Waste results'!$S$53&lt;&gt;"data missing", Calc!BD24*'Waste results'!$S$53, "data missing"),
   IF(OR('Waste results'!$S$17&lt;&gt;"data missing", 'Waste results'!$S$53&lt;&gt;"data missing"), Calc!BC24*'Waste results'!$S$17+ Calc!BD24*'Waste results'!$S$53, "data missing"))),
IF(AND('Field information 2'!$M$5&lt;&gt;"", 'Field information 2'!$O$5&lt;&gt;"", 'Field information 2'!$Q$5&lt;&gt;""),
   IF(AND(Calc!BD24=0,Calc!BE24=0),
     IF('Waste results'!$S$17&lt;&gt;"data missing", Calc!BC24*'Waste results'!$S$17, "data missing"),
   IF(AND(Calc!BC24=0,Calc!BE24=0),
     IF('Waste results'!$S$53&lt;&gt;"data missing", Calc!BD24*'Waste results'!$S$53, "data missing"),
   IF(AND(Calc!BC24=0,Calc!BD24=0),
     IF('Waste results'!$S$89&lt;&gt;"data missing", Calc!BE24*'Waste results'!$S$89, "data missing"),
   IF(Calc!BE24=0,
     IF(OR('Waste results'!$S$17&lt;&gt;"data missing", 'Waste results'!$S$53&lt;&gt;"data missing"), Calc!BC24*'Waste results'!$S$17+ Calc!BD24*'Waste results'!$S$53, "data missing"),
   IF(Calc!BD24=0,
     IF(OR('Waste results'!$S$17&lt;&gt;"data missing", 'Waste results'!$S$89&lt;&gt;"data missing"), Calc!BC24*'Waste results'!$S$17+ Calc!BE24*'Waste results'!$S$89, "data missing"),
   IF(Calc!BC24=0,
     IF(OR('Waste results'!$S$53&lt;&gt;"data missing", 'Waste results'!$S$89&lt;&gt;"data missing"), Calc!BD24*'Waste results'!$S$53+Calc!BE24*'Waste results'!$S$89, "data missing"),
   IF(OR('Waste results'!$S$17&lt;&gt;"data missing", 'Waste results'!$S$53&lt;&gt;"data missing", 'Waste results'!$S$89&lt;&gt;"data missing"), Calc!BC24*'Waste results'!$S$17+Calc!BD24*'Waste results'!$S$53+ Calc!BE24*'Waste results'!$S$89, "data missing")))))))))))</f>
        <v/>
      </c>
      <c r="I26" s="195" t="str">
        <f ca="1">IF(B26="","",
IF(OR(ISBLANK('Soil results'!G29), ISBLANK('Soil results'!G$7)),"data missing",
IF(OR(AND('Soil results'!G$7="Olsen (ADAS)",'Soil results'!G29&lt;16),AND('Soil results'!G$7="modified Morgan (SAC)",'Soil results'!G29&lt;4.5)),50,100)))</f>
        <v/>
      </c>
      <c r="J26" s="49" t="str">
        <f ca="1">IF(B26="","",
IF(OR(ISBLANK('Soil results'!G$7),ISBLANK('Soil results'!G29)),"data missing",
IF(OR(AND('Soil results'!G$7="Olsen (ADAS)",'Soil results'!G29&gt;45),AND('Soil results'!G$7="modified Morgan (SAC)",'Soil results'!G29&gt;30)),0,
IF(OR(AND('Soil results'!G$7="Olsen (ADAS)",'Soil results'!G29&gt;=16,'Soil results'!G29&lt;=20),AND('Soil results'!G$7="modified Morgan (SAC)",'Soil results'!G29&gt;=4.5,'Soil results'!G29&lt;=9.4)),VLOOKUP(Calc!BI24,'Fertiliser recommendations'!$A$4:$I$63,9,FALSE),
IF(OR(AND('Soil results'!G$7="Olsen (ADAS)",'Soil results'!G29&lt;10),AND('Soil results'!G$7="modified Morgan (SAC)",'Soil results'!G29&lt;1.8)),VLOOKUP(Calc!BI24,'Fertiliser recommendations'!$A$4:$I$63,9,FALSE)+VLOOKUP(Calc!BI24,'Fertiliser recommendations'!$A$4:$J$63,10,FALSE),
IF(OR(AND('Soil results'!G$7="Olsen (ADAS)",'Soil results'!G29&lt;16),AND('Soil results'!G$7="modified Morgan (SAC)",'Soil results'!G29&lt;4.5)),VLOOKUP(Calc!BI24,'Fertiliser recommendations'!$A$4:$I$63,9,FALSE)+VLOOKUP(Calc!BI24,'Fertiliser recommendations'!$A$4:$K$63,11,FALSE),
IF(OR(AND('Soil results'!G$7="Olsen (ADAS)",'Soil results'!G29&lt;26),AND('Soil results'!G$7="modified Morgan (SAC)",'Soil results'!G29&lt;13.5)),VLOOKUP(Calc!BI24,'Fertiliser recommendations'!$A$4:$I$63,9,FALSE)+VLOOKUP(Calc!BI24,'Fertiliser recommendations'!$A$4:$L$63,12,FALSE),
IF(OR(AND('Soil results'!G$7="Olsen (ADAS)",'Soil results'!G29&lt;=45),AND('Soil results'!G$7="modified Morgan (SAC)",'Soil results'!G29&lt;=30)),VLOOKUP(Calc!BI24,'Fertiliser recommendations'!$A$4:$I$63,9,FALSE)+VLOOKUP(Calc!BI24,'Fertiliser recommendations'!$A$4:$M$63,13,FALSE),
""))))))))</f>
        <v/>
      </c>
      <c r="K26" s="161" t="str">
        <f t="shared" ca="1" si="1"/>
        <v/>
      </c>
      <c r="L26" s="47" t="str">
        <f ca="1">IF(OR(ISBLANK('Soil results'!G$7),ISBLANK('Soil results'!G29),B26="", H26="data missing"),"",
IF('Soil results'!G$7="Olsen (ADAS)",
IF(((H26*Calc!BM24/2.291-(VLOOKUP(Calc!BI24,'Fertiliser recommendations'!$A$4:$I$63,9,FALSE))/2.291)*10/(400/2.291)+'Soil results'!G29)&lt;10,"0 (VL)",
IF(((H26*Calc!BM24/2.291-(VLOOKUP(Calc!BI24,'Fertiliser recommendations'!$A$4:$I$63,9,FALSE))/2.291)*10/(400/2.291)+'Soil results'!G29)&lt;16,"1 (L)",
IF(((H26*Calc!BM24/2.291-(VLOOKUP(Calc!BI24,'Fertiliser recommendations'!$A$4:$I$63,9,FALSE))/2.291)*10/(400/2.291)+'Soil results'!G29)&lt;21,"2 (M-)",
IF(((H26*Calc!BM24/2.291-(VLOOKUP(Calc!BI24,'Fertiliser recommendations'!$A$4:$I$63,9,FALSE))/2.291)*10/(400/2.291)+'Soil results'!G29)&lt;26,"2 (M+)",
IF(((H26*Calc!BM24/2.291-(VLOOKUP(Calc!BI24,'Fertiliser recommendations'!$A$4:$I$63,9,FALSE))/2.291)*10/(400/2.291)+'Soil results'!G29)&lt;45,"3 (H)","&gt;3 (VH)"))))),
IF('Soil results'!G$7="modified Morgan (SAC)",
IF('Soil results'!G29&gt;=6,
IF(((H26*Calc!BM24/2.291-(VLOOKUP(Calc!BI24,'Fertiliser recommendations'!$A$4:$I$63,9,FALSE))/2.291)*5/(147/2.291)+'Soil results'!G29)&lt;9.5,"2 (M-)",
IF(((H26*Calc!BM24/2.291-(VLOOKUP(Calc!BI24,'Fertiliser recommendations'!$A$4:$I$63,9,FALSE))/2.291)*5/(147/2.291)+'Soil results'!G29)&lt;13.5,"2 (M+)",
IF(((H26*Calc!BM24/2.291-(VLOOKUP(Calc!BI24,'Fertiliser recommendations'!$A$4:$I$63,9,FALSE))/2.291)*5/(147/2.291)+'Soil results'!G29)&lt;30,"3 (H)","4 (VH)"))),
IF(((H26*Calc!BM24/2.291-(VLOOKUP(Calc!BI24,'Fertiliser recommendations'!$A$4:$I$63,9,FALSE))/2.291)*5/(346/2.291)+'Soil results'!G29)&lt;1.8,"0 (VL)",
IF(((H26*Calc!BM24/2.291-(VLOOKUP(Calc!BI24,'Fertiliser recommendations'!$A$4:$I$63,9,FALSE))/2.291)*5/(147/2.291)+'Soil results'!G29)&lt;4.5,"1 (L)","2 (M-)"))))))</f>
        <v/>
      </c>
      <c r="M26" s="9" t="str">
        <f ca="1">IF(B26="","",
IF(OR(H26="data missing",I26="data missing",J26="data missing"),"data missing",
IF(Calc!BF24=0,"n/a",
IF(OR(AND('Soil results'!G$7="Olsen (ADAS)",'Soil results'!G29&gt;45),AND('Soil results'!G$7="modified Morgan (SAC)",'Soil results'!G29&gt;30)),
IF(H26&gt;2,"too high, not acceptable","no requirement"),IF(OR(AND('Soil results'!G$7="Olsen (ADAS)",'Soil results'!G29&gt;25),AND('Soil results'!G$7="modified Morgan (SAC)",'Soil results'!G29&gt;13.4)),
IF(H26*(I26/100)&lt;0.1*J26,"no benefit",
IF(H26*(I26/100)&lt;0.3*J26,"limited benefit",
IF(H26*(I26/100)&lt;1.1*J26,"benefit",
IF(H26*(I26/100)&lt;0.7*VLOOKUP(Calc!BI24,'Fertiliser recommendations'!$A$4:$I$63,9,FALSE),"excessive","too high, not acceptable")))),
IF(OR(AND('Soil results'!G$7="Olsen (ADAS)",'Soil results'!G29&gt;20),AND('Soil results'!G$7="modified Morgan (SAC)",'Soil results'!G29&gt;9.4)),
IF(H26*Calc!BM24*(I26/100)&lt;0.1*J26,"no benefit",
IF(H26*Calc!BM24*(I26/100)&lt;0.3*J26,"limited benefit",
IF(H26*Calc!BM24*(I26/100)&lt;1.1*J26,"benefit",
IF(L26="3 (H)","too high, not acceptable","excessive")))),
IF(OR(AND('Soil results'!G$7="Olsen (ADAS)",'Soil results'!G29&gt;15),AND('Soil results'!G$7="modified Morgan (SAC)",'Soil results'!G29&gt;4.4)),
IF(H26*Calc!BM24*(I26/100)&lt;0.1*VLOOKUP(Calc!BI24,'Fertiliser recommendations'!$A$4:$I$63,9,FALSE),"no benefit",
IF(H26*Calc!BM24*(I26/100)&lt;0.3*VLOOKUP(Calc!BI24,'Fertiliser recommendations'!$A$4:$I$63,9,FALSE),"limited benefit",
IF(H26*Calc!BM24*(I26/100)&lt;1.1*VLOOKUP(Calc!BI24,'Fertiliser recommendations'!$A$4:$I$63,9,FALSE),"benefit",
IF(L26="3 (H)", "too high, not acceptable", "excessive")))),
IF(OR(AND('Soil results'!G$7="Olsen (ADAS)",'Soil results'!G29&lt;=15),AND('Soil results'!G$7="modified Morgan (SAC)",'Soil results'!G29&lt;=4.4)),
IF(H26*Calc!BM24*(I26/100)&lt;0.1*VLOOKUP(Calc!BI24,'Fertiliser recommendations'!$A$4:$I$63,9,FALSE),"no benefit",
IF(H26*Calc!BM24*(I26/100)&lt;0.3*VLOOKUP(Calc!BI24,'Fertiliser recommendations'!$A$4:$I$63,9,FALSE),"limited benefit",
IF(H26*Calc!BM24*(I26/100)&lt;1.1*J26,"benefit","excessive")))))))))))</f>
        <v/>
      </c>
      <c r="O26" s="91" t="str">
        <f ca="1">IF(B26="","",
IF(AND('Field information 2'!$O$5="", 'Field information 2'!$Q$5=""),
   IF('Waste results'!$S$19&lt;&gt;"data missing", Calc!BC24*'Waste results'!$S$19, "data missing"),
IF('Field information 2'!$Q$5="",
   IF(Calc!BD24=0,
     IF('Waste results'!$S$19&lt;&gt;"data missing", Calc!BC24*'Waste results'!$S$19, "data missing"),
   IF(Calc!BC24=0,
     IF('Waste results'!$S$55&lt;&gt;"data missing", Calc!BD24*'Waste results'!$S$55, "data missing"),
   IF(OR('Waste results'!$S$19&lt;&gt;"data missing", 'Waste results'!$S$55&lt;&gt;"data missing"), Calc!BC24*'Waste results'!$S$19+ Calc!BD24*'Waste results'!$S$55, "data missing"))),
IF(AND('Field information 2'!$M$5&lt;&gt;"", 'Field information 2'!$O$5&lt;&gt;"", 'Field information 2'!$Q$5&lt;&gt;""),
   IF(AND(Calc!BD24=0,Calc!BE24=0),
     IF('Waste results'!$S$19&lt;&gt;"data missing", Calc!BC24*'Waste results'!$S$19, "data missing"),
   IF(AND(Calc!BC24=0,Calc!BE24=0),
     IF('Waste results'!$S$55&lt;&gt;"data missing", Calc!BD24*'Waste results'!$S$55, "data missing"),
   IF(AND(Calc!BC24=0,Calc!BD24=0),
     IF('Waste results'!$S$91&lt;&gt;"data missing", Calc!BE24*'Waste results'!$S$91, "data missing"),
   IF(Calc!BE24=0,
     IF(OR('Waste results'!$S$19&lt;&gt;"data missing", 'Waste results'!$S$55&lt;&gt;"data missing"), Calc!BC24*'Waste results'!$S$19+ Calc!BD24*'Waste results'!$S$55, "data missing"),
   IF(Calc!BD24=0,
     IF(OR('Waste results'!$S$19&lt;&gt;"data missing", 'Waste results'!$S$91&lt;&gt;"data missing"), Calc!BC24*'Waste results'!$S$19+ Calc!BE24*'Waste results'!$S$91, "data missing"),
   IF(Calc!BC24=0,
     IF(OR('Waste results'!$S$55&lt;&gt;"data missing", 'Waste results'!$S$91&lt;&gt;"data missing"), Calc!BD24*'Waste results'!$S$55+Calc!BE24*'Waste results'!$S$91, "data missing"),
   IF(OR('Waste results'!$S$19&lt;&gt;"data missing", 'Waste results'!$S$55&lt;&gt;"data missing", 'Waste results'!$S$91&lt;&gt;"data missing"), Calc!BC24*'Waste results'!$S$19+Calc!BD24*'Waste results'!$S$55+ Calc!BE24*'Waste results'!$S$91, "data missing")))))))))))</f>
        <v/>
      </c>
      <c r="P26" s="91" t="str">
        <f ca="1">IF(B26="","",
IF(OR(ISBLANK('Soil results'!H$7),ISBLANK('Soil results'!H29)),"data missing",
IF(OR(AND('Soil results'!H$7="ammonium nitrate (ADAS)",'Soil results'!H29&gt;400),AND('Soil results'!H$7="modified Morgan (SAC)",'Soil results'!H29&gt;400)),0,
IF(OR(AND('Soil results'!H$7="ammonium nitrate (ADAS)",'Soil results'!H29&gt;=121,'Soil results'!H29&lt;=180),AND('Soil results'!H$7="modified Morgan (SAC)",'Soil results'!H29&gt;=76,'Soil results'!H29&lt;=140)),VLOOKUP(Calc!BI24,'Fertiliser recommendations'!$A$4:$Z$63,26,FALSE),
IF(OR(AND('Soil results'!H$7="ammonium nitrate (ADAS)",'Soil results'!H29&lt;61),AND('Soil results'!H$7="modified Morgan (SAC)",'Soil results'!H29&lt;40)),VLOOKUP(Calc!BI24,'Fertiliser recommendations'!$A$4:$Z$63,26,FALSE)+VLOOKUP(Calc!BI24,'Fertiliser recommendations'!$A$4:$AA$63,27,FALSE),
IF(OR(AND('Soil results'!H$7="ammonium nitrate (ADAS)",'Soil results'!H29&lt;121),AND('Soil results'!H$7="modified Morgan (SAC)",'Soil results'!H29&lt;76)),VLOOKUP(Calc!BI24,'Fertiliser recommendations'!$A$4:$Z$63,26,FALSE)+VLOOKUP(Calc!BI24,'Fertiliser recommendations'!$A$4:$AB$63,28,FALSE),
IF(OR(AND('Soil results'!H$7="ammonium nitrate (ADAS)",'Soil results'!H29&lt;241),AND('Soil results'!H$7="modified Morgan (SAC)",'Soil results'!H29&lt;201)),VLOOKUP(Calc!BI24,'Fertiliser recommendations'!$A$4:$Z$63,26,FALSE)+VLOOKUP(Calc!BI24,'Fertiliser recommendations'!$A$4:$AC$63,29,FALSE),
IF(OR(AND('Soil results'!H$7="ammonium nitrate (ADAS)",'Soil results'!H29&lt;=400),AND('Soil results'!H$7="modified Morgan (SAC)",'Soil results'!H29&lt;=400)),VLOOKUP(Calc!BI24,'Fertiliser recommendations'!$A$4:$Z$63,26,FALSE)+VLOOKUP(Calc!BI24,'Fertiliser recommendations'!$A$4:$AD$63,30,FALSE),
"??"))))))))</f>
        <v/>
      </c>
      <c r="Q26" s="91" t="str">
        <f t="shared" ca="1" si="2"/>
        <v/>
      </c>
      <c r="R26" s="9" t="str">
        <f ca="1">IF(B26="","",
IF(OR(O26="data missing",P26="data missing"),"data missing",
IF(Calc!BF24=0,"n/a",
IF(P26=0, "no requirement",
IF(O26&lt;0.1*P26,"no benefit",
IF(O26&lt;0.3*P26,"limited benefit",
IF(O26&gt;1.25*P26,"excessive",
"benefit")))))))</f>
        <v/>
      </c>
      <c r="T26" s="91" t="str">
        <f ca="1">IF(B26="","",
IF(AND('Field information 2'!$O$5="", 'Field information 2'!$Q$5=""),
   IF('Waste results'!$S$21&lt;&gt;"data missing", Calc!BC24*'Waste results'!$S$21, "data missing"),
IF('Field information 2'!$Q$5="",
   IF(Calc!BD24=0,
     IF('Waste results'!$S$21&lt;&gt;"data missing", Calc!BC24*'Waste results'!$S$21, "data missing"),
   IF(Calc!BC24=0,
     IF('Waste results'!$S$57&lt;&gt;"data missing", Calc!BD24*'Waste results'!$S$57, "data missing"),
   IF(OR('Waste results'!$S$21&lt;&gt;"data missing", 'Waste results'!$S$57&lt;&gt;"data missing"), Calc!BC24*'Waste results'!$S$21+ Calc!BD24*'Waste results'!$S$57, "data missing"))),
IF(AND('Field information 2'!$M$5&lt;&gt;"", 'Field information 2'!$O$5&lt;&gt;"", 'Field information 2'!$Q$5&lt;&gt;""),
   IF(AND(Calc!BD24=0,Calc!BE24=0),
     IF('Waste results'!$S$21&lt;&gt;"data missing", Calc!BC24*'Waste results'!$S$21, "data missing"),
   IF(AND(Calc!BC24=0,Calc!BE24=0),
     IF('Waste results'!$S$57&lt;&gt;"data missing", Calc!BD24*'Waste results'!$S$57, "data missing"),
   IF(AND(Calc!BC24=0,Calc!BD24=0),
     IF('Waste results'!$S$93&lt;&gt;"data missing", Calc!BE24*'Waste results'!$S$93, "data missing"),
   IF(Calc!BE24=0,
     IF(OR('Waste results'!$S$21&lt;&gt;"data missing", 'Waste results'!$S$57&lt;&gt;"data missing"), Calc!BC24*'Waste results'!$S$21+ Calc!BD24*'Waste results'!$S$57, "data missing"),
   IF(Calc!BD24=0,
     IF(OR('Waste results'!$S$21&lt;&gt;"data missing", 'Waste results'!$S$93&lt;&gt;"data missing"), Calc!BC24*'Waste results'!$S$21+ Calc!BE24*'Waste results'!$S$93, "data missing"),
   IF(Calc!BC24=0,
     IF(OR('Waste results'!$S$57&lt;&gt;"data missing", 'Waste results'!$S$93&lt;&gt;"data missing"), Calc!BD24*'Waste results'!$S$57+Calc!BE24*'Waste results'!$S$93, "data missing"),
   IF(OR('Waste results'!$S$21&lt;&gt;"data missing", 'Waste results'!$S$57&lt;&gt;"data missing", 'Waste results'!$S$93&lt;&gt;"data missing"), Calc!BC24*'Waste results'!$S$21+Calc!BD24*'Waste results'!$S$57+ Calc!BE24*'Waste results'!$S$93, "data missing")))))))))))</f>
        <v/>
      </c>
      <c r="U26" s="7" t="str">
        <f ca="1">IF(B26="","",
IF(OR(ISBLANK('Soil results'!I$7),ISBLANK('Soil results'!I29)),"data missing",
IF(OR(AND('Soil results'!I$7="ammonium nitrate (ADAS)",'Soil results'!I29&gt;51),AND('Soil results'!I$7="modified Morgan (SAC)",'Soil results'!I29&gt;61)),0,
IF(OR(AND('Soil results'!I$7="ammonium nitrate (ADAS)",'Soil results'!I29&lt;25),AND('Soil results'!I$7="modified Morgan (SAC)",'Soil results'!I29&lt;19)),VLOOKUP(Calc!BI24,'Fertiliser recommendations'!$A$4:$AH$63,34,FALSE),
IF(OR(AND('Soil results'!I$7="ammonium nitrate (ADAS)",'Soil results'!I29&lt;=51),AND('Soil results'!I$7="modified Morgan (SAC)",'Soil results'!I29&lt;=61)),VLOOKUP(Calc!BI24,'Fertiliser recommendations'!$A$4:$AI$63,35,FALSE),
"")))))</f>
        <v/>
      </c>
      <c r="V26" s="91" t="str">
        <f t="shared" ca="1" si="3"/>
        <v/>
      </c>
      <c r="W26" s="9" t="str">
        <f ca="1">IF(B26="","",
IF(OR(T26="data missing",U26="data missing"),"data missing",
IF(Calc!BF24=0,"n/a",
IF(U26=0,"no requirement",
IF(T26&lt;0.1*U26,"no benefit",
IF(T26&lt;0.3*U26,"limited benefit",
IF(OR(T26&gt;1.5*U26,AND(Calc!BJ24="g",T26&gt;100)),"excessive",
"benefit")))))))</f>
        <v/>
      </c>
      <c r="Y26" s="91" t="str">
        <f ca="1">IF(B26="","",
IF(AND('Field information 2'!$O$5="", 'Field information 2'!$Q$5=""),
   IF('Waste results'!$P$23&lt;&gt;"", Calc!BC24*'Waste results'!$P$23, "no data"),
IF('Field information 2'!$Q$5="",
   IF(Calc!BD24=0,
     IF('Waste results'!$P$23&lt;&gt;"", Calc!BC24*'Waste results'!$P$23, "no data"),
   IF(Calc!BC24=0,
     IF('Waste results'!$P$59&lt;&gt;"", Calc!BD24*'Waste results'!$P$59, "no data"),
   IF(OR('Waste results'!$P$23&lt;&gt;"", 'Waste results'!$P$59&lt;&gt;""), Calc!BC24*'Waste results'!$P$23+ Calc!BD24*'Waste results'!$P$59, "no data"))),
IF(AND('Field information 2'!$M$5&lt;&gt;"", 'Field information 2'!$O$5&lt;&gt;"", 'Field information 2'!$Q$5&lt;&gt;""),
   IF(AND(Calc!BD24=0,Calc!BE24=0),
     IF('Waste results'!$P$23&lt;&gt;"", Calc!BC24*'Waste results'!$P$23, "no data"),
   IF(AND(Calc!BC24=0,Calc!BE24=0),
     IF('Waste results'!$P$59&lt;&gt;"", Calc!BD24*'Waste results'!$P$59, "no data"),
   IF(AND(Calc!BC24=0,Calc!BD24=0),
     IF('Waste results'!$P$95&lt;&gt;"", Calc!BE24*'Waste results'!$P$95, "no data"),
   IF(Calc!BE24=0,
     IF(OR('Waste results'!$P$23&lt;&gt;"", 'Waste results'!$P$59&lt;&gt;""), Calc!BC24*'Waste results'!$P$23+ Calc!BD24*'Waste results'!$P$59, "no data"),
   IF(Calc!BD24=0,
     IF(OR('Waste results'!$P$23&lt;&gt;"", 'Waste results'!$P$95&lt;&gt;""), Calc!BC24*'Waste results'!$P$23+ Calc!BE24*'Waste results'!$P$95, "no data"),
   IF(Calc!BC24=0,
     IF(OR('Waste results'!$P$59&lt;&gt;"", 'Waste results'!$P$95&lt;&gt;""), Calc!BD24*'Waste results'!$P$59+Calc!BE24*'Waste results'!$P$95, "no data"),
   IF(OR('Waste results'!$P$23&lt;&gt;"", 'Waste results'!$P$59&lt;&gt;"", 'Waste results'!$P$95&lt;&gt;""), Calc!BC24*'Waste results'!$P$23+Calc!BD24*'Waste results'!$P$59+ Calc!BE24*'Waste results'!$P$95, "no data")))))))))))</f>
        <v/>
      </c>
      <c r="Z26" s="7" t="str">
        <f ca="1">IF(OR(ISBLANK('Soil results'!I$7),ISBLANK('Soil results'!I29),'Soil results'!B29=""),"",
VLOOKUP(Calc!BI24,'Fertiliser recommendations'!$A$4:$AM$63,39,FALSE))</f>
        <v/>
      </c>
      <c r="AA26" s="91" t="str">
        <f t="shared" ca="1" si="4"/>
        <v/>
      </c>
      <c r="AB26" s="9" t="str">
        <f t="shared" ca="1" si="5"/>
        <v/>
      </c>
      <c r="AD26" s="48" t="str">
        <f>IF(ISBLANK('Soil results'!F29),"",'Soil results'!F29)</f>
        <v/>
      </c>
      <c r="AE26" s="49" t="str">
        <f ca="1">IF(B26="","",
IF(AND(Calc!BJ24="g", VLOOKUP(LEFT($B26,LEN($B26)-2),'Field information 2'!$B$12:$P$111,9,FALSE)&lt;&gt;"yes"),
 IF(Calc!BG24="10-25% OM", 5.9, IF(Calc!BG24="&gt;25% OM", 5.5, 6.2)),
IF(OR(Calc!BJ24="a", VLOOKUP(LEFT($B26,LEN($B26)-2),'Field information 2'!$B$12:$P$111,9,FALSE)="yes"),
 IF(Calc!BG24="10-25% OM", 6.4, IF(Calc!BG24="&gt;25% OM", 6, 6.7)), "")))</f>
        <v/>
      </c>
      <c r="AF26" s="91" t="str">
        <f ca="1">IF(B26="","",
IF('Waste results'!$Q$33="","no (significant) liming properties",
IF('Waste results'!Q$33&gt;100,"no (significant) liming properties",
IF(AD26="","",
IF(AD26&gt;=AE26,0,ROUNDDOWN((AE26-AD26)*Calc!BK24*'Waste results'!$Q$33+0.2,0))))))</f>
        <v/>
      </c>
      <c r="AG26" s="9" t="str">
        <f ca="1">IF(B26="","",
IF(T26=0,"n/a",
IF(AD26="","data missing",
IF(AND(AD26&lt;5,AF26="no (significant) liming properties"),"no waste application - pH too low",
IF(AND(AD26&gt;5.1,AF26="no (significant) liming properties",Calc!BH24&gt;25, LEFT(Calc!BI24,4)="graz"),"ok",
IF(AND(AD26&lt;=5.2,AF26="no (significant) liming properties"),"liming highly recommended",
IF(AF26=0,"no waste application - liming not required",
IF(AF26&lt;Calc!BC24,"application rate too high - exceeds liming requirement",
"ok"))))))))</f>
        <v/>
      </c>
      <c r="AI26" s="91" t="str">
        <f ca="1">IF(B26="","",
IF(AND('Field information 2'!$O$5="", 'Field information 2'!$Q$5=""),
   IF('Waste results'!$P$10&lt;&gt;"data missing", Calc!BC24*'Waste results'!$P$10, "data missing"),
IF('Field information 2'!$Q$5="",
   IF(Calc!BD24=0,
     IF('Waste results'!$P$10&lt;&gt;"data missing", Calc!BC24*'Waste results'!$P$10, "data missing"),
   IF(Calc!BC24=0,
     IF('Waste results'!$P$45&lt;&gt;"data missing", Calc!BD24*'Waste results'!$P$45, "data missing"),
   IF(OR('Waste results'!$P$10&lt;&gt;"data missing", 'Waste results'!$P$45&lt;&gt;"data missing"), Calc!BC24*'Waste results'!$P$10+ Calc!BD24*'Waste results'!$P$45, "data missing"))),
IF(AND('Field information 2'!$M$5&lt;&gt;"", 'Field information 2'!$O$5&lt;&gt;"", 'Field information 2'!$Q$5&lt;&gt;""),
   IF(AND(Calc!BD24=0,Calc!BE24=0),
     IF('Waste results'!$P$10&lt;&gt;"data missing", Calc!BC24*'Waste results'!$P$10, "data missing"),
   IF(AND(Calc!BC24=0,Calc!BE24=0),
     IF('Waste results'!$P$45&lt;&gt;"data missing", Calc!BD24*'Waste results'!$P$45, "data missing"),
   IF(AND(Calc!BC24=0,Calc!BD24=0),
     IF('Waste results'!$P$82&lt;&gt;"data missing", Calc!BE24*'Waste results'!$P$82, "data missing"),
   IF(Calc!BE24=0,
     IF(OR('Waste results'!$P$10&lt;&gt;"data missing", 'Waste results'!$P$45&lt;&gt;"data missing"), Calc!BC24*'Waste results'!$P$10+ Calc!BD24*'Waste results'!$P$45, "data missing"),
   IF(Calc!BD24=0,
     IF(OR('Waste results'!$P$10&lt;&gt;"data missing", 'Waste results'!$P$82&lt;&gt;"data missing"), Calc!BC24*'Waste results'!$P$10+ Calc!BE24*'Waste results'!$P$82, "data missing"),
   IF(Calc!BC24=0,
     IF(OR('Waste results'!$P$45&lt;&gt;"data missing", 'Waste results'!$P$82&lt;&gt;"data missing"), Calc!BD24*'Waste results'!$P$45+Calc!BE24*'Waste results'!$P$82, "data missing"),
   IF(OR('Waste results'!$P$10&lt;&gt;"data missing", 'Waste results'!$P$45&lt;&gt;"data missing", 'Waste results'!$P$82&lt;&gt;"data missing"), Calc!BC24*'Waste results'!$P$10+Calc!BD24*'Waste results'!$P$45+ Calc!BE24*'Waste results'!$P$82, "data missing")))))))))))</f>
        <v/>
      </c>
      <c r="AJ26" s="237" t="str">
        <f ca="1">IF(B26="","",
IF(AI26="data missing","data missing",
IF(Calc!BF24=0,"n/a",
IF(AND(Calc!BH24&gt;=8,AI26&lt;500),"no benefit",
IF(OR(AND(Calc!BH24&lt;=4,AI26&gt;=500),AND(Calc!BH24&lt;8,AI26&gt;5000)),"benefit",
"limited benefit")))))</f>
        <v/>
      </c>
      <c r="AL26" s="238" t="str">
        <f ca="1">IF(B26="","",
IF(AND('Field information 2'!$O$5="", 'Field information 2'!$Q$5=""),
   IF('Waste results'!$S$25&lt;&gt;"data missing", Calc!BC24*'Waste results'!$S$25, "data missing"),
IF('Field information 2'!$Q$5="",
   IF(Calc!BD24=0,
     IF('Waste results'!$S$25&lt;&gt;"data missing", Calc!BC24*'Waste results'!$S$25, "data missing"),
   IF(Calc!BC24=0,
     IF('Waste results'!$S$61&lt;&gt;"data missing", Calc!BD24*'Waste results'!$S$61, "data missing"),
   IF(OR('Waste results'!$S$25&lt;&gt;"data missing", 'Waste results'!$S$61&lt;&gt;"data missing"), Calc!BC24*'Waste results'!$S$25+ Calc!BD24*'Waste results'!$S$61, "data missing"))),
IF(AND('Field information 2'!$M$5&lt;&gt;"", 'Field information 2'!$O$5&lt;&gt;"", 'Field information 2'!$Q$5&lt;&gt;""),
   IF(AND(Calc!BD24=0,Calc!BE24=0),
     IF('Waste results'!$S$25&lt;&gt;"data missing", Calc!BC24*'Waste results'!$S$25, "data missing"),
   IF(AND(Calc!BC24=0,Calc!BE24=0),
     IF('Waste results'!$S$61&lt;&gt;"data missing", Calc!BD24*'Waste results'!$S$61, "data missing"),
   IF(AND(Calc!BC24=0,Calc!BD24=0),
     IF('Waste results'!$S$97&lt;&gt;"data missing", Calc!BE24*'Waste results'!$S$97, "data missing"),
   IF(Calc!BE24=0,
     IF(OR('Waste results'!$S$25&lt;&gt;"data missing", 'Waste results'!$S$61&lt;&gt;"data missing"), Calc!BC24*'Waste results'!$S$25+ Calc!BD24*'Waste results'!$S$61, "data missing"),
   IF(Calc!BD24=0,
     IF(OR('Waste results'!$S$25&lt;&gt;"data missing", 'Waste results'!$S$97&lt;&gt;"data missing"), Calc!BC24*'Waste results'!$S$25+ Calc!BE24*'Waste results'!$S$97, "data missing"),
   IF(Calc!BC24=0,
     IF(OR('Waste results'!$S$61&lt;&gt;"data missing", 'Waste results'!$S$97&lt;&gt;"data missing"), Calc!BD24*'Waste results'!$S$61+Calc!BE24*'Waste results'!$S$97, "data missing"),
   IF(OR('Waste results'!$S$25&lt;&gt;"data missing", 'Waste results'!$S$61&lt;&gt;"data missing", 'Waste results'!$S$97&lt;&gt;"data missing"), Calc!BC24*'Waste results'!$S$25+Calc!BD24*'Waste results'!$S$61+ Calc!BE24*'Waste results'!$S$97, "data missing")))))))))))</f>
        <v/>
      </c>
      <c r="AM26" s="239" t="str">
        <f ca="1">IF($B26="","",
IF(ISBLANK('Soil results'!K29),"data missing",'Soil results'!K29))</f>
        <v/>
      </c>
      <c r="AN26" s="239" t="str">
        <f t="shared" ca="1" si="6"/>
        <v/>
      </c>
      <c r="AO26" s="9" t="str">
        <f t="shared" ca="1" si="7"/>
        <v/>
      </c>
      <c r="AQ26" s="240" t="str">
        <f ca="1">IF(B26="","",
IF(AND('Field information 2'!$O$5="", 'Field information 2'!$Q$5=""),
   IF('Waste results'!$S$26&lt;&gt;"data missing", Calc!BC24*'Waste results'!$S$26, "data missing"),
IF('Field information 2'!$Q$5="",
   IF(Calc!BD24=0,
     IF('Waste results'!$S$26&lt;&gt;"data missing", Calc!BC24*'Waste results'!$S$26, "data missing"),
   IF(Calc!BC24=0,
     IF('Waste results'!$S$62&lt;&gt;"data missing", Calc!BD24*'Waste results'!$S$62, "data missing"),
   IF(OR('Waste results'!$S$26&lt;&gt;"data missing", 'Waste results'!$S$62&lt;&gt;"data missing"), Calc!BC24*'Waste results'!$S$26+ Calc!BD24*'Waste results'!$S$62, "data missing"))),
IF(AND('Field information 2'!$M$5&lt;&gt;"", 'Field information 2'!$O$5&lt;&gt;"", 'Field information 2'!$Q$5&lt;&gt;""),
   IF(AND(Calc!BD24=0,Calc!BE24=0),
     IF('Waste results'!$S$26&lt;&gt;"data missing", Calc!BC24*'Waste results'!$S$26, "data missing"),
   IF(AND(Calc!BC24=0,Calc!BE24=0),
     IF('Waste results'!$S$62&lt;&gt;"data missing", Calc!BD24*'Waste results'!$S$62, "data missing"),
   IF(AND(Calc!BC24=0,Calc!BD24=0),
     IF('Waste results'!$S$98&lt;&gt;"data missing", Calc!BE24*'Waste results'!$S$98, "data missing"),
   IF(Calc!BE24=0,
     IF(OR('Waste results'!$S$26&lt;&gt;"data missing", 'Waste results'!$S$62&lt;&gt;"data missing"), Calc!BC24*'Waste results'!$S$26+ Calc!BD24*'Waste results'!$S$62, "data missing"),
   IF(Calc!BD24=0,
     IF(OR('Waste results'!$S$26&lt;&gt;"data missing", 'Waste results'!$S$98&lt;&gt;"data missing"), Calc!BC24*'Waste results'!$S$26+ Calc!BE24*'Waste results'!$S$98, "data missing"),
   IF(Calc!BC24=0,
     IF(OR('Waste results'!$S$62&lt;&gt;"data missing", 'Waste results'!$S$98&lt;&gt;"data missing"), Calc!BD24*'Waste results'!$S$62+Calc!BE24*'Waste results'!$S$98, "data missing"),
   IF(OR('Waste results'!$S$26&lt;&gt;"data missing", 'Waste results'!$S$62&lt;&gt;"data missing", 'Waste results'!$S$98&lt;&gt;"data missing"), Calc!BC24*'Waste results'!$S$26+Calc!BD24*'Waste results'!$S$62+ Calc!BE24*'Waste results'!$S$98, "data missing")))))))))))</f>
        <v/>
      </c>
      <c r="AR26" s="241" t="str">
        <f ca="1">IF($B26="","",
IF(ISBLANK('Soil results'!L29),"data missing",'Soil results'!L29))</f>
        <v/>
      </c>
      <c r="AS26" s="241" t="str">
        <f t="shared" ca="1" si="8"/>
        <v/>
      </c>
      <c r="AT26" s="66" t="str">
        <f t="shared" ca="1" si="9"/>
        <v/>
      </c>
      <c r="AV26" s="238" t="str">
        <f ca="1">IF(B26="","",
IF(AND('Field information 2'!$O$5="", 'Field information 2'!$Q$5=""),
   IF('Waste results'!$S$27&lt;&gt;"data missing", Calc!BC24*'Waste results'!$S$27, "data missing"),
IF('Field information 2'!$Q$5="",
   IF(Calc!BD24=0,
     IF('Waste results'!$S$27&lt;&gt;"data missing", Calc!BC24*'Waste results'!$S$27, "data missing"),
   IF(Calc!BC24=0,
     IF('Waste results'!$S$63&lt;&gt;"data missing", Calc!BD24*'Waste results'!$S$63, "data missing"),
   IF(OR('Waste results'!$S$27&lt;&gt;"data missing", 'Waste results'!$S$63&lt;&gt;"data missing"), Calc!BC24*'Waste results'!$S$27+ Calc!BD24*'Waste results'!$S$63, "data missing"))),
IF(AND('Field information 2'!$M$5&lt;&gt;"", 'Field information 2'!$O$5&lt;&gt;"", 'Field information 2'!$Q$5&lt;&gt;""),
   IF(AND(Calc!BD24=0,Calc!BE24=0),
     IF('Waste results'!$S$27&lt;&gt;"data missing", Calc!BC24*'Waste results'!$S$27, "data missing"),
   IF(AND(Calc!BC24=0,Calc!BE24=0),
     IF('Waste results'!$S$63&lt;&gt;"data missing", Calc!BD24*'Waste results'!$S$63, "data missing"),
   IF(AND(Calc!BC24=0,Calc!BD24=0),
     IF('Waste results'!$S$99&lt;&gt;"data missing", Calc!BE24*'Waste results'!$S$99, "data missing"),
   IF(Calc!BE24=0,
     IF(OR('Waste results'!$S$27&lt;&gt;"data missing", 'Waste results'!$S$63&lt;&gt;"data missing"), Calc!BC24*'Waste results'!$S$27+ Calc!BD24*'Waste results'!$S$63, "data missing"),
   IF(Calc!BD24=0,
     IF(OR('Waste results'!$S$27&lt;&gt;"data missing", 'Waste results'!$S$99&lt;&gt;"data missing"), Calc!BC24*'Waste results'!$S$27+ Calc!BE24*'Waste results'!$S$99, "data missing"),
   IF(Calc!BC24=0,
     IF(OR('Waste results'!$S$63&lt;&gt;"data missing", 'Waste results'!$S$99&lt;&gt;"data missing"), Calc!BD24*'Waste results'!$S$63+Calc!BE24*'Waste results'!$S$99, "data missing"),
   IF(OR('Waste results'!$S$27&lt;&gt;"data missing", 'Waste results'!$S$63&lt;&gt;"data missing", 'Waste results'!$S$99&lt;&gt;"data missing"), Calc!BC24*'Waste results'!$S$27+Calc!BD24*'Waste results'!$S$63+ Calc!BE24*'Waste results'!$S$99, "data missing")))))))))))</f>
        <v/>
      </c>
      <c r="AW26" s="239" t="str">
        <f ca="1">IF($B26="","",
IF(ISBLANK('Soil results'!M29),"data missing",'Soil results'!M29))</f>
        <v/>
      </c>
      <c r="AX26" s="239" t="str">
        <f t="shared" ca="1" si="10"/>
        <v/>
      </c>
      <c r="AY26" s="9" t="str">
        <f ca="1">IF(B26="","",
IF(AV26=0,"n/a",
IF(OR(AV26="data missing",AW26="data missing"),"data missing",
IF(AV26&gt;7.5,"application rate too high - permissible rate exceeds limit",
IF('Soil results'!$F29&lt;=5.5,
  IF(AW26&gt;80,"no application - soil conc. already above limit",
  IF(AX26&gt;80,"application rate too high - soil conc. will exceed limit",
  IF(AW26&gt;80*0.9,"soil conc. is at or above 90% of the limit",
  IF(10*AV26*1000/3000+AW26&gt;80,"soil limit likely to be exceeded in 10yrs",
  IF(50*AV26*1000/3000+AW26&gt;80,"soil limit likely to be exceeded in 50yrs","ok"))))),
IF('Soil results'!$F29&lt;=6,
  IF(AW26&gt;100,"no application - soil conc. already above limit",
  IF(AX26&gt;100,"application rate too high - soil conc. will exceed limit",
  IF(AW26&gt;100*0.9,"soil conc. is at or above 90% of the limit",
  IF(10*AV26*1000/3000+AW26&gt;100,"soil limit likely to be exceeded in 10yrs",
  IF(50*AV26*1000/3000+AW26&gt;100,"soil limit likely to be exceeded in 50yrs","ok"))))),
IF('Soil results'!$F29&lt;=7,
  IF(AW26&gt;135,"no application - soil conc. already above limit",
  IF(AX26&gt;135,"application rate too high - soil conc. will exceed limit",
  IF(AW26&gt;135*0.9,"soil conc. is at or above 90% of the limit",
  IF(10*AV26*1000/3000+AW26&gt;135,"soil limit likely to be exceeded in 10yrs",
  IF(50*AV26*1000/3000+AW26&gt;135,"soil limit likely to be exceeded in 50yrs","ok"))))),
IF('Soil results'!$F29&gt;7,
  IF(AW26&gt;200,"no application - soil conc. already above limit",
  IF(AX26&gt;200,"application too high - soil conc. will exceed limit",
  IF(AW26&gt;200*0.9,"soil conc. is at or above 90% of the limit",
  IF(10*AV26*1000/3000+AW26&gt;200,"soil limit likely to be exceeded in 10yrs",
  IF(50*AV26*1000/3000+AW26&gt;200,"soil limit likely to be exceeded in 50yrs","ok")))))
))))))))</f>
        <v/>
      </c>
      <c r="BA26" s="238" t="str">
        <f ca="1">IF(B26="","",
IF(AND('Field information 2'!$O$5="", 'Field information 2'!$Q$5=""),
   IF('Waste results'!$S$28&lt;&gt;"data missing", Calc!BC24*'Waste results'!$S$28, "data missing"),
IF('Field information 2'!$Q$5="",
   IF(Calc!BD24=0,
     IF('Waste results'!$S$28&lt;&gt;"data missing", Calc!BC24*'Waste results'!$S$28, "data missing"),
   IF(Calc!BC24=0,
     IF('Waste results'!$S$64&lt;&gt;"data missing", Calc!BD24*'Waste results'!$S$64, "data missing"),
   IF(OR('Waste results'!$S$28&lt;&gt;"data missing", 'Waste results'!$S$64&lt;&gt;"data missing"), Calc!BC24*'Waste results'!$S$28+ Calc!BD24*'Waste results'!$S$64, "data missing"))),
IF(AND('Field information 2'!$M$5&lt;&gt;"", 'Field information 2'!$O$5&lt;&gt;"", 'Field information 2'!$Q$5&lt;&gt;""),
   IF(AND(Calc!BD24=0,Calc!BE24=0),
     IF('Waste results'!$S$28&lt;&gt;"data missing", Calc!BC24*'Waste results'!$S$28, "data missing"),
   IF(AND(Calc!BC24=0,Calc!BE24=0),
     IF('Waste results'!$S$64&lt;&gt;"data missing", Calc!BD24*'Waste results'!$S$64, "data missing"),
   IF(AND(Calc!BC24=0,Calc!BD24=0),
     IF('Waste results'!$S$100&lt;&gt;"data missing", Calc!BE24*'Waste results'!$S$100, "data missing"),
   IF(Calc!BE24=0,
     IF(OR('Waste results'!$S$28&lt;&gt;"data missing", 'Waste results'!$S$64&lt;&gt;"data missing"), Calc!BC24*'Waste results'!$S$28+ Calc!BD24*'Waste results'!$S$64, "data missing"),
   IF(Calc!BD24=0,
     IF(OR('Waste results'!$S$28&lt;&gt;"data missing", 'Waste results'!$S$100&lt;&gt;"data missing"), Calc!BC24*'Waste results'!$S$28+ Calc!BE24*'Waste results'!$S$100, "data missing"),
   IF(Calc!BC24=0,
     IF(OR('Waste results'!$S$64&lt;&gt;"data missing", 'Waste results'!$S$100&lt;&gt;"data missing"), Calc!BD24*'Waste results'!$S$64+Calc!BE24*'Waste results'!$S$100, "data missing"),
   IF(OR('Waste results'!$S$28&lt;&gt;"data missing", 'Waste results'!$S$64&lt;&gt;"data missing", 'Waste results'!$S$100&lt;&gt;"data missing"), Calc!BC24*'Waste results'!$S$28+Calc!BD24*'Waste results'!$S$64+ Calc!BE24*'Waste results'!$S$100, "data missing")))))))))))</f>
        <v/>
      </c>
      <c r="BB26" s="239" t="str">
        <f ca="1">IF($B26="","",
IF(ISBLANK('Soil results'!N29),"data missing",'Soil results'!N29))</f>
        <v/>
      </c>
      <c r="BC26" s="239" t="str">
        <f t="shared" ca="1" si="11"/>
        <v/>
      </c>
      <c r="BD26" s="9" t="str">
        <f t="shared" ca="1" si="12"/>
        <v/>
      </c>
      <c r="BF26" s="238" t="str">
        <f ca="1">IF(B26="","",
IF(AND('Field information 2'!$O$5="", 'Field information 2'!$Q$5=""),
   IF('Waste results'!$S$29&lt;&gt;"data missing", Calc!BC24*'Waste results'!$S$29, "data missing"),
IF('Field information 2'!$Q$5="",
   IF(Calc!BD24=0,
     IF('Waste results'!$S$29&lt;&gt;"data missing", Calc!BC24*'Waste results'!$S$29, "data missing"),
   IF(Calc!BC24=0,
     IF('Waste results'!$S$65&lt;&gt;"data missing", Calc!BD24*'Waste results'!$S$65, "data missing"),
   IF(OR('Waste results'!$S$29&lt;&gt;"data missing", 'Waste results'!$S$65&lt;&gt;"data missing"), Calc!BC24*'Waste results'!$S$29+ Calc!BD24*'Waste results'!$S$65, "data missing"))),
IF(AND('Field information 2'!$M$5&lt;&gt;"", 'Field information 2'!$O$5&lt;&gt;"", 'Field information 2'!$Q$5&lt;&gt;""),
   IF(AND(Calc!BD24=0,Calc!BE24=0),
     IF('Waste results'!$S$29&lt;&gt;"data missing", Calc!BC24*'Waste results'!$S$29, "data missing"),
   IF(AND(Calc!BC24=0,Calc!BE24=0),
     IF('Waste results'!$S$65&lt;&gt;"data missing", Calc!BD24*'Waste results'!$S$65, "data missing"),
   IF(AND(Calc!BC24=0,Calc!BD24=0),
     IF('Waste results'!$S$101&lt;&gt;"data missing", Calc!BE24*'Waste results'!$S$101, "data missing"),
   IF(Calc!BE24=0,
     IF(OR('Waste results'!$S$29&lt;&gt;"data missing", 'Waste results'!$S$65&lt;&gt;"data missing"), Calc!BC24*'Waste results'!$S$29+ Calc!BD24*'Waste results'!$S$65, "data missing"),
   IF(Calc!BD24=0,
     IF(OR('Waste results'!$S$29&lt;&gt;"data missing", 'Waste results'!$S$101&lt;&gt;"data missing"), Calc!BC24*'Waste results'!$S$29+ Calc!BE24*'Waste results'!$S$101, "data missing"),
   IF(Calc!BC24=0,
     IF(OR('Waste results'!$S$65&lt;&gt;"data missing", 'Waste results'!$S$101&lt;&gt;"data missing"), Calc!BD24*'Waste results'!$S$65+Calc!BE24*'Waste results'!$S$101, "data missing"),
   IF(OR('Waste results'!$S$29&lt;&gt;"data missing", 'Waste results'!$S$65&lt;&gt;"data missing", 'Waste results'!$S$101&lt;&gt;"data missing"), Calc!BC24*'Waste results'!$S$29+Calc!BD24*'Waste results'!$S$65+ Calc!BE24*'Waste results'!$S$101, "data missing")))))))))))</f>
        <v/>
      </c>
      <c r="BG26" s="239" t="str">
        <f ca="1">IF($B26="","",
IF(ISBLANK('Soil results'!O29),"data missing",'Soil results'!O29))</f>
        <v/>
      </c>
      <c r="BH26" s="239" t="str">
        <f t="shared" ca="1" si="13"/>
        <v/>
      </c>
      <c r="BI26" s="9" t="str">
        <f ca="1">IF(B26="","",
IF(BF26=0,"n/a",
IF(OR(BF26="data missing",BG26="data missing"),"data missing",
IF(BF26&gt;3,"application rate too high - permissible rate exceeds limit",
IF('Soil results'!F29&lt;=5.5,
  IF(BG26&gt;50,"no application - soil conc. already above limit",
  IF(BH26&gt;50,"application rate too high - soil conc. will exceed limit",
  IF(BG26&gt;50*0.9,"soil conc. is at or above 90% of the limit",
  IF(10*BF26*1000/3000+BG26&gt;50,"soil limit likely to be exceeded in 10yrs",
  IF(50*BF26*1000/3000+BG26&gt;50,"soil limit likely to be exceeded in 50yrs","ok"))))),
IF('Soil results'!F29&lt;=6,
  IF(BG26&gt;60,"no application - soil conc. already above limit",
  IF(BH26&gt;60,"application rate too high - soil conc. will exceed limit",
  IF(BG26&gt;60*0.9,"soil conc. is at or above 90% of the limit",
  IF(10*BF26*1000/3000+BG26&gt;60,"soil limit likely to be exceeded in 10yrs",
  IF(50*BF26*1000/3000+BG26&gt;60,"soil limit likely to be exceeded in 50yrs","ok"))))),
IF('Soil results'!F29&lt;=7,
  IF(BG26&gt;75,"no application - soil conc. already above limit",
  IF(BH26&gt;75,"application rate too high - soil conc. will exceed limit",
  IF(BG26&gt;75*0.9,"soil conc. is at or above 90% of the limit",
  IF(10*BF26*1000/3000+BG26&gt;75,"soil limit likely to be exceeded in 10yrs",
  IF(50*BF26*1000/3000+BG26&gt;75,"soil limit likely to be exceeded in 50yrs","ok"))))),
IF('Soil results'!F29&gt;7,
  IF(BG26&gt;100,"no application - soil conc. already above limit",
  IF(BH26&gt;100,"application rate too high - soil conc. will exceed limit",
  IF(BG26&gt;100*0.9,"soil conc. is at or above 90% of the limit",
  IF(10*BF26*1000/3000+BG26&gt;100,"soil limit likely to be exceeded in 10yrs",
  IF(50*BF26*1000/3000+BG26&gt;100,"soil limit likely to beexceeded in 50yrs","ok")))))
))))))))</f>
        <v/>
      </c>
      <c r="BK26" s="240" t="str">
        <f ca="1">IF(B26="","",
IF(AND('Field information 2'!$O$5="", 'Field information 2'!$Q$5=""),
   IF('Waste results'!$S$30&lt;&gt;"data missing", Calc!BC24*'Waste results'!$S$30, "data missing"),
IF('Field information 2'!$Q$5="",
   IF(Calc!BD24=0,
     IF('Waste results'!$S$30&lt;&gt;"data missing", Calc!BC24*'Waste results'!$S$30, "data missing"),
   IF(Calc!BC24=0,
     IF('Waste results'!$S$66&lt;&gt;"data missing", Calc!BD24*'Waste results'!$S$66, "data missing"),
   IF(OR('Waste results'!$S$30&lt;&gt;"data missing", 'Waste results'!$S$66&lt;&gt;"data missing"), Calc!BC24*'Waste results'!$S$30+ Calc!BD24*'Waste results'!$S$66, "data missing"))),
IF(AND('Field information 2'!$M$5&lt;&gt;"", 'Field information 2'!$O$5&lt;&gt;"", 'Field information 2'!$Q$5&lt;&gt;""),
   IF(AND(Calc!BD24=0,Calc!BE24=0),
     IF('Waste results'!$S$30&lt;&gt;"data missing", Calc!BC24*'Waste results'!$S$30, "data missing"),
   IF(AND(Calc!BC24=0,Calc!BE24=0),
     IF('Waste results'!$S$66&lt;&gt;"data missing", Calc!BD24*'Waste results'!$S$66, "data missing"),
   IF(AND(Calc!BC24=0,Calc!BD24=0),
     IF('Waste results'!$S$102&lt;&gt;"data missing", Calc!BE24*'Waste results'!$S$102, "data missing"),
   IF(Calc!BE24=0,
     IF(OR('Waste results'!$S$30&lt;&gt;"data missing", 'Waste results'!$S$66&lt;&gt;"data missing"), Calc!BC24*'Waste results'!$S$30+ Calc!BD24*'Waste results'!$S$66, "data missing"),
   IF(Calc!BD24=0,
     IF(OR('Waste results'!$S$30&lt;&gt;"data missing", 'Waste results'!$S$102&lt;&gt;"data missing"), Calc!BC24*'Waste results'!$S$30+ Calc!BE24*'Waste results'!$S$102, "data missing"),
   IF(Calc!BC24=0,
     IF(OR('Waste results'!$S$66&lt;&gt;"data missing", 'Waste results'!$S$102&lt;&gt;"data missing"), Calc!BD24*'Waste results'!$S$66+Calc!BE24*'Waste results'!$S$102, "data missing"),
   IF(OR('Waste results'!$S$30&lt;&gt;"data missing", 'Waste results'!$S$66&lt;&gt;"data missing", 'Waste results'!$S$102&lt;&gt;"data missing"), Calc!BC24*'Waste results'!$S$30+Calc!BD24*'Waste results'!$S$66+ Calc!BE24*'Waste results'!$S$102, "data missing")))))))))))</f>
        <v/>
      </c>
      <c r="BL26" s="241" t="str">
        <f ca="1">IF($B26="","",
IF(ISBLANK('Soil results'!P29),"data missing",'Soil results'!P29))</f>
        <v/>
      </c>
      <c r="BM26" s="241" t="str">
        <f t="shared" ca="1" si="14"/>
        <v/>
      </c>
      <c r="BN26" s="66" t="str">
        <f t="shared" ca="1" si="15"/>
        <v/>
      </c>
      <c r="BP26" s="238" t="str">
        <f ca="1">IF(B26="","",
IF(AND('Field information 2'!$O$5="", 'Field information 2'!$Q$5=""),
   IF('Waste results'!$S$31&lt;&gt;"data missing", Calc!BC24*'Waste results'!$S$31, "data missing"),
IF('Field information 2'!$Q$5="",
   IF(Calc!BD24=0,
     IF('Waste results'!$S$31&lt;&gt;"data missing", Calc!BC24*'Waste results'!$S$31, "data missing"),
   IF(Calc!BC24=0,
     IF('Waste results'!$S$67&lt;&gt;"data missing", Calc!BD24*'Waste results'!$S$67, "data missing"),
   IF(OR('Waste results'!$S$31&lt;&gt;"data missing", 'Waste results'!$S$67&lt;&gt;"data missing"), Calc!BC24*'Waste results'!$S$31+ Calc!BD24*'Waste results'!$S$67, "data missing"))),
IF(AND('Field information 2'!$M$5&lt;&gt;"", 'Field information 2'!$O$5&lt;&gt;"", 'Field information 2'!$Q$5&lt;&gt;""),
   IF(AND(Calc!BD24=0,Calc!BE24=0),
     IF('Waste results'!$S$31&lt;&gt;"data missing", Calc!BC24*'Waste results'!$S$31, "data missing"),
   IF(AND(Calc!BC24=0,Calc!BE24=0),
     IF('Waste results'!$S$67&lt;&gt;"data missing", Calc!BD24*'Waste results'!$S$67, "data missing"),
   IF(AND(Calc!BC24=0,Calc!BD24=0),
     IF('Waste results'!$S$103&lt;&gt;"data missing", Calc!BE24*'Waste results'!$S$103, "data missing"),
   IF(Calc!BE24=0,
     IF(OR('Waste results'!$S$31&lt;&gt;"data missing", 'Waste results'!$S$67&lt;&gt;"data missing"), Calc!BC24*'Waste results'!$S$31+ Calc!BD24*'Waste results'!$S$67, "data missing"),
   IF(Calc!BD24=0,
     IF(OR('Waste results'!$S$31&lt;&gt;"data missing", 'Waste results'!$S$103&lt;&gt;"data missing"), Calc!BC24*'Waste results'!$S$31+ Calc!BE24*'Waste results'!$S$103, "data missing"),
   IF(Calc!BC24=0,
     IF(OR('Waste results'!$S$67&lt;&gt;"data missing", 'Waste results'!$S$103&lt;&gt;"data missing"), Calc!BD24*'Waste results'!$S$67+Calc!BE24*'Waste results'!$S$103, "data missing"),
   IF(OR('Waste results'!$S$31&lt;&gt;"data missing", 'Waste results'!$S$67&lt;&gt;"data missing", 'Waste results'!$S$103&lt;&gt;"data missing"), Calc!BC24*'Waste results'!$S$31+Calc!BD24*'Waste results'!$S$67+ Calc!BE24*'Waste results'!$S$103, "data missing")))))))))))</f>
        <v/>
      </c>
      <c r="BQ26" s="239" t="str">
        <f ca="1">IF($B26="","",
IF(ISBLANK('Soil results'!Q29),"data missing",'Soil results'!Q29))</f>
        <v/>
      </c>
      <c r="BR26" s="239" t="str">
        <f t="shared" ca="1" si="16"/>
        <v/>
      </c>
      <c r="BS26" s="9" t="str">
        <f ca="1">IF(B26="","",
IF(BP26=0,"n/a",
IF(OR(BP26="data missing",BQ26=""),"data missing",
IF(BP26&gt;15,"application rate too high - permissible rate exceeds limit",
IF('Soil results'!F29&lt;=5.5,
  IF(BQ26&gt;200,"no application - soil conc. already above limit",
  IF(BR26&gt;200,"application rate too high - soil conc. will exceed limit",
  IF(BQ26&gt;200*0.9,"soil conc. is at or above 90% of the limit",
  IF(10*BP26*1000/3000+BQ26&gt;200,"soil limit likely to be exceeded in 10yrs",
  IF(50*BP26*1000/3000+BQ26&gt;200,"soil limit likely to be exceeded in 50yrs","ok"))))),
IF('Soil results'!F29&lt;=6,
  IF(BQ26&gt;250,"no application - soil conc. already above limit",
  IF(BR26&gt;250,"application rate too high - soil conc. will exceed limit",
  IF(BQ26&gt;250*0.9,"soil conc. is at or above 90% of the limit",
  IF(10*BP26*1000/3000+BQ26&gt;250,"soil limit likely to be exceeded in 10yrs",
  IF(50*BP26*1000/3000+BQ26&gt;250,"soil limit likely to be exceeded in 50yrs","ok"))))),
IF('Soil results'!F29&lt;=7,
  IF(BQ26&gt;300,"no application - soil conc. already above limit",
  IF(BR26&gt;300,"application rate too high - soil conc. will exceed limit",
  IF(BQ26&gt;300*0.9,"soil conc. is at or above 90% of the limit",
  IF(10*BP26*1000/3000+BQ26&gt;300,"soil limit likey to be exceeded in 10yrs",
  IF(50*BP26*1000/3000+BQ26&gt;300,"soil limit likely to be exceeded in 50yrs","ok"))))),
IF('Soil results'!F29&gt;7,
  IF(BQ26&gt;450,"no application - soil conc. already above limit",
  IF(BR26&gt;450,"application rate too high - soil conc. will exceed limit",
  IF(AW26&gt;450*0.9,"soil conc. is at or above 90% of the limit",
  IF(10*BP26*1000/3000+BQ26&gt;450,"soil limit likely to be exceeded in 10yrs",
  IF(50*BP26*1000/3000+BQ26&gt;450,"soil limit likely to be exceeded in 50yrs","ok")))))
))))))))</f>
        <v/>
      </c>
    </row>
    <row r="27" spans="2:71" s="9" customFormat="1" x14ac:dyDescent="0.35">
      <c r="B27" s="236" t="str">
        <f ca="1">'Soil results'!B30</f>
        <v/>
      </c>
      <c r="C27" s="91" t="str">
        <f ca="1">IF(B27="","",
IF(AND('Field information 2'!$O$5="", 'Field information 2'!$Q$5=""),
   IF('Waste results'!$S$12&lt;&gt;"data missing", Calc!BC25*'Waste results'!$S$12, "data missing"),
IF('Field information 2'!$Q$5="",
   IF(Calc!BD25=0,
     IF('Waste results'!$S$12&lt;&gt;"data missing", Calc!BC25*'Waste results'!$S$12, "data missing"),
   IF(Calc!BC25=0,
     IF('Waste results'!$S$48&lt;&gt;"data missing", Calc!BD25*'Waste results'!$S$48, "data missing"),
   IF(OR('Waste results'!$S$12&lt;&gt;"data missing", 'Waste results'!$S$48&lt;&gt;"data missing"), Calc!BC25*'Waste results'!$S$12+ Calc!BD25*'Waste results'!$S$48, "data missing"))),
IF(AND('Field information 2'!$M$5&lt;&gt;"", 'Field information 2'!$O$5&lt;&gt;"", 'Field information 2'!$Q$5&lt;&gt;""),
   IF(AND(Calc!BD25=0,Calc!BE25=0),
     IF('Waste results'!$S$12&lt;&gt;"data missing", Calc!BC25*'Waste results'!$S$12, "data missing"),
   IF(AND(Calc!BC25=0,Calc!BE25=0),
     IF('Waste results'!$S$48&lt;&gt;"data missing", Calc!BD25*'Waste results'!$S$48, "data missing"),
   IF(AND(Calc!BC25=0,Calc!BD25=0),
     IF('Waste results'!$S$84&lt;&gt;"data missing", Calc!BE25*'Waste results'!$S$84, "data missing"),
   IF(Calc!BE25=0,
     IF(OR('Waste results'!$S$12&lt;&gt;"data missing", 'Waste results'!$S$48&lt;&gt;"data missing"), Calc!BC25*'Waste results'!$S$12+ Calc!BD25*'Waste results'!$S$48, "data missing"),
   IF(Calc!BD25=0,
     IF(OR('Waste results'!$S$12&lt;&gt;"data missing", 'Waste results'!$S$84&lt;&gt;"data missing"), Calc!BC25*'Waste results'!$S$12+ Calc!BE25*'Waste results'!$S$84, "data missing"),
   IF(Calc!BC25=0,
     IF(OR('Waste results'!$S$48&lt;&gt;"data missing", 'Waste results'!$S$84&lt;&gt;"data missing"), Calc!BD25*'Waste results'!$S$48+Calc!BE25*'Waste results'!$S$84, "data missing"),
   IF(OR('Waste results'!$S$12&lt;&gt;"data missing", 'Waste results'!$S$48&lt;&gt;"data missing", 'Waste results'!$S$84&lt;&gt;"data missing"), Calc!BC25*'Waste results'!$S$12+Calc!BD25*'Waste results'!$S$48+ Calc!BE25*'Waste results'!$S$84, "data missing")))))))))))</f>
        <v/>
      </c>
      <c r="D27" s="161" t="str">
        <f ca="1">IF(B27="","",
IF(Calc!BG25="","soil texture missing",
IF(OR(Calc!BG25="SL; SZL; ZL",Calc!BG25="SCL; CL; ZCL; SC; ZC; C"),VLOOKUP(Calc!BI25,'Fertiliser recommendations'!$A$4:$C$63,3,FALSE),
IF(Calc!BG25="S; LS",VLOOKUP(Calc!BI25,'Fertiliser recommendations'!$A$4:$C$63,3,FALSE)+VLOOKUP(Calc!BI25,'Fertiliser recommendations'!$A$4:$D$63,4,FALSE),
IF(Calc!BG25="10-25% OM",VLOOKUP(Calc!BI25,'Fertiliser recommendations'!$A$4:$C$63,3,FALSE)+VLOOKUP(Calc!BI25,'Fertiliser recommendations'!$A$4:$E$63,5,FALSE),
IF(Calc!BG25="&gt;25% OM",VLOOKUP(Calc!BI25,'Fertiliser recommendations'!$A$4:$C$63,3,FALSE)+VLOOKUP(Calc!BI25,'Fertiliser recommendations'!$A$4:$F$63,6,FALSE),
""))))))</f>
        <v/>
      </c>
      <c r="E27" s="91" t="str">
        <f t="shared" ca="1" si="0"/>
        <v/>
      </c>
      <c r="F27" s="9" t="str">
        <f ca="1">IF(B27="","",
IF(OR(C27="data missing",D27="soil texture missing"),"data missing",
IF(Calc!BF25=0,"n/a",
IF(C27&lt;0.1*D27,"no benefit",
IF(C27&lt;0.3*D27,"limited benefit",
IF(C27&gt;250,"exceeds limit",
IF(OR(AND(D27=0,C27&gt;75),C27&gt;1.25*D27),"excessive",
IF(D27=0, "no requirement",
"benefit"))))))))</f>
        <v/>
      </c>
      <c r="H27" s="91" t="str">
        <f ca="1">IF(B27="","",
IF(AND('Field information 2'!$O$5="", 'Field information 2'!$Q$5=""),
   IF('Waste results'!$S$17&lt;&gt;"data missing", Calc!BC25*'Waste results'!$S$17, "data missing"),
IF('Field information 2'!$Q$5="",
   IF(Calc!BD25=0,
     IF('Waste results'!$S$17&lt;&gt;"data missing", Calc!BC25*'Waste results'!$S$17, "data missing"),
   IF(Calc!BC25=0,
     IF('Waste results'!$S$53&lt;&gt;"data missing", Calc!BD25*'Waste results'!$S$53, "data missing"),
   IF(OR('Waste results'!$S$17&lt;&gt;"data missing", 'Waste results'!$S$53&lt;&gt;"data missing"), Calc!BC25*'Waste results'!$S$17+ Calc!BD25*'Waste results'!$S$53, "data missing"))),
IF(AND('Field information 2'!$M$5&lt;&gt;"", 'Field information 2'!$O$5&lt;&gt;"", 'Field information 2'!$Q$5&lt;&gt;""),
   IF(AND(Calc!BD25=0,Calc!BE25=0),
     IF('Waste results'!$S$17&lt;&gt;"data missing", Calc!BC25*'Waste results'!$S$17, "data missing"),
   IF(AND(Calc!BC25=0,Calc!BE25=0),
     IF('Waste results'!$S$53&lt;&gt;"data missing", Calc!BD25*'Waste results'!$S$53, "data missing"),
   IF(AND(Calc!BC25=0,Calc!BD25=0),
     IF('Waste results'!$S$89&lt;&gt;"data missing", Calc!BE25*'Waste results'!$S$89, "data missing"),
   IF(Calc!BE25=0,
     IF(OR('Waste results'!$S$17&lt;&gt;"data missing", 'Waste results'!$S$53&lt;&gt;"data missing"), Calc!BC25*'Waste results'!$S$17+ Calc!BD25*'Waste results'!$S$53, "data missing"),
   IF(Calc!BD25=0,
     IF(OR('Waste results'!$S$17&lt;&gt;"data missing", 'Waste results'!$S$89&lt;&gt;"data missing"), Calc!BC25*'Waste results'!$S$17+ Calc!BE25*'Waste results'!$S$89, "data missing"),
   IF(Calc!BC25=0,
     IF(OR('Waste results'!$S$53&lt;&gt;"data missing", 'Waste results'!$S$89&lt;&gt;"data missing"), Calc!BD25*'Waste results'!$S$53+Calc!BE25*'Waste results'!$S$89, "data missing"),
   IF(OR('Waste results'!$S$17&lt;&gt;"data missing", 'Waste results'!$S$53&lt;&gt;"data missing", 'Waste results'!$S$89&lt;&gt;"data missing"), Calc!BC25*'Waste results'!$S$17+Calc!BD25*'Waste results'!$S$53+ Calc!BE25*'Waste results'!$S$89, "data missing")))))))))))</f>
        <v/>
      </c>
      <c r="I27" s="195" t="str">
        <f ca="1">IF(B27="","",
IF(OR(ISBLANK('Soil results'!G30), ISBLANK('Soil results'!G$7)),"data missing",
IF(OR(AND('Soil results'!G$7="Olsen (ADAS)",'Soil results'!G30&lt;16),AND('Soil results'!G$7="modified Morgan (SAC)",'Soil results'!G30&lt;4.5)),50,100)))</f>
        <v/>
      </c>
      <c r="J27" s="49" t="str">
        <f ca="1">IF(B27="","",
IF(OR(ISBLANK('Soil results'!G$7),ISBLANK('Soil results'!G30)),"data missing",
IF(OR(AND('Soil results'!G$7="Olsen (ADAS)",'Soil results'!G30&gt;45),AND('Soil results'!G$7="modified Morgan (SAC)",'Soil results'!G30&gt;30)),0,
IF(OR(AND('Soil results'!G$7="Olsen (ADAS)",'Soil results'!G30&gt;=16,'Soil results'!G30&lt;=20),AND('Soil results'!G$7="modified Morgan (SAC)",'Soil results'!G30&gt;=4.5,'Soil results'!G30&lt;=9.4)),VLOOKUP(Calc!BI25,'Fertiliser recommendations'!$A$4:$I$63,9,FALSE),
IF(OR(AND('Soil results'!G$7="Olsen (ADAS)",'Soil results'!G30&lt;10),AND('Soil results'!G$7="modified Morgan (SAC)",'Soil results'!G30&lt;1.8)),VLOOKUP(Calc!BI25,'Fertiliser recommendations'!$A$4:$I$63,9,FALSE)+VLOOKUP(Calc!BI25,'Fertiliser recommendations'!$A$4:$J$63,10,FALSE),
IF(OR(AND('Soil results'!G$7="Olsen (ADAS)",'Soil results'!G30&lt;16),AND('Soil results'!G$7="modified Morgan (SAC)",'Soil results'!G30&lt;4.5)),VLOOKUP(Calc!BI25,'Fertiliser recommendations'!$A$4:$I$63,9,FALSE)+VLOOKUP(Calc!BI25,'Fertiliser recommendations'!$A$4:$K$63,11,FALSE),
IF(OR(AND('Soil results'!G$7="Olsen (ADAS)",'Soil results'!G30&lt;26),AND('Soil results'!G$7="modified Morgan (SAC)",'Soil results'!G30&lt;13.5)),VLOOKUP(Calc!BI25,'Fertiliser recommendations'!$A$4:$I$63,9,FALSE)+VLOOKUP(Calc!BI25,'Fertiliser recommendations'!$A$4:$L$63,12,FALSE),
IF(OR(AND('Soil results'!G$7="Olsen (ADAS)",'Soil results'!G30&lt;=45),AND('Soil results'!G$7="modified Morgan (SAC)",'Soil results'!G30&lt;=30)),VLOOKUP(Calc!BI25,'Fertiliser recommendations'!$A$4:$I$63,9,FALSE)+VLOOKUP(Calc!BI25,'Fertiliser recommendations'!$A$4:$M$63,13,FALSE),
""))))))))</f>
        <v/>
      </c>
      <c r="K27" s="161" t="str">
        <f t="shared" ca="1" si="1"/>
        <v/>
      </c>
      <c r="L27" s="47" t="str">
        <f ca="1">IF(OR(ISBLANK('Soil results'!G$7),ISBLANK('Soil results'!G30),B27="", H27="data missing"),"",
IF('Soil results'!G$7="Olsen (ADAS)",
IF(((H27*Calc!BM25/2.291-(VLOOKUP(Calc!BI25,'Fertiliser recommendations'!$A$4:$I$63,9,FALSE))/2.291)*10/(400/2.291)+'Soil results'!G30)&lt;10,"0 (VL)",
IF(((H27*Calc!BM25/2.291-(VLOOKUP(Calc!BI25,'Fertiliser recommendations'!$A$4:$I$63,9,FALSE))/2.291)*10/(400/2.291)+'Soil results'!G30)&lt;16,"1 (L)",
IF(((H27*Calc!BM25/2.291-(VLOOKUP(Calc!BI25,'Fertiliser recommendations'!$A$4:$I$63,9,FALSE))/2.291)*10/(400/2.291)+'Soil results'!G30)&lt;21,"2 (M-)",
IF(((H27*Calc!BM25/2.291-(VLOOKUP(Calc!BI25,'Fertiliser recommendations'!$A$4:$I$63,9,FALSE))/2.291)*10/(400/2.291)+'Soil results'!G30)&lt;26,"2 (M+)",
IF(((H27*Calc!BM25/2.291-(VLOOKUP(Calc!BI25,'Fertiliser recommendations'!$A$4:$I$63,9,FALSE))/2.291)*10/(400/2.291)+'Soil results'!G30)&lt;45,"3 (H)","&gt;3 (VH)"))))),
IF('Soil results'!G$7="modified Morgan (SAC)",
IF('Soil results'!G30&gt;=6,
IF(((H27*Calc!BM25/2.291-(VLOOKUP(Calc!BI25,'Fertiliser recommendations'!$A$4:$I$63,9,FALSE))/2.291)*5/(147/2.291)+'Soil results'!G30)&lt;9.5,"2 (M-)",
IF(((H27*Calc!BM25/2.291-(VLOOKUP(Calc!BI25,'Fertiliser recommendations'!$A$4:$I$63,9,FALSE))/2.291)*5/(147/2.291)+'Soil results'!G30)&lt;13.5,"2 (M+)",
IF(((H27*Calc!BM25/2.291-(VLOOKUP(Calc!BI25,'Fertiliser recommendations'!$A$4:$I$63,9,FALSE))/2.291)*5/(147/2.291)+'Soil results'!G30)&lt;30,"3 (H)","4 (VH)"))),
IF(((H27*Calc!BM25/2.291-(VLOOKUP(Calc!BI25,'Fertiliser recommendations'!$A$4:$I$63,9,FALSE))/2.291)*5/(346/2.291)+'Soil results'!G30)&lt;1.8,"0 (VL)",
IF(((H27*Calc!BM25/2.291-(VLOOKUP(Calc!BI25,'Fertiliser recommendations'!$A$4:$I$63,9,FALSE))/2.291)*5/(147/2.291)+'Soil results'!G30)&lt;4.5,"1 (L)","2 (M-)"))))))</f>
        <v/>
      </c>
      <c r="M27" s="9" t="str">
        <f ca="1">IF(B27="","",
IF(OR(H27="data missing",I27="data missing",J27="data missing"),"data missing",
IF(Calc!BF25=0,"n/a",
IF(OR(AND('Soil results'!G$7="Olsen (ADAS)",'Soil results'!G30&gt;45),AND('Soil results'!G$7="modified Morgan (SAC)",'Soil results'!G30&gt;30)),
IF(H27&gt;2,"too high, not acceptable","no requirement"),IF(OR(AND('Soil results'!G$7="Olsen (ADAS)",'Soil results'!G30&gt;25),AND('Soil results'!G$7="modified Morgan (SAC)",'Soil results'!G30&gt;13.4)),
IF(H27*(I27/100)&lt;0.1*J27,"no benefit",
IF(H27*(I27/100)&lt;0.3*J27,"limited benefit",
IF(H27*(I27/100)&lt;1.1*J27,"benefit",
IF(H27*(I27/100)&lt;0.7*VLOOKUP(Calc!BI25,'Fertiliser recommendations'!$A$4:$I$63,9,FALSE),"excessive","too high, not acceptable")))),
IF(OR(AND('Soil results'!G$7="Olsen (ADAS)",'Soil results'!G30&gt;20),AND('Soil results'!G$7="modified Morgan (SAC)",'Soil results'!G30&gt;9.4)),
IF(H27*Calc!BM25*(I27/100)&lt;0.1*J27,"no benefit",
IF(H27*Calc!BM25*(I27/100)&lt;0.3*J27,"limited benefit",
IF(H27*Calc!BM25*(I27/100)&lt;1.1*J27,"benefit",
IF(L27="3 (H)","too high, not acceptable","excessive")))),
IF(OR(AND('Soil results'!G$7="Olsen (ADAS)",'Soil results'!G30&gt;15),AND('Soil results'!G$7="modified Morgan (SAC)",'Soil results'!G30&gt;4.4)),
IF(H27*Calc!BM25*(I27/100)&lt;0.1*VLOOKUP(Calc!BI25,'Fertiliser recommendations'!$A$4:$I$63,9,FALSE),"no benefit",
IF(H27*Calc!BM25*(I27/100)&lt;0.3*VLOOKUP(Calc!BI25,'Fertiliser recommendations'!$A$4:$I$63,9,FALSE),"limited benefit",
IF(H27*Calc!BM25*(I27/100)&lt;1.1*VLOOKUP(Calc!BI25,'Fertiliser recommendations'!$A$4:$I$63,9,FALSE),"benefit",
IF(L27="3 (H)", "too high, not acceptable", "excessive")))),
IF(OR(AND('Soil results'!G$7="Olsen (ADAS)",'Soil results'!G30&lt;=15),AND('Soil results'!G$7="modified Morgan (SAC)",'Soil results'!G30&lt;=4.4)),
IF(H27*Calc!BM25*(I27/100)&lt;0.1*VLOOKUP(Calc!BI25,'Fertiliser recommendations'!$A$4:$I$63,9,FALSE),"no benefit",
IF(H27*Calc!BM25*(I27/100)&lt;0.3*VLOOKUP(Calc!BI25,'Fertiliser recommendations'!$A$4:$I$63,9,FALSE),"limited benefit",
IF(H27*Calc!BM25*(I27/100)&lt;1.1*J27,"benefit","excessive")))))))))))</f>
        <v/>
      </c>
      <c r="O27" s="91" t="str">
        <f ca="1">IF(B27="","",
IF(AND('Field information 2'!$O$5="", 'Field information 2'!$Q$5=""),
   IF('Waste results'!$S$19&lt;&gt;"data missing", Calc!BC25*'Waste results'!$S$19, "data missing"),
IF('Field information 2'!$Q$5="",
   IF(Calc!BD25=0,
     IF('Waste results'!$S$19&lt;&gt;"data missing", Calc!BC25*'Waste results'!$S$19, "data missing"),
   IF(Calc!BC25=0,
     IF('Waste results'!$S$55&lt;&gt;"data missing", Calc!BD25*'Waste results'!$S$55, "data missing"),
   IF(OR('Waste results'!$S$19&lt;&gt;"data missing", 'Waste results'!$S$55&lt;&gt;"data missing"), Calc!BC25*'Waste results'!$S$19+ Calc!BD25*'Waste results'!$S$55, "data missing"))),
IF(AND('Field information 2'!$M$5&lt;&gt;"", 'Field information 2'!$O$5&lt;&gt;"", 'Field information 2'!$Q$5&lt;&gt;""),
   IF(AND(Calc!BD25=0,Calc!BE25=0),
     IF('Waste results'!$S$19&lt;&gt;"data missing", Calc!BC25*'Waste results'!$S$19, "data missing"),
   IF(AND(Calc!BC25=0,Calc!BE25=0),
     IF('Waste results'!$S$55&lt;&gt;"data missing", Calc!BD25*'Waste results'!$S$55, "data missing"),
   IF(AND(Calc!BC25=0,Calc!BD25=0),
     IF('Waste results'!$S$91&lt;&gt;"data missing", Calc!BE25*'Waste results'!$S$91, "data missing"),
   IF(Calc!BE25=0,
     IF(OR('Waste results'!$S$19&lt;&gt;"data missing", 'Waste results'!$S$55&lt;&gt;"data missing"), Calc!BC25*'Waste results'!$S$19+ Calc!BD25*'Waste results'!$S$55, "data missing"),
   IF(Calc!BD25=0,
     IF(OR('Waste results'!$S$19&lt;&gt;"data missing", 'Waste results'!$S$91&lt;&gt;"data missing"), Calc!BC25*'Waste results'!$S$19+ Calc!BE25*'Waste results'!$S$91, "data missing"),
   IF(Calc!BC25=0,
     IF(OR('Waste results'!$S$55&lt;&gt;"data missing", 'Waste results'!$S$91&lt;&gt;"data missing"), Calc!BD25*'Waste results'!$S$55+Calc!BE25*'Waste results'!$S$91, "data missing"),
   IF(OR('Waste results'!$S$19&lt;&gt;"data missing", 'Waste results'!$S$55&lt;&gt;"data missing", 'Waste results'!$S$91&lt;&gt;"data missing"), Calc!BC25*'Waste results'!$S$19+Calc!BD25*'Waste results'!$S$55+ Calc!BE25*'Waste results'!$S$91, "data missing")))))))))))</f>
        <v/>
      </c>
      <c r="P27" s="91" t="str">
        <f ca="1">IF(B27="","",
IF(OR(ISBLANK('Soil results'!H$7),ISBLANK('Soil results'!H30)),"data missing",
IF(OR(AND('Soil results'!H$7="ammonium nitrate (ADAS)",'Soil results'!H30&gt;400),AND('Soil results'!H$7="modified Morgan (SAC)",'Soil results'!H30&gt;400)),0,
IF(OR(AND('Soil results'!H$7="ammonium nitrate (ADAS)",'Soil results'!H30&gt;=121,'Soil results'!H30&lt;=180),AND('Soil results'!H$7="modified Morgan (SAC)",'Soil results'!H30&gt;=76,'Soil results'!H30&lt;=140)),VLOOKUP(Calc!BI25,'Fertiliser recommendations'!$A$4:$Z$63,26,FALSE),
IF(OR(AND('Soil results'!H$7="ammonium nitrate (ADAS)",'Soil results'!H30&lt;61),AND('Soil results'!H$7="modified Morgan (SAC)",'Soil results'!H30&lt;40)),VLOOKUP(Calc!BI25,'Fertiliser recommendations'!$A$4:$Z$63,26,FALSE)+VLOOKUP(Calc!BI25,'Fertiliser recommendations'!$A$4:$AA$63,27,FALSE),
IF(OR(AND('Soil results'!H$7="ammonium nitrate (ADAS)",'Soil results'!H30&lt;121),AND('Soil results'!H$7="modified Morgan (SAC)",'Soil results'!H30&lt;76)),VLOOKUP(Calc!BI25,'Fertiliser recommendations'!$A$4:$Z$63,26,FALSE)+VLOOKUP(Calc!BI25,'Fertiliser recommendations'!$A$4:$AB$63,28,FALSE),
IF(OR(AND('Soil results'!H$7="ammonium nitrate (ADAS)",'Soil results'!H30&lt;241),AND('Soil results'!H$7="modified Morgan (SAC)",'Soil results'!H30&lt;201)),VLOOKUP(Calc!BI25,'Fertiliser recommendations'!$A$4:$Z$63,26,FALSE)+VLOOKUP(Calc!BI25,'Fertiliser recommendations'!$A$4:$AC$63,29,FALSE),
IF(OR(AND('Soil results'!H$7="ammonium nitrate (ADAS)",'Soil results'!H30&lt;=400),AND('Soil results'!H$7="modified Morgan (SAC)",'Soil results'!H30&lt;=400)),VLOOKUP(Calc!BI25,'Fertiliser recommendations'!$A$4:$Z$63,26,FALSE)+VLOOKUP(Calc!BI25,'Fertiliser recommendations'!$A$4:$AD$63,30,FALSE),
"??"))))))))</f>
        <v/>
      </c>
      <c r="Q27" s="91" t="str">
        <f t="shared" ca="1" si="2"/>
        <v/>
      </c>
      <c r="R27" s="9" t="str">
        <f ca="1">IF(B27="","",
IF(OR(O27="data missing",P27="data missing"),"data missing",
IF(Calc!BF25=0,"n/a",
IF(P27=0, "no requirement",
IF(O27&lt;0.1*P27,"no benefit",
IF(O27&lt;0.3*P27,"limited benefit",
IF(O27&gt;1.25*P27,"excessive",
"benefit")))))))</f>
        <v/>
      </c>
      <c r="T27" s="91" t="str">
        <f ca="1">IF(B27="","",
IF(AND('Field information 2'!$O$5="", 'Field information 2'!$Q$5=""),
   IF('Waste results'!$S$21&lt;&gt;"data missing", Calc!BC25*'Waste results'!$S$21, "data missing"),
IF('Field information 2'!$Q$5="",
   IF(Calc!BD25=0,
     IF('Waste results'!$S$21&lt;&gt;"data missing", Calc!BC25*'Waste results'!$S$21, "data missing"),
   IF(Calc!BC25=0,
     IF('Waste results'!$S$57&lt;&gt;"data missing", Calc!BD25*'Waste results'!$S$57, "data missing"),
   IF(OR('Waste results'!$S$21&lt;&gt;"data missing", 'Waste results'!$S$57&lt;&gt;"data missing"), Calc!BC25*'Waste results'!$S$21+ Calc!BD25*'Waste results'!$S$57, "data missing"))),
IF(AND('Field information 2'!$M$5&lt;&gt;"", 'Field information 2'!$O$5&lt;&gt;"", 'Field information 2'!$Q$5&lt;&gt;""),
   IF(AND(Calc!BD25=0,Calc!BE25=0),
     IF('Waste results'!$S$21&lt;&gt;"data missing", Calc!BC25*'Waste results'!$S$21, "data missing"),
   IF(AND(Calc!BC25=0,Calc!BE25=0),
     IF('Waste results'!$S$57&lt;&gt;"data missing", Calc!BD25*'Waste results'!$S$57, "data missing"),
   IF(AND(Calc!BC25=0,Calc!BD25=0),
     IF('Waste results'!$S$93&lt;&gt;"data missing", Calc!BE25*'Waste results'!$S$93, "data missing"),
   IF(Calc!BE25=0,
     IF(OR('Waste results'!$S$21&lt;&gt;"data missing", 'Waste results'!$S$57&lt;&gt;"data missing"), Calc!BC25*'Waste results'!$S$21+ Calc!BD25*'Waste results'!$S$57, "data missing"),
   IF(Calc!BD25=0,
     IF(OR('Waste results'!$S$21&lt;&gt;"data missing", 'Waste results'!$S$93&lt;&gt;"data missing"), Calc!BC25*'Waste results'!$S$21+ Calc!BE25*'Waste results'!$S$93, "data missing"),
   IF(Calc!BC25=0,
     IF(OR('Waste results'!$S$57&lt;&gt;"data missing", 'Waste results'!$S$93&lt;&gt;"data missing"), Calc!BD25*'Waste results'!$S$57+Calc!BE25*'Waste results'!$S$93, "data missing"),
   IF(OR('Waste results'!$S$21&lt;&gt;"data missing", 'Waste results'!$S$57&lt;&gt;"data missing", 'Waste results'!$S$93&lt;&gt;"data missing"), Calc!BC25*'Waste results'!$S$21+Calc!BD25*'Waste results'!$S$57+ Calc!BE25*'Waste results'!$S$93, "data missing")))))))))))</f>
        <v/>
      </c>
      <c r="U27" s="7" t="str">
        <f ca="1">IF(B27="","",
IF(OR(ISBLANK('Soil results'!I$7),ISBLANK('Soil results'!I30)),"data missing",
IF(OR(AND('Soil results'!I$7="ammonium nitrate (ADAS)",'Soil results'!I30&gt;51),AND('Soil results'!I$7="modified Morgan (SAC)",'Soil results'!I30&gt;61)),0,
IF(OR(AND('Soil results'!I$7="ammonium nitrate (ADAS)",'Soil results'!I30&lt;25),AND('Soil results'!I$7="modified Morgan (SAC)",'Soil results'!I30&lt;19)),VLOOKUP(Calc!BI25,'Fertiliser recommendations'!$A$4:$AH$63,34,FALSE),
IF(OR(AND('Soil results'!I$7="ammonium nitrate (ADAS)",'Soil results'!I30&lt;=51),AND('Soil results'!I$7="modified Morgan (SAC)",'Soil results'!I30&lt;=61)),VLOOKUP(Calc!BI25,'Fertiliser recommendations'!$A$4:$AI$63,35,FALSE),
"")))))</f>
        <v/>
      </c>
      <c r="V27" s="91" t="str">
        <f t="shared" ca="1" si="3"/>
        <v/>
      </c>
      <c r="W27" s="9" t="str">
        <f ca="1">IF(B27="","",
IF(OR(T27="data missing",U27="data missing"),"data missing",
IF(Calc!BF25=0,"n/a",
IF(U27=0,"no requirement",
IF(T27&lt;0.1*U27,"no benefit",
IF(T27&lt;0.3*U27,"limited benefit",
IF(OR(T27&gt;1.5*U27,AND(Calc!BJ25="g",T27&gt;100)),"excessive",
"benefit")))))))</f>
        <v/>
      </c>
      <c r="Y27" s="91" t="str">
        <f ca="1">IF(B27="","",
IF(AND('Field information 2'!$O$5="", 'Field information 2'!$Q$5=""),
   IF('Waste results'!$P$23&lt;&gt;"", Calc!BC25*'Waste results'!$P$23, "no data"),
IF('Field information 2'!$Q$5="",
   IF(Calc!BD25=0,
     IF('Waste results'!$P$23&lt;&gt;"", Calc!BC25*'Waste results'!$P$23, "no data"),
   IF(Calc!BC25=0,
     IF('Waste results'!$P$59&lt;&gt;"", Calc!BD25*'Waste results'!$P$59, "no data"),
   IF(OR('Waste results'!$P$23&lt;&gt;"", 'Waste results'!$P$59&lt;&gt;""), Calc!BC25*'Waste results'!$P$23+ Calc!BD25*'Waste results'!$P$59, "no data"))),
IF(AND('Field information 2'!$M$5&lt;&gt;"", 'Field information 2'!$O$5&lt;&gt;"", 'Field information 2'!$Q$5&lt;&gt;""),
   IF(AND(Calc!BD25=0,Calc!BE25=0),
     IF('Waste results'!$P$23&lt;&gt;"", Calc!BC25*'Waste results'!$P$23, "no data"),
   IF(AND(Calc!BC25=0,Calc!BE25=0),
     IF('Waste results'!$P$59&lt;&gt;"", Calc!BD25*'Waste results'!$P$59, "no data"),
   IF(AND(Calc!BC25=0,Calc!BD25=0),
     IF('Waste results'!$P$95&lt;&gt;"", Calc!BE25*'Waste results'!$P$95, "no data"),
   IF(Calc!BE25=0,
     IF(OR('Waste results'!$P$23&lt;&gt;"", 'Waste results'!$P$59&lt;&gt;""), Calc!BC25*'Waste results'!$P$23+ Calc!BD25*'Waste results'!$P$59, "no data"),
   IF(Calc!BD25=0,
     IF(OR('Waste results'!$P$23&lt;&gt;"", 'Waste results'!$P$95&lt;&gt;""), Calc!BC25*'Waste results'!$P$23+ Calc!BE25*'Waste results'!$P$95, "no data"),
   IF(Calc!BC25=0,
     IF(OR('Waste results'!$P$59&lt;&gt;"", 'Waste results'!$P$95&lt;&gt;""), Calc!BD25*'Waste results'!$P$59+Calc!BE25*'Waste results'!$P$95, "no data"),
   IF(OR('Waste results'!$P$23&lt;&gt;"", 'Waste results'!$P$59&lt;&gt;"", 'Waste results'!$P$95&lt;&gt;""), Calc!BC25*'Waste results'!$P$23+Calc!BD25*'Waste results'!$P$59+ Calc!BE25*'Waste results'!$P$95, "no data")))))))))))</f>
        <v/>
      </c>
      <c r="Z27" s="7" t="str">
        <f ca="1">IF(OR(ISBLANK('Soil results'!I$7),ISBLANK('Soil results'!I30),'Soil results'!B30=""),"",
VLOOKUP(Calc!BI25,'Fertiliser recommendations'!$A$4:$AM$63,39,FALSE))</f>
        <v/>
      </c>
      <c r="AA27" s="91" t="str">
        <f t="shared" ca="1" si="4"/>
        <v/>
      </c>
      <c r="AB27" s="9" t="str">
        <f t="shared" ca="1" si="5"/>
        <v/>
      </c>
      <c r="AD27" s="48" t="str">
        <f>IF(ISBLANK('Soil results'!F30),"",'Soil results'!F30)</f>
        <v/>
      </c>
      <c r="AE27" s="49" t="str">
        <f ca="1">IF(B27="","",
IF(AND(Calc!BJ25="g", VLOOKUP(LEFT($B27,LEN($B27)-2),'Field information 2'!$B$12:$P$111,9,FALSE)&lt;&gt;"yes"),
 IF(Calc!BG25="10-25% OM", 5.9, IF(Calc!BG25="&gt;25% OM", 5.5, 6.2)),
IF(OR(Calc!BJ25="a", VLOOKUP(LEFT($B27,LEN($B27)-2),'Field information 2'!$B$12:$P$111,9,FALSE)="yes"),
 IF(Calc!BG25="10-25% OM", 6.4, IF(Calc!BG25="&gt;25% OM", 6, 6.7)), "")))</f>
        <v/>
      </c>
      <c r="AF27" s="91" t="str">
        <f ca="1">IF(B27="","",
IF('Waste results'!$Q$33="","no (significant) liming properties",
IF('Waste results'!Q$33&gt;100,"no (significant) liming properties",
IF(AD27="","",
IF(AD27&gt;=AE27,0,ROUNDDOWN((AE27-AD27)*Calc!BK25*'Waste results'!$Q$33+0.2,0))))))</f>
        <v/>
      </c>
      <c r="AG27" s="9" t="str">
        <f ca="1">IF(B27="","",
IF(T27=0,"n/a",
IF(AD27="","data missing",
IF(AND(AD27&lt;5,AF27="no (significant) liming properties"),"no waste application - pH too low",
IF(AND(AD27&gt;5.1,AF27="no (significant) liming properties",Calc!BH25&gt;25, LEFT(Calc!BI25,4)="graz"),"ok",
IF(AND(AD27&lt;=5.2,AF27="no (significant) liming properties"),"liming highly recommended",
IF(AF27=0,"no waste application - liming not required",
IF(AF27&lt;Calc!BC25,"application rate too high - exceeds liming requirement",
"ok"))))))))</f>
        <v/>
      </c>
      <c r="AI27" s="91" t="str">
        <f ca="1">IF(B27="","",
IF(AND('Field information 2'!$O$5="", 'Field information 2'!$Q$5=""),
   IF('Waste results'!$P$10&lt;&gt;"data missing", Calc!BC25*'Waste results'!$P$10, "data missing"),
IF('Field information 2'!$Q$5="",
   IF(Calc!BD25=0,
     IF('Waste results'!$P$10&lt;&gt;"data missing", Calc!BC25*'Waste results'!$P$10, "data missing"),
   IF(Calc!BC25=0,
     IF('Waste results'!$P$45&lt;&gt;"data missing", Calc!BD25*'Waste results'!$P$45, "data missing"),
   IF(OR('Waste results'!$P$10&lt;&gt;"data missing", 'Waste results'!$P$45&lt;&gt;"data missing"), Calc!BC25*'Waste results'!$P$10+ Calc!BD25*'Waste results'!$P$45, "data missing"))),
IF(AND('Field information 2'!$M$5&lt;&gt;"", 'Field information 2'!$O$5&lt;&gt;"", 'Field information 2'!$Q$5&lt;&gt;""),
   IF(AND(Calc!BD25=0,Calc!BE25=0),
     IF('Waste results'!$P$10&lt;&gt;"data missing", Calc!BC25*'Waste results'!$P$10, "data missing"),
   IF(AND(Calc!BC25=0,Calc!BE25=0),
     IF('Waste results'!$P$45&lt;&gt;"data missing", Calc!BD25*'Waste results'!$P$45, "data missing"),
   IF(AND(Calc!BC25=0,Calc!BD25=0),
     IF('Waste results'!$P$82&lt;&gt;"data missing", Calc!BE25*'Waste results'!$P$82, "data missing"),
   IF(Calc!BE25=0,
     IF(OR('Waste results'!$P$10&lt;&gt;"data missing", 'Waste results'!$P$45&lt;&gt;"data missing"), Calc!BC25*'Waste results'!$P$10+ Calc!BD25*'Waste results'!$P$45, "data missing"),
   IF(Calc!BD25=0,
     IF(OR('Waste results'!$P$10&lt;&gt;"data missing", 'Waste results'!$P$82&lt;&gt;"data missing"), Calc!BC25*'Waste results'!$P$10+ Calc!BE25*'Waste results'!$P$82, "data missing"),
   IF(Calc!BC25=0,
     IF(OR('Waste results'!$P$45&lt;&gt;"data missing", 'Waste results'!$P$82&lt;&gt;"data missing"), Calc!BD25*'Waste results'!$P$45+Calc!BE25*'Waste results'!$P$82, "data missing"),
   IF(OR('Waste results'!$P$10&lt;&gt;"data missing", 'Waste results'!$P$45&lt;&gt;"data missing", 'Waste results'!$P$82&lt;&gt;"data missing"), Calc!BC25*'Waste results'!$P$10+Calc!BD25*'Waste results'!$P$45+ Calc!BE25*'Waste results'!$P$82, "data missing")))))))))))</f>
        <v/>
      </c>
      <c r="AJ27" s="237" t="str">
        <f ca="1">IF(B27="","",
IF(AI27="data missing","data missing",
IF(Calc!BF25=0,"n/a",
IF(AND(Calc!BH25&gt;=8,AI27&lt;500),"no benefit",
IF(OR(AND(Calc!BH25&lt;=4,AI27&gt;=500),AND(Calc!BH25&lt;8,AI27&gt;5000)),"benefit",
"limited benefit")))))</f>
        <v/>
      </c>
      <c r="AL27" s="238" t="str">
        <f ca="1">IF(B27="","",
IF(AND('Field information 2'!$O$5="", 'Field information 2'!$Q$5=""),
   IF('Waste results'!$S$25&lt;&gt;"data missing", Calc!BC25*'Waste results'!$S$25, "data missing"),
IF('Field information 2'!$Q$5="",
   IF(Calc!BD25=0,
     IF('Waste results'!$S$25&lt;&gt;"data missing", Calc!BC25*'Waste results'!$S$25, "data missing"),
   IF(Calc!BC25=0,
     IF('Waste results'!$S$61&lt;&gt;"data missing", Calc!BD25*'Waste results'!$S$61, "data missing"),
   IF(OR('Waste results'!$S$25&lt;&gt;"data missing", 'Waste results'!$S$61&lt;&gt;"data missing"), Calc!BC25*'Waste results'!$S$25+ Calc!BD25*'Waste results'!$S$61, "data missing"))),
IF(AND('Field information 2'!$M$5&lt;&gt;"", 'Field information 2'!$O$5&lt;&gt;"", 'Field information 2'!$Q$5&lt;&gt;""),
   IF(AND(Calc!BD25=0,Calc!BE25=0),
     IF('Waste results'!$S$25&lt;&gt;"data missing", Calc!BC25*'Waste results'!$S$25, "data missing"),
   IF(AND(Calc!BC25=0,Calc!BE25=0),
     IF('Waste results'!$S$61&lt;&gt;"data missing", Calc!BD25*'Waste results'!$S$61, "data missing"),
   IF(AND(Calc!BC25=0,Calc!BD25=0),
     IF('Waste results'!$S$97&lt;&gt;"data missing", Calc!BE25*'Waste results'!$S$97, "data missing"),
   IF(Calc!BE25=0,
     IF(OR('Waste results'!$S$25&lt;&gt;"data missing", 'Waste results'!$S$61&lt;&gt;"data missing"), Calc!BC25*'Waste results'!$S$25+ Calc!BD25*'Waste results'!$S$61, "data missing"),
   IF(Calc!BD25=0,
     IF(OR('Waste results'!$S$25&lt;&gt;"data missing", 'Waste results'!$S$97&lt;&gt;"data missing"), Calc!BC25*'Waste results'!$S$25+ Calc!BE25*'Waste results'!$S$97, "data missing"),
   IF(Calc!BC25=0,
     IF(OR('Waste results'!$S$61&lt;&gt;"data missing", 'Waste results'!$S$97&lt;&gt;"data missing"), Calc!BD25*'Waste results'!$S$61+Calc!BE25*'Waste results'!$S$97, "data missing"),
   IF(OR('Waste results'!$S$25&lt;&gt;"data missing", 'Waste results'!$S$61&lt;&gt;"data missing", 'Waste results'!$S$97&lt;&gt;"data missing"), Calc!BC25*'Waste results'!$S$25+Calc!BD25*'Waste results'!$S$61+ Calc!BE25*'Waste results'!$S$97, "data missing")))))))))))</f>
        <v/>
      </c>
      <c r="AM27" s="239" t="str">
        <f ca="1">IF($B27="","",
IF(ISBLANK('Soil results'!K30),"data missing",'Soil results'!K30))</f>
        <v/>
      </c>
      <c r="AN27" s="239" t="str">
        <f t="shared" ca="1" si="6"/>
        <v/>
      </c>
      <c r="AO27" s="9" t="str">
        <f t="shared" ca="1" si="7"/>
        <v/>
      </c>
      <c r="AQ27" s="240" t="str">
        <f ca="1">IF(B27="","",
IF(AND('Field information 2'!$O$5="", 'Field information 2'!$Q$5=""),
   IF('Waste results'!$S$26&lt;&gt;"data missing", Calc!BC25*'Waste results'!$S$26, "data missing"),
IF('Field information 2'!$Q$5="",
   IF(Calc!BD25=0,
     IF('Waste results'!$S$26&lt;&gt;"data missing", Calc!BC25*'Waste results'!$S$26, "data missing"),
   IF(Calc!BC25=0,
     IF('Waste results'!$S$62&lt;&gt;"data missing", Calc!BD25*'Waste results'!$S$62, "data missing"),
   IF(OR('Waste results'!$S$26&lt;&gt;"data missing", 'Waste results'!$S$62&lt;&gt;"data missing"), Calc!BC25*'Waste results'!$S$26+ Calc!BD25*'Waste results'!$S$62, "data missing"))),
IF(AND('Field information 2'!$M$5&lt;&gt;"", 'Field information 2'!$O$5&lt;&gt;"", 'Field information 2'!$Q$5&lt;&gt;""),
   IF(AND(Calc!BD25=0,Calc!BE25=0),
     IF('Waste results'!$S$26&lt;&gt;"data missing", Calc!BC25*'Waste results'!$S$26, "data missing"),
   IF(AND(Calc!BC25=0,Calc!BE25=0),
     IF('Waste results'!$S$62&lt;&gt;"data missing", Calc!BD25*'Waste results'!$S$62, "data missing"),
   IF(AND(Calc!BC25=0,Calc!BD25=0),
     IF('Waste results'!$S$98&lt;&gt;"data missing", Calc!BE25*'Waste results'!$S$98, "data missing"),
   IF(Calc!BE25=0,
     IF(OR('Waste results'!$S$26&lt;&gt;"data missing", 'Waste results'!$S$62&lt;&gt;"data missing"), Calc!BC25*'Waste results'!$S$26+ Calc!BD25*'Waste results'!$S$62, "data missing"),
   IF(Calc!BD25=0,
     IF(OR('Waste results'!$S$26&lt;&gt;"data missing", 'Waste results'!$S$98&lt;&gt;"data missing"), Calc!BC25*'Waste results'!$S$26+ Calc!BE25*'Waste results'!$S$98, "data missing"),
   IF(Calc!BC25=0,
     IF(OR('Waste results'!$S$62&lt;&gt;"data missing", 'Waste results'!$S$98&lt;&gt;"data missing"), Calc!BD25*'Waste results'!$S$62+Calc!BE25*'Waste results'!$S$98, "data missing"),
   IF(OR('Waste results'!$S$26&lt;&gt;"data missing", 'Waste results'!$S$62&lt;&gt;"data missing", 'Waste results'!$S$98&lt;&gt;"data missing"), Calc!BC25*'Waste results'!$S$26+Calc!BD25*'Waste results'!$S$62+ Calc!BE25*'Waste results'!$S$98, "data missing")))))))))))</f>
        <v/>
      </c>
      <c r="AR27" s="241" t="str">
        <f ca="1">IF($B27="","",
IF(ISBLANK('Soil results'!L30),"data missing",'Soil results'!L30))</f>
        <v/>
      </c>
      <c r="AS27" s="241" t="str">
        <f t="shared" ca="1" si="8"/>
        <v/>
      </c>
      <c r="AT27" s="66" t="str">
        <f t="shared" ca="1" si="9"/>
        <v/>
      </c>
      <c r="AV27" s="238" t="str">
        <f ca="1">IF(B27="","",
IF(AND('Field information 2'!$O$5="", 'Field information 2'!$Q$5=""),
   IF('Waste results'!$S$27&lt;&gt;"data missing", Calc!BC25*'Waste results'!$S$27, "data missing"),
IF('Field information 2'!$Q$5="",
   IF(Calc!BD25=0,
     IF('Waste results'!$S$27&lt;&gt;"data missing", Calc!BC25*'Waste results'!$S$27, "data missing"),
   IF(Calc!BC25=0,
     IF('Waste results'!$S$63&lt;&gt;"data missing", Calc!BD25*'Waste results'!$S$63, "data missing"),
   IF(OR('Waste results'!$S$27&lt;&gt;"data missing", 'Waste results'!$S$63&lt;&gt;"data missing"), Calc!BC25*'Waste results'!$S$27+ Calc!BD25*'Waste results'!$S$63, "data missing"))),
IF(AND('Field information 2'!$M$5&lt;&gt;"", 'Field information 2'!$O$5&lt;&gt;"", 'Field information 2'!$Q$5&lt;&gt;""),
   IF(AND(Calc!BD25=0,Calc!BE25=0),
     IF('Waste results'!$S$27&lt;&gt;"data missing", Calc!BC25*'Waste results'!$S$27, "data missing"),
   IF(AND(Calc!BC25=0,Calc!BE25=0),
     IF('Waste results'!$S$63&lt;&gt;"data missing", Calc!BD25*'Waste results'!$S$63, "data missing"),
   IF(AND(Calc!BC25=0,Calc!BD25=0),
     IF('Waste results'!$S$99&lt;&gt;"data missing", Calc!BE25*'Waste results'!$S$99, "data missing"),
   IF(Calc!BE25=0,
     IF(OR('Waste results'!$S$27&lt;&gt;"data missing", 'Waste results'!$S$63&lt;&gt;"data missing"), Calc!BC25*'Waste results'!$S$27+ Calc!BD25*'Waste results'!$S$63, "data missing"),
   IF(Calc!BD25=0,
     IF(OR('Waste results'!$S$27&lt;&gt;"data missing", 'Waste results'!$S$99&lt;&gt;"data missing"), Calc!BC25*'Waste results'!$S$27+ Calc!BE25*'Waste results'!$S$99, "data missing"),
   IF(Calc!BC25=0,
     IF(OR('Waste results'!$S$63&lt;&gt;"data missing", 'Waste results'!$S$99&lt;&gt;"data missing"), Calc!BD25*'Waste results'!$S$63+Calc!BE25*'Waste results'!$S$99, "data missing"),
   IF(OR('Waste results'!$S$27&lt;&gt;"data missing", 'Waste results'!$S$63&lt;&gt;"data missing", 'Waste results'!$S$99&lt;&gt;"data missing"), Calc!BC25*'Waste results'!$S$27+Calc!BD25*'Waste results'!$S$63+ Calc!BE25*'Waste results'!$S$99, "data missing")))))))))))</f>
        <v/>
      </c>
      <c r="AW27" s="239" t="str">
        <f ca="1">IF($B27="","",
IF(ISBLANK('Soil results'!M30),"data missing",'Soil results'!M30))</f>
        <v/>
      </c>
      <c r="AX27" s="239" t="str">
        <f t="shared" ca="1" si="10"/>
        <v/>
      </c>
      <c r="AY27" s="9" t="str">
        <f ca="1">IF(B27="","",
IF(AV27=0,"n/a",
IF(OR(AV27="data missing",AW27="data missing"),"data missing",
IF(AV27&gt;7.5,"application rate too high - permissible rate exceeds limit",
IF('Soil results'!$F30&lt;=5.5,
  IF(AW27&gt;80,"no application - soil conc. already above limit",
  IF(AX27&gt;80,"application rate too high - soil conc. will exceed limit",
  IF(AW27&gt;80*0.9,"soil conc. is at or above 90% of the limit",
  IF(10*AV27*1000/3000+AW27&gt;80,"soil limit likely to be exceeded in 10yrs",
  IF(50*AV27*1000/3000+AW27&gt;80,"soil limit likely to be exceeded in 50yrs","ok"))))),
IF('Soil results'!$F30&lt;=6,
  IF(AW27&gt;100,"no application - soil conc. already above limit",
  IF(AX27&gt;100,"application rate too high - soil conc. will exceed limit",
  IF(AW27&gt;100*0.9,"soil conc. is at or above 90% of the limit",
  IF(10*AV27*1000/3000+AW27&gt;100,"soil limit likely to be exceeded in 10yrs",
  IF(50*AV27*1000/3000+AW27&gt;100,"soil limit likely to be exceeded in 50yrs","ok"))))),
IF('Soil results'!$F30&lt;=7,
  IF(AW27&gt;135,"no application - soil conc. already above limit",
  IF(AX27&gt;135,"application rate too high - soil conc. will exceed limit",
  IF(AW27&gt;135*0.9,"soil conc. is at or above 90% of the limit",
  IF(10*AV27*1000/3000+AW27&gt;135,"soil limit likely to be exceeded in 10yrs",
  IF(50*AV27*1000/3000+AW27&gt;135,"soil limit likely to be exceeded in 50yrs","ok"))))),
IF('Soil results'!$F30&gt;7,
  IF(AW27&gt;200,"no application - soil conc. already above limit",
  IF(AX27&gt;200,"application too high - soil conc. will exceed limit",
  IF(AW27&gt;200*0.9,"soil conc. is at or above 90% of the limit",
  IF(10*AV27*1000/3000+AW27&gt;200,"soil limit likely to be exceeded in 10yrs",
  IF(50*AV27*1000/3000+AW27&gt;200,"soil limit likely to be exceeded in 50yrs","ok")))))
))))))))</f>
        <v/>
      </c>
      <c r="BA27" s="238" t="str">
        <f ca="1">IF(B27="","",
IF(AND('Field information 2'!$O$5="", 'Field information 2'!$Q$5=""),
   IF('Waste results'!$S$28&lt;&gt;"data missing", Calc!BC25*'Waste results'!$S$28, "data missing"),
IF('Field information 2'!$Q$5="",
   IF(Calc!BD25=0,
     IF('Waste results'!$S$28&lt;&gt;"data missing", Calc!BC25*'Waste results'!$S$28, "data missing"),
   IF(Calc!BC25=0,
     IF('Waste results'!$S$64&lt;&gt;"data missing", Calc!BD25*'Waste results'!$S$64, "data missing"),
   IF(OR('Waste results'!$S$28&lt;&gt;"data missing", 'Waste results'!$S$64&lt;&gt;"data missing"), Calc!BC25*'Waste results'!$S$28+ Calc!BD25*'Waste results'!$S$64, "data missing"))),
IF(AND('Field information 2'!$M$5&lt;&gt;"", 'Field information 2'!$O$5&lt;&gt;"", 'Field information 2'!$Q$5&lt;&gt;""),
   IF(AND(Calc!BD25=0,Calc!BE25=0),
     IF('Waste results'!$S$28&lt;&gt;"data missing", Calc!BC25*'Waste results'!$S$28, "data missing"),
   IF(AND(Calc!BC25=0,Calc!BE25=0),
     IF('Waste results'!$S$64&lt;&gt;"data missing", Calc!BD25*'Waste results'!$S$64, "data missing"),
   IF(AND(Calc!BC25=0,Calc!BD25=0),
     IF('Waste results'!$S$100&lt;&gt;"data missing", Calc!BE25*'Waste results'!$S$100, "data missing"),
   IF(Calc!BE25=0,
     IF(OR('Waste results'!$S$28&lt;&gt;"data missing", 'Waste results'!$S$64&lt;&gt;"data missing"), Calc!BC25*'Waste results'!$S$28+ Calc!BD25*'Waste results'!$S$64, "data missing"),
   IF(Calc!BD25=0,
     IF(OR('Waste results'!$S$28&lt;&gt;"data missing", 'Waste results'!$S$100&lt;&gt;"data missing"), Calc!BC25*'Waste results'!$S$28+ Calc!BE25*'Waste results'!$S$100, "data missing"),
   IF(Calc!BC25=0,
     IF(OR('Waste results'!$S$64&lt;&gt;"data missing", 'Waste results'!$S$100&lt;&gt;"data missing"), Calc!BD25*'Waste results'!$S$64+Calc!BE25*'Waste results'!$S$100, "data missing"),
   IF(OR('Waste results'!$S$28&lt;&gt;"data missing", 'Waste results'!$S$64&lt;&gt;"data missing", 'Waste results'!$S$100&lt;&gt;"data missing"), Calc!BC25*'Waste results'!$S$28+Calc!BD25*'Waste results'!$S$64+ Calc!BE25*'Waste results'!$S$100, "data missing")))))))))))</f>
        <v/>
      </c>
      <c r="BB27" s="239" t="str">
        <f ca="1">IF($B27="","",
IF(ISBLANK('Soil results'!N30),"data missing",'Soil results'!N30))</f>
        <v/>
      </c>
      <c r="BC27" s="239" t="str">
        <f t="shared" ca="1" si="11"/>
        <v/>
      </c>
      <c r="BD27" s="9" t="str">
        <f t="shared" ca="1" si="12"/>
        <v/>
      </c>
      <c r="BF27" s="238" t="str">
        <f ca="1">IF(B27="","",
IF(AND('Field information 2'!$O$5="", 'Field information 2'!$Q$5=""),
   IF('Waste results'!$S$29&lt;&gt;"data missing", Calc!BC25*'Waste results'!$S$29, "data missing"),
IF('Field information 2'!$Q$5="",
   IF(Calc!BD25=0,
     IF('Waste results'!$S$29&lt;&gt;"data missing", Calc!BC25*'Waste results'!$S$29, "data missing"),
   IF(Calc!BC25=0,
     IF('Waste results'!$S$65&lt;&gt;"data missing", Calc!BD25*'Waste results'!$S$65, "data missing"),
   IF(OR('Waste results'!$S$29&lt;&gt;"data missing", 'Waste results'!$S$65&lt;&gt;"data missing"), Calc!BC25*'Waste results'!$S$29+ Calc!BD25*'Waste results'!$S$65, "data missing"))),
IF(AND('Field information 2'!$M$5&lt;&gt;"", 'Field information 2'!$O$5&lt;&gt;"", 'Field information 2'!$Q$5&lt;&gt;""),
   IF(AND(Calc!BD25=0,Calc!BE25=0),
     IF('Waste results'!$S$29&lt;&gt;"data missing", Calc!BC25*'Waste results'!$S$29, "data missing"),
   IF(AND(Calc!BC25=0,Calc!BE25=0),
     IF('Waste results'!$S$65&lt;&gt;"data missing", Calc!BD25*'Waste results'!$S$65, "data missing"),
   IF(AND(Calc!BC25=0,Calc!BD25=0),
     IF('Waste results'!$S$101&lt;&gt;"data missing", Calc!BE25*'Waste results'!$S$101, "data missing"),
   IF(Calc!BE25=0,
     IF(OR('Waste results'!$S$29&lt;&gt;"data missing", 'Waste results'!$S$65&lt;&gt;"data missing"), Calc!BC25*'Waste results'!$S$29+ Calc!BD25*'Waste results'!$S$65, "data missing"),
   IF(Calc!BD25=0,
     IF(OR('Waste results'!$S$29&lt;&gt;"data missing", 'Waste results'!$S$101&lt;&gt;"data missing"), Calc!BC25*'Waste results'!$S$29+ Calc!BE25*'Waste results'!$S$101, "data missing"),
   IF(Calc!BC25=0,
     IF(OR('Waste results'!$S$65&lt;&gt;"data missing", 'Waste results'!$S$101&lt;&gt;"data missing"), Calc!BD25*'Waste results'!$S$65+Calc!BE25*'Waste results'!$S$101, "data missing"),
   IF(OR('Waste results'!$S$29&lt;&gt;"data missing", 'Waste results'!$S$65&lt;&gt;"data missing", 'Waste results'!$S$101&lt;&gt;"data missing"), Calc!BC25*'Waste results'!$S$29+Calc!BD25*'Waste results'!$S$65+ Calc!BE25*'Waste results'!$S$101, "data missing")))))))))))</f>
        <v/>
      </c>
      <c r="BG27" s="239" t="str">
        <f ca="1">IF($B27="","",
IF(ISBLANK('Soil results'!O30),"data missing",'Soil results'!O30))</f>
        <v/>
      </c>
      <c r="BH27" s="239" t="str">
        <f t="shared" ca="1" si="13"/>
        <v/>
      </c>
      <c r="BI27" s="9" t="str">
        <f ca="1">IF(B27="","",
IF(BF27=0,"n/a",
IF(OR(BF27="data missing",BG27="data missing"),"data missing",
IF(BF27&gt;3,"application rate too high - permissible rate exceeds limit",
IF('Soil results'!F30&lt;=5.5,
  IF(BG27&gt;50,"no application - soil conc. already above limit",
  IF(BH27&gt;50,"application rate too high - soil conc. will exceed limit",
  IF(BG27&gt;50*0.9,"soil conc. is at or above 90% of the limit",
  IF(10*BF27*1000/3000+BG27&gt;50,"soil limit likely to be exceeded in 10yrs",
  IF(50*BF27*1000/3000+BG27&gt;50,"soil limit likely to be exceeded in 50yrs","ok"))))),
IF('Soil results'!F30&lt;=6,
  IF(BG27&gt;60,"no application - soil conc. already above limit",
  IF(BH27&gt;60,"application rate too high - soil conc. will exceed limit",
  IF(BG27&gt;60*0.9,"soil conc. is at or above 90% of the limit",
  IF(10*BF27*1000/3000+BG27&gt;60,"soil limit likely to be exceeded in 10yrs",
  IF(50*BF27*1000/3000+BG27&gt;60,"soil limit likely to be exceeded in 50yrs","ok"))))),
IF('Soil results'!F30&lt;=7,
  IF(BG27&gt;75,"no application - soil conc. already above limit",
  IF(BH27&gt;75,"application rate too high - soil conc. will exceed limit",
  IF(BG27&gt;75*0.9,"soil conc. is at or above 90% of the limit",
  IF(10*BF27*1000/3000+BG27&gt;75,"soil limit likely to be exceeded in 10yrs",
  IF(50*BF27*1000/3000+BG27&gt;75,"soil limit likely to be exceeded in 50yrs","ok"))))),
IF('Soil results'!F30&gt;7,
  IF(BG27&gt;100,"no application - soil conc. already above limit",
  IF(BH27&gt;100,"application rate too high - soil conc. will exceed limit",
  IF(BG27&gt;100*0.9,"soil conc. is at or above 90% of the limit",
  IF(10*BF27*1000/3000+BG27&gt;100,"soil limit likely to be exceeded in 10yrs",
  IF(50*BF27*1000/3000+BG27&gt;100,"soil limit likely to beexceeded in 50yrs","ok")))))
))))))))</f>
        <v/>
      </c>
      <c r="BK27" s="240" t="str">
        <f ca="1">IF(B27="","",
IF(AND('Field information 2'!$O$5="", 'Field information 2'!$Q$5=""),
   IF('Waste results'!$S$30&lt;&gt;"data missing", Calc!BC25*'Waste results'!$S$30, "data missing"),
IF('Field information 2'!$Q$5="",
   IF(Calc!BD25=0,
     IF('Waste results'!$S$30&lt;&gt;"data missing", Calc!BC25*'Waste results'!$S$30, "data missing"),
   IF(Calc!BC25=0,
     IF('Waste results'!$S$66&lt;&gt;"data missing", Calc!BD25*'Waste results'!$S$66, "data missing"),
   IF(OR('Waste results'!$S$30&lt;&gt;"data missing", 'Waste results'!$S$66&lt;&gt;"data missing"), Calc!BC25*'Waste results'!$S$30+ Calc!BD25*'Waste results'!$S$66, "data missing"))),
IF(AND('Field information 2'!$M$5&lt;&gt;"", 'Field information 2'!$O$5&lt;&gt;"", 'Field information 2'!$Q$5&lt;&gt;""),
   IF(AND(Calc!BD25=0,Calc!BE25=0),
     IF('Waste results'!$S$30&lt;&gt;"data missing", Calc!BC25*'Waste results'!$S$30, "data missing"),
   IF(AND(Calc!BC25=0,Calc!BE25=0),
     IF('Waste results'!$S$66&lt;&gt;"data missing", Calc!BD25*'Waste results'!$S$66, "data missing"),
   IF(AND(Calc!BC25=0,Calc!BD25=0),
     IF('Waste results'!$S$102&lt;&gt;"data missing", Calc!BE25*'Waste results'!$S$102, "data missing"),
   IF(Calc!BE25=0,
     IF(OR('Waste results'!$S$30&lt;&gt;"data missing", 'Waste results'!$S$66&lt;&gt;"data missing"), Calc!BC25*'Waste results'!$S$30+ Calc!BD25*'Waste results'!$S$66, "data missing"),
   IF(Calc!BD25=0,
     IF(OR('Waste results'!$S$30&lt;&gt;"data missing", 'Waste results'!$S$102&lt;&gt;"data missing"), Calc!BC25*'Waste results'!$S$30+ Calc!BE25*'Waste results'!$S$102, "data missing"),
   IF(Calc!BC25=0,
     IF(OR('Waste results'!$S$66&lt;&gt;"data missing", 'Waste results'!$S$102&lt;&gt;"data missing"), Calc!BD25*'Waste results'!$S$66+Calc!BE25*'Waste results'!$S$102, "data missing"),
   IF(OR('Waste results'!$S$30&lt;&gt;"data missing", 'Waste results'!$S$66&lt;&gt;"data missing", 'Waste results'!$S$102&lt;&gt;"data missing"), Calc!BC25*'Waste results'!$S$30+Calc!BD25*'Waste results'!$S$66+ Calc!BE25*'Waste results'!$S$102, "data missing")))))))))))</f>
        <v/>
      </c>
      <c r="BL27" s="241" t="str">
        <f ca="1">IF($B27="","",
IF(ISBLANK('Soil results'!P30),"data missing",'Soil results'!P30))</f>
        <v/>
      </c>
      <c r="BM27" s="241" t="str">
        <f t="shared" ca="1" si="14"/>
        <v/>
      </c>
      <c r="BN27" s="66" t="str">
        <f t="shared" ca="1" si="15"/>
        <v/>
      </c>
      <c r="BP27" s="238" t="str">
        <f ca="1">IF(B27="","",
IF(AND('Field information 2'!$O$5="", 'Field information 2'!$Q$5=""),
   IF('Waste results'!$S$31&lt;&gt;"data missing", Calc!BC25*'Waste results'!$S$31, "data missing"),
IF('Field information 2'!$Q$5="",
   IF(Calc!BD25=0,
     IF('Waste results'!$S$31&lt;&gt;"data missing", Calc!BC25*'Waste results'!$S$31, "data missing"),
   IF(Calc!BC25=0,
     IF('Waste results'!$S$67&lt;&gt;"data missing", Calc!BD25*'Waste results'!$S$67, "data missing"),
   IF(OR('Waste results'!$S$31&lt;&gt;"data missing", 'Waste results'!$S$67&lt;&gt;"data missing"), Calc!BC25*'Waste results'!$S$31+ Calc!BD25*'Waste results'!$S$67, "data missing"))),
IF(AND('Field information 2'!$M$5&lt;&gt;"", 'Field information 2'!$O$5&lt;&gt;"", 'Field information 2'!$Q$5&lt;&gt;""),
   IF(AND(Calc!BD25=0,Calc!BE25=0),
     IF('Waste results'!$S$31&lt;&gt;"data missing", Calc!BC25*'Waste results'!$S$31, "data missing"),
   IF(AND(Calc!BC25=0,Calc!BE25=0),
     IF('Waste results'!$S$67&lt;&gt;"data missing", Calc!BD25*'Waste results'!$S$67, "data missing"),
   IF(AND(Calc!BC25=0,Calc!BD25=0),
     IF('Waste results'!$S$103&lt;&gt;"data missing", Calc!BE25*'Waste results'!$S$103, "data missing"),
   IF(Calc!BE25=0,
     IF(OR('Waste results'!$S$31&lt;&gt;"data missing", 'Waste results'!$S$67&lt;&gt;"data missing"), Calc!BC25*'Waste results'!$S$31+ Calc!BD25*'Waste results'!$S$67, "data missing"),
   IF(Calc!BD25=0,
     IF(OR('Waste results'!$S$31&lt;&gt;"data missing", 'Waste results'!$S$103&lt;&gt;"data missing"), Calc!BC25*'Waste results'!$S$31+ Calc!BE25*'Waste results'!$S$103, "data missing"),
   IF(Calc!BC25=0,
     IF(OR('Waste results'!$S$67&lt;&gt;"data missing", 'Waste results'!$S$103&lt;&gt;"data missing"), Calc!BD25*'Waste results'!$S$67+Calc!BE25*'Waste results'!$S$103, "data missing"),
   IF(OR('Waste results'!$S$31&lt;&gt;"data missing", 'Waste results'!$S$67&lt;&gt;"data missing", 'Waste results'!$S$103&lt;&gt;"data missing"), Calc!BC25*'Waste results'!$S$31+Calc!BD25*'Waste results'!$S$67+ Calc!BE25*'Waste results'!$S$103, "data missing")))))))))))</f>
        <v/>
      </c>
      <c r="BQ27" s="239" t="str">
        <f ca="1">IF($B27="","",
IF(ISBLANK('Soil results'!Q30),"data missing",'Soil results'!Q30))</f>
        <v/>
      </c>
      <c r="BR27" s="239" t="str">
        <f t="shared" ca="1" si="16"/>
        <v/>
      </c>
      <c r="BS27" s="9" t="str">
        <f ca="1">IF(B27="","",
IF(BP27=0,"n/a",
IF(OR(BP27="data missing",BQ27=""),"data missing",
IF(BP27&gt;15,"application rate too high - permissible rate exceeds limit",
IF('Soil results'!F30&lt;=5.5,
  IF(BQ27&gt;200,"no application - soil conc. already above limit",
  IF(BR27&gt;200,"application rate too high - soil conc. will exceed limit",
  IF(BQ27&gt;200*0.9,"soil conc. is at or above 90% of the limit",
  IF(10*BP27*1000/3000+BQ27&gt;200,"soil limit likely to be exceeded in 10yrs",
  IF(50*BP27*1000/3000+BQ27&gt;200,"soil limit likely to be exceeded in 50yrs","ok"))))),
IF('Soil results'!F30&lt;=6,
  IF(BQ27&gt;250,"no application - soil conc. already above limit",
  IF(BR27&gt;250,"application rate too high - soil conc. will exceed limit",
  IF(BQ27&gt;250*0.9,"soil conc. is at or above 90% of the limit",
  IF(10*BP27*1000/3000+BQ27&gt;250,"soil limit likely to be exceeded in 10yrs",
  IF(50*BP27*1000/3000+BQ27&gt;250,"soil limit likely to be exceeded in 50yrs","ok"))))),
IF('Soil results'!F30&lt;=7,
  IF(BQ27&gt;300,"no application - soil conc. already above limit",
  IF(BR27&gt;300,"application rate too high - soil conc. will exceed limit",
  IF(BQ27&gt;300*0.9,"soil conc. is at or above 90% of the limit",
  IF(10*BP27*1000/3000+BQ27&gt;300,"soil limit likey to be exceeded in 10yrs",
  IF(50*BP27*1000/3000+BQ27&gt;300,"soil limit likely to be exceeded in 50yrs","ok"))))),
IF('Soil results'!F30&gt;7,
  IF(BQ27&gt;450,"no application - soil conc. already above limit",
  IF(BR27&gt;450,"application rate too high - soil conc. will exceed limit",
  IF(AW27&gt;450*0.9,"soil conc. is at or above 90% of the limit",
  IF(10*BP27*1000/3000+BQ27&gt;450,"soil limit likely to be exceeded in 10yrs",
  IF(50*BP27*1000/3000+BQ27&gt;450,"soil limit likely to be exceeded in 50yrs","ok")))))
))))))))</f>
        <v/>
      </c>
    </row>
    <row r="28" spans="2:71" s="9" customFormat="1" x14ac:dyDescent="0.35">
      <c r="B28" s="236" t="str">
        <f ca="1">'Soil results'!B31</f>
        <v/>
      </c>
      <c r="C28" s="91" t="str">
        <f ca="1">IF(B28="","",
IF(AND('Field information 2'!$O$5="", 'Field information 2'!$Q$5=""),
   IF('Waste results'!$S$12&lt;&gt;"data missing", Calc!BC26*'Waste results'!$S$12, "data missing"),
IF('Field information 2'!$Q$5="",
   IF(Calc!BD26=0,
     IF('Waste results'!$S$12&lt;&gt;"data missing", Calc!BC26*'Waste results'!$S$12, "data missing"),
   IF(Calc!BC26=0,
     IF('Waste results'!$S$48&lt;&gt;"data missing", Calc!BD26*'Waste results'!$S$48, "data missing"),
   IF(OR('Waste results'!$S$12&lt;&gt;"data missing", 'Waste results'!$S$48&lt;&gt;"data missing"), Calc!BC26*'Waste results'!$S$12+ Calc!BD26*'Waste results'!$S$48, "data missing"))),
IF(AND('Field information 2'!$M$5&lt;&gt;"", 'Field information 2'!$O$5&lt;&gt;"", 'Field information 2'!$Q$5&lt;&gt;""),
   IF(AND(Calc!BD26=0,Calc!BE26=0),
     IF('Waste results'!$S$12&lt;&gt;"data missing", Calc!BC26*'Waste results'!$S$12, "data missing"),
   IF(AND(Calc!BC26=0,Calc!BE26=0),
     IF('Waste results'!$S$48&lt;&gt;"data missing", Calc!BD26*'Waste results'!$S$48, "data missing"),
   IF(AND(Calc!BC26=0,Calc!BD26=0),
     IF('Waste results'!$S$84&lt;&gt;"data missing", Calc!BE26*'Waste results'!$S$84, "data missing"),
   IF(Calc!BE26=0,
     IF(OR('Waste results'!$S$12&lt;&gt;"data missing", 'Waste results'!$S$48&lt;&gt;"data missing"), Calc!BC26*'Waste results'!$S$12+ Calc!BD26*'Waste results'!$S$48, "data missing"),
   IF(Calc!BD26=0,
     IF(OR('Waste results'!$S$12&lt;&gt;"data missing", 'Waste results'!$S$84&lt;&gt;"data missing"), Calc!BC26*'Waste results'!$S$12+ Calc!BE26*'Waste results'!$S$84, "data missing"),
   IF(Calc!BC26=0,
     IF(OR('Waste results'!$S$48&lt;&gt;"data missing", 'Waste results'!$S$84&lt;&gt;"data missing"), Calc!BD26*'Waste results'!$S$48+Calc!BE26*'Waste results'!$S$84, "data missing"),
   IF(OR('Waste results'!$S$12&lt;&gt;"data missing", 'Waste results'!$S$48&lt;&gt;"data missing", 'Waste results'!$S$84&lt;&gt;"data missing"), Calc!BC26*'Waste results'!$S$12+Calc!BD26*'Waste results'!$S$48+ Calc!BE26*'Waste results'!$S$84, "data missing")))))))))))</f>
        <v/>
      </c>
      <c r="D28" s="161" t="str">
        <f ca="1">IF(B28="","",
IF(Calc!BG26="","soil texture missing",
IF(OR(Calc!BG26="SL; SZL; ZL",Calc!BG26="SCL; CL; ZCL; SC; ZC; C"),VLOOKUP(Calc!BI26,'Fertiliser recommendations'!$A$4:$C$63,3,FALSE),
IF(Calc!BG26="S; LS",VLOOKUP(Calc!BI26,'Fertiliser recommendations'!$A$4:$C$63,3,FALSE)+VLOOKUP(Calc!BI26,'Fertiliser recommendations'!$A$4:$D$63,4,FALSE),
IF(Calc!BG26="10-25% OM",VLOOKUP(Calc!BI26,'Fertiliser recommendations'!$A$4:$C$63,3,FALSE)+VLOOKUP(Calc!BI26,'Fertiliser recommendations'!$A$4:$E$63,5,FALSE),
IF(Calc!BG26="&gt;25% OM",VLOOKUP(Calc!BI26,'Fertiliser recommendations'!$A$4:$C$63,3,FALSE)+VLOOKUP(Calc!BI26,'Fertiliser recommendations'!$A$4:$F$63,6,FALSE),
""))))))</f>
        <v/>
      </c>
      <c r="E28" s="91" t="str">
        <f t="shared" ca="1" si="0"/>
        <v/>
      </c>
      <c r="F28" s="9" t="str">
        <f ca="1">IF(B28="","",
IF(OR(C28="data missing",D28="soil texture missing"),"data missing",
IF(Calc!BF26=0,"n/a",
IF(C28&lt;0.1*D28,"no benefit",
IF(C28&lt;0.3*D28,"limited benefit",
IF(C28&gt;250,"exceeds limit",
IF(OR(AND(D28=0,C28&gt;75),C28&gt;1.25*D28),"excessive",
IF(D28=0, "no requirement",
"benefit"))))))))</f>
        <v/>
      </c>
      <c r="H28" s="91" t="str">
        <f ca="1">IF(B28="","",
IF(AND('Field information 2'!$O$5="", 'Field information 2'!$Q$5=""),
   IF('Waste results'!$S$17&lt;&gt;"data missing", Calc!BC26*'Waste results'!$S$17, "data missing"),
IF('Field information 2'!$Q$5="",
   IF(Calc!BD26=0,
     IF('Waste results'!$S$17&lt;&gt;"data missing", Calc!BC26*'Waste results'!$S$17, "data missing"),
   IF(Calc!BC26=0,
     IF('Waste results'!$S$53&lt;&gt;"data missing", Calc!BD26*'Waste results'!$S$53, "data missing"),
   IF(OR('Waste results'!$S$17&lt;&gt;"data missing", 'Waste results'!$S$53&lt;&gt;"data missing"), Calc!BC26*'Waste results'!$S$17+ Calc!BD26*'Waste results'!$S$53, "data missing"))),
IF(AND('Field information 2'!$M$5&lt;&gt;"", 'Field information 2'!$O$5&lt;&gt;"", 'Field information 2'!$Q$5&lt;&gt;""),
   IF(AND(Calc!BD26=0,Calc!BE26=0),
     IF('Waste results'!$S$17&lt;&gt;"data missing", Calc!BC26*'Waste results'!$S$17, "data missing"),
   IF(AND(Calc!BC26=0,Calc!BE26=0),
     IF('Waste results'!$S$53&lt;&gt;"data missing", Calc!BD26*'Waste results'!$S$53, "data missing"),
   IF(AND(Calc!BC26=0,Calc!BD26=0),
     IF('Waste results'!$S$89&lt;&gt;"data missing", Calc!BE26*'Waste results'!$S$89, "data missing"),
   IF(Calc!BE26=0,
     IF(OR('Waste results'!$S$17&lt;&gt;"data missing", 'Waste results'!$S$53&lt;&gt;"data missing"), Calc!BC26*'Waste results'!$S$17+ Calc!BD26*'Waste results'!$S$53, "data missing"),
   IF(Calc!BD26=0,
     IF(OR('Waste results'!$S$17&lt;&gt;"data missing", 'Waste results'!$S$89&lt;&gt;"data missing"), Calc!BC26*'Waste results'!$S$17+ Calc!BE26*'Waste results'!$S$89, "data missing"),
   IF(Calc!BC26=0,
     IF(OR('Waste results'!$S$53&lt;&gt;"data missing", 'Waste results'!$S$89&lt;&gt;"data missing"), Calc!BD26*'Waste results'!$S$53+Calc!BE26*'Waste results'!$S$89, "data missing"),
   IF(OR('Waste results'!$S$17&lt;&gt;"data missing", 'Waste results'!$S$53&lt;&gt;"data missing", 'Waste results'!$S$89&lt;&gt;"data missing"), Calc!BC26*'Waste results'!$S$17+Calc!BD26*'Waste results'!$S$53+ Calc!BE26*'Waste results'!$S$89, "data missing")))))))))))</f>
        <v/>
      </c>
      <c r="I28" s="195" t="str">
        <f ca="1">IF(B28="","",
IF(OR(ISBLANK('Soil results'!G31), ISBLANK('Soil results'!G$7)),"data missing",
IF(OR(AND('Soil results'!G$7="Olsen (ADAS)",'Soil results'!G31&lt;16),AND('Soil results'!G$7="modified Morgan (SAC)",'Soil results'!G31&lt;4.5)),50,100)))</f>
        <v/>
      </c>
      <c r="J28" s="49" t="str">
        <f ca="1">IF(B28="","",
IF(OR(ISBLANK('Soil results'!G$7),ISBLANK('Soil results'!G31)),"data missing",
IF(OR(AND('Soil results'!G$7="Olsen (ADAS)",'Soil results'!G31&gt;45),AND('Soil results'!G$7="modified Morgan (SAC)",'Soil results'!G31&gt;30)),0,
IF(OR(AND('Soil results'!G$7="Olsen (ADAS)",'Soil results'!G31&gt;=16,'Soil results'!G31&lt;=20),AND('Soil results'!G$7="modified Morgan (SAC)",'Soil results'!G31&gt;=4.5,'Soil results'!G31&lt;=9.4)),VLOOKUP(Calc!BI26,'Fertiliser recommendations'!$A$4:$I$63,9,FALSE),
IF(OR(AND('Soil results'!G$7="Olsen (ADAS)",'Soil results'!G31&lt;10),AND('Soil results'!G$7="modified Morgan (SAC)",'Soil results'!G31&lt;1.8)),VLOOKUP(Calc!BI26,'Fertiliser recommendations'!$A$4:$I$63,9,FALSE)+VLOOKUP(Calc!BI26,'Fertiliser recommendations'!$A$4:$J$63,10,FALSE),
IF(OR(AND('Soil results'!G$7="Olsen (ADAS)",'Soil results'!G31&lt;16),AND('Soil results'!G$7="modified Morgan (SAC)",'Soil results'!G31&lt;4.5)),VLOOKUP(Calc!BI26,'Fertiliser recommendations'!$A$4:$I$63,9,FALSE)+VLOOKUP(Calc!BI26,'Fertiliser recommendations'!$A$4:$K$63,11,FALSE),
IF(OR(AND('Soil results'!G$7="Olsen (ADAS)",'Soil results'!G31&lt;26),AND('Soil results'!G$7="modified Morgan (SAC)",'Soil results'!G31&lt;13.5)),VLOOKUP(Calc!BI26,'Fertiliser recommendations'!$A$4:$I$63,9,FALSE)+VLOOKUP(Calc!BI26,'Fertiliser recommendations'!$A$4:$L$63,12,FALSE),
IF(OR(AND('Soil results'!G$7="Olsen (ADAS)",'Soil results'!G31&lt;=45),AND('Soil results'!G$7="modified Morgan (SAC)",'Soil results'!G31&lt;=30)),VLOOKUP(Calc!BI26,'Fertiliser recommendations'!$A$4:$I$63,9,FALSE)+VLOOKUP(Calc!BI26,'Fertiliser recommendations'!$A$4:$M$63,13,FALSE),
""))))))))</f>
        <v/>
      </c>
      <c r="K28" s="161" t="str">
        <f t="shared" ca="1" si="1"/>
        <v/>
      </c>
      <c r="L28" s="47" t="str">
        <f ca="1">IF(OR(ISBLANK('Soil results'!G$7),ISBLANK('Soil results'!G31),B28="", H28="data missing"),"",
IF('Soil results'!G$7="Olsen (ADAS)",
IF(((H28*Calc!BM26/2.291-(VLOOKUP(Calc!BI26,'Fertiliser recommendations'!$A$4:$I$63,9,FALSE))/2.291)*10/(400/2.291)+'Soil results'!G31)&lt;10,"0 (VL)",
IF(((H28*Calc!BM26/2.291-(VLOOKUP(Calc!BI26,'Fertiliser recommendations'!$A$4:$I$63,9,FALSE))/2.291)*10/(400/2.291)+'Soil results'!G31)&lt;16,"1 (L)",
IF(((H28*Calc!BM26/2.291-(VLOOKUP(Calc!BI26,'Fertiliser recommendations'!$A$4:$I$63,9,FALSE))/2.291)*10/(400/2.291)+'Soil results'!G31)&lt;21,"2 (M-)",
IF(((H28*Calc!BM26/2.291-(VLOOKUP(Calc!BI26,'Fertiliser recommendations'!$A$4:$I$63,9,FALSE))/2.291)*10/(400/2.291)+'Soil results'!G31)&lt;26,"2 (M+)",
IF(((H28*Calc!BM26/2.291-(VLOOKUP(Calc!BI26,'Fertiliser recommendations'!$A$4:$I$63,9,FALSE))/2.291)*10/(400/2.291)+'Soil results'!G31)&lt;45,"3 (H)","&gt;3 (VH)"))))),
IF('Soil results'!G$7="modified Morgan (SAC)",
IF('Soil results'!G31&gt;=6,
IF(((H28*Calc!BM26/2.291-(VLOOKUP(Calc!BI26,'Fertiliser recommendations'!$A$4:$I$63,9,FALSE))/2.291)*5/(147/2.291)+'Soil results'!G31)&lt;9.5,"2 (M-)",
IF(((H28*Calc!BM26/2.291-(VLOOKUP(Calc!BI26,'Fertiliser recommendations'!$A$4:$I$63,9,FALSE))/2.291)*5/(147/2.291)+'Soil results'!G31)&lt;13.5,"2 (M+)",
IF(((H28*Calc!BM26/2.291-(VLOOKUP(Calc!BI26,'Fertiliser recommendations'!$A$4:$I$63,9,FALSE))/2.291)*5/(147/2.291)+'Soil results'!G31)&lt;30,"3 (H)","4 (VH)"))),
IF(((H28*Calc!BM26/2.291-(VLOOKUP(Calc!BI26,'Fertiliser recommendations'!$A$4:$I$63,9,FALSE))/2.291)*5/(346/2.291)+'Soil results'!G31)&lt;1.8,"0 (VL)",
IF(((H28*Calc!BM26/2.291-(VLOOKUP(Calc!BI26,'Fertiliser recommendations'!$A$4:$I$63,9,FALSE))/2.291)*5/(147/2.291)+'Soil results'!G31)&lt;4.5,"1 (L)","2 (M-)"))))))</f>
        <v/>
      </c>
      <c r="M28" s="9" t="str">
        <f ca="1">IF(B28="","",
IF(OR(H28="data missing",I28="data missing",J28="data missing"),"data missing",
IF(Calc!BF26=0,"n/a",
IF(OR(AND('Soil results'!G$7="Olsen (ADAS)",'Soil results'!G31&gt;45),AND('Soil results'!G$7="modified Morgan (SAC)",'Soil results'!G31&gt;30)),
IF(H28&gt;2,"too high, not acceptable","no requirement"),IF(OR(AND('Soil results'!G$7="Olsen (ADAS)",'Soil results'!G31&gt;25),AND('Soil results'!G$7="modified Morgan (SAC)",'Soil results'!G31&gt;13.4)),
IF(H28*(I28/100)&lt;0.1*J28,"no benefit",
IF(H28*(I28/100)&lt;0.3*J28,"limited benefit",
IF(H28*(I28/100)&lt;1.1*J28,"benefit",
IF(H28*(I28/100)&lt;0.7*VLOOKUP(Calc!BI26,'Fertiliser recommendations'!$A$4:$I$63,9,FALSE),"excessive","too high, not acceptable")))),
IF(OR(AND('Soil results'!G$7="Olsen (ADAS)",'Soil results'!G31&gt;20),AND('Soil results'!G$7="modified Morgan (SAC)",'Soil results'!G31&gt;9.4)),
IF(H28*Calc!BM26*(I28/100)&lt;0.1*J28,"no benefit",
IF(H28*Calc!BM26*(I28/100)&lt;0.3*J28,"limited benefit",
IF(H28*Calc!BM26*(I28/100)&lt;1.1*J28,"benefit",
IF(L28="3 (H)","too high, not acceptable","excessive")))),
IF(OR(AND('Soil results'!G$7="Olsen (ADAS)",'Soil results'!G31&gt;15),AND('Soil results'!G$7="modified Morgan (SAC)",'Soil results'!G31&gt;4.4)),
IF(H28*Calc!BM26*(I28/100)&lt;0.1*VLOOKUP(Calc!BI26,'Fertiliser recommendations'!$A$4:$I$63,9,FALSE),"no benefit",
IF(H28*Calc!BM26*(I28/100)&lt;0.3*VLOOKUP(Calc!BI26,'Fertiliser recommendations'!$A$4:$I$63,9,FALSE),"limited benefit",
IF(H28*Calc!BM26*(I28/100)&lt;1.1*VLOOKUP(Calc!BI26,'Fertiliser recommendations'!$A$4:$I$63,9,FALSE),"benefit",
IF(L28="3 (H)", "too high, not acceptable", "excessive")))),
IF(OR(AND('Soil results'!G$7="Olsen (ADAS)",'Soil results'!G31&lt;=15),AND('Soil results'!G$7="modified Morgan (SAC)",'Soil results'!G31&lt;=4.4)),
IF(H28*Calc!BM26*(I28/100)&lt;0.1*VLOOKUP(Calc!BI26,'Fertiliser recommendations'!$A$4:$I$63,9,FALSE),"no benefit",
IF(H28*Calc!BM26*(I28/100)&lt;0.3*VLOOKUP(Calc!BI26,'Fertiliser recommendations'!$A$4:$I$63,9,FALSE),"limited benefit",
IF(H28*Calc!BM26*(I28/100)&lt;1.1*J28,"benefit","excessive")))))))))))</f>
        <v/>
      </c>
      <c r="O28" s="91" t="str">
        <f ca="1">IF(B28="","",
IF(AND('Field information 2'!$O$5="", 'Field information 2'!$Q$5=""),
   IF('Waste results'!$S$19&lt;&gt;"data missing", Calc!BC26*'Waste results'!$S$19, "data missing"),
IF('Field information 2'!$Q$5="",
   IF(Calc!BD26=0,
     IF('Waste results'!$S$19&lt;&gt;"data missing", Calc!BC26*'Waste results'!$S$19, "data missing"),
   IF(Calc!BC26=0,
     IF('Waste results'!$S$55&lt;&gt;"data missing", Calc!BD26*'Waste results'!$S$55, "data missing"),
   IF(OR('Waste results'!$S$19&lt;&gt;"data missing", 'Waste results'!$S$55&lt;&gt;"data missing"), Calc!BC26*'Waste results'!$S$19+ Calc!BD26*'Waste results'!$S$55, "data missing"))),
IF(AND('Field information 2'!$M$5&lt;&gt;"", 'Field information 2'!$O$5&lt;&gt;"", 'Field information 2'!$Q$5&lt;&gt;""),
   IF(AND(Calc!BD26=0,Calc!BE26=0),
     IF('Waste results'!$S$19&lt;&gt;"data missing", Calc!BC26*'Waste results'!$S$19, "data missing"),
   IF(AND(Calc!BC26=0,Calc!BE26=0),
     IF('Waste results'!$S$55&lt;&gt;"data missing", Calc!BD26*'Waste results'!$S$55, "data missing"),
   IF(AND(Calc!BC26=0,Calc!BD26=0),
     IF('Waste results'!$S$91&lt;&gt;"data missing", Calc!BE26*'Waste results'!$S$91, "data missing"),
   IF(Calc!BE26=0,
     IF(OR('Waste results'!$S$19&lt;&gt;"data missing", 'Waste results'!$S$55&lt;&gt;"data missing"), Calc!BC26*'Waste results'!$S$19+ Calc!BD26*'Waste results'!$S$55, "data missing"),
   IF(Calc!BD26=0,
     IF(OR('Waste results'!$S$19&lt;&gt;"data missing", 'Waste results'!$S$91&lt;&gt;"data missing"), Calc!BC26*'Waste results'!$S$19+ Calc!BE26*'Waste results'!$S$91, "data missing"),
   IF(Calc!BC26=0,
     IF(OR('Waste results'!$S$55&lt;&gt;"data missing", 'Waste results'!$S$91&lt;&gt;"data missing"), Calc!BD26*'Waste results'!$S$55+Calc!BE26*'Waste results'!$S$91, "data missing"),
   IF(OR('Waste results'!$S$19&lt;&gt;"data missing", 'Waste results'!$S$55&lt;&gt;"data missing", 'Waste results'!$S$91&lt;&gt;"data missing"), Calc!BC26*'Waste results'!$S$19+Calc!BD26*'Waste results'!$S$55+ Calc!BE26*'Waste results'!$S$91, "data missing")))))))))))</f>
        <v/>
      </c>
      <c r="P28" s="91" t="str">
        <f ca="1">IF(B28="","",
IF(OR(ISBLANK('Soil results'!H$7),ISBLANK('Soil results'!H31)),"data missing",
IF(OR(AND('Soil results'!H$7="ammonium nitrate (ADAS)",'Soil results'!H31&gt;400),AND('Soil results'!H$7="modified Morgan (SAC)",'Soil results'!H31&gt;400)),0,
IF(OR(AND('Soil results'!H$7="ammonium nitrate (ADAS)",'Soil results'!H31&gt;=121,'Soil results'!H31&lt;=180),AND('Soil results'!H$7="modified Morgan (SAC)",'Soil results'!H31&gt;=76,'Soil results'!H31&lt;=140)),VLOOKUP(Calc!BI26,'Fertiliser recommendations'!$A$4:$Z$63,26,FALSE),
IF(OR(AND('Soil results'!H$7="ammonium nitrate (ADAS)",'Soil results'!H31&lt;61),AND('Soil results'!H$7="modified Morgan (SAC)",'Soil results'!H31&lt;40)),VLOOKUP(Calc!BI26,'Fertiliser recommendations'!$A$4:$Z$63,26,FALSE)+VLOOKUP(Calc!BI26,'Fertiliser recommendations'!$A$4:$AA$63,27,FALSE),
IF(OR(AND('Soil results'!H$7="ammonium nitrate (ADAS)",'Soil results'!H31&lt;121),AND('Soil results'!H$7="modified Morgan (SAC)",'Soil results'!H31&lt;76)),VLOOKUP(Calc!BI26,'Fertiliser recommendations'!$A$4:$Z$63,26,FALSE)+VLOOKUP(Calc!BI26,'Fertiliser recommendations'!$A$4:$AB$63,28,FALSE),
IF(OR(AND('Soil results'!H$7="ammonium nitrate (ADAS)",'Soil results'!H31&lt;241),AND('Soil results'!H$7="modified Morgan (SAC)",'Soil results'!H31&lt;201)),VLOOKUP(Calc!BI26,'Fertiliser recommendations'!$A$4:$Z$63,26,FALSE)+VLOOKUP(Calc!BI26,'Fertiliser recommendations'!$A$4:$AC$63,29,FALSE),
IF(OR(AND('Soil results'!H$7="ammonium nitrate (ADAS)",'Soil results'!H31&lt;=400),AND('Soil results'!H$7="modified Morgan (SAC)",'Soil results'!H31&lt;=400)),VLOOKUP(Calc!BI26,'Fertiliser recommendations'!$A$4:$Z$63,26,FALSE)+VLOOKUP(Calc!BI26,'Fertiliser recommendations'!$A$4:$AD$63,30,FALSE),
"??"))))))))</f>
        <v/>
      </c>
      <c r="Q28" s="91" t="str">
        <f t="shared" ca="1" si="2"/>
        <v/>
      </c>
      <c r="R28" s="9" t="str">
        <f ca="1">IF(B28="","",
IF(OR(O28="data missing",P28="data missing"),"data missing",
IF(Calc!BF26=0,"n/a",
IF(P28=0, "no requirement",
IF(O28&lt;0.1*P28,"no benefit",
IF(O28&lt;0.3*P28,"limited benefit",
IF(O28&gt;1.25*P28,"excessive",
"benefit")))))))</f>
        <v/>
      </c>
      <c r="T28" s="91" t="str">
        <f ca="1">IF(B28="","",
IF(AND('Field information 2'!$O$5="", 'Field information 2'!$Q$5=""),
   IF('Waste results'!$S$21&lt;&gt;"data missing", Calc!BC26*'Waste results'!$S$21, "data missing"),
IF('Field information 2'!$Q$5="",
   IF(Calc!BD26=0,
     IF('Waste results'!$S$21&lt;&gt;"data missing", Calc!BC26*'Waste results'!$S$21, "data missing"),
   IF(Calc!BC26=0,
     IF('Waste results'!$S$57&lt;&gt;"data missing", Calc!BD26*'Waste results'!$S$57, "data missing"),
   IF(OR('Waste results'!$S$21&lt;&gt;"data missing", 'Waste results'!$S$57&lt;&gt;"data missing"), Calc!BC26*'Waste results'!$S$21+ Calc!BD26*'Waste results'!$S$57, "data missing"))),
IF(AND('Field information 2'!$M$5&lt;&gt;"", 'Field information 2'!$O$5&lt;&gt;"", 'Field information 2'!$Q$5&lt;&gt;""),
   IF(AND(Calc!BD26=0,Calc!BE26=0),
     IF('Waste results'!$S$21&lt;&gt;"data missing", Calc!BC26*'Waste results'!$S$21, "data missing"),
   IF(AND(Calc!BC26=0,Calc!BE26=0),
     IF('Waste results'!$S$57&lt;&gt;"data missing", Calc!BD26*'Waste results'!$S$57, "data missing"),
   IF(AND(Calc!BC26=0,Calc!BD26=0),
     IF('Waste results'!$S$93&lt;&gt;"data missing", Calc!BE26*'Waste results'!$S$93, "data missing"),
   IF(Calc!BE26=0,
     IF(OR('Waste results'!$S$21&lt;&gt;"data missing", 'Waste results'!$S$57&lt;&gt;"data missing"), Calc!BC26*'Waste results'!$S$21+ Calc!BD26*'Waste results'!$S$57, "data missing"),
   IF(Calc!BD26=0,
     IF(OR('Waste results'!$S$21&lt;&gt;"data missing", 'Waste results'!$S$93&lt;&gt;"data missing"), Calc!BC26*'Waste results'!$S$21+ Calc!BE26*'Waste results'!$S$93, "data missing"),
   IF(Calc!BC26=0,
     IF(OR('Waste results'!$S$57&lt;&gt;"data missing", 'Waste results'!$S$93&lt;&gt;"data missing"), Calc!BD26*'Waste results'!$S$57+Calc!BE26*'Waste results'!$S$93, "data missing"),
   IF(OR('Waste results'!$S$21&lt;&gt;"data missing", 'Waste results'!$S$57&lt;&gt;"data missing", 'Waste results'!$S$93&lt;&gt;"data missing"), Calc!BC26*'Waste results'!$S$21+Calc!BD26*'Waste results'!$S$57+ Calc!BE26*'Waste results'!$S$93, "data missing")))))))))))</f>
        <v/>
      </c>
      <c r="U28" s="7" t="str">
        <f ca="1">IF(B28="","",
IF(OR(ISBLANK('Soil results'!I$7),ISBLANK('Soil results'!I31)),"data missing",
IF(OR(AND('Soil results'!I$7="ammonium nitrate (ADAS)",'Soil results'!I31&gt;51),AND('Soil results'!I$7="modified Morgan (SAC)",'Soil results'!I31&gt;61)),0,
IF(OR(AND('Soil results'!I$7="ammonium nitrate (ADAS)",'Soil results'!I31&lt;25),AND('Soil results'!I$7="modified Morgan (SAC)",'Soil results'!I31&lt;19)),VLOOKUP(Calc!BI26,'Fertiliser recommendations'!$A$4:$AH$63,34,FALSE),
IF(OR(AND('Soil results'!I$7="ammonium nitrate (ADAS)",'Soil results'!I31&lt;=51),AND('Soil results'!I$7="modified Morgan (SAC)",'Soil results'!I31&lt;=61)),VLOOKUP(Calc!BI26,'Fertiliser recommendations'!$A$4:$AI$63,35,FALSE),
"")))))</f>
        <v/>
      </c>
      <c r="V28" s="91" t="str">
        <f t="shared" ca="1" si="3"/>
        <v/>
      </c>
      <c r="W28" s="9" t="str">
        <f ca="1">IF(B28="","",
IF(OR(T28="data missing",U28="data missing"),"data missing",
IF(Calc!BF26=0,"n/a",
IF(U28=0,"no requirement",
IF(T28&lt;0.1*U28,"no benefit",
IF(T28&lt;0.3*U28,"limited benefit",
IF(OR(T28&gt;1.5*U28,AND(Calc!BJ26="g",T28&gt;100)),"excessive",
"benefit")))))))</f>
        <v/>
      </c>
      <c r="Y28" s="91" t="str">
        <f ca="1">IF(B28="","",
IF(AND('Field information 2'!$O$5="", 'Field information 2'!$Q$5=""),
   IF('Waste results'!$P$23&lt;&gt;"", Calc!BC26*'Waste results'!$P$23, "no data"),
IF('Field information 2'!$Q$5="",
   IF(Calc!BD26=0,
     IF('Waste results'!$P$23&lt;&gt;"", Calc!BC26*'Waste results'!$P$23, "no data"),
   IF(Calc!BC26=0,
     IF('Waste results'!$P$59&lt;&gt;"", Calc!BD26*'Waste results'!$P$59, "no data"),
   IF(OR('Waste results'!$P$23&lt;&gt;"", 'Waste results'!$P$59&lt;&gt;""), Calc!BC26*'Waste results'!$P$23+ Calc!BD26*'Waste results'!$P$59, "no data"))),
IF(AND('Field information 2'!$M$5&lt;&gt;"", 'Field information 2'!$O$5&lt;&gt;"", 'Field information 2'!$Q$5&lt;&gt;""),
   IF(AND(Calc!BD26=0,Calc!BE26=0),
     IF('Waste results'!$P$23&lt;&gt;"", Calc!BC26*'Waste results'!$P$23, "no data"),
   IF(AND(Calc!BC26=0,Calc!BE26=0),
     IF('Waste results'!$P$59&lt;&gt;"", Calc!BD26*'Waste results'!$P$59, "no data"),
   IF(AND(Calc!BC26=0,Calc!BD26=0),
     IF('Waste results'!$P$95&lt;&gt;"", Calc!BE26*'Waste results'!$P$95, "no data"),
   IF(Calc!BE26=0,
     IF(OR('Waste results'!$P$23&lt;&gt;"", 'Waste results'!$P$59&lt;&gt;""), Calc!BC26*'Waste results'!$P$23+ Calc!BD26*'Waste results'!$P$59, "no data"),
   IF(Calc!BD26=0,
     IF(OR('Waste results'!$P$23&lt;&gt;"", 'Waste results'!$P$95&lt;&gt;""), Calc!BC26*'Waste results'!$P$23+ Calc!BE26*'Waste results'!$P$95, "no data"),
   IF(Calc!BC26=0,
     IF(OR('Waste results'!$P$59&lt;&gt;"", 'Waste results'!$P$95&lt;&gt;""), Calc!BD26*'Waste results'!$P$59+Calc!BE26*'Waste results'!$P$95, "no data"),
   IF(OR('Waste results'!$P$23&lt;&gt;"", 'Waste results'!$P$59&lt;&gt;"", 'Waste results'!$P$95&lt;&gt;""), Calc!BC26*'Waste results'!$P$23+Calc!BD26*'Waste results'!$P$59+ Calc!BE26*'Waste results'!$P$95, "no data")))))))))))</f>
        <v/>
      </c>
      <c r="Z28" s="7" t="str">
        <f ca="1">IF(OR(ISBLANK('Soil results'!I$7),ISBLANK('Soil results'!I31),'Soil results'!B31=""),"",
VLOOKUP(Calc!BI26,'Fertiliser recommendations'!$A$4:$AM$63,39,FALSE))</f>
        <v/>
      </c>
      <c r="AA28" s="91" t="str">
        <f t="shared" ca="1" si="4"/>
        <v/>
      </c>
      <c r="AB28" s="9" t="str">
        <f t="shared" ca="1" si="5"/>
        <v/>
      </c>
      <c r="AD28" s="48" t="str">
        <f>IF(ISBLANK('Soil results'!F31),"",'Soil results'!F31)</f>
        <v/>
      </c>
      <c r="AE28" s="49" t="str">
        <f ca="1">IF(B28="","",
IF(AND(Calc!BJ26="g", VLOOKUP(LEFT($B28,LEN($B28)-2),'Field information 2'!$B$12:$P$111,9,FALSE)&lt;&gt;"yes"),
 IF(Calc!BG26="10-25% OM", 5.9, IF(Calc!BG26="&gt;25% OM", 5.5, 6.2)),
IF(OR(Calc!BJ26="a", VLOOKUP(LEFT($B28,LEN($B28)-2),'Field information 2'!$B$12:$P$111,9,FALSE)="yes"),
 IF(Calc!BG26="10-25% OM", 6.4, IF(Calc!BG26="&gt;25% OM", 6, 6.7)), "")))</f>
        <v/>
      </c>
      <c r="AF28" s="91" t="str">
        <f ca="1">IF(B28="","",
IF('Waste results'!$Q$33="","no (significant) liming properties",
IF('Waste results'!Q$33&gt;100,"no (significant) liming properties",
IF(AD28="","",
IF(AD28&gt;=AE28,0,ROUNDDOWN((AE28-AD28)*Calc!BK26*'Waste results'!$Q$33+0.2,0))))))</f>
        <v/>
      </c>
      <c r="AG28" s="9" t="str">
        <f ca="1">IF(B28="","",
IF(T28=0,"n/a",
IF(AD28="","data missing",
IF(AND(AD28&lt;5,AF28="no (significant) liming properties"),"no waste application - pH too low",
IF(AND(AD28&gt;5.1,AF28="no (significant) liming properties",Calc!BH26&gt;25, LEFT(Calc!BI26,4)="graz"),"ok",
IF(AND(AD28&lt;=5.2,AF28="no (significant) liming properties"),"liming highly recommended",
IF(AF28=0,"no waste application - liming not required",
IF(AF28&lt;Calc!BC26,"application rate too high - exceeds liming requirement",
"ok"))))))))</f>
        <v/>
      </c>
      <c r="AI28" s="91" t="str">
        <f ca="1">IF(B28="","",
IF(AND('Field information 2'!$O$5="", 'Field information 2'!$Q$5=""),
   IF('Waste results'!$P$10&lt;&gt;"data missing", Calc!BC26*'Waste results'!$P$10, "data missing"),
IF('Field information 2'!$Q$5="",
   IF(Calc!BD26=0,
     IF('Waste results'!$P$10&lt;&gt;"data missing", Calc!BC26*'Waste results'!$P$10, "data missing"),
   IF(Calc!BC26=0,
     IF('Waste results'!$P$45&lt;&gt;"data missing", Calc!BD26*'Waste results'!$P$45, "data missing"),
   IF(OR('Waste results'!$P$10&lt;&gt;"data missing", 'Waste results'!$P$45&lt;&gt;"data missing"), Calc!BC26*'Waste results'!$P$10+ Calc!BD26*'Waste results'!$P$45, "data missing"))),
IF(AND('Field information 2'!$M$5&lt;&gt;"", 'Field information 2'!$O$5&lt;&gt;"", 'Field information 2'!$Q$5&lt;&gt;""),
   IF(AND(Calc!BD26=0,Calc!BE26=0),
     IF('Waste results'!$P$10&lt;&gt;"data missing", Calc!BC26*'Waste results'!$P$10, "data missing"),
   IF(AND(Calc!BC26=0,Calc!BE26=0),
     IF('Waste results'!$P$45&lt;&gt;"data missing", Calc!BD26*'Waste results'!$P$45, "data missing"),
   IF(AND(Calc!BC26=0,Calc!BD26=0),
     IF('Waste results'!$P$82&lt;&gt;"data missing", Calc!BE26*'Waste results'!$P$82, "data missing"),
   IF(Calc!BE26=0,
     IF(OR('Waste results'!$P$10&lt;&gt;"data missing", 'Waste results'!$P$45&lt;&gt;"data missing"), Calc!BC26*'Waste results'!$P$10+ Calc!BD26*'Waste results'!$P$45, "data missing"),
   IF(Calc!BD26=0,
     IF(OR('Waste results'!$P$10&lt;&gt;"data missing", 'Waste results'!$P$82&lt;&gt;"data missing"), Calc!BC26*'Waste results'!$P$10+ Calc!BE26*'Waste results'!$P$82, "data missing"),
   IF(Calc!BC26=0,
     IF(OR('Waste results'!$P$45&lt;&gt;"data missing", 'Waste results'!$P$82&lt;&gt;"data missing"), Calc!BD26*'Waste results'!$P$45+Calc!BE26*'Waste results'!$P$82, "data missing"),
   IF(OR('Waste results'!$P$10&lt;&gt;"data missing", 'Waste results'!$P$45&lt;&gt;"data missing", 'Waste results'!$P$82&lt;&gt;"data missing"), Calc!BC26*'Waste results'!$P$10+Calc!BD26*'Waste results'!$P$45+ Calc!BE26*'Waste results'!$P$82, "data missing")))))))))))</f>
        <v/>
      </c>
      <c r="AJ28" s="237" t="str">
        <f ca="1">IF(B28="","",
IF(AI28="data missing","data missing",
IF(Calc!BF26=0,"n/a",
IF(AND(Calc!BH26&gt;=8,AI28&lt;500),"no benefit",
IF(OR(AND(Calc!BH26&lt;=4,AI28&gt;=500),AND(Calc!BH26&lt;8,AI28&gt;5000)),"benefit",
"limited benefit")))))</f>
        <v/>
      </c>
      <c r="AL28" s="238" t="str">
        <f ca="1">IF(B28="","",
IF(AND('Field information 2'!$O$5="", 'Field information 2'!$Q$5=""),
   IF('Waste results'!$S$25&lt;&gt;"data missing", Calc!BC26*'Waste results'!$S$25, "data missing"),
IF('Field information 2'!$Q$5="",
   IF(Calc!BD26=0,
     IF('Waste results'!$S$25&lt;&gt;"data missing", Calc!BC26*'Waste results'!$S$25, "data missing"),
   IF(Calc!BC26=0,
     IF('Waste results'!$S$61&lt;&gt;"data missing", Calc!BD26*'Waste results'!$S$61, "data missing"),
   IF(OR('Waste results'!$S$25&lt;&gt;"data missing", 'Waste results'!$S$61&lt;&gt;"data missing"), Calc!BC26*'Waste results'!$S$25+ Calc!BD26*'Waste results'!$S$61, "data missing"))),
IF(AND('Field information 2'!$M$5&lt;&gt;"", 'Field information 2'!$O$5&lt;&gt;"", 'Field information 2'!$Q$5&lt;&gt;""),
   IF(AND(Calc!BD26=0,Calc!BE26=0),
     IF('Waste results'!$S$25&lt;&gt;"data missing", Calc!BC26*'Waste results'!$S$25, "data missing"),
   IF(AND(Calc!BC26=0,Calc!BE26=0),
     IF('Waste results'!$S$61&lt;&gt;"data missing", Calc!BD26*'Waste results'!$S$61, "data missing"),
   IF(AND(Calc!BC26=0,Calc!BD26=0),
     IF('Waste results'!$S$97&lt;&gt;"data missing", Calc!BE26*'Waste results'!$S$97, "data missing"),
   IF(Calc!BE26=0,
     IF(OR('Waste results'!$S$25&lt;&gt;"data missing", 'Waste results'!$S$61&lt;&gt;"data missing"), Calc!BC26*'Waste results'!$S$25+ Calc!BD26*'Waste results'!$S$61, "data missing"),
   IF(Calc!BD26=0,
     IF(OR('Waste results'!$S$25&lt;&gt;"data missing", 'Waste results'!$S$97&lt;&gt;"data missing"), Calc!BC26*'Waste results'!$S$25+ Calc!BE26*'Waste results'!$S$97, "data missing"),
   IF(Calc!BC26=0,
     IF(OR('Waste results'!$S$61&lt;&gt;"data missing", 'Waste results'!$S$97&lt;&gt;"data missing"), Calc!BD26*'Waste results'!$S$61+Calc!BE26*'Waste results'!$S$97, "data missing"),
   IF(OR('Waste results'!$S$25&lt;&gt;"data missing", 'Waste results'!$S$61&lt;&gt;"data missing", 'Waste results'!$S$97&lt;&gt;"data missing"), Calc!BC26*'Waste results'!$S$25+Calc!BD26*'Waste results'!$S$61+ Calc!BE26*'Waste results'!$S$97, "data missing")))))))))))</f>
        <v/>
      </c>
      <c r="AM28" s="239" t="str">
        <f ca="1">IF($B28="","",
IF(ISBLANK('Soil results'!K31),"data missing",'Soil results'!K31))</f>
        <v/>
      </c>
      <c r="AN28" s="239" t="str">
        <f t="shared" ca="1" si="6"/>
        <v/>
      </c>
      <c r="AO28" s="9" t="str">
        <f t="shared" ca="1" si="7"/>
        <v/>
      </c>
      <c r="AQ28" s="240" t="str">
        <f ca="1">IF(B28="","",
IF(AND('Field information 2'!$O$5="", 'Field information 2'!$Q$5=""),
   IF('Waste results'!$S$26&lt;&gt;"data missing", Calc!BC26*'Waste results'!$S$26, "data missing"),
IF('Field information 2'!$Q$5="",
   IF(Calc!BD26=0,
     IF('Waste results'!$S$26&lt;&gt;"data missing", Calc!BC26*'Waste results'!$S$26, "data missing"),
   IF(Calc!BC26=0,
     IF('Waste results'!$S$62&lt;&gt;"data missing", Calc!BD26*'Waste results'!$S$62, "data missing"),
   IF(OR('Waste results'!$S$26&lt;&gt;"data missing", 'Waste results'!$S$62&lt;&gt;"data missing"), Calc!BC26*'Waste results'!$S$26+ Calc!BD26*'Waste results'!$S$62, "data missing"))),
IF(AND('Field information 2'!$M$5&lt;&gt;"", 'Field information 2'!$O$5&lt;&gt;"", 'Field information 2'!$Q$5&lt;&gt;""),
   IF(AND(Calc!BD26=0,Calc!BE26=0),
     IF('Waste results'!$S$26&lt;&gt;"data missing", Calc!BC26*'Waste results'!$S$26, "data missing"),
   IF(AND(Calc!BC26=0,Calc!BE26=0),
     IF('Waste results'!$S$62&lt;&gt;"data missing", Calc!BD26*'Waste results'!$S$62, "data missing"),
   IF(AND(Calc!BC26=0,Calc!BD26=0),
     IF('Waste results'!$S$98&lt;&gt;"data missing", Calc!BE26*'Waste results'!$S$98, "data missing"),
   IF(Calc!BE26=0,
     IF(OR('Waste results'!$S$26&lt;&gt;"data missing", 'Waste results'!$S$62&lt;&gt;"data missing"), Calc!BC26*'Waste results'!$S$26+ Calc!BD26*'Waste results'!$S$62, "data missing"),
   IF(Calc!BD26=0,
     IF(OR('Waste results'!$S$26&lt;&gt;"data missing", 'Waste results'!$S$98&lt;&gt;"data missing"), Calc!BC26*'Waste results'!$S$26+ Calc!BE26*'Waste results'!$S$98, "data missing"),
   IF(Calc!BC26=0,
     IF(OR('Waste results'!$S$62&lt;&gt;"data missing", 'Waste results'!$S$98&lt;&gt;"data missing"), Calc!BD26*'Waste results'!$S$62+Calc!BE26*'Waste results'!$S$98, "data missing"),
   IF(OR('Waste results'!$S$26&lt;&gt;"data missing", 'Waste results'!$S$62&lt;&gt;"data missing", 'Waste results'!$S$98&lt;&gt;"data missing"), Calc!BC26*'Waste results'!$S$26+Calc!BD26*'Waste results'!$S$62+ Calc!BE26*'Waste results'!$S$98, "data missing")))))))))))</f>
        <v/>
      </c>
      <c r="AR28" s="241" t="str">
        <f ca="1">IF($B28="","",
IF(ISBLANK('Soil results'!L31),"data missing",'Soil results'!L31))</f>
        <v/>
      </c>
      <c r="AS28" s="241" t="str">
        <f t="shared" ca="1" si="8"/>
        <v/>
      </c>
      <c r="AT28" s="66" t="str">
        <f t="shared" ca="1" si="9"/>
        <v/>
      </c>
      <c r="AV28" s="238" t="str">
        <f ca="1">IF(B28="","",
IF(AND('Field information 2'!$O$5="", 'Field information 2'!$Q$5=""),
   IF('Waste results'!$S$27&lt;&gt;"data missing", Calc!BC26*'Waste results'!$S$27, "data missing"),
IF('Field information 2'!$Q$5="",
   IF(Calc!BD26=0,
     IF('Waste results'!$S$27&lt;&gt;"data missing", Calc!BC26*'Waste results'!$S$27, "data missing"),
   IF(Calc!BC26=0,
     IF('Waste results'!$S$63&lt;&gt;"data missing", Calc!BD26*'Waste results'!$S$63, "data missing"),
   IF(OR('Waste results'!$S$27&lt;&gt;"data missing", 'Waste results'!$S$63&lt;&gt;"data missing"), Calc!BC26*'Waste results'!$S$27+ Calc!BD26*'Waste results'!$S$63, "data missing"))),
IF(AND('Field information 2'!$M$5&lt;&gt;"", 'Field information 2'!$O$5&lt;&gt;"", 'Field information 2'!$Q$5&lt;&gt;""),
   IF(AND(Calc!BD26=0,Calc!BE26=0),
     IF('Waste results'!$S$27&lt;&gt;"data missing", Calc!BC26*'Waste results'!$S$27, "data missing"),
   IF(AND(Calc!BC26=0,Calc!BE26=0),
     IF('Waste results'!$S$63&lt;&gt;"data missing", Calc!BD26*'Waste results'!$S$63, "data missing"),
   IF(AND(Calc!BC26=0,Calc!BD26=0),
     IF('Waste results'!$S$99&lt;&gt;"data missing", Calc!BE26*'Waste results'!$S$99, "data missing"),
   IF(Calc!BE26=0,
     IF(OR('Waste results'!$S$27&lt;&gt;"data missing", 'Waste results'!$S$63&lt;&gt;"data missing"), Calc!BC26*'Waste results'!$S$27+ Calc!BD26*'Waste results'!$S$63, "data missing"),
   IF(Calc!BD26=0,
     IF(OR('Waste results'!$S$27&lt;&gt;"data missing", 'Waste results'!$S$99&lt;&gt;"data missing"), Calc!BC26*'Waste results'!$S$27+ Calc!BE26*'Waste results'!$S$99, "data missing"),
   IF(Calc!BC26=0,
     IF(OR('Waste results'!$S$63&lt;&gt;"data missing", 'Waste results'!$S$99&lt;&gt;"data missing"), Calc!BD26*'Waste results'!$S$63+Calc!BE26*'Waste results'!$S$99, "data missing"),
   IF(OR('Waste results'!$S$27&lt;&gt;"data missing", 'Waste results'!$S$63&lt;&gt;"data missing", 'Waste results'!$S$99&lt;&gt;"data missing"), Calc!BC26*'Waste results'!$S$27+Calc!BD26*'Waste results'!$S$63+ Calc!BE26*'Waste results'!$S$99, "data missing")))))))))))</f>
        <v/>
      </c>
      <c r="AW28" s="239" t="str">
        <f ca="1">IF($B28="","",
IF(ISBLANK('Soil results'!M31),"data missing",'Soil results'!M31))</f>
        <v/>
      </c>
      <c r="AX28" s="239" t="str">
        <f t="shared" ca="1" si="10"/>
        <v/>
      </c>
      <c r="AY28" s="9" t="str">
        <f ca="1">IF(B28="","",
IF(AV28=0,"n/a",
IF(OR(AV28="data missing",AW28="data missing"),"data missing",
IF(AV28&gt;7.5,"application rate too high - permissible rate exceeds limit",
IF('Soil results'!$F31&lt;=5.5,
  IF(AW28&gt;80,"no application - soil conc. already above limit",
  IF(AX28&gt;80,"application rate too high - soil conc. will exceed limit",
  IF(AW28&gt;80*0.9,"soil conc. is at or above 90% of the limit",
  IF(10*AV28*1000/3000+AW28&gt;80,"soil limit likely to be exceeded in 10yrs",
  IF(50*AV28*1000/3000+AW28&gt;80,"soil limit likely to be exceeded in 50yrs","ok"))))),
IF('Soil results'!$F31&lt;=6,
  IF(AW28&gt;100,"no application - soil conc. already above limit",
  IF(AX28&gt;100,"application rate too high - soil conc. will exceed limit",
  IF(AW28&gt;100*0.9,"soil conc. is at or above 90% of the limit",
  IF(10*AV28*1000/3000+AW28&gt;100,"soil limit likely to be exceeded in 10yrs",
  IF(50*AV28*1000/3000+AW28&gt;100,"soil limit likely to be exceeded in 50yrs","ok"))))),
IF('Soil results'!$F31&lt;=7,
  IF(AW28&gt;135,"no application - soil conc. already above limit",
  IF(AX28&gt;135,"application rate too high - soil conc. will exceed limit",
  IF(AW28&gt;135*0.9,"soil conc. is at or above 90% of the limit",
  IF(10*AV28*1000/3000+AW28&gt;135,"soil limit likely to be exceeded in 10yrs",
  IF(50*AV28*1000/3000+AW28&gt;135,"soil limit likely to be exceeded in 50yrs","ok"))))),
IF('Soil results'!$F31&gt;7,
  IF(AW28&gt;200,"no application - soil conc. already above limit",
  IF(AX28&gt;200,"application too high - soil conc. will exceed limit",
  IF(AW28&gt;200*0.9,"soil conc. is at or above 90% of the limit",
  IF(10*AV28*1000/3000+AW28&gt;200,"soil limit likely to be exceeded in 10yrs",
  IF(50*AV28*1000/3000+AW28&gt;200,"soil limit likely to be exceeded in 50yrs","ok")))))
))))))))</f>
        <v/>
      </c>
      <c r="BA28" s="238" t="str">
        <f ca="1">IF(B28="","",
IF(AND('Field information 2'!$O$5="", 'Field information 2'!$Q$5=""),
   IF('Waste results'!$S$28&lt;&gt;"data missing", Calc!BC26*'Waste results'!$S$28, "data missing"),
IF('Field information 2'!$Q$5="",
   IF(Calc!BD26=0,
     IF('Waste results'!$S$28&lt;&gt;"data missing", Calc!BC26*'Waste results'!$S$28, "data missing"),
   IF(Calc!BC26=0,
     IF('Waste results'!$S$64&lt;&gt;"data missing", Calc!BD26*'Waste results'!$S$64, "data missing"),
   IF(OR('Waste results'!$S$28&lt;&gt;"data missing", 'Waste results'!$S$64&lt;&gt;"data missing"), Calc!BC26*'Waste results'!$S$28+ Calc!BD26*'Waste results'!$S$64, "data missing"))),
IF(AND('Field information 2'!$M$5&lt;&gt;"", 'Field information 2'!$O$5&lt;&gt;"", 'Field information 2'!$Q$5&lt;&gt;""),
   IF(AND(Calc!BD26=0,Calc!BE26=0),
     IF('Waste results'!$S$28&lt;&gt;"data missing", Calc!BC26*'Waste results'!$S$28, "data missing"),
   IF(AND(Calc!BC26=0,Calc!BE26=0),
     IF('Waste results'!$S$64&lt;&gt;"data missing", Calc!BD26*'Waste results'!$S$64, "data missing"),
   IF(AND(Calc!BC26=0,Calc!BD26=0),
     IF('Waste results'!$S$100&lt;&gt;"data missing", Calc!BE26*'Waste results'!$S$100, "data missing"),
   IF(Calc!BE26=0,
     IF(OR('Waste results'!$S$28&lt;&gt;"data missing", 'Waste results'!$S$64&lt;&gt;"data missing"), Calc!BC26*'Waste results'!$S$28+ Calc!BD26*'Waste results'!$S$64, "data missing"),
   IF(Calc!BD26=0,
     IF(OR('Waste results'!$S$28&lt;&gt;"data missing", 'Waste results'!$S$100&lt;&gt;"data missing"), Calc!BC26*'Waste results'!$S$28+ Calc!BE26*'Waste results'!$S$100, "data missing"),
   IF(Calc!BC26=0,
     IF(OR('Waste results'!$S$64&lt;&gt;"data missing", 'Waste results'!$S$100&lt;&gt;"data missing"), Calc!BD26*'Waste results'!$S$64+Calc!BE26*'Waste results'!$S$100, "data missing"),
   IF(OR('Waste results'!$S$28&lt;&gt;"data missing", 'Waste results'!$S$64&lt;&gt;"data missing", 'Waste results'!$S$100&lt;&gt;"data missing"), Calc!BC26*'Waste results'!$S$28+Calc!BD26*'Waste results'!$S$64+ Calc!BE26*'Waste results'!$S$100, "data missing")))))))))))</f>
        <v/>
      </c>
      <c r="BB28" s="239" t="str">
        <f ca="1">IF($B28="","",
IF(ISBLANK('Soil results'!N31),"data missing",'Soil results'!N31))</f>
        <v/>
      </c>
      <c r="BC28" s="239" t="str">
        <f t="shared" ca="1" si="11"/>
        <v/>
      </c>
      <c r="BD28" s="9" t="str">
        <f t="shared" ca="1" si="12"/>
        <v/>
      </c>
      <c r="BF28" s="238" t="str">
        <f ca="1">IF(B28="","",
IF(AND('Field information 2'!$O$5="", 'Field information 2'!$Q$5=""),
   IF('Waste results'!$S$29&lt;&gt;"data missing", Calc!BC26*'Waste results'!$S$29, "data missing"),
IF('Field information 2'!$Q$5="",
   IF(Calc!BD26=0,
     IF('Waste results'!$S$29&lt;&gt;"data missing", Calc!BC26*'Waste results'!$S$29, "data missing"),
   IF(Calc!BC26=0,
     IF('Waste results'!$S$65&lt;&gt;"data missing", Calc!BD26*'Waste results'!$S$65, "data missing"),
   IF(OR('Waste results'!$S$29&lt;&gt;"data missing", 'Waste results'!$S$65&lt;&gt;"data missing"), Calc!BC26*'Waste results'!$S$29+ Calc!BD26*'Waste results'!$S$65, "data missing"))),
IF(AND('Field information 2'!$M$5&lt;&gt;"", 'Field information 2'!$O$5&lt;&gt;"", 'Field information 2'!$Q$5&lt;&gt;""),
   IF(AND(Calc!BD26=0,Calc!BE26=0),
     IF('Waste results'!$S$29&lt;&gt;"data missing", Calc!BC26*'Waste results'!$S$29, "data missing"),
   IF(AND(Calc!BC26=0,Calc!BE26=0),
     IF('Waste results'!$S$65&lt;&gt;"data missing", Calc!BD26*'Waste results'!$S$65, "data missing"),
   IF(AND(Calc!BC26=0,Calc!BD26=0),
     IF('Waste results'!$S$101&lt;&gt;"data missing", Calc!BE26*'Waste results'!$S$101, "data missing"),
   IF(Calc!BE26=0,
     IF(OR('Waste results'!$S$29&lt;&gt;"data missing", 'Waste results'!$S$65&lt;&gt;"data missing"), Calc!BC26*'Waste results'!$S$29+ Calc!BD26*'Waste results'!$S$65, "data missing"),
   IF(Calc!BD26=0,
     IF(OR('Waste results'!$S$29&lt;&gt;"data missing", 'Waste results'!$S$101&lt;&gt;"data missing"), Calc!BC26*'Waste results'!$S$29+ Calc!BE26*'Waste results'!$S$101, "data missing"),
   IF(Calc!BC26=0,
     IF(OR('Waste results'!$S$65&lt;&gt;"data missing", 'Waste results'!$S$101&lt;&gt;"data missing"), Calc!BD26*'Waste results'!$S$65+Calc!BE26*'Waste results'!$S$101, "data missing"),
   IF(OR('Waste results'!$S$29&lt;&gt;"data missing", 'Waste results'!$S$65&lt;&gt;"data missing", 'Waste results'!$S$101&lt;&gt;"data missing"), Calc!BC26*'Waste results'!$S$29+Calc!BD26*'Waste results'!$S$65+ Calc!BE26*'Waste results'!$S$101, "data missing")))))))))))</f>
        <v/>
      </c>
      <c r="BG28" s="239" t="str">
        <f ca="1">IF($B28="","",
IF(ISBLANK('Soil results'!O31),"data missing",'Soil results'!O31))</f>
        <v/>
      </c>
      <c r="BH28" s="239" t="str">
        <f t="shared" ca="1" si="13"/>
        <v/>
      </c>
      <c r="BI28" s="9" t="str">
        <f ca="1">IF(B28="","",
IF(BF28=0,"n/a",
IF(OR(BF28="data missing",BG28="data missing"),"data missing",
IF(BF28&gt;3,"application rate too high - permissible rate exceeds limit",
IF('Soil results'!F31&lt;=5.5,
  IF(BG28&gt;50,"no application - soil conc. already above limit",
  IF(BH28&gt;50,"application rate too high - soil conc. will exceed limit",
  IF(BG28&gt;50*0.9,"soil conc. is at or above 90% of the limit",
  IF(10*BF28*1000/3000+BG28&gt;50,"soil limit likely to be exceeded in 10yrs",
  IF(50*BF28*1000/3000+BG28&gt;50,"soil limit likely to be exceeded in 50yrs","ok"))))),
IF('Soil results'!F31&lt;=6,
  IF(BG28&gt;60,"no application - soil conc. already above limit",
  IF(BH28&gt;60,"application rate too high - soil conc. will exceed limit",
  IF(BG28&gt;60*0.9,"soil conc. is at or above 90% of the limit",
  IF(10*BF28*1000/3000+BG28&gt;60,"soil limit likely to be exceeded in 10yrs",
  IF(50*BF28*1000/3000+BG28&gt;60,"soil limit likely to be exceeded in 50yrs","ok"))))),
IF('Soil results'!F31&lt;=7,
  IF(BG28&gt;75,"no application - soil conc. already above limit",
  IF(BH28&gt;75,"application rate too high - soil conc. will exceed limit",
  IF(BG28&gt;75*0.9,"soil conc. is at or above 90% of the limit",
  IF(10*BF28*1000/3000+BG28&gt;75,"soil limit likely to be exceeded in 10yrs",
  IF(50*BF28*1000/3000+BG28&gt;75,"soil limit likely to be exceeded in 50yrs","ok"))))),
IF('Soil results'!F31&gt;7,
  IF(BG28&gt;100,"no application - soil conc. already above limit",
  IF(BH28&gt;100,"application rate too high - soil conc. will exceed limit",
  IF(BG28&gt;100*0.9,"soil conc. is at or above 90% of the limit",
  IF(10*BF28*1000/3000+BG28&gt;100,"soil limit likely to be exceeded in 10yrs",
  IF(50*BF28*1000/3000+BG28&gt;100,"soil limit likely to beexceeded in 50yrs","ok")))))
))))))))</f>
        <v/>
      </c>
      <c r="BK28" s="240" t="str">
        <f ca="1">IF(B28="","",
IF(AND('Field information 2'!$O$5="", 'Field information 2'!$Q$5=""),
   IF('Waste results'!$S$30&lt;&gt;"data missing", Calc!BC26*'Waste results'!$S$30, "data missing"),
IF('Field information 2'!$Q$5="",
   IF(Calc!BD26=0,
     IF('Waste results'!$S$30&lt;&gt;"data missing", Calc!BC26*'Waste results'!$S$30, "data missing"),
   IF(Calc!BC26=0,
     IF('Waste results'!$S$66&lt;&gt;"data missing", Calc!BD26*'Waste results'!$S$66, "data missing"),
   IF(OR('Waste results'!$S$30&lt;&gt;"data missing", 'Waste results'!$S$66&lt;&gt;"data missing"), Calc!BC26*'Waste results'!$S$30+ Calc!BD26*'Waste results'!$S$66, "data missing"))),
IF(AND('Field information 2'!$M$5&lt;&gt;"", 'Field information 2'!$O$5&lt;&gt;"", 'Field information 2'!$Q$5&lt;&gt;""),
   IF(AND(Calc!BD26=0,Calc!BE26=0),
     IF('Waste results'!$S$30&lt;&gt;"data missing", Calc!BC26*'Waste results'!$S$30, "data missing"),
   IF(AND(Calc!BC26=0,Calc!BE26=0),
     IF('Waste results'!$S$66&lt;&gt;"data missing", Calc!BD26*'Waste results'!$S$66, "data missing"),
   IF(AND(Calc!BC26=0,Calc!BD26=0),
     IF('Waste results'!$S$102&lt;&gt;"data missing", Calc!BE26*'Waste results'!$S$102, "data missing"),
   IF(Calc!BE26=0,
     IF(OR('Waste results'!$S$30&lt;&gt;"data missing", 'Waste results'!$S$66&lt;&gt;"data missing"), Calc!BC26*'Waste results'!$S$30+ Calc!BD26*'Waste results'!$S$66, "data missing"),
   IF(Calc!BD26=0,
     IF(OR('Waste results'!$S$30&lt;&gt;"data missing", 'Waste results'!$S$102&lt;&gt;"data missing"), Calc!BC26*'Waste results'!$S$30+ Calc!BE26*'Waste results'!$S$102, "data missing"),
   IF(Calc!BC26=0,
     IF(OR('Waste results'!$S$66&lt;&gt;"data missing", 'Waste results'!$S$102&lt;&gt;"data missing"), Calc!BD26*'Waste results'!$S$66+Calc!BE26*'Waste results'!$S$102, "data missing"),
   IF(OR('Waste results'!$S$30&lt;&gt;"data missing", 'Waste results'!$S$66&lt;&gt;"data missing", 'Waste results'!$S$102&lt;&gt;"data missing"), Calc!BC26*'Waste results'!$S$30+Calc!BD26*'Waste results'!$S$66+ Calc!BE26*'Waste results'!$S$102, "data missing")))))))))))</f>
        <v/>
      </c>
      <c r="BL28" s="241" t="str">
        <f ca="1">IF($B28="","",
IF(ISBLANK('Soil results'!P31),"data missing",'Soil results'!P31))</f>
        <v/>
      </c>
      <c r="BM28" s="241" t="str">
        <f t="shared" ca="1" si="14"/>
        <v/>
      </c>
      <c r="BN28" s="66" t="str">
        <f t="shared" ca="1" si="15"/>
        <v/>
      </c>
      <c r="BP28" s="238" t="str">
        <f ca="1">IF(B28="","",
IF(AND('Field information 2'!$O$5="", 'Field information 2'!$Q$5=""),
   IF('Waste results'!$S$31&lt;&gt;"data missing", Calc!BC26*'Waste results'!$S$31, "data missing"),
IF('Field information 2'!$Q$5="",
   IF(Calc!BD26=0,
     IF('Waste results'!$S$31&lt;&gt;"data missing", Calc!BC26*'Waste results'!$S$31, "data missing"),
   IF(Calc!BC26=0,
     IF('Waste results'!$S$67&lt;&gt;"data missing", Calc!BD26*'Waste results'!$S$67, "data missing"),
   IF(OR('Waste results'!$S$31&lt;&gt;"data missing", 'Waste results'!$S$67&lt;&gt;"data missing"), Calc!BC26*'Waste results'!$S$31+ Calc!BD26*'Waste results'!$S$67, "data missing"))),
IF(AND('Field information 2'!$M$5&lt;&gt;"", 'Field information 2'!$O$5&lt;&gt;"", 'Field information 2'!$Q$5&lt;&gt;""),
   IF(AND(Calc!BD26=0,Calc!BE26=0),
     IF('Waste results'!$S$31&lt;&gt;"data missing", Calc!BC26*'Waste results'!$S$31, "data missing"),
   IF(AND(Calc!BC26=0,Calc!BE26=0),
     IF('Waste results'!$S$67&lt;&gt;"data missing", Calc!BD26*'Waste results'!$S$67, "data missing"),
   IF(AND(Calc!BC26=0,Calc!BD26=0),
     IF('Waste results'!$S$103&lt;&gt;"data missing", Calc!BE26*'Waste results'!$S$103, "data missing"),
   IF(Calc!BE26=0,
     IF(OR('Waste results'!$S$31&lt;&gt;"data missing", 'Waste results'!$S$67&lt;&gt;"data missing"), Calc!BC26*'Waste results'!$S$31+ Calc!BD26*'Waste results'!$S$67, "data missing"),
   IF(Calc!BD26=0,
     IF(OR('Waste results'!$S$31&lt;&gt;"data missing", 'Waste results'!$S$103&lt;&gt;"data missing"), Calc!BC26*'Waste results'!$S$31+ Calc!BE26*'Waste results'!$S$103, "data missing"),
   IF(Calc!BC26=0,
     IF(OR('Waste results'!$S$67&lt;&gt;"data missing", 'Waste results'!$S$103&lt;&gt;"data missing"), Calc!BD26*'Waste results'!$S$67+Calc!BE26*'Waste results'!$S$103, "data missing"),
   IF(OR('Waste results'!$S$31&lt;&gt;"data missing", 'Waste results'!$S$67&lt;&gt;"data missing", 'Waste results'!$S$103&lt;&gt;"data missing"), Calc!BC26*'Waste results'!$S$31+Calc!BD26*'Waste results'!$S$67+ Calc!BE26*'Waste results'!$S$103, "data missing")))))))))))</f>
        <v/>
      </c>
      <c r="BQ28" s="239" t="str">
        <f ca="1">IF($B28="","",
IF(ISBLANK('Soil results'!Q31),"data missing",'Soil results'!Q31))</f>
        <v/>
      </c>
      <c r="BR28" s="239" t="str">
        <f t="shared" ca="1" si="16"/>
        <v/>
      </c>
      <c r="BS28" s="9" t="str">
        <f ca="1">IF(B28="","",
IF(BP28=0,"n/a",
IF(OR(BP28="data missing",BQ28=""),"data missing",
IF(BP28&gt;15,"application rate too high - permissible rate exceeds limit",
IF('Soil results'!F31&lt;=5.5,
  IF(BQ28&gt;200,"no application - soil conc. already above limit",
  IF(BR28&gt;200,"application rate too high - soil conc. will exceed limit",
  IF(BQ28&gt;200*0.9,"soil conc. is at or above 90% of the limit",
  IF(10*BP28*1000/3000+BQ28&gt;200,"soil limit likely to be exceeded in 10yrs",
  IF(50*BP28*1000/3000+BQ28&gt;200,"soil limit likely to be exceeded in 50yrs","ok"))))),
IF('Soil results'!F31&lt;=6,
  IF(BQ28&gt;250,"no application - soil conc. already above limit",
  IF(BR28&gt;250,"application rate too high - soil conc. will exceed limit",
  IF(BQ28&gt;250*0.9,"soil conc. is at or above 90% of the limit",
  IF(10*BP28*1000/3000+BQ28&gt;250,"soil limit likely to be exceeded in 10yrs",
  IF(50*BP28*1000/3000+BQ28&gt;250,"soil limit likely to be exceeded in 50yrs","ok"))))),
IF('Soil results'!F31&lt;=7,
  IF(BQ28&gt;300,"no application - soil conc. already above limit",
  IF(BR28&gt;300,"application rate too high - soil conc. will exceed limit",
  IF(BQ28&gt;300*0.9,"soil conc. is at or above 90% of the limit",
  IF(10*BP28*1000/3000+BQ28&gt;300,"soil limit likey to be exceeded in 10yrs",
  IF(50*BP28*1000/3000+BQ28&gt;300,"soil limit likely to be exceeded in 50yrs","ok"))))),
IF('Soil results'!F31&gt;7,
  IF(BQ28&gt;450,"no application - soil conc. already above limit",
  IF(BR28&gt;450,"application rate too high - soil conc. will exceed limit",
  IF(AW28&gt;450*0.9,"soil conc. is at or above 90% of the limit",
  IF(10*BP28*1000/3000+BQ28&gt;450,"soil limit likely to be exceeded in 10yrs",
  IF(50*BP28*1000/3000+BQ28&gt;450,"soil limit likely to be exceeded in 50yrs","ok")))))
))))))))</f>
        <v/>
      </c>
    </row>
    <row r="29" spans="2:71" s="9" customFormat="1" x14ac:dyDescent="0.35">
      <c r="B29" s="236" t="str">
        <f ca="1">'Soil results'!B32</f>
        <v/>
      </c>
      <c r="C29" s="91" t="str">
        <f ca="1">IF(B29="","",
IF(AND('Field information 2'!$O$5="", 'Field information 2'!$Q$5=""),
   IF('Waste results'!$S$12&lt;&gt;"data missing", Calc!BC27*'Waste results'!$S$12, "data missing"),
IF('Field information 2'!$Q$5="",
   IF(Calc!BD27=0,
     IF('Waste results'!$S$12&lt;&gt;"data missing", Calc!BC27*'Waste results'!$S$12, "data missing"),
   IF(Calc!BC27=0,
     IF('Waste results'!$S$48&lt;&gt;"data missing", Calc!BD27*'Waste results'!$S$48, "data missing"),
   IF(OR('Waste results'!$S$12&lt;&gt;"data missing", 'Waste results'!$S$48&lt;&gt;"data missing"), Calc!BC27*'Waste results'!$S$12+ Calc!BD27*'Waste results'!$S$48, "data missing"))),
IF(AND('Field information 2'!$M$5&lt;&gt;"", 'Field information 2'!$O$5&lt;&gt;"", 'Field information 2'!$Q$5&lt;&gt;""),
   IF(AND(Calc!BD27=0,Calc!BE27=0),
     IF('Waste results'!$S$12&lt;&gt;"data missing", Calc!BC27*'Waste results'!$S$12, "data missing"),
   IF(AND(Calc!BC27=0,Calc!BE27=0),
     IF('Waste results'!$S$48&lt;&gt;"data missing", Calc!BD27*'Waste results'!$S$48, "data missing"),
   IF(AND(Calc!BC27=0,Calc!BD27=0),
     IF('Waste results'!$S$84&lt;&gt;"data missing", Calc!BE27*'Waste results'!$S$84, "data missing"),
   IF(Calc!BE27=0,
     IF(OR('Waste results'!$S$12&lt;&gt;"data missing", 'Waste results'!$S$48&lt;&gt;"data missing"), Calc!BC27*'Waste results'!$S$12+ Calc!BD27*'Waste results'!$S$48, "data missing"),
   IF(Calc!BD27=0,
     IF(OR('Waste results'!$S$12&lt;&gt;"data missing", 'Waste results'!$S$84&lt;&gt;"data missing"), Calc!BC27*'Waste results'!$S$12+ Calc!BE27*'Waste results'!$S$84, "data missing"),
   IF(Calc!BC27=0,
     IF(OR('Waste results'!$S$48&lt;&gt;"data missing", 'Waste results'!$S$84&lt;&gt;"data missing"), Calc!BD27*'Waste results'!$S$48+Calc!BE27*'Waste results'!$S$84, "data missing"),
   IF(OR('Waste results'!$S$12&lt;&gt;"data missing", 'Waste results'!$S$48&lt;&gt;"data missing", 'Waste results'!$S$84&lt;&gt;"data missing"), Calc!BC27*'Waste results'!$S$12+Calc!BD27*'Waste results'!$S$48+ Calc!BE27*'Waste results'!$S$84, "data missing")))))))))))</f>
        <v/>
      </c>
      <c r="D29" s="161" t="str">
        <f ca="1">IF(B29="","",
IF(Calc!BG27="","soil texture missing",
IF(OR(Calc!BG27="SL; SZL; ZL",Calc!BG27="SCL; CL; ZCL; SC; ZC; C"),VLOOKUP(Calc!BI27,'Fertiliser recommendations'!$A$4:$C$63,3,FALSE),
IF(Calc!BG27="S; LS",VLOOKUP(Calc!BI27,'Fertiliser recommendations'!$A$4:$C$63,3,FALSE)+VLOOKUP(Calc!BI27,'Fertiliser recommendations'!$A$4:$D$63,4,FALSE),
IF(Calc!BG27="10-25% OM",VLOOKUP(Calc!BI27,'Fertiliser recommendations'!$A$4:$C$63,3,FALSE)+VLOOKUP(Calc!BI27,'Fertiliser recommendations'!$A$4:$E$63,5,FALSE),
IF(Calc!BG27="&gt;25% OM",VLOOKUP(Calc!BI27,'Fertiliser recommendations'!$A$4:$C$63,3,FALSE)+VLOOKUP(Calc!BI27,'Fertiliser recommendations'!$A$4:$F$63,6,FALSE),
""))))))</f>
        <v/>
      </c>
      <c r="E29" s="91" t="str">
        <f t="shared" ca="1" si="0"/>
        <v/>
      </c>
      <c r="F29" s="9" t="str">
        <f ca="1">IF(B29="","",
IF(OR(C29="data missing",D29="soil texture missing"),"data missing",
IF(Calc!BF27=0,"n/a",
IF(C29&lt;0.1*D29,"no benefit",
IF(C29&lt;0.3*D29,"limited benefit",
IF(C29&gt;250,"exceeds limit",
IF(OR(AND(D29=0,C29&gt;75),C29&gt;1.25*D29),"excessive",
IF(D29=0, "no requirement",
"benefit"))))))))</f>
        <v/>
      </c>
      <c r="H29" s="91" t="str">
        <f ca="1">IF(B29="","",
IF(AND('Field information 2'!$O$5="", 'Field information 2'!$Q$5=""),
   IF('Waste results'!$S$17&lt;&gt;"data missing", Calc!BC27*'Waste results'!$S$17, "data missing"),
IF('Field information 2'!$Q$5="",
   IF(Calc!BD27=0,
     IF('Waste results'!$S$17&lt;&gt;"data missing", Calc!BC27*'Waste results'!$S$17, "data missing"),
   IF(Calc!BC27=0,
     IF('Waste results'!$S$53&lt;&gt;"data missing", Calc!BD27*'Waste results'!$S$53, "data missing"),
   IF(OR('Waste results'!$S$17&lt;&gt;"data missing", 'Waste results'!$S$53&lt;&gt;"data missing"), Calc!BC27*'Waste results'!$S$17+ Calc!BD27*'Waste results'!$S$53, "data missing"))),
IF(AND('Field information 2'!$M$5&lt;&gt;"", 'Field information 2'!$O$5&lt;&gt;"", 'Field information 2'!$Q$5&lt;&gt;""),
   IF(AND(Calc!BD27=0,Calc!BE27=0),
     IF('Waste results'!$S$17&lt;&gt;"data missing", Calc!BC27*'Waste results'!$S$17, "data missing"),
   IF(AND(Calc!BC27=0,Calc!BE27=0),
     IF('Waste results'!$S$53&lt;&gt;"data missing", Calc!BD27*'Waste results'!$S$53, "data missing"),
   IF(AND(Calc!BC27=0,Calc!BD27=0),
     IF('Waste results'!$S$89&lt;&gt;"data missing", Calc!BE27*'Waste results'!$S$89, "data missing"),
   IF(Calc!BE27=0,
     IF(OR('Waste results'!$S$17&lt;&gt;"data missing", 'Waste results'!$S$53&lt;&gt;"data missing"), Calc!BC27*'Waste results'!$S$17+ Calc!BD27*'Waste results'!$S$53, "data missing"),
   IF(Calc!BD27=0,
     IF(OR('Waste results'!$S$17&lt;&gt;"data missing", 'Waste results'!$S$89&lt;&gt;"data missing"), Calc!BC27*'Waste results'!$S$17+ Calc!BE27*'Waste results'!$S$89, "data missing"),
   IF(Calc!BC27=0,
     IF(OR('Waste results'!$S$53&lt;&gt;"data missing", 'Waste results'!$S$89&lt;&gt;"data missing"), Calc!BD27*'Waste results'!$S$53+Calc!BE27*'Waste results'!$S$89, "data missing"),
   IF(OR('Waste results'!$S$17&lt;&gt;"data missing", 'Waste results'!$S$53&lt;&gt;"data missing", 'Waste results'!$S$89&lt;&gt;"data missing"), Calc!BC27*'Waste results'!$S$17+Calc!BD27*'Waste results'!$S$53+ Calc!BE27*'Waste results'!$S$89, "data missing")))))))))))</f>
        <v/>
      </c>
      <c r="I29" s="195" t="str">
        <f ca="1">IF(B29="","",
IF(OR(ISBLANK('Soil results'!G32), ISBLANK('Soil results'!G$7)),"data missing",
IF(OR(AND('Soil results'!G$7="Olsen (ADAS)",'Soil results'!G32&lt;16),AND('Soil results'!G$7="modified Morgan (SAC)",'Soil results'!G32&lt;4.5)),50,100)))</f>
        <v/>
      </c>
      <c r="J29" s="49" t="str">
        <f ca="1">IF(B29="","",
IF(OR(ISBLANK('Soil results'!G$7),ISBLANK('Soil results'!G32)),"data missing",
IF(OR(AND('Soil results'!G$7="Olsen (ADAS)",'Soil results'!G32&gt;45),AND('Soil results'!G$7="modified Morgan (SAC)",'Soil results'!G32&gt;30)),0,
IF(OR(AND('Soil results'!G$7="Olsen (ADAS)",'Soil results'!G32&gt;=16,'Soil results'!G32&lt;=20),AND('Soil results'!G$7="modified Morgan (SAC)",'Soil results'!G32&gt;=4.5,'Soil results'!G32&lt;=9.4)),VLOOKUP(Calc!BI27,'Fertiliser recommendations'!$A$4:$I$63,9,FALSE),
IF(OR(AND('Soil results'!G$7="Olsen (ADAS)",'Soil results'!G32&lt;10),AND('Soil results'!G$7="modified Morgan (SAC)",'Soil results'!G32&lt;1.8)),VLOOKUP(Calc!BI27,'Fertiliser recommendations'!$A$4:$I$63,9,FALSE)+VLOOKUP(Calc!BI27,'Fertiliser recommendations'!$A$4:$J$63,10,FALSE),
IF(OR(AND('Soil results'!G$7="Olsen (ADAS)",'Soil results'!G32&lt;16),AND('Soil results'!G$7="modified Morgan (SAC)",'Soil results'!G32&lt;4.5)),VLOOKUP(Calc!BI27,'Fertiliser recommendations'!$A$4:$I$63,9,FALSE)+VLOOKUP(Calc!BI27,'Fertiliser recommendations'!$A$4:$K$63,11,FALSE),
IF(OR(AND('Soil results'!G$7="Olsen (ADAS)",'Soil results'!G32&lt;26),AND('Soil results'!G$7="modified Morgan (SAC)",'Soil results'!G32&lt;13.5)),VLOOKUP(Calc!BI27,'Fertiliser recommendations'!$A$4:$I$63,9,FALSE)+VLOOKUP(Calc!BI27,'Fertiliser recommendations'!$A$4:$L$63,12,FALSE),
IF(OR(AND('Soil results'!G$7="Olsen (ADAS)",'Soil results'!G32&lt;=45),AND('Soil results'!G$7="modified Morgan (SAC)",'Soil results'!G32&lt;=30)),VLOOKUP(Calc!BI27,'Fertiliser recommendations'!$A$4:$I$63,9,FALSE)+VLOOKUP(Calc!BI27,'Fertiliser recommendations'!$A$4:$M$63,13,FALSE),
""))))))))</f>
        <v/>
      </c>
      <c r="K29" s="161" t="str">
        <f t="shared" ca="1" si="1"/>
        <v/>
      </c>
      <c r="L29" s="47" t="str">
        <f ca="1">IF(OR(ISBLANK('Soil results'!G$7),ISBLANK('Soil results'!G32),B29="", H29="data missing"),"",
IF('Soil results'!G$7="Olsen (ADAS)",
IF(((H29*Calc!BM27/2.291-(VLOOKUP(Calc!BI27,'Fertiliser recommendations'!$A$4:$I$63,9,FALSE))/2.291)*10/(400/2.291)+'Soil results'!G32)&lt;10,"0 (VL)",
IF(((H29*Calc!BM27/2.291-(VLOOKUP(Calc!BI27,'Fertiliser recommendations'!$A$4:$I$63,9,FALSE))/2.291)*10/(400/2.291)+'Soil results'!G32)&lt;16,"1 (L)",
IF(((H29*Calc!BM27/2.291-(VLOOKUP(Calc!BI27,'Fertiliser recommendations'!$A$4:$I$63,9,FALSE))/2.291)*10/(400/2.291)+'Soil results'!G32)&lt;21,"2 (M-)",
IF(((H29*Calc!BM27/2.291-(VLOOKUP(Calc!BI27,'Fertiliser recommendations'!$A$4:$I$63,9,FALSE))/2.291)*10/(400/2.291)+'Soil results'!G32)&lt;26,"2 (M+)",
IF(((H29*Calc!BM27/2.291-(VLOOKUP(Calc!BI27,'Fertiliser recommendations'!$A$4:$I$63,9,FALSE))/2.291)*10/(400/2.291)+'Soil results'!G32)&lt;45,"3 (H)","&gt;3 (VH)"))))),
IF('Soil results'!G$7="modified Morgan (SAC)",
IF('Soil results'!G32&gt;=6,
IF(((H29*Calc!BM27/2.291-(VLOOKUP(Calc!BI27,'Fertiliser recommendations'!$A$4:$I$63,9,FALSE))/2.291)*5/(147/2.291)+'Soil results'!G32)&lt;9.5,"2 (M-)",
IF(((H29*Calc!BM27/2.291-(VLOOKUP(Calc!BI27,'Fertiliser recommendations'!$A$4:$I$63,9,FALSE))/2.291)*5/(147/2.291)+'Soil results'!G32)&lt;13.5,"2 (M+)",
IF(((H29*Calc!BM27/2.291-(VLOOKUP(Calc!BI27,'Fertiliser recommendations'!$A$4:$I$63,9,FALSE))/2.291)*5/(147/2.291)+'Soil results'!G32)&lt;30,"3 (H)","4 (VH)"))),
IF(((H29*Calc!BM27/2.291-(VLOOKUP(Calc!BI27,'Fertiliser recommendations'!$A$4:$I$63,9,FALSE))/2.291)*5/(346/2.291)+'Soil results'!G32)&lt;1.8,"0 (VL)",
IF(((H29*Calc!BM27/2.291-(VLOOKUP(Calc!BI27,'Fertiliser recommendations'!$A$4:$I$63,9,FALSE))/2.291)*5/(147/2.291)+'Soil results'!G32)&lt;4.5,"1 (L)","2 (M-)"))))))</f>
        <v/>
      </c>
      <c r="M29" s="9" t="str">
        <f ca="1">IF(B29="","",
IF(OR(H29="data missing",I29="data missing",J29="data missing"),"data missing",
IF(Calc!BF27=0,"n/a",
IF(OR(AND('Soil results'!G$7="Olsen (ADAS)",'Soil results'!G32&gt;45),AND('Soil results'!G$7="modified Morgan (SAC)",'Soil results'!G32&gt;30)),
IF(H29&gt;2,"too high, not acceptable","no requirement"),IF(OR(AND('Soil results'!G$7="Olsen (ADAS)",'Soil results'!G32&gt;25),AND('Soil results'!G$7="modified Morgan (SAC)",'Soil results'!G32&gt;13.4)),
IF(H29*(I29/100)&lt;0.1*J29,"no benefit",
IF(H29*(I29/100)&lt;0.3*J29,"limited benefit",
IF(H29*(I29/100)&lt;1.1*J29,"benefit",
IF(H29*(I29/100)&lt;0.7*VLOOKUP(Calc!BI27,'Fertiliser recommendations'!$A$4:$I$63,9,FALSE),"excessive","too high, not acceptable")))),
IF(OR(AND('Soil results'!G$7="Olsen (ADAS)",'Soil results'!G32&gt;20),AND('Soil results'!G$7="modified Morgan (SAC)",'Soil results'!G32&gt;9.4)),
IF(H29*Calc!BM27*(I29/100)&lt;0.1*J29,"no benefit",
IF(H29*Calc!BM27*(I29/100)&lt;0.3*J29,"limited benefit",
IF(H29*Calc!BM27*(I29/100)&lt;1.1*J29,"benefit",
IF(L29="3 (H)","too high, not acceptable","excessive")))),
IF(OR(AND('Soil results'!G$7="Olsen (ADAS)",'Soil results'!G32&gt;15),AND('Soil results'!G$7="modified Morgan (SAC)",'Soil results'!G32&gt;4.4)),
IF(H29*Calc!BM27*(I29/100)&lt;0.1*VLOOKUP(Calc!BI27,'Fertiliser recommendations'!$A$4:$I$63,9,FALSE),"no benefit",
IF(H29*Calc!BM27*(I29/100)&lt;0.3*VLOOKUP(Calc!BI27,'Fertiliser recommendations'!$A$4:$I$63,9,FALSE),"limited benefit",
IF(H29*Calc!BM27*(I29/100)&lt;1.1*VLOOKUP(Calc!BI27,'Fertiliser recommendations'!$A$4:$I$63,9,FALSE),"benefit",
IF(L29="3 (H)", "too high, not acceptable", "excessive")))),
IF(OR(AND('Soil results'!G$7="Olsen (ADAS)",'Soil results'!G32&lt;=15),AND('Soil results'!G$7="modified Morgan (SAC)",'Soil results'!G32&lt;=4.4)),
IF(H29*Calc!BM27*(I29/100)&lt;0.1*VLOOKUP(Calc!BI27,'Fertiliser recommendations'!$A$4:$I$63,9,FALSE),"no benefit",
IF(H29*Calc!BM27*(I29/100)&lt;0.3*VLOOKUP(Calc!BI27,'Fertiliser recommendations'!$A$4:$I$63,9,FALSE),"limited benefit",
IF(H29*Calc!BM27*(I29/100)&lt;1.1*J29,"benefit","excessive")))))))))))</f>
        <v/>
      </c>
      <c r="O29" s="91" t="str">
        <f ca="1">IF(B29="","",
IF(AND('Field information 2'!$O$5="", 'Field information 2'!$Q$5=""),
   IF('Waste results'!$S$19&lt;&gt;"data missing", Calc!BC27*'Waste results'!$S$19, "data missing"),
IF('Field information 2'!$Q$5="",
   IF(Calc!BD27=0,
     IF('Waste results'!$S$19&lt;&gt;"data missing", Calc!BC27*'Waste results'!$S$19, "data missing"),
   IF(Calc!BC27=0,
     IF('Waste results'!$S$55&lt;&gt;"data missing", Calc!BD27*'Waste results'!$S$55, "data missing"),
   IF(OR('Waste results'!$S$19&lt;&gt;"data missing", 'Waste results'!$S$55&lt;&gt;"data missing"), Calc!BC27*'Waste results'!$S$19+ Calc!BD27*'Waste results'!$S$55, "data missing"))),
IF(AND('Field information 2'!$M$5&lt;&gt;"", 'Field information 2'!$O$5&lt;&gt;"", 'Field information 2'!$Q$5&lt;&gt;""),
   IF(AND(Calc!BD27=0,Calc!BE27=0),
     IF('Waste results'!$S$19&lt;&gt;"data missing", Calc!BC27*'Waste results'!$S$19, "data missing"),
   IF(AND(Calc!BC27=0,Calc!BE27=0),
     IF('Waste results'!$S$55&lt;&gt;"data missing", Calc!BD27*'Waste results'!$S$55, "data missing"),
   IF(AND(Calc!BC27=0,Calc!BD27=0),
     IF('Waste results'!$S$91&lt;&gt;"data missing", Calc!BE27*'Waste results'!$S$91, "data missing"),
   IF(Calc!BE27=0,
     IF(OR('Waste results'!$S$19&lt;&gt;"data missing", 'Waste results'!$S$55&lt;&gt;"data missing"), Calc!BC27*'Waste results'!$S$19+ Calc!BD27*'Waste results'!$S$55, "data missing"),
   IF(Calc!BD27=0,
     IF(OR('Waste results'!$S$19&lt;&gt;"data missing", 'Waste results'!$S$91&lt;&gt;"data missing"), Calc!BC27*'Waste results'!$S$19+ Calc!BE27*'Waste results'!$S$91, "data missing"),
   IF(Calc!BC27=0,
     IF(OR('Waste results'!$S$55&lt;&gt;"data missing", 'Waste results'!$S$91&lt;&gt;"data missing"), Calc!BD27*'Waste results'!$S$55+Calc!BE27*'Waste results'!$S$91, "data missing"),
   IF(OR('Waste results'!$S$19&lt;&gt;"data missing", 'Waste results'!$S$55&lt;&gt;"data missing", 'Waste results'!$S$91&lt;&gt;"data missing"), Calc!BC27*'Waste results'!$S$19+Calc!BD27*'Waste results'!$S$55+ Calc!BE27*'Waste results'!$S$91, "data missing")))))))))))</f>
        <v/>
      </c>
      <c r="P29" s="91" t="str">
        <f ca="1">IF(B29="","",
IF(OR(ISBLANK('Soil results'!H$7),ISBLANK('Soil results'!H32)),"data missing",
IF(OR(AND('Soil results'!H$7="ammonium nitrate (ADAS)",'Soil results'!H32&gt;400),AND('Soil results'!H$7="modified Morgan (SAC)",'Soil results'!H32&gt;400)),0,
IF(OR(AND('Soil results'!H$7="ammonium nitrate (ADAS)",'Soil results'!H32&gt;=121,'Soil results'!H32&lt;=180),AND('Soil results'!H$7="modified Morgan (SAC)",'Soil results'!H32&gt;=76,'Soil results'!H32&lt;=140)),VLOOKUP(Calc!BI27,'Fertiliser recommendations'!$A$4:$Z$63,26,FALSE),
IF(OR(AND('Soil results'!H$7="ammonium nitrate (ADAS)",'Soil results'!H32&lt;61),AND('Soil results'!H$7="modified Morgan (SAC)",'Soil results'!H32&lt;40)),VLOOKUP(Calc!BI27,'Fertiliser recommendations'!$A$4:$Z$63,26,FALSE)+VLOOKUP(Calc!BI27,'Fertiliser recommendations'!$A$4:$AA$63,27,FALSE),
IF(OR(AND('Soil results'!H$7="ammonium nitrate (ADAS)",'Soil results'!H32&lt;121),AND('Soil results'!H$7="modified Morgan (SAC)",'Soil results'!H32&lt;76)),VLOOKUP(Calc!BI27,'Fertiliser recommendations'!$A$4:$Z$63,26,FALSE)+VLOOKUP(Calc!BI27,'Fertiliser recommendations'!$A$4:$AB$63,28,FALSE),
IF(OR(AND('Soil results'!H$7="ammonium nitrate (ADAS)",'Soil results'!H32&lt;241),AND('Soil results'!H$7="modified Morgan (SAC)",'Soil results'!H32&lt;201)),VLOOKUP(Calc!BI27,'Fertiliser recommendations'!$A$4:$Z$63,26,FALSE)+VLOOKUP(Calc!BI27,'Fertiliser recommendations'!$A$4:$AC$63,29,FALSE),
IF(OR(AND('Soil results'!H$7="ammonium nitrate (ADAS)",'Soil results'!H32&lt;=400),AND('Soil results'!H$7="modified Morgan (SAC)",'Soil results'!H32&lt;=400)),VLOOKUP(Calc!BI27,'Fertiliser recommendations'!$A$4:$Z$63,26,FALSE)+VLOOKUP(Calc!BI27,'Fertiliser recommendations'!$A$4:$AD$63,30,FALSE),
"??"))))))))</f>
        <v/>
      </c>
      <c r="Q29" s="91" t="str">
        <f t="shared" ca="1" si="2"/>
        <v/>
      </c>
      <c r="R29" s="9" t="str">
        <f ca="1">IF(B29="","",
IF(OR(O29="data missing",P29="data missing"),"data missing",
IF(Calc!BF27=0,"n/a",
IF(P29=0, "no requirement",
IF(O29&lt;0.1*P29,"no benefit",
IF(O29&lt;0.3*P29,"limited benefit",
IF(O29&gt;1.25*P29,"excessive",
"benefit")))))))</f>
        <v/>
      </c>
      <c r="T29" s="91" t="str">
        <f ca="1">IF(B29="","",
IF(AND('Field information 2'!$O$5="", 'Field information 2'!$Q$5=""),
   IF('Waste results'!$S$21&lt;&gt;"data missing", Calc!BC27*'Waste results'!$S$21, "data missing"),
IF('Field information 2'!$Q$5="",
   IF(Calc!BD27=0,
     IF('Waste results'!$S$21&lt;&gt;"data missing", Calc!BC27*'Waste results'!$S$21, "data missing"),
   IF(Calc!BC27=0,
     IF('Waste results'!$S$57&lt;&gt;"data missing", Calc!BD27*'Waste results'!$S$57, "data missing"),
   IF(OR('Waste results'!$S$21&lt;&gt;"data missing", 'Waste results'!$S$57&lt;&gt;"data missing"), Calc!BC27*'Waste results'!$S$21+ Calc!BD27*'Waste results'!$S$57, "data missing"))),
IF(AND('Field information 2'!$M$5&lt;&gt;"", 'Field information 2'!$O$5&lt;&gt;"", 'Field information 2'!$Q$5&lt;&gt;""),
   IF(AND(Calc!BD27=0,Calc!BE27=0),
     IF('Waste results'!$S$21&lt;&gt;"data missing", Calc!BC27*'Waste results'!$S$21, "data missing"),
   IF(AND(Calc!BC27=0,Calc!BE27=0),
     IF('Waste results'!$S$57&lt;&gt;"data missing", Calc!BD27*'Waste results'!$S$57, "data missing"),
   IF(AND(Calc!BC27=0,Calc!BD27=0),
     IF('Waste results'!$S$93&lt;&gt;"data missing", Calc!BE27*'Waste results'!$S$93, "data missing"),
   IF(Calc!BE27=0,
     IF(OR('Waste results'!$S$21&lt;&gt;"data missing", 'Waste results'!$S$57&lt;&gt;"data missing"), Calc!BC27*'Waste results'!$S$21+ Calc!BD27*'Waste results'!$S$57, "data missing"),
   IF(Calc!BD27=0,
     IF(OR('Waste results'!$S$21&lt;&gt;"data missing", 'Waste results'!$S$93&lt;&gt;"data missing"), Calc!BC27*'Waste results'!$S$21+ Calc!BE27*'Waste results'!$S$93, "data missing"),
   IF(Calc!BC27=0,
     IF(OR('Waste results'!$S$57&lt;&gt;"data missing", 'Waste results'!$S$93&lt;&gt;"data missing"), Calc!BD27*'Waste results'!$S$57+Calc!BE27*'Waste results'!$S$93, "data missing"),
   IF(OR('Waste results'!$S$21&lt;&gt;"data missing", 'Waste results'!$S$57&lt;&gt;"data missing", 'Waste results'!$S$93&lt;&gt;"data missing"), Calc!BC27*'Waste results'!$S$21+Calc!BD27*'Waste results'!$S$57+ Calc!BE27*'Waste results'!$S$93, "data missing")))))))))))</f>
        <v/>
      </c>
      <c r="U29" s="7" t="str">
        <f ca="1">IF(B29="","",
IF(OR(ISBLANK('Soil results'!I$7),ISBLANK('Soil results'!I32)),"data missing",
IF(OR(AND('Soil results'!I$7="ammonium nitrate (ADAS)",'Soil results'!I32&gt;51),AND('Soil results'!I$7="modified Morgan (SAC)",'Soil results'!I32&gt;61)),0,
IF(OR(AND('Soil results'!I$7="ammonium nitrate (ADAS)",'Soil results'!I32&lt;25),AND('Soil results'!I$7="modified Morgan (SAC)",'Soil results'!I32&lt;19)),VLOOKUP(Calc!BI27,'Fertiliser recommendations'!$A$4:$AH$63,34,FALSE),
IF(OR(AND('Soil results'!I$7="ammonium nitrate (ADAS)",'Soil results'!I32&lt;=51),AND('Soil results'!I$7="modified Morgan (SAC)",'Soil results'!I32&lt;=61)),VLOOKUP(Calc!BI27,'Fertiliser recommendations'!$A$4:$AI$63,35,FALSE),
"")))))</f>
        <v/>
      </c>
      <c r="V29" s="91" t="str">
        <f t="shared" ca="1" si="3"/>
        <v/>
      </c>
      <c r="W29" s="9" t="str">
        <f ca="1">IF(B29="","",
IF(OR(T29="data missing",U29="data missing"),"data missing",
IF(Calc!BF27=0,"n/a",
IF(U29=0,"no requirement",
IF(T29&lt;0.1*U29,"no benefit",
IF(T29&lt;0.3*U29,"limited benefit",
IF(OR(T29&gt;1.5*U29,AND(Calc!BJ27="g",T29&gt;100)),"excessive",
"benefit")))))))</f>
        <v/>
      </c>
      <c r="Y29" s="91" t="str">
        <f ca="1">IF(B29="","",
IF(AND('Field information 2'!$O$5="", 'Field information 2'!$Q$5=""),
   IF('Waste results'!$P$23&lt;&gt;"", Calc!BC27*'Waste results'!$P$23, "no data"),
IF('Field information 2'!$Q$5="",
   IF(Calc!BD27=0,
     IF('Waste results'!$P$23&lt;&gt;"", Calc!BC27*'Waste results'!$P$23, "no data"),
   IF(Calc!BC27=0,
     IF('Waste results'!$P$59&lt;&gt;"", Calc!BD27*'Waste results'!$P$59, "no data"),
   IF(OR('Waste results'!$P$23&lt;&gt;"", 'Waste results'!$P$59&lt;&gt;""), Calc!BC27*'Waste results'!$P$23+ Calc!BD27*'Waste results'!$P$59, "no data"))),
IF(AND('Field information 2'!$M$5&lt;&gt;"", 'Field information 2'!$O$5&lt;&gt;"", 'Field information 2'!$Q$5&lt;&gt;""),
   IF(AND(Calc!BD27=0,Calc!BE27=0),
     IF('Waste results'!$P$23&lt;&gt;"", Calc!BC27*'Waste results'!$P$23, "no data"),
   IF(AND(Calc!BC27=0,Calc!BE27=0),
     IF('Waste results'!$P$59&lt;&gt;"", Calc!BD27*'Waste results'!$P$59, "no data"),
   IF(AND(Calc!BC27=0,Calc!BD27=0),
     IF('Waste results'!$P$95&lt;&gt;"", Calc!BE27*'Waste results'!$P$95, "no data"),
   IF(Calc!BE27=0,
     IF(OR('Waste results'!$P$23&lt;&gt;"", 'Waste results'!$P$59&lt;&gt;""), Calc!BC27*'Waste results'!$P$23+ Calc!BD27*'Waste results'!$P$59, "no data"),
   IF(Calc!BD27=0,
     IF(OR('Waste results'!$P$23&lt;&gt;"", 'Waste results'!$P$95&lt;&gt;""), Calc!BC27*'Waste results'!$P$23+ Calc!BE27*'Waste results'!$P$95, "no data"),
   IF(Calc!BC27=0,
     IF(OR('Waste results'!$P$59&lt;&gt;"", 'Waste results'!$P$95&lt;&gt;""), Calc!BD27*'Waste results'!$P$59+Calc!BE27*'Waste results'!$P$95, "no data"),
   IF(OR('Waste results'!$P$23&lt;&gt;"", 'Waste results'!$P$59&lt;&gt;"", 'Waste results'!$P$95&lt;&gt;""), Calc!BC27*'Waste results'!$P$23+Calc!BD27*'Waste results'!$P$59+ Calc!BE27*'Waste results'!$P$95, "no data")))))))))))</f>
        <v/>
      </c>
      <c r="Z29" s="7" t="str">
        <f ca="1">IF(OR(ISBLANK('Soil results'!I$7),ISBLANK('Soil results'!I32),'Soil results'!B32=""),"",
VLOOKUP(Calc!BI27,'Fertiliser recommendations'!$A$4:$AM$63,39,FALSE))</f>
        <v/>
      </c>
      <c r="AA29" s="91" t="str">
        <f t="shared" ca="1" si="4"/>
        <v/>
      </c>
      <c r="AB29" s="9" t="str">
        <f t="shared" ca="1" si="5"/>
        <v/>
      </c>
      <c r="AD29" s="48" t="str">
        <f>IF(ISBLANK('Soil results'!F32),"",'Soil results'!F32)</f>
        <v/>
      </c>
      <c r="AE29" s="49" t="str">
        <f ca="1">IF(B29="","",
IF(AND(Calc!BJ27="g", VLOOKUP(LEFT($B29,LEN($B29)-2),'Field information 2'!$B$12:$P$111,9,FALSE)&lt;&gt;"yes"),
 IF(Calc!BG27="10-25% OM", 5.9, IF(Calc!BG27="&gt;25% OM", 5.5, 6.2)),
IF(OR(Calc!BJ27="a", VLOOKUP(LEFT($B29,LEN($B29)-2),'Field information 2'!$B$12:$P$111,9,FALSE)="yes"),
 IF(Calc!BG27="10-25% OM", 6.4, IF(Calc!BG27="&gt;25% OM", 6, 6.7)), "")))</f>
        <v/>
      </c>
      <c r="AF29" s="91" t="str">
        <f ca="1">IF(B29="","",
IF('Waste results'!$Q$33="","no (significant) liming properties",
IF('Waste results'!Q$33&gt;100,"no (significant) liming properties",
IF(AD29="","",
IF(AD29&gt;=AE29,0,ROUNDDOWN((AE29-AD29)*Calc!BK27*'Waste results'!$Q$33+0.2,0))))))</f>
        <v/>
      </c>
      <c r="AG29" s="9" t="str">
        <f ca="1">IF(B29="","",
IF(T29=0,"n/a",
IF(AD29="","data missing",
IF(AND(AD29&lt;5,AF29="no (significant) liming properties"),"no waste application - pH too low",
IF(AND(AD29&gt;5.1,AF29="no (significant) liming properties",Calc!BH27&gt;25, LEFT(Calc!BI27,4)="graz"),"ok",
IF(AND(AD29&lt;=5.2,AF29="no (significant) liming properties"),"liming highly recommended",
IF(AF29=0,"no waste application - liming not required",
IF(AF29&lt;Calc!BC27,"application rate too high - exceeds liming requirement",
"ok"))))))))</f>
        <v/>
      </c>
      <c r="AI29" s="91" t="str">
        <f ca="1">IF(B29="","",
IF(AND('Field information 2'!$O$5="", 'Field information 2'!$Q$5=""),
   IF('Waste results'!$P$10&lt;&gt;"data missing", Calc!BC27*'Waste results'!$P$10, "data missing"),
IF('Field information 2'!$Q$5="",
   IF(Calc!BD27=0,
     IF('Waste results'!$P$10&lt;&gt;"data missing", Calc!BC27*'Waste results'!$P$10, "data missing"),
   IF(Calc!BC27=0,
     IF('Waste results'!$P$45&lt;&gt;"data missing", Calc!BD27*'Waste results'!$P$45, "data missing"),
   IF(OR('Waste results'!$P$10&lt;&gt;"data missing", 'Waste results'!$P$45&lt;&gt;"data missing"), Calc!BC27*'Waste results'!$P$10+ Calc!BD27*'Waste results'!$P$45, "data missing"))),
IF(AND('Field information 2'!$M$5&lt;&gt;"", 'Field information 2'!$O$5&lt;&gt;"", 'Field information 2'!$Q$5&lt;&gt;""),
   IF(AND(Calc!BD27=0,Calc!BE27=0),
     IF('Waste results'!$P$10&lt;&gt;"data missing", Calc!BC27*'Waste results'!$P$10, "data missing"),
   IF(AND(Calc!BC27=0,Calc!BE27=0),
     IF('Waste results'!$P$45&lt;&gt;"data missing", Calc!BD27*'Waste results'!$P$45, "data missing"),
   IF(AND(Calc!BC27=0,Calc!BD27=0),
     IF('Waste results'!$P$82&lt;&gt;"data missing", Calc!BE27*'Waste results'!$P$82, "data missing"),
   IF(Calc!BE27=0,
     IF(OR('Waste results'!$P$10&lt;&gt;"data missing", 'Waste results'!$P$45&lt;&gt;"data missing"), Calc!BC27*'Waste results'!$P$10+ Calc!BD27*'Waste results'!$P$45, "data missing"),
   IF(Calc!BD27=0,
     IF(OR('Waste results'!$P$10&lt;&gt;"data missing", 'Waste results'!$P$82&lt;&gt;"data missing"), Calc!BC27*'Waste results'!$P$10+ Calc!BE27*'Waste results'!$P$82, "data missing"),
   IF(Calc!BC27=0,
     IF(OR('Waste results'!$P$45&lt;&gt;"data missing", 'Waste results'!$P$82&lt;&gt;"data missing"), Calc!BD27*'Waste results'!$P$45+Calc!BE27*'Waste results'!$P$82, "data missing"),
   IF(OR('Waste results'!$P$10&lt;&gt;"data missing", 'Waste results'!$P$45&lt;&gt;"data missing", 'Waste results'!$P$82&lt;&gt;"data missing"), Calc!BC27*'Waste results'!$P$10+Calc!BD27*'Waste results'!$P$45+ Calc!BE27*'Waste results'!$P$82, "data missing")))))))))))</f>
        <v/>
      </c>
      <c r="AJ29" s="237" t="str">
        <f ca="1">IF(B29="","",
IF(AI29="data missing","data missing",
IF(Calc!BF27=0,"n/a",
IF(AND(Calc!BH27&gt;=8,AI29&lt;500),"no benefit",
IF(OR(AND(Calc!BH27&lt;=4,AI29&gt;=500),AND(Calc!BH27&lt;8,AI29&gt;5000)),"benefit",
"limited benefit")))))</f>
        <v/>
      </c>
      <c r="AL29" s="238" t="str">
        <f ca="1">IF(B29="","",
IF(AND('Field information 2'!$O$5="", 'Field information 2'!$Q$5=""),
   IF('Waste results'!$S$25&lt;&gt;"data missing", Calc!BC27*'Waste results'!$S$25, "data missing"),
IF('Field information 2'!$Q$5="",
   IF(Calc!BD27=0,
     IF('Waste results'!$S$25&lt;&gt;"data missing", Calc!BC27*'Waste results'!$S$25, "data missing"),
   IF(Calc!BC27=0,
     IF('Waste results'!$S$61&lt;&gt;"data missing", Calc!BD27*'Waste results'!$S$61, "data missing"),
   IF(OR('Waste results'!$S$25&lt;&gt;"data missing", 'Waste results'!$S$61&lt;&gt;"data missing"), Calc!BC27*'Waste results'!$S$25+ Calc!BD27*'Waste results'!$S$61, "data missing"))),
IF(AND('Field information 2'!$M$5&lt;&gt;"", 'Field information 2'!$O$5&lt;&gt;"", 'Field information 2'!$Q$5&lt;&gt;""),
   IF(AND(Calc!BD27=0,Calc!BE27=0),
     IF('Waste results'!$S$25&lt;&gt;"data missing", Calc!BC27*'Waste results'!$S$25, "data missing"),
   IF(AND(Calc!BC27=0,Calc!BE27=0),
     IF('Waste results'!$S$61&lt;&gt;"data missing", Calc!BD27*'Waste results'!$S$61, "data missing"),
   IF(AND(Calc!BC27=0,Calc!BD27=0),
     IF('Waste results'!$S$97&lt;&gt;"data missing", Calc!BE27*'Waste results'!$S$97, "data missing"),
   IF(Calc!BE27=0,
     IF(OR('Waste results'!$S$25&lt;&gt;"data missing", 'Waste results'!$S$61&lt;&gt;"data missing"), Calc!BC27*'Waste results'!$S$25+ Calc!BD27*'Waste results'!$S$61, "data missing"),
   IF(Calc!BD27=0,
     IF(OR('Waste results'!$S$25&lt;&gt;"data missing", 'Waste results'!$S$97&lt;&gt;"data missing"), Calc!BC27*'Waste results'!$S$25+ Calc!BE27*'Waste results'!$S$97, "data missing"),
   IF(Calc!BC27=0,
     IF(OR('Waste results'!$S$61&lt;&gt;"data missing", 'Waste results'!$S$97&lt;&gt;"data missing"), Calc!BD27*'Waste results'!$S$61+Calc!BE27*'Waste results'!$S$97, "data missing"),
   IF(OR('Waste results'!$S$25&lt;&gt;"data missing", 'Waste results'!$S$61&lt;&gt;"data missing", 'Waste results'!$S$97&lt;&gt;"data missing"), Calc!BC27*'Waste results'!$S$25+Calc!BD27*'Waste results'!$S$61+ Calc!BE27*'Waste results'!$S$97, "data missing")))))))))))</f>
        <v/>
      </c>
      <c r="AM29" s="239" t="str">
        <f ca="1">IF($B29="","",
IF(ISBLANK('Soil results'!K32),"data missing",'Soil results'!K32))</f>
        <v/>
      </c>
      <c r="AN29" s="239" t="str">
        <f t="shared" ca="1" si="6"/>
        <v/>
      </c>
      <c r="AO29" s="9" t="str">
        <f t="shared" ca="1" si="7"/>
        <v/>
      </c>
      <c r="AQ29" s="240" t="str">
        <f ca="1">IF(B29="","",
IF(AND('Field information 2'!$O$5="", 'Field information 2'!$Q$5=""),
   IF('Waste results'!$S$26&lt;&gt;"data missing", Calc!BC27*'Waste results'!$S$26, "data missing"),
IF('Field information 2'!$Q$5="",
   IF(Calc!BD27=0,
     IF('Waste results'!$S$26&lt;&gt;"data missing", Calc!BC27*'Waste results'!$S$26, "data missing"),
   IF(Calc!BC27=0,
     IF('Waste results'!$S$62&lt;&gt;"data missing", Calc!BD27*'Waste results'!$S$62, "data missing"),
   IF(OR('Waste results'!$S$26&lt;&gt;"data missing", 'Waste results'!$S$62&lt;&gt;"data missing"), Calc!BC27*'Waste results'!$S$26+ Calc!BD27*'Waste results'!$S$62, "data missing"))),
IF(AND('Field information 2'!$M$5&lt;&gt;"", 'Field information 2'!$O$5&lt;&gt;"", 'Field information 2'!$Q$5&lt;&gt;""),
   IF(AND(Calc!BD27=0,Calc!BE27=0),
     IF('Waste results'!$S$26&lt;&gt;"data missing", Calc!BC27*'Waste results'!$S$26, "data missing"),
   IF(AND(Calc!BC27=0,Calc!BE27=0),
     IF('Waste results'!$S$62&lt;&gt;"data missing", Calc!BD27*'Waste results'!$S$62, "data missing"),
   IF(AND(Calc!BC27=0,Calc!BD27=0),
     IF('Waste results'!$S$98&lt;&gt;"data missing", Calc!BE27*'Waste results'!$S$98, "data missing"),
   IF(Calc!BE27=0,
     IF(OR('Waste results'!$S$26&lt;&gt;"data missing", 'Waste results'!$S$62&lt;&gt;"data missing"), Calc!BC27*'Waste results'!$S$26+ Calc!BD27*'Waste results'!$S$62, "data missing"),
   IF(Calc!BD27=0,
     IF(OR('Waste results'!$S$26&lt;&gt;"data missing", 'Waste results'!$S$98&lt;&gt;"data missing"), Calc!BC27*'Waste results'!$S$26+ Calc!BE27*'Waste results'!$S$98, "data missing"),
   IF(Calc!BC27=0,
     IF(OR('Waste results'!$S$62&lt;&gt;"data missing", 'Waste results'!$S$98&lt;&gt;"data missing"), Calc!BD27*'Waste results'!$S$62+Calc!BE27*'Waste results'!$S$98, "data missing"),
   IF(OR('Waste results'!$S$26&lt;&gt;"data missing", 'Waste results'!$S$62&lt;&gt;"data missing", 'Waste results'!$S$98&lt;&gt;"data missing"), Calc!BC27*'Waste results'!$S$26+Calc!BD27*'Waste results'!$S$62+ Calc!BE27*'Waste results'!$S$98, "data missing")))))))))))</f>
        <v/>
      </c>
      <c r="AR29" s="241" t="str">
        <f ca="1">IF($B29="","",
IF(ISBLANK('Soil results'!L32),"data missing",'Soil results'!L32))</f>
        <v/>
      </c>
      <c r="AS29" s="241" t="str">
        <f t="shared" ca="1" si="8"/>
        <v/>
      </c>
      <c r="AT29" s="66" t="str">
        <f t="shared" ca="1" si="9"/>
        <v/>
      </c>
      <c r="AV29" s="238" t="str">
        <f ca="1">IF(B29="","",
IF(AND('Field information 2'!$O$5="", 'Field information 2'!$Q$5=""),
   IF('Waste results'!$S$27&lt;&gt;"data missing", Calc!BC27*'Waste results'!$S$27, "data missing"),
IF('Field information 2'!$Q$5="",
   IF(Calc!BD27=0,
     IF('Waste results'!$S$27&lt;&gt;"data missing", Calc!BC27*'Waste results'!$S$27, "data missing"),
   IF(Calc!BC27=0,
     IF('Waste results'!$S$63&lt;&gt;"data missing", Calc!BD27*'Waste results'!$S$63, "data missing"),
   IF(OR('Waste results'!$S$27&lt;&gt;"data missing", 'Waste results'!$S$63&lt;&gt;"data missing"), Calc!BC27*'Waste results'!$S$27+ Calc!BD27*'Waste results'!$S$63, "data missing"))),
IF(AND('Field information 2'!$M$5&lt;&gt;"", 'Field information 2'!$O$5&lt;&gt;"", 'Field information 2'!$Q$5&lt;&gt;""),
   IF(AND(Calc!BD27=0,Calc!BE27=0),
     IF('Waste results'!$S$27&lt;&gt;"data missing", Calc!BC27*'Waste results'!$S$27, "data missing"),
   IF(AND(Calc!BC27=0,Calc!BE27=0),
     IF('Waste results'!$S$63&lt;&gt;"data missing", Calc!BD27*'Waste results'!$S$63, "data missing"),
   IF(AND(Calc!BC27=0,Calc!BD27=0),
     IF('Waste results'!$S$99&lt;&gt;"data missing", Calc!BE27*'Waste results'!$S$99, "data missing"),
   IF(Calc!BE27=0,
     IF(OR('Waste results'!$S$27&lt;&gt;"data missing", 'Waste results'!$S$63&lt;&gt;"data missing"), Calc!BC27*'Waste results'!$S$27+ Calc!BD27*'Waste results'!$S$63, "data missing"),
   IF(Calc!BD27=0,
     IF(OR('Waste results'!$S$27&lt;&gt;"data missing", 'Waste results'!$S$99&lt;&gt;"data missing"), Calc!BC27*'Waste results'!$S$27+ Calc!BE27*'Waste results'!$S$99, "data missing"),
   IF(Calc!BC27=0,
     IF(OR('Waste results'!$S$63&lt;&gt;"data missing", 'Waste results'!$S$99&lt;&gt;"data missing"), Calc!BD27*'Waste results'!$S$63+Calc!BE27*'Waste results'!$S$99, "data missing"),
   IF(OR('Waste results'!$S$27&lt;&gt;"data missing", 'Waste results'!$S$63&lt;&gt;"data missing", 'Waste results'!$S$99&lt;&gt;"data missing"), Calc!BC27*'Waste results'!$S$27+Calc!BD27*'Waste results'!$S$63+ Calc!BE27*'Waste results'!$S$99, "data missing")))))))))))</f>
        <v/>
      </c>
      <c r="AW29" s="239" t="str">
        <f ca="1">IF($B29="","",
IF(ISBLANK('Soil results'!M32),"data missing",'Soil results'!M32))</f>
        <v/>
      </c>
      <c r="AX29" s="239" t="str">
        <f t="shared" ca="1" si="10"/>
        <v/>
      </c>
      <c r="AY29" s="9" t="str">
        <f ca="1">IF(B29="","",
IF(AV29=0,"n/a",
IF(OR(AV29="data missing",AW29="data missing"),"data missing",
IF(AV29&gt;7.5,"application rate too high - permissible rate exceeds limit",
IF('Soil results'!$F32&lt;=5.5,
  IF(AW29&gt;80,"no application - soil conc. already above limit",
  IF(AX29&gt;80,"application rate too high - soil conc. will exceed limit",
  IF(AW29&gt;80*0.9,"soil conc. is at or above 90% of the limit",
  IF(10*AV29*1000/3000+AW29&gt;80,"soil limit likely to be exceeded in 10yrs",
  IF(50*AV29*1000/3000+AW29&gt;80,"soil limit likely to be exceeded in 50yrs","ok"))))),
IF('Soil results'!$F32&lt;=6,
  IF(AW29&gt;100,"no application - soil conc. already above limit",
  IF(AX29&gt;100,"application rate too high - soil conc. will exceed limit",
  IF(AW29&gt;100*0.9,"soil conc. is at or above 90% of the limit",
  IF(10*AV29*1000/3000+AW29&gt;100,"soil limit likely to be exceeded in 10yrs",
  IF(50*AV29*1000/3000+AW29&gt;100,"soil limit likely to be exceeded in 50yrs","ok"))))),
IF('Soil results'!$F32&lt;=7,
  IF(AW29&gt;135,"no application - soil conc. already above limit",
  IF(AX29&gt;135,"application rate too high - soil conc. will exceed limit",
  IF(AW29&gt;135*0.9,"soil conc. is at or above 90% of the limit",
  IF(10*AV29*1000/3000+AW29&gt;135,"soil limit likely to be exceeded in 10yrs",
  IF(50*AV29*1000/3000+AW29&gt;135,"soil limit likely to be exceeded in 50yrs","ok"))))),
IF('Soil results'!$F32&gt;7,
  IF(AW29&gt;200,"no application - soil conc. already above limit",
  IF(AX29&gt;200,"application too high - soil conc. will exceed limit",
  IF(AW29&gt;200*0.9,"soil conc. is at or above 90% of the limit",
  IF(10*AV29*1000/3000+AW29&gt;200,"soil limit likely to be exceeded in 10yrs",
  IF(50*AV29*1000/3000+AW29&gt;200,"soil limit likely to be exceeded in 50yrs","ok")))))
))))))))</f>
        <v/>
      </c>
      <c r="BA29" s="238" t="str">
        <f ca="1">IF(B29="","",
IF(AND('Field information 2'!$O$5="", 'Field information 2'!$Q$5=""),
   IF('Waste results'!$S$28&lt;&gt;"data missing", Calc!BC27*'Waste results'!$S$28, "data missing"),
IF('Field information 2'!$Q$5="",
   IF(Calc!BD27=0,
     IF('Waste results'!$S$28&lt;&gt;"data missing", Calc!BC27*'Waste results'!$S$28, "data missing"),
   IF(Calc!BC27=0,
     IF('Waste results'!$S$64&lt;&gt;"data missing", Calc!BD27*'Waste results'!$S$64, "data missing"),
   IF(OR('Waste results'!$S$28&lt;&gt;"data missing", 'Waste results'!$S$64&lt;&gt;"data missing"), Calc!BC27*'Waste results'!$S$28+ Calc!BD27*'Waste results'!$S$64, "data missing"))),
IF(AND('Field information 2'!$M$5&lt;&gt;"", 'Field information 2'!$O$5&lt;&gt;"", 'Field information 2'!$Q$5&lt;&gt;""),
   IF(AND(Calc!BD27=0,Calc!BE27=0),
     IF('Waste results'!$S$28&lt;&gt;"data missing", Calc!BC27*'Waste results'!$S$28, "data missing"),
   IF(AND(Calc!BC27=0,Calc!BE27=0),
     IF('Waste results'!$S$64&lt;&gt;"data missing", Calc!BD27*'Waste results'!$S$64, "data missing"),
   IF(AND(Calc!BC27=0,Calc!BD27=0),
     IF('Waste results'!$S$100&lt;&gt;"data missing", Calc!BE27*'Waste results'!$S$100, "data missing"),
   IF(Calc!BE27=0,
     IF(OR('Waste results'!$S$28&lt;&gt;"data missing", 'Waste results'!$S$64&lt;&gt;"data missing"), Calc!BC27*'Waste results'!$S$28+ Calc!BD27*'Waste results'!$S$64, "data missing"),
   IF(Calc!BD27=0,
     IF(OR('Waste results'!$S$28&lt;&gt;"data missing", 'Waste results'!$S$100&lt;&gt;"data missing"), Calc!BC27*'Waste results'!$S$28+ Calc!BE27*'Waste results'!$S$100, "data missing"),
   IF(Calc!BC27=0,
     IF(OR('Waste results'!$S$64&lt;&gt;"data missing", 'Waste results'!$S$100&lt;&gt;"data missing"), Calc!BD27*'Waste results'!$S$64+Calc!BE27*'Waste results'!$S$100, "data missing"),
   IF(OR('Waste results'!$S$28&lt;&gt;"data missing", 'Waste results'!$S$64&lt;&gt;"data missing", 'Waste results'!$S$100&lt;&gt;"data missing"), Calc!BC27*'Waste results'!$S$28+Calc!BD27*'Waste results'!$S$64+ Calc!BE27*'Waste results'!$S$100, "data missing")))))))))))</f>
        <v/>
      </c>
      <c r="BB29" s="239" t="str">
        <f ca="1">IF($B29="","",
IF(ISBLANK('Soil results'!N32),"data missing",'Soil results'!N32))</f>
        <v/>
      </c>
      <c r="BC29" s="239" t="str">
        <f t="shared" ca="1" si="11"/>
        <v/>
      </c>
      <c r="BD29" s="9" t="str">
        <f t="shared" ca="1" si="12"/>
        <v/>
      </c>
      <c r="BF29" s="238" t="str">
        <f ca="1">IF(B29="","",
IF(AND('Field information 2'!$O$5="", 'Field information 2'!$Q$5=""),
   IF('Waste results'!$S$29&lt;&gt;"data missing", Calc!BC27*'Waste results'!$S$29, "data missing"),
IF('Field information 2'!$Q$5="",
   IF(Calc!BD27=0,
     IF('Waste results'!$S$29&lt;&gt;"data missing", Calc!BC27*'Waste results'!$S$29, "data missing"),
   IF(Calc!BC27=0,
     IF('Waste results'!$S$65&lt;&gt;"data missing", Calc!BD27*'Waste results'!$S$65, "data missing"),
   IF(OR('Waste results'!$S$29&lt;&gt;"data missing", 'Waste results'!$S$65&lt;&gt;"data missing"), Calc!BC27*'Waste results'!$S$29+ Calc!BD27*'Waste results'!$S$65, "data missing"))),
IF(AND('Field information 2'!$M$5&lt;&gt;"", 'Field information 2'!$O$5&lt;&gt;"", 'Field information 2'!$Q$5&lt;&gt;""),
   IF(AND(Calc!BD27=0,Calc!BE27=0),
     IF('Waste results'!$S$29&lt;&gt;"data missing", Calc!BC27*'Waste results'!$S$29, "data missing"),
   IF(AND(Calc!BC27=0,Calc!BE27=0),
     IF('Waste results'!$S$65&lt;&gt;"data missing", Calc!BD27*'Waste results'!$S$65, "data missing"),
   IF(AND(Calc!BC27=0,Calc!BD27=0),
     IF('Waste results'!$S$101&lt;&gt;"data missing", Calc!BE27*'Waste results'!$S$101, "data missing"),
   IF(Calc!BE27=0,
     IF(OR('Waste results'!$S$29&lt;&gt;"data missing", 'Waste results'!$S$65&lt;&gt;"data missing"), Calc!BC27*'Waste results'!$S$29+ Calc!BD27*'Waste results'!$S$65, "data missing"),
   IF(Calc!BD27=0,
     IF(OR('Waste results'!$S$29&lt;&gt;"data missing", 'Waste results'!$S$101&lt;&gt;"data missing"), Calc!BC27*'Waste results'!$S$29+ Calc!BE27*'Waste results'!$S$101, "data missing"),
   IF(Calc!BC27=0,
     IF(OR('Waste results'!$S$65&lt;&gt;"data missing", 'Waste results'!$S$101&lt;&gt;"data missing"), Calc!BD27*'Waste results'!$S$65+Calc!BE27*'Waste results'!$S$101, "data missing"),
   IF(OR('Waste results'!$S$29&lt;&gt;"data missing", 'Waste results'!$S$65&lt;&gt;"data missing", 'Waste results'!$S$101&lt;&gt;"data missing"), Calc!BC27*'Waste results'!$S$29+Calc!BD27*'Waste results'!$S$65+ Calc!BE27*'Waste results'!$S$101, "data missing")))))))))))</f>
        <v/>
      </c>
      <c r="BG29" s="239" t="str">
        <f ca="1">IF($B29="","",
IF(ISBLANK('Soil results'!O32),"data missing",'Soil results'!O32))</f>
        <v/>
      </c>
      <c r="BH29" s="239" t="str">
        <f t="shared" ca="1" si="13"/>
        <v/>
      </c>
      <c r="BI29" s="9" t="str">
        <f ca="1">IF(B29="","",
IF(BF29=0,"n/a",
IF(OR(BF29="data missing",BG29="data missing"),"data missing",
IF(BF29&gt;3,"application rate too high - permissible rate exceeds limit",
IF('Soil results'!F32&lt;=5.5,
  IF(BG29&gt;50,"no application - soil conc. already above limit",
  IF(BH29&gt;50,"application rate too high - soil conc. will exceed limit",
  IF(BG29&gt;50*0.9,"soil conc. is at or above 90% of the limit",
  IF(10*BF29*1000/3000+BG29&gt;50,"soil limit likely to be exceeded in 10yrs",
  IF(50*BF29*1000/3000+BG29&gt;50,"soil limit likely to be exceeded in 50yrs","ok"))))),
IF('Soil results'!F32&lt;=6,
  IF(BG29&gt;60,"no application - soil conc. already above limit",
  IF(BH29&gt;60,"application rate too high - soil conc. will exceed limit",
  IF(BG29&gt;60*0.9,"soil conc. is at or above 90% of the limit",
  IF(10*BF29*1000/3000+BG29&gt;60,"soil limit likely to be exceeded in 10yrs",
  IF(50*BF29*1000/3000+BG29&gt;60,"soil limit likely to be exceeded in 50yrs","ok"))))),
IF('Soil results'!F32&lt;=7,
  IF(BG29&gt;75,"no application - soil conc. already above limit",
  IF(BH29&gt;75,"application rate too high - soil conc. will exceed limit",
  IF(BG29&gt;75*0.9,"soil conc. is at or above 90% of the limit",
  IF(10*BF29*1000/3000+BG29&gt;75,"soil limit likely to be exceeded in 10yrs",
  IF(50*BF29*1000/3000+BG29&gt;75,"soil limit likely to be exceeded in 50yrs","ok"))))),
IF('Soil results'!F32&gt;7,
  IF(BG29&gt;100,"no application - soil conc. already above limit",
  IF(BH29&gt;100,"application rate too high - soil conc. will exceed limit",
  IF(BG29&gt;100*0.9,"soil conc. is at or above 90% of the limit",
  IF(10*BF29*1000/3000+BG29&gt;100,"soil limit likely to be exceeded in 10yrs",
  IF(50*BF29*1000/3000+BG29&gt;100,"soil limit likely to beexceeded in 50yrs","ok")))))
))))))))</f>
        <v/>
      </c>
      <c r="BK29" s="240" t="str">
        <f ca="1">IF(B29="","",
IF(AND('Field information 2'!$O$5="", 'Field information 2'!$Q$5=""),
   IF('Waste results'!$S$30&lt;&gt;"data missing", Calc!BC27*'Waste results'!$S$30, "data missing"),
IF('Field information 2'!$Q$5="",
   IF(Calc!BD27=0,
     IF('Waste results'!$S$30&lt;&gt;"data missing", Calc!BC27*'Waste results'!$S$30, "data missing"),
   IF(Calc!BC27=0,
     IF('Waste results'!$S$66&lt;&gt;"data missing", Calc!BD27*'Waste results'!$S$66, "data missing"),
   IF(OR('Waste results'!$S$30&lt;&gt;"data missing", 'Waste results'!$S$66&lt;&gt;"data missing"), Calc!BC27*'Waste results'!$S$30+ Calc!BD27*'Waste results'!$S$66, "data missing"))),
IF(AND('Field information 2'!$M$5&lt;&gt;"", 'Field information 2'!$O$5&lt;&gt;"", 'Field information 2'!$Q$5&lt;&gt;""),
   IF(AND(Calc!BD27=0,Calc!BE27=0),
     IF('Waste results'!$S$30&lt;&gt;"data missing", Calc!BC27*'Waste results'!$S$30, "data missing"),
   IF(AND(Calc!BC27=0,Calc!BE27=0),
     IF('Waste results'!$S$66&lt;&gt;"data missing", Calc!BD27*'Waste results'!$S$66, "data missing"),
   IF(AND(Calc!BC27=0,Calc!BD27=0),
     IF('Waste results'!$S$102&lt;&gt;"data missing", Calc!BE27*'Waste results'!$S$102, "data missing"),
   IF(Calc!BE27=0,
     IF(OR('Waste results'!$S$30&lt;&gt;"data missing", 'Waste results'!$S$66&lt;&gt;"data missing"), Calc!BC27*'Waste results'!$S$30+ Calc!BD27*'Waste results'!$S$66, "data missing"),
   IF(Calc!BD27=0,
     IF(OR('Waste results'!$S$30&lt;&gt;"data missing", 'Waste results'!$S$102&lt;&gt;"data missing"), Calc!BC27*'Waste results'!$S$30+ Calc!BE27*'Waste results'!$S$102, "data missing"),
   IF(Calc!BC27=0,
     IF(OR('Waste results'!$S$66&lt;&gt;"data missing", 'Waste results'!$S$102&lt;&gt;"data missing"), Calc!BD27*'Waste results'!$S$66+Calc!BE27*'Waste results'!$S$102, "data missing"),
   IF(OR('Waste results'!$S$30&lt;&gt;"data missing", 'Waste results'!$S$66&lt;&gt;"data missing", 'Waste results'!$S$102&lt;&gt;"data missing"), Calc!BC27*'Waste results'!$S$30+Calc!BD27*'Waste results'!$S$66+ Calc!BE27*'Waste results'!$S$102, "data missing")))))))))))</f>
        <v/>
      </c>
      <c r="BL29" s="241" t="str">
        <f ca="1">IF($B29="","",
IF(ISBLANK('Soil results'!P32),"data missing",'Soil results'!P32))</f>
        <v/>
      </c>
      <c r="BM29" s="241" t="str">
        <f t="shared" ca="1" si="14"/>
        <v/>
      </c>
      <c r="BN29" s="66" t="str">
        <f t="shared" ca="1" si="15"/>
        <v/>
      </c>
      <c r="BP29" s="238" t="str">
        <f ca="1">IF(B29="","",
IF(AND('Field information 2'!$O$5="", 'Field information 2'!$Q$5=""),
   IF('Waste results'!$S$31&lt;&gt;"data missing", Calc!BC27*'Waste results'!$S$31, "data missing"),
IF('Field information 2'!$Q$5="",
   IF(Calc!BD27=0,
     IF('Waste results'!$S$31&lt;&gt;"data missing", Calc!BC27*'Waste results'!$S$31, "data missing"),
   IF(Calc!BC27=0,
     IF('Waste results'!$S$67&lt;&gt;"data missing", Calc!BD27*'Waste results'!$S$67, "data missing"),
   IF(OR('Waste results'!$S$31&lt;&gt;"data missing", 'Waste results'!$S$67&lt;&gt;"data missing"), Calc!BC27*'Waste results'!$S$31+ Calc!BD27*'Waste results'!$S$67, "data missing"))),
IF(AND('Field information 2'!$M$5&lt;&gt;"", 'Field information 2'!$O$5&lt;&gt;"", 'Field information 2'!$Q$5&lt;&gt;""),
   IF(AND(Calc!BD27=0,Calc!BE27=0),
     IF('Waste results'!$S$31&lt;&gt;"data missing", Calc!BC27*'Waste results'!$S$31, "data missing"),
   IF(AND(Calc!BC27=0,Calc!BE27=0),
     IF('Waste results'!$S$67&lt;&gt;"data missing", Calc!BD27*'Waste results'!$S$67, "data missing"),
   IF(AND(Calc!BC27=0,Calc!BD27=0),
     IF('Waste results'!$S$103&lt;&gt;"data missing", Calc!BE27*'Waste results'!$S$103, "data missing"),
   IF(Calc!BE27=0,
     IF(OR('Waste results'!$S$31&lt;&gt;"data missing", 'Waste results'!$S$67&lt;&gt;"data missing"), Calc!BC27*'Waste results'!$S$31+ Calc!BD27*'Waste results'!$S$67, "data missing"),
   IF(Calc!BD27=0,
     IF(OR('Waste results'!$S$31&lt;&gt;"data missing", 'Waste results'!$S$103&lt;&gt;"data missing"), Calc!BC27*'Waste results'!$S$31+ Calc!BE27*'Waste results'!$S$103, "data missing"),
   IF(Calc!BC27=0,
     IF(OR('Waste results'!$S$67&lt;&gt;"data missing", 'Waste results'!$S$103&lt;&gt;"data missing"), Calc!BD27*'Waste results'!$S$67+Calc!BE27*'Waste results'!$S$103, "data missing"),
   IF(OR('Waste results'!$S$31&lt;&gt;"data missing", 'Waste results'!$S$67&lt;&gt;"data missing", 'Waste results'!$S$103&lt;&gt;"data missing"), Calc!BC27*'Waste results'!$S$31+Calc!BD27*'Waste results'!$S$67+ Calc!BE27*'Waste results'!$S$103, "data missing")))))))))))</f>
        <v/>
      </c>
      <c r="BQ29" s="239" t="str">
        <f ca="1">IF($B29="","",
IF(ISBLANK('Soil results'!Q32),"data missing",'Soil results'!Q32))</f>
        <v/>
      </c>
      <c r="BR29" s="239" t="str">
        <f t="shared" ca="1" si="16"/>
        <v/>
      </c>
      <c r="BS29" s="9" t="str">
        <f ca="1">IF(B29="","",
IF(BP29=0,"n/a",
IF(OR(BP29="data missing",BQ29=""),"data missing",
IF(BP29&gt;15,"application rate too high - permissible rate exceeds limit",
IF('Soil results'!F32&lt;=5.5,
  IF(BQ29&gt;200,"no application - soil conc. already above limit",
  IF(BR29&gt;200,"application rate too high - soil conc. will exceed limit",
  IF(BQ29&gt;200*0.9,"soil conc. is at or above 90% of the limit",
  IF(10*BP29*1000/3000+BQ29&gt;200,"soil limit likely to be exceeded in 10yrs",
  IF(50*BP29*1000/3000+BQ29&gt;200,"soil limit likely to be exceeded in 50yrs","ok"))))),
IF('Soil results'!F32&lt;=6,
  IF(BQ29&gt;250,"no application - soil conc. already above limit",
  IF(BR29&gt;250,"application rate too high - soil conc. will exceed limit",
  IF(BQ29&gt;250*0.9,"soil conc. is at or above 90% of the limit",
  IF(10*BP29*1000/3000+BQ29&gt;250,"soil limit likely to be exceeded in 10yrs",
  IF(50*BP29*1000/3000+BQ29&gt;250,"soil limit likely to be exceeded in 50yrs","ok"))))),
IF('Soil results'!F32&lt;=7,
  IF(BQ29&gt;300,"no application - soil conc. already above limit",
  IF(BR29&gt;300,"application rate too high - soil conc. will exceed limit",
  IF(BQ29&gt;300*0.9,"soil conc. is at or above 90% of the limit",
  IF(10*BP29*1000/3000+BQ29&gt;300,"soil limit likey to be exceeded in 10yrs",
  IF(50*BP29*1000/3000+BQ29&gt;300,"soil limit likely to be exceeded in 50yrs","ok"))))),
IF('Soil results'!F32&gt;7,
  IF(BQ29&gt;450,"no application - soil conc. already above limit",
  IF(BR29&gt;450,"application rate too high - soil conc. will exceed limit",
  IF(AW29&gt;450*0.9,"soil conc. is at or above 90% of the limit",
  IF(10*BP29*1000/3000+BQ29&gt;450,"soil limit likely to be exceeded in 10yrs",
  IF(50*BP29*1000/3000+BQ29&gt;450,"soil limit likely to be exceeded in 50yrs","ok")))))
))))))))</f>
        <v/>
      </c>
    </row>
    <row r="30" spans="2:71" s="9" customFormat="1" x14ac:dyDescent="0.35">
      <c r="B30" s="236" t="str">
        <f ca="1">'Soil results'!B33</f>
        <v/>
      </c>
      <c r="C30" s="91" t="str">
        <f ca="1">IF(B30="","",
IF(AND('Field information 2'!$O$5="", 'Field information 2'!$Q$5=""),
   IF('Waste results'!$S$12&lt;&gt;"data missing", Calc!BC28*'Waste results'!$S$12, "data missing"),
IF('Field information 2'!$Q$5="",
   IF(Calc!BD28=0,
     IF('Waste results'!$S$12&lt;&gt;"data missing", Calc!BC28*'Waste results'!$S$12, "data missing"),
   IF(Calc!BC28=0,
     IF('Waste results'!$S$48&lt;&gt;"data missing", Calc!BD28*'Waste results'!$S$48, "data missing"),
   IF(OR('Waste results'!$S$12&lt;&gt;"data missing", 'Waste results'!$S$48&lt;&gt;"data missing"), Calc!BC28*'Waste results'!$S$12+ Calc!BD28*'Waste results'!$S$48, "data missing"))),
IF(AND('Field information 2'!$M$5&lt;&gt;"", 'Field information 2'!$O$5&lt;&gt;"", 'Field information 2'!$Q$5&lt;&gt;""),
   IF(AND(Calc!BD28=0,Calc!BE28=0),
     IF('Waste results'!$S$12&lt;&gt;"data missing", Calc!BC28*'Waste results'!$S$12, "data missing"),
   IF(AND(Calc!BC28=0,Calc!BE28=0),
     IF('Waste results'!$S$48&lt;&gt;"data missing", Calc!BD28*'Waste results'!$S$48, "data missing"),
   IF(AND(Calc!BC28=0,Calc!BD28=0),
     IF('Waste results'!$S$84&lt;&gt;"data missing", Calc!BE28*'Waste results'!$S$84, "data missing"),
   IF(Calc!BE28=0,
     IF(OR('Waste results'!$S$12&lt;&gt;"data missing", 'Waste results'!$S$48&lt;&gt;"data missing"), Calc!BC28*'Waste results'!$S$12+ Calc!BD28*'Waste results'!$S$48, "data missing"),
   IF(Calc!BD28=0,
     IF(OR('Waste results'!$S$12&lt;&gt;"data missing", 'Waste results'!$S$84&lt;&gt;"data missing"), Calc!BC28*'Waste results'!$S$12+ Calc!BE28*'Waste results'!$S$84, "data missing"),
   IF(Calc!BC28=0,
     IF(OR('Waste results'!$S$48&lt;&gt;"data missing", 'Waste results'!$S$84&lt;&gt;"data missing"), Calc!BD28*'Waste results'!$S$48+Calc!BE28*'Waste results'!$S$84, "data missing"),
   IF(OR('Waste results'!$S$12&lt;&gt;"data missing", 'Waste results'!$S$48&lt;&gt;"data missing", 'Waste results'!$S$84&lt;&gt;"data missing"), Calc!BC28*'Waste results'!$S$12+Calc!BD28*'Waste results'!$S$48+ Calc!BE28*'Waste results'!$S$84, "data missing")))))))))))</f>
        <v/>
      </c>
      <c r="D30" s="161" t="str">
        <f ca="1">IF(B30="","",
IF(Calc!BG28="","soil texture missing",
IF(OR(Calc!BG28="SL; SZL; ZL",Calc!BG28="SCL; CL; ZCL; SC; ZC; C"),VLOOKUP(Calc!BI28,'Fertiliser recommendations'!$A$4:$C$63,3,FALSE),
IF(Calc!BG28="S; LS",VLOOKUP(Calc!BI28,'Fertiliser recommendations'!$A$4:$C$63,3,FALSE)+VLOOKUP(Calc!BI28,'Fertiliser recommendations'!$A$4:$D$63,4,FALSE),
IF(Calc!BG28="10-25% OM",VLOOKUP(Calc!BI28,'Fertiliser recommendations'!$A$4:$C$63,3,FALSE)+VLOOKUP(Calc!BI28,'Fertiliser recommendations'!$A$4:$E$63,5,FALSE),
IF(Calc!BG28="&gt;25% OM",VLOOKUP(Calc!BI28,'Fertiliser recommendations'!$A$4:$C$63,3,FALSE)+VLOOKUP(Calc!BI28,'Fertiliser recommendations'!$A$4:$F$63,6,FALSE),
""))))))</f>
        <v/>
      </c>
      <c r="E30" s="91" t="str">
        <f t="shared" ca="1" si="0"/>
        <v/>
      </c>
      <c r="F30" s="9" t="str">
        <f ca="1">IF(B30="","",
IF(OR(C30="data missing",D30="soil texture missing"),"data missing",
IF(Calc!BF28=0,"n/a",
IF(C30&lt;0.1*D30,"no benefit",
IF(C30&lt;0.3*D30,"limited benefit",
IF(C30&gt;250,"exceeds limit",
IF(OR(AND(D30=0,C30&gt;75),C30&gt;1.25*D30),"excessive",
IF(D30=0, "no requirement",
"benefit"))))))))</f>
        <v/>
      </c>
      <c r="H30" s="91" t="str">
        <f ca="1">IF(B30="","",
IF(AND('Field information 2'!$O$5="", 'Field information 2'!$Q$5=""),
   IF('Waste results'!$S$17&lt;&gt;"data missing", Calc!BC28*'Waste results'!$S$17, "data missing"),
IF('Field information 2'!$Q$5="",
   IF(Calc!BD28=0,
     IF('Waste results'!$S$17&lt;&gt;"data missing", Calc!BC28*'Waste results'!$S$17, "data missing"),
   IF(Calc!BC28=0,
     IF('Waste results'!$S$53&lt;&gt;"data missing", Calc!BD28*'Waste results'!$S$53, "data missing"),
   IF(OR('Waste results'!$S$17&lt;&gt;"data missing", 'Waste results'!$S$53&lt;&gt;"data missing"), Calc!BC28*'Waste results'!$S$17+ Calc!BD28*'Waste results'!$S$53, "data missing"))),
IF(AND('Field information 2'!$M$5&lt;&gt;"", 'Field information 2'!$O$5&lt;&gt;"", 'Field information 2'!$Q$5&lt;&gt;""),
   IF(AND(Calc!BD28=0,Calc!BE28=0),
     IF('Waste results'!$S$17&lt;&gt;"data missing", Calc!BC28*'Waste results'!$S$17, "data missing"),
   IF(AND(Calc!BC28=0,Calc!BE28=0),
     IF('Waste results'!$S$53&lt;&gt;"data missing", Calc!BD28*'Waste results'!$S$53, "data missing"),
   IF(AND(Calc!BC28=0,Calc!BD28=0),
     IF('Waste results'!$S$89&lt;&gt;"data missing", Calc!BE28*'Waste results'!$S$89, "data missing"),
   IF(Calc!BE28=0,
     IF(OR('Waste results'!$S$17&lt;&gt;"data missing", 'Waste results'!$S$53&lt;&gt;"data missing"), Calc!BC28*'Waste results'!$S$17+ Calc!BD28*'Waste results'!$S$53, "data missing"),
   IF(Calc!BD28=0,
     IF(OR('Waste results'!$S$17&lt;&gt;"data missing", 'Waste results'!$S$89&lt;&gt;"data missing"), Calc!BC28*'Waste results'!$S$17+ Calc!BE28*'Waste results'!$S$89, "data missing"),
   IF(Calc!BC28=0,
     IF(OR('Waste results'!$S$53&lt;&gt;"data missing", 'Waste results'!$S$89&lt;&gt;"data missing"), Calc!BD28*'Waste results'!$S$53+Calc!BE28*'Waste results'!$S$89, "data missing"),
   IF(OR('Waste results'!$S$17&lt;&gt;"data missing", 'Waste results'!$S$53&lt;&gt;"data missing", 'Waste results'!$S$89&lt;&gt;"data missing"), Calc!BC28*'Waste results'!$S$17+Calc!BD28*'Waste results'!$S$53+ Calc!BE28*'Waste results'!$S$89, "data missing")))))))))))</f>
        <v/>
      </c>
      <c r="I30" s="195" t="str">
        <f ca="1">IF(B30="","",
IF(OR(ISBLANK('Soil results'!G33), ISBLANK('Soil results'!G$7)),"data missing",
IF(OR(AND('Soil results'!G$7="Olsen (ADAS)",'Soil results'!G33&lt;16),AND('Soil results'!G$7="modified Morgan (SAC)",'Soil results'!G33&lt;4.5)),50,100)))</f>
        <v/>
      </c>
      <c r="J30" s="49" t="str">
        <f ca="1">IF(B30="","",
IF(OR(ISBLANK('Soil results'!G$7),ISBLANK('Soil results'!G33)),"data missing",
IF(OR(AND('Soil results'!G$7="Olsen (ADAS)",'Soil results'!G33&gt;45),AND('Soil results'!G$7="modified Morgan (SAC)",'Soil results'!G33&gt;30)),0,
IF(OR(AND('Soil results'!G$7="Olsen (ADAS)",'Soil results'!G33&gt;=16,'Soil results'!G33&lt;=20),AND('Soil results'!G$7="modified Morgan (SAC)",'Soil results'!G33&gt;=4.5,'Soil results'!G33&lt;=9.4)),VLOOKUP(Calc!BI28,'Fertiliser recommendations'!$A$4:$I$63,9,FALSE),
IF(OR(AND('Soil results'!G$7="Olsen (ADAS)",'Soil results'!G33&lt;10),AND('Soil results'!G$7="modified Morgan (SAC)",'Soil results'!G33&lt;1.8)),VLOOKUP(Calc!BI28,'Fertiliser recommendations'!$A$4:$I$63,9,FALSE)+VLOOKUP(Calc!BI28,'Fertiliser recommendations'!$A$4:$J$63,10,FALSE),
IF(OR(AND('Soil results'!G$7="Olsen (ADAS)",'Soil results'!G33&lt;16),AND('Soil results'!G$7="modified Morgan (SAC)",'Soil results'!G33&lt;4.5)),VLOOKUP(Calc!BI28,'Fertiliser recommendations'!$A$4:$I$63,9,FALSE)+VLOOKUP(Calc!BI28,'Fertiliser recommendations'!$A$4:$K$63,11,FALSE),
IF(OR(AND('Soil results'!G$7="Olsen (ADAS)",'Soil results'!G33&lt;26),AND('Soil results'!G$7="modified Morgan (SAC)",'Soil results'!G33&lt;13.5)),VLOOKUP(Calc!BI28,'Fertiliser recommendations'!$A$4:$I$63,9,FALSE)+VLOOKUP(Calc!BI28,'Fertiliser recommendations'!$A$4:$L$63,12,FALSE),
IF(OR(AND('Soil results'!G$7="Olsen (ADAS)",'Soil results'!G33&lt;=45),AND('Soil results'!G$7="modified Morgan (SAC)",'Soil results'!G33&lt;=30)),VLOOKUP(Calc!BI28,'Fertiliser recommendations'!$A$4:$I$63,9,FALSE)+VLOOKUP(Calc!BI28,'Fertiliser recommendations'!$A$4:$M$63,13,FALSE),
""))))))))</f>
        <v/>
      </c>
      <c r="K30" s="161" t="str">
        <f t="shared" ca="1" si="1"/>
        <v/>
      </c>
      <c r="L30" s="47" t="str">
        <f ca="1">IF(OR(ISBLANK('Soil results'!G$7),ISBLANK('Soil results'!G33),B30="", H30="data missing"),"",
IF('Soil results'!G$7="Olsen (ADAS)",
IF(((H30*Calc!BM28/2.291-(VLOOKUP(Calc!BI28,'Fertiliser recommendations'!$A$4:$I$63,9,FALSE))/2.291)*10/(400/2.291)+'Soil results'!G33)&lt;10,"0 (VL)",
IF(((H30*Calc!BM28/2.291-(VLOOKUP(Calc!BI28,'Fertiliser recommendations'!$A$4:$I$63,9,FALSE))/2.291)*10/(400/2.291)+'Soil results'!G33)&lt;16,"1 (L)",
IF(((H30*Calc!BM28/2.291-(VLOOKUP(Calc!BI28,'Fertiliser recommendations'!$A$4:$I$63,9,FALSE))/2.291)*10/(400/2.291)+'Soil results'!G33)&lt;21,"2 (M-)",
IF(((H30*Calc!BM28/2.291-(VLOOKUP(Calc!BI28,'Fertiliser recommendations'!$A$4:$I$63,9,FALSE))/2.291)*10/(400/2.291)+'Soil results'!G33)&lt;26,"2 (M+)",
IF(((H30*Calc!BM28/2.291-(VLOOKUP(Calc!BI28,'Fertiliser recommendations'!$A$4:$I$63,9,FALSE))/2.291)*10/(400/2.291)+'Soil results'!G33)&lt;45,"3 (H)","&gt;3 (VH)"))))),
IF('Soil results'!G$7="modified Morgan (SAC)",
IF('Soil results'!G33&gt;=6,
IF(((H30*Calc!BM28/2.291-(VLOOKUP(Calc!BI28,'Fertiliser recommendations'!$A$4:$I$63,9,FALSE))/2.291)*5/(147/2.291)+'Soil results'!G33)&lt;9.5,"2 (M-)",
IF(((H30*Calc!BM28/2.291-(VLOOKUP(Calc!BI28,'Fertiliser recommendations'!$A$4:$I$63,9,FALSE))/2.291)*5/(147/2.291)+'Soil results'!G33)&lt;13.5,"2 (M+)",
IF(((H30*Calc!BM28/2.291-(VLOOKUP(Calc!BI28,'Fertiliser recommendations'!$A$4:$I$63,9,FALSE))/2.291)*5/(147/2.291)+'Soil results'!G33)&lt;30,"3 (H)","4 (VH)"))),
IF(((H30*Calc!BM28/2.291-(VLOOKUP(Calc!BI28,'Fertiliser recommendations'!$A$4:$I$63,9,FALSE))/2.291)*5/(346/2.291)+'Soil results'!G33)&lt;1.8,"0 (VL)",
IF(((H30*Calc!BM28/2.291-(VLOOKUP(Calc!BI28,'Fertiliser recommendations'!$A$4:$I$63,9,FALSE))/2.291)*5/(147/2.291)+'Soil results'!G33)&lt;4.5,"1 (L)","2 (M-)"))))))</f>
        <v/>
      </c>
      <c r="M30" s="9" t="str">
        <f ca="1">IF(B30="","",
IF(OR(H30="data missing",I30="data missing",J30="data missing"),"data missing",
IF(Calc!BF28=0,"n/a",
IF(OR(AND('Soil results'!G$7="Olsen (ADAS)",'Soil results'!G33&gt;45),AND('Soil results'!G$7="modified Morgan (SAC)",'Soil results'!G33&gt;30)),
IF(H30&gt;2,"too high, not acceptable","no requirement"),IF(OR(AND('Soil results'!G$7="Olsen (ADAS)",'Soil results'!G33&gt;25),AND('Soil results'!G$7="modified Morgan (SAC)",'Soil results'!G33&gt;13.4)),
IF(H30*(I30/100)&lt;0.1*J30,"no benefit",
IF(H30*(I30/100)&lt;0.3*J30,"limited benefit",
IF(H30*(I30/100)&lt;1.1*J30,"benefit",
IF(H30*(I30/100)&lt;0.7*VLOOKUP(Calc!BI28,'Fertiliser recommendations'!$A$4:$I$63,9,FALSE),"excessive","too high, not acceptable")))),
IF(OR(AND('Soil results'!G$7="Olsen (ADAS)",'Soil results'!G33&gt;20),AND('Soil results'!G$7="modified Morgan (SAC)",'Soil results'!G33&gt;9.4)),
IF(H30*Calc!BM28*(I30/100)&lt;0.1*J30,"no benefit",
IF(H30*Calc!BM28*(I30/100)&lt;0.3*J30,"limited benefit",
IF(H30*Calc!BM28*(I30/100)&lt;1.1*J30,"benefit",
IF(L30="3 (H)","too high, not acceptable","excessive")))),
IF(OR(AND('Soil results'!G$7="Olsen (ADAS)",'Soil results'!G33&gt;15),AND('Soil results'!G$7="modified Morgan (SAC)",'Soil results'!G33&gt;4.4)),
IF(H30*Calc!BM28*(I30/100)&lt;0.1*VLOOKUP(Calc!BI28,'Fertiliser recommendations'!$A$4:$I$63,9,FALSE),"no benefit",
IF(H30*Calc!BM28*(I30/100)&lt;0.3*VLOOKUP(Calc!BI28,'Fertiliser recommendations'!$A$4:$I$63,9,FALSE),"limited benefit",
IF(H30*Calc!BM28*(I30/100)&lt;1.1*VLOOKUP(Calc!BI28,'Fertiliser recommendations'!$A$4:$I$63,9,FALSE),"benefit",
IF(L30="3 (H)", "too high, not acceptable", "excessive")))),
IF(OR(AND('Soil results'!G$7="Olsen (ADAS)",'Soil results'!G33&lt;=15),AND('Soil results'!G$7="modified Morgan (SAC)",'Soil results'!G33&lt;=4.4)),
IF(H30*Calc!BM28*(I30/100)&lt;0.1*VLOOKUP(Calc!BI28,'Fertiliser recommendations'!$A$4:$I$63,9,FALSE),"no benefit",
IF(H30*Calc!BM28*(I30/100)&lt;0.3*VLOOKUP(Calc!BI28,'Fertiliser recommendations'!$A$4:$I$63,9,FALSE),"limited benefit",
IF(H30*Calc!BM28*(I30/100)&lt;1.1*J30,"benefit","excessive")))))))))))</f>
        <v/>
      </c>
      <c r="O30" s="91" t="str">
        <f ca="1">IF(B30="","",
IF(AND('Field information 2'!$O$5="", 'Field information 2'!$Q$5=""),
   IF('Waste results'!$S$19&lt;&gt;"data missing", Calc!BC28*'Waste results'!$S$19, "data missing"),
IF('Field information 2'!$Q$5="",
   IF(Calc!BD28=0,
     IF('Waste results'!$S$19&lt;&gt;"data missing", Calc!BC28*'Waste results'!$S$19, "data missing"),
   IF(Calc!BC28=0,
     IF('Waste results'!$S$55&lt;&gt;"data missing", Calc!BD28*'Waste results'!$S$55, "data missing"),
   IF(OR('Waste results'!$S$19&lt;&gt;"data missing", 'Waste results'!$S$55&lt;&gt;"data missing"), Calc!BC28*'Waste results'!$S$19+ Calc!BD28*'Waste results'!$S$55, "data missing"))),
IF(AND('Field information 2'!$M$5&lt;&gt;"", 'Field information 2'!$O$5&lt;&gt;"", 'Field information 2'!$Q$5&lt;&gt;""),
   IF(AND(Calc!BD28=0,Calc!BE28=0),
     IF('Waste results'!$S$19&lt;&gt;"data missing", Calc!BC28*'Waste results'!$S$19, "data missing"),
   IF(AND(Calc!BC28=0,Calc!BE28=0),
     IF('Waste results'!$S$55&lt;&gt;"data missing", Calc!BD28*'Waste results'!$S$55, "data missing"),
   IF(AND(Calc!BC28=0,Calc!BD28=0),
     IF('Waste results'!$S$91&lt;&gt;"data missing", Calc!BE28*'Waste results'!$S$91, "data missing"),
   IF(Calc!BE28=0,
     IF(OR('Waste results'!$S$19&lt;&gt;"data missing", 'Waste results'!$S$55&lt;&gt;"data missing"), Calc!BC28*'Waste results'!$S$19+ Calc!BD28*'Waste results'!$S$55, "data missing"),
   IF(Calc!BD28=0,
     IF(OR('Waste results'!$S$19&lt;&gt;"data missing", 'Waste results'!$S$91&lt;&gt;"data missing"), Calc!BC28*'Waste results'!$S$19+ Calc!BE28*'Waste results'!$S$91, "data missing"),
   IF(Calc!BC28=0,
     IF(OR('Waste results'!$S$55&lt;&gt;"data missing", 'Waste results'!$S$91&lt;&gt;"data missing"), Calc!BD28*'Waste results'!$S$55+Calc!BE28*'Waste results'!$S$91, "data missing"),
   IF(OR('Waste results'!$S$19&lt;&gt;"data missing", 'Waste results'!$S$55&lt;&gt;"data missing", 'Waste results'!$S$91&lt;&gt;"data missing"), Calc!BC28*'Waste results'!$S$19+Calc!BD28*'Waste results'!$S$55+ Calc!BE28*'Waste results'!$S$91, "data missing")))))))))))</f>
        <v/>
      </c>
      <c r="P30" s="91" t="str">
        <f ca="1">IF(B30="","",
IF(OR(ISBLANK('Soil results'!H$7),ISBLANK('Soil results'!H33)),"data missing",
IF(OR(AND('Soil results'!H$7="ammonium nitrate (ADAS)",'Soil results'!H33&gt;400),AND('Soil results'!H$7="modified Morgan (SAC)",'Soil results'!H33&gt;400)),0,
IF(OR(AND('Soil results'!H$7="ammonium nitrate (ADAS)",'Soil results'!H33&gt;=121,'Soil results'!H33&lt;=180),AND('Soil results'!H$7="modified Morgan (SAC)",'Soil results'!H33&gt;=76,'Soil results'!H33&lt;=140)),VLOOKUP(Calc!BI28,'Fertiliser recommendations'!$A$4:$Z$63,26,FALSE),
IF(OR(AND('Soil results'!H$7="ammonium nitrate (ADAS)",'Soil results'!H33&lt;61),AND('Soil results'!H$7="modified Morgan (SAC)",'Soil results'!H33&lt;40)),VLOOKUP(Calc!BI28,'Fertiliser recommendations'!$A$4:$Z$63,26,FALSE)+VLOOKUP(Calc!BI28,'Fertiliser recommendations'!$A$4:$AA$63,27,FALSE),
IF(OR(AND('Soil results'!H$7="ammonium nitrate (ADAS)",'Soil results'!H33&lt;121),AND('Soil results'!H$7="modified Morgan (SAC)",'Soil results'!H33&lt;76)),VLOOKUP(Calc!BI28,'Fertiliser recommendations'!$A$4:$Z$63,26,FALSE)+VLOOKUP(Calc!BI28,'Fertiliser recommendations'!$A$4:$AB$63,28,FALSE),
IF(OR(AND('Soil results'!H$7="ammonium nitrate (ADAS)",'Soil results'!H33&lt;241),AND('Soil results'!H$7="modified Morgan (SAC)",'Soil results'!H33&lt;201)),VLOOKUP(Calc!BI28,'Fertiliser recommendations'!$A$4:$Z$63,26,FALSE)+VLOOKUP(Calc!BI28,'Fertiliser recommendations'!$A$4:$AC$63,29,FALSE),
IF(OR(AND('Soil results'!H$7="ammonium nitrate (ADAS)",'Soil results'!H33&lt;=400),AND('Soil results'!H$7="modified Morgan (SAC)",'Soil results'!H33&lt;=400)),VLOOKUP(Calc!BI28,'Fertiliser recommendations'!$A$4:$Z$63,26,FALSE)+VLOOKUP(Calc!BI28,'Fertiliser recommendations'!$A$4:$AD$63,30,FALSE),
"??"))))))))</f>
        <v/>
      </c>
      <c r="Q30" s="91" t="str">
        <f t="shared" ca="1" si="2"/>
        <v/>
      </c>
      <c r="R30" s="9" t="str">
        <f ca="1">IF(B30="","",
IF(OR(O30="data missing",P30="data missing"),"data missing",
IF(Calc!BF28=0,"n/a",
IF(P30=0, "no requirement",
IF(O30&lt;0.1*P30,"no benefit",
IF(O30&lt;0.3*P30,"limited benefit",
IF(O30&gt;1.25*P30,"excessive",
"benefit")))))))</f>
        <v/>
      </c>
      <c r="T30" s="91" t="str">
        <f ca="1">IF(B30="","",
IF(AND('Field information 2'!$O$5="", 'Field information 2'!$Q$5=""),
   IF('Waste results'!$S$21&lt;&gt;"data missing", Calc!BC28*'Waste results'!$S$21, "data missing"),
IF('Field information 2'!$Q$5="",
   IF(Calc!BD28=0,
     IF('Waste results'!$S$21&lt;&gt;"data missing", Calc!BC28*'Waste results'!$S$21, "data missing"),
   IF(Calc!BC28=0,
     IF('Waste results'!$S$57&lt;&gt;"data missing", Calc!BD28*'Waste results'!$S$57, "data missing"),
   IF(OR('Waste results'!$S$21&lt;&gt;"data missing", 'Waste results'!$S$57&lt;&gt;"data missing"), Calc!BC28*'Waste results'!$S$21+ Calc!BD28*'Waste results'!$S$57, "data missing"))),
IF(AND('Field information 2'!$M$5&lt;&gt;"", 'Field information 2'!$O$5&lt;&gt;"", 'Field information 2'!$Q$5&lt;&gt;""),
   IF(AND(Calc!BD28=0,Calc!BE28=0),
     IF('Waste results'!$S$21&lt;&gt;"data missing", Calc!BC28*'Waste results'!$S$21, "data missing"),
   IF(AND(Calc!BC28=0,Calc!BE28=0),
     IF('Waste results'!$S$57&lt;&gt;"data missing", Calc!BD28*'Waste results'!$S$57, "data missing"),
   IF(AND(Calc!BC28=0,Calc!BD28=0),
     IF('Waste results'!$S$93&lt;&gt;"data missing", Calc!BE28*'Waste results'!$S$93, "data missing"),
   IF(Calc!BE28=0,
     IF(OR('Waste results'!$S$21&lt;&gt;"data missing", 'Waste results'!$S$57&lt;&gt;"data missing"), Calc!BC28*'Waste results'!$S$21+ Calc!BD28*'Waste results'!$S$57, "data missing"),
   IF(Calc!BD28=0,
     IF(OR('Waste results'!$S$21&lt;&gt;"data missing", 'Waste results'!$S$93&lt;&gt;"data missing"), Calc!BC28*'Waste results'!$S$21+ Calc!BE28*'Waste results'!$S$93, "data missing"),
   IF(Calc!BC28=0,
     IF(OR('Waste results'!$S$57&lt;&gt;"data missing", 'Waste results'!$S$93&lt;&gt;"data missing"), Calc!BD28*'Waste results'!$S$57+Calc!BE28*'Waste results'!$S$93, "data missing"),
   IF(OR('Waste results'!$S$21&lt;&gt;"data missing", 'Waste results'!$S$57&lt;&gt;"data missing", 'Waste results'!$S$93&lt;&gt;"data missing"), Calc!BC28*'Waste results'!$S$21+Calc!BD28*'Waste results'!$S$57+ Calc!BE28*'Waste results'!$S$93, "data missing")))))))))))</f>
        <v/>
      </c>
      <c r="U30" s="7" t="str">
        <f ca="1">IF(B30="","",
IF(OR(ISBLANK('Soil results'!I$7),ISBLANK('Soil results'!I33)),"data missing",
IF(OR(AND('Soil results'!I$7="ammonium nitrate (ADAS)",'Soil results'!I33&gt;51),AND('Soil results'!I$7="modified Morgan (SAC)",'Soil results'!I33&gt;61)),0,
IF(OR(AND('Soil results'!I$7="ammonium nitrate (ADAS)",'Soil results'!I33&lt;25),AND('Soil results'!I$7="modified Morgan (SAC)",'Soil results'!I33&lt;19)),VLOOKUP(Calc!BI28,'Fertiliser recommendations'!$A$4:$AH$63,34,FALSE),
IF(OR(AND('Soil results'!I$7="ammonium nitrate (ADAS)",'Soil results'!I33&lt;=51),AND('Soil results'!I$7="modified Morgan (SAC)",'Soil results'!I33&lt;=61)),VLOOKUP(Calc!BI28,'Fertiliser recommendations'!$A$4:$AI$63,35,FALSE),
"")))))</f>
        <v/>
      </c>
      <c r="V30" s="91" t="str">
        <f t="shared" ca="1" si="3"/>
        <v/>
      </c>
      <c r="W30" s="9" t="str">
        <f ca="1">IF(B30="","",
IF(OR(T30="data missing",U30="data missing"),"data missing",
IF(Calc!BF28=0,"n/a",
IF(U30=0,"no requirement",
IF(T30&lt;0.1*U30,"no benefit",
IF(T30&lt;0.3*U30,"limited benefit",
IF(OR(T30&gt;1.5*U30,AND(Calc!BJ28="g",T30&gt;100)),"excessive",
"benefit")))))))</f>
        <v/>
      </c>
      <c r="Y30" s="91" t="str">
        <f ca="1">IF(B30="","",
IF(AND('Field information 2'!$O$5="", 'Field information 2'!$Q$5=""),
   IF('Waste results'!$P$23&lt;&gt;"", Calc!BC28*'Waste results'!$P$23, "no data"),
IF('Field information 2'!$Q$5="",
   IF(Calc!BD28=0,
     IF('Waste results'!$P$23&lt;&gt;"", Calc!BC28*'Waste results'!$P$23, "no data"),
   IF(Calc!BC28=0,
     IF('Waste results'!$P$59&lt;&gt;"", Calc!BD28*'Waste results'!$P$59, "no data"),
   IF(OR('Waste results'!$P$23&lt;&gt;"", 'Waste results'!$P$59&lt;&gt;""), Calc!BC28*'Waste results'!$P$23+ Calc!BD28*'Waste results'!$P$59, "no data"))),
IF(AND('Field information 2'!$M$5&lt;&gt;"", 'Field information 2'!$O$5&lt;&gt;"", 'Field information 2'!$Q$5&lt;&gt;""),
   IF(AND(Calc!BD28=0,Calc!BE28=0),
     IF('Waste results'!$P$23&lt;&gt;"", Calc!BC28*'Waste results'!$P$23, "no data"),
   IF(AND(Calc!BC28=0,Calc!BE28=0),
     IF('Waste results'!$P$59&lt;&gt;"", Calc!BD28*'Waste results'!$P$59, "no data"),
   IF(AND(Calc!BC28=0,Calc!BD28=0),
     IF('Waste results'!$P$95&lt;&gt;"", Calc!BE28*'Waste results'!$P$95, "no data"),
   IF(Calc!BE28=0,
     IF(OR('Waste results'!$P$23&lt;&gt;"", 'Waste results'!$P$59&lt;&gt;""), Calc!BC28*'Waste results'!$P$23+ Calc!BD28*'Waste results'!$P$59, "no data"),
   IF(Calc!BD28=0,
     IF(OR('Waste results'!$P$23&lt;&gt;"", 'Waste results'!$P$95&lt;&gt;""), Calc!BC28*'Waste results'!$P$23+ Calc!BE28*'Waste results'!$P$95, "no data"),
   IF(Calc!BC28=0,
     IF(OR('Waste results'!$P$59&lt;&gt;"", 'Waste results'!$P$95&lt;&gt;""), Calc!BD28*'Waste results'!$P$59+Calc!BE28*'Waste results'!$P$95, "no data"),
   IF(OR('Waste results'!$P$23&lt;&gt;"", 'Waste results'!$P$59&lt;&gt;"", 'Waste results'!$P$95&lt;&gt;""), Calc!BC28*'Waste results'!$P$23+Calc!BD28*'Waste results'!$P$59+ Calc!BE28*'Waste results'!$P$95, "no data")))))))))))</f>
        <v/>
      </c>
      <c r="Z30" s="7" t="str">
        <f ca="1">IF(OR(ISBLANK('Soil results'!I$7),ISBLANK('Soil results'!I33),'Soil results'!B33=""),"",
VLOOKUP(Calc!BI28,'Fertiliser recommendations'!$A$4:$AM$63,39,FALSE))</f>
        <v/>
      </c>
      <c r="AA30" s="91" t="str">
        <f t="shared" ca="1" si="4"/>
        <v/>
      </c>
      <c r="AB30" s="9" t="str">
        <f t="shared" ca="1" si="5"/>
        <v/>
      </c>
      <c r="AD30" s="48" t="str">
        <f>IF(ISBLANK('Soil results'!F33),"",'Soil results'!F33)</f>
        <v/>
      </c>
      <c r="AE30" s="49" t="str">
        <f ca="1">IF(B30="","",
IF(AND(Calc!BJ28="g", VLOOKUP(LEFT($B30,LEN($B30)-2),'Field information 2'!$B$12:$P$111,9,FALSE)&lt;&gt;"yes"),
 IF(Calc!BG28="10-25% OM", 5.9, IF(Calc!BG28="&gt;25% OM", 5.5, 6.2)),
IF(OR(Calc!BJ28="a", VLOOKUP(LEFT($B30,LEN($B30)-2),'Field information 2'!$B$12:$P$111,9,FALSE)="yes"),
 IF(Calc!BG28="10-25% OM", 6.4, IF(Calc!BG28="&gt;25% OM", 6, 6.7)), "")))</f>
        <v/>
      </c>
      <c r="AF30" s="91" t="str">
        <f ca="1">IF(B30="","",
IF('Waste results'!$Q$33="","no (significant) liming properties",
IF('Waste results'!Q$33&gt;100,"no (significant) liming properties",
IF(AD30="","",
IF(AD30&gt;=AE30,0,ROUNDDOWN((AE30-AD30)*Calc!BK28*'Waste results'!$Q$33+0.2,0))))))</f>
        <v/>
      </c>
      <c r="AG30" s="9" t="str">
        <f ca="1">IF(B30="","",
IF(T30=0,"n/a",
IF(AD30="","data missing",
IF(AND(AD30&lt;5,AF30="no (significant) liming properties"),"no waste application - pH too low",
IF(AND(AD30&gt;5.1,AF30="no (significant) liming properties",Calc!BH28&gt;25, LEFT(Calc!BI28,4)="graz"),"ok",
IF(AND(AD30&lt;=5.2,AF30="no (significant) liming properties"),"liming highly recommended",
IF(AF30=0,"no waste application - liming not required",
IF(AF30&lt;Calc!BC28,"application rate too high - exceeds liming requirement",
"ok"))))))))</f>
        <v/>
      </c>
      <c r="AI30" s="91" t="str">
        <f ca="1">IF(B30="","",
IF(AND('Field information 2'!$O$5="", 'Field information 2'!$Q$5=""),
   IF('Waste results'!$P$10&lt;&gt;"data missing", Calc!BC28*'Waste results'!$P$10, "data missing"),
IF('Field information 2'!$Q$5="",
   IF(Calc!BD28=0,
     IF('Waste results'!$P$10&lt;&gt;"data missing", Calc!BC28*'Waste results'!$P$10, "data missing"),
   IF(Calc!BC28=0,
     IF('Waste results'!$P$45&lt;&gt;"data missing", Calc!BD28*'Waste results'!$P$45, "data missing"),
   IF(OR('Waste results'!$P$10&lt;&gt;"data missing", 'Waste results'!$P$45&lt;&gt;"data missing"), Calc!BC28*'Waste results'!$P$10+ Calc!BD28*'Waste results'!$P$45, "data missing"))),
IF(AND('Field information 2'!$M$5&lt;&gt;"", 'Field information 2'!$O$5&lt;&gt;"", 'Field information 2'!$Q$5&lt;&gt;""),
   IF(AND(Calc!BD28=0,Calc!BE28=0),
     IF('Waste results'!$P$10&lt;&gt;"data missing", Calc!BC28*'Waste results'!$P$10, "data missing"),
   IF(AND(Calc!BC28=0,Calc!BE28=0),
     IF('Waste results'!$P$45&lt;&gt;"data missing", Calc!BD28*'Waste results'!$P$45, "data missing"),
   IF(AND(Calc!BC28=0,Calc!BD28=0),
     IF('Waste results'!$P$82&lt;&gt;"data missing", Calc!BE28*'Waste results'!$P$82, "data missing"),
   IF(Calc!BE28=0,
     IF(OR('Waste results'!$P$10&lt;&gt;"data missing", 'Waste results'!$P$45&lt;&gt;"data missing"), Calc!BC28*'Waste results'!$P$10+ Calc!BD28*'Waste results'!$P$45, "data missing"),
   IF(Calc!BD28=0,
     IF(OR('Waste results'!$P$10&lt;&gt;"data missing", 'Waste results'!$P$82&lt;&gt;"data missing"), Calc!BC28*'Waste results'!$P$10+ Calc!BE28*'Waste results'!$P$82, "data missing"),
   IF(Calc!BC28=0,
     IF(OR('Waste results'!$P$45&lt;&gt;"data missing", 'Waste results'!$P$82&lt;&gt;"data missing"), Calc!BD28*'Waste results'!$P$45+Calc!BE28*'Waste results'!$P$82, "data missing"),
   IF(OR('Waste results'!$P$10&lt;&gt;"data missing", 'Waste results'!$P$45&lt;&gt;"data missing", 'Waste results'!$P$82&lt;&gt;"data missing"), Calc!BC28*'Waste results'!$P$10+Calc!BD28*'Waste results'!$P$45+ Calc!BE28*'Waste results'!$P$82, "data missing")))))))))))</f>
        <v/>
      </c>
      <c r="AJ30" s="237" t="str">
        <f ca="1">IF(B30="","",
IF(AI30="data missing","data missing",
IF(Calc!BF28=0,"n/a",
IF(AND(Calc!BH28&gt;=8,AI30&lt;500),"no benefit",
IF(OR(AND(Calc!BH28&lt;=4,AI30&gt;=500),AND(Calc!BH28&lt;8,AI30&gt;5000)),"benefit",
"limited benefit")))))</f>
        <v/>
      </c>
      <c r="AL30" s="238" t="str">
        <f ca="1">IF(B30="","",
IF(AND('Field information 2'!$O$5="", 'Field information 2'!$Q$5=""),
   IF('Waste results'!$S$25&lt;&gt;"data missing", Calc!BC28*'Waste results'!$S$25, "data missing"),
IF('Field information 2'!$Q$5="",
   IF(Calc!BD28=0,
     IF('Waste results'!$S$25&lt;&gt;"data missing", Calc!BC28*'Waste results'!$S$25, "data missing"),
   IF(Calc!BC28=0,
     IF('Waste results'!$S$61&lt;&gt;"data missing", Calc!BD28*'Waste results'!$S$61, "data missing"),
   IF(OR('Waste results'!$S$25&lt;&gt;"data missing", 'Waste results'!$S$61&lt;&gt;"data missing"), Calc!BC28*'Waste results'!$S$25+ Calc!BD28*'Waste results'!$S$61, "data missing"))),
IF(AND('Field information 2'!$M$5&lt;&gt;"", 'Field information 2'!$O$5&lt;&gt;"", 'Field information 2'!$Q$5&lt;&gt;""),
   IF(AND(Calc!BD28=0,Calc!BE28=0),
     IF('Waste results'!$S$25&lt;&gt;"data missing", Calc!BC28*'Waste results'!$S$25, "data missing"),
   IF(AND(Calc!BC28=0,Calc!BE28=0),
     IF('Waste results'!$S$61&lt;&gt;"data missing", Calc!BD28*'Waste results'!$S$61, "data missing"),
   IF(AND(Calc!BC28=0,Calc!BD28=0),
     IF('Waste results'!$S$97&lt;&gt;"data missing", Calc!BE28*'Waste results'!$S$97, "data missing"),
   IF(Calc!BE28=0,
     IF(OR('Waste results'!$S$25&lt;&gt;"data missing", 'Waste results'!$S$61&lt;&gt;"data missing"), Calc!BC28*'Waste results'!$S$25+ Calc!BD28*'Waste results'!$S$61, "data missing"),
   IF(Calc!BD28=0,
     IF(OR('Waste results'!$S$25&lt;&gt;"data missing", 'Waste results'!$S$97&lt;&gt;"data missing"), Calc!BC28*'Waste results'!$S$25+ Calc!BE28*'Waste results'!$S$97, "data missing"),
   IF(Calc!BC28=0,
     IF(OR('Waste results'!$S$61&lt;&gt;"data missing", 'Waste results'!$S$97&lt;&gt;"data missing"), Calc!BD28*'Waste results'!$S$61+Calc!BE28*'Waste results'!$S$97, "data missing"),
   IF(OR('Waste results'!$S$25&lt;&gt;"data missing", 'Waste results'!$S$61&lt;&gt;"data missing", 'Waste results'!$S$97&lt;&gt;"data missing"), Calc!BC28*'Waste results'!$S$25+Calc!BD28*'Waste results'!$S$61+ Calc!BE28*'Waste results'!$S$97, "data missing")))))))))))</f>
        <v/>
      </c>
      <c r="AM30" s="239" t="str">
        <f ca="1">IF($B30="","",
IF(ISBLANK('Soil results'!K33),"data missing",'Soil results'!K33))</f>
        <v/>
      </c>
      <c r="AN30" s="239" t="str">
        <f t="shared" ca="1" si="6"/>
        <v/>
      </c>
      <c r="AO30" s="9" t="str">
        <f t="shared" ca="1" si="7"/>
        <v/>
      </c>
      <c r="AQ30" s="240" t="str">
        <f ca="1">IF(B30="","",
IF(AND('Field information 2'!$O$5="", 'Field information 2'!$Q$5=""),
   IF('Waste results'!$S$26&lt;&gt;"data missing", Calc!BC28*'Waste results'!$S$26, "data missing"),
IF('Field information 2'!$Q$5="",
   IF(Calc!BD28=0,
     IF('Waste results'!$S$26&lt;&gt;"data missing", Calc!BC28*'Waste results'!$S$26, "data missing"),
   IF(Calc!BC28=0,
     IF('Waste results'!$S$62&lt;&gt;"data missing", Calc!BD28*'Waste results'!$S$62, "data missing"),
   IF(OR('Waste results'!$S$26&lt;&gt;"data missing", 'Waste results'!$S$62&lt;&gt;"data missing"), Calc!BC28*'Waste results'!$S$26+ Calc!BD28*'Waste results'!$S$62, "data missing"))),
IF(AND('Field information 2'!$M$5&lt;&gt;"", 'Field information 2'!$O$5&lt;&gt;"", 'Field information 2'!$Q$5&lt;&gt;""),
   IF(AND(Calc!BD28=0,Calc!BE28=0),
     IF('Waste results'!$S$26&lt;&gt;"data missing", Calc!BC28*'Waste results'!$S$26, "data missing"),
   IF(AND(Calc!BC28=0,Calc!BE28=0),
     IF('Waste results'!$S$62&lt;&gt;"data missing", Calc!BD28*'Waste results'!$S$62, "data missing"),
   IF(AND(Calc!BC28=0,Calc!BD28=0),
     IF('Waste results'!$S$98&lt;&gt;"data missing", Calc!BE28*'Waste results'!$S$98, "data missing"),
   IF(Calc!BE28=0,
     IF(OR('Waste results'!$S$26&lt;&gt;"data missing", 'Waste results'!$S$62&lt;&gt;"data missing"), Calc!BC28*'Waste results'!$S$26+ Calc!BD28*'Waste results'!$S$62, "data missing"),
   IF(Calc!BD28=0,
     IF(OR('Waste results'!$S$26&lt;&gt;"data missing", 'Waste results'!$S$98&lt;&gt;"data missing"), Calc!BC28*'Waste results'!$S$26+ Calc!BE28*'Waste results'!$S$98, "data missing"),
   IF(Calc!BC28=0,
     IF(OR('Waste results'!$S$62&lt;&gt;"data missing", 'Waste results'!$S$98&lt;&gt;"data missing"), Calc!BD28*'Waste results'!$S$62+Calc!BE28*'Waste results'!$S$98, "data missing"),
   IF(OR('Waste results'!$S$26&lt;&gt;"data missing", 'Waste results'!$S$62&lt;&gt;"data missing", 'Waste results'!$S$98&lt;&gt;"data missing"), Calc!BC28*'Waste results'!$S$26+Calc!BD28*'Waste results'!$S$62+ Calc!BE28*'Waste results'!$S$98, "data missing")))))))))))</f>
        <v/>
      </c>
      <c r="AR30" s="241" t="str">
        <f ca="1">IF($B30="","",
IF(ISBLANK('Soil results'!L33),"data missing",'Soil results'!L33))</f>
        <v/>
      </c>
      <c r="AS30" s="241" t="str">
        <f t="shared" ca="1" si="8"/>
        <v/>
      </c>
      <c r="AT30" s="66" t="str">
        <f t="shared" ca="1" si="9"/>
        <v/>
      </c>
      <c r="AV30" s="238" t="str">
        <f ca="1">IF(B30="","",
IF(AND('Field information 2'!$O$5="", 'Field information 2'!$Q$5=""),
   IF('Waste results'!$S$27&lt;&gt;"data missing", Calc!BC28*'Waste results'!$S$27, "data missing"),
IF('Field information 2'!$Q$5="",
   IF(Calc!BD28=0,
     IF('Waste results'!$S$27&lt;&gt;"data missing", Calc!BC28*'Waste results'!$S$27, "data missing"),
   IF(Calc!BC28=0,
     IF('Waste results'!$S$63&lt;&gt;"data missing", Calc!BD28*'Waste results'!$S$63, "data missing"),
   IF(OR('Waste results'!$S$27&lt;&gt;"data missing", 'Waste results'!$S$63&lt;&gt;"data missing"), Calc!BC28*'Waste results'!$S$27+ Calc!BD28*'Waste results'!$S$63, "data missing"))),
IF(AND('Field information 2'!$M$5&lt;&gt;"", 'Field information 2'!$O$5&lt;&gt;"", 'Field information 2'!$Q$5&lt;&gt;""),
   IF(AND(Calc!BD28=0,Calc!BE28=0),
     IF('Waste results'!$S$27&lt;&gt;"data missing", Calc!BC28*'Waste results'!$S$27, "data missing"),
   IF(AND(Calc!BC28=0,Calc!BE28=0),
     IF('Waste results'!$S$63&lt;&gt;"data missing", Calc!BD28*'Waste results'!$S$63, "data missing"),
   IF(AND(Calc!BC28=0,Calc!BD28=0),
     IF('Waste results'!$S$99&lt;&gt;"data missing", Calc!BE28*'Waste results'!$S$99, "data missing"),
   IF(Calc!BE28=0,
     IF(OR('Waste results'!$S$27&lt;&gt;"data missing", 'Waste results'!$S$63&lt;&gt;"data missing"), Calc!BC28*'Waste results'!$S$27+ Calc!BD28*'Waste results'!$S$63, "data missing"),
   IF(Calc!BD28=0,
     IF(OR('Waste results'!$S$27&lt;&gt;"data missing", 'Waste results'!$S$99&lt;&gt;"data missing"), Calc!BC28*'Waste results'!$S$27+ Calc!BE28*'Waste results'!$S$99, "data missing"),
   IF(Calc!BC28=0,
     IF(OR('Waste results'!$S$63&lt;&gt;"data missing", 'Waste results'!$S$99&lt;&gt;"data missing"), Calc!BD28*'Waste results'!$S$63+Calc!BE28*'Waste results'!$S$99, "data missing"),
   IF(OR('Waste results'!$S$27&lt;&gt;"data missing", 'Waste results'!$S$63&lt;&gt;"data missing", 'Waste results'!$S$99&lt;&gt;"data missing"), Calc!BC28*'Waste results'!$S$27+Calc!BD28*'Waste results'!$S$63+ Calc!BE28*'Waste results'!$S$99, "data missing")))))))))))</f>
        <v/>
      </c>
      <c r="AW30" s="239" t="str">
        <f ca="1">IF($B30="","",
IF(ISBLANK('Soil results'!M33),"data missing",'Soil results'!M33))</f>
        <v/>
      </c>
      <c r="AX30" s="239" t="str">
        <f t="shared" ca="1" si="10"/>
        <v/>
      </c>
      <c r="AY30" s="9" t="str">
        <f ca="1">IF(B30="","",
IF(AV30=0,"n/a",
IF(OR(AV30="data missing",AW30="data missing"),"data missing",
IF(AV30&gt;7.5,"application rate too high - permissible rate exceeds limit",
IF('Soil results'!$F33&lt;=5.5,
  IF(AW30&gt;80,"no application - soil conc. already above limit",
  IF(AX30&gt;80,"application rate too high - soil conc. will exceed limit",
  IF(AW30&gt;80*0.9,"soil conc. is at or above 90% of the limit",
  IF(10*AV30*1000/3000+AW30&gt;80,"soil limit likely to be exceeded in 10yrs",
  IF(50*AV30*1000/3000+AW30&gt;80,"soil limit likely to be exceeded in 50yrs","ok"))))),
IF('Soil results'!$F33&lt;=6,
  IF(AW30&gt;100,"no application - soil conc. already above limit",
  IF(AX30&gt;100,"application rate too high - soil conc. will exceed limit",
  IF(AW30&gt;100*0.9,"soil conc. is at or above 90% of the limit",
  IF(10*AV30*1000/3000+AW30&gt;100,"soil limit likely to be exceeded in 10yrs",
  IF(50*AV30*1000/3000+AW30&gt;100,"soil limit likely to be exceeded in 50yrs","ok"))))),
IF('Soil results'!$F33&lt;=7,
  IF(AW30&gt;135,"no application - soil conc. already above limit",
  IF(AX30&gt;135,"application rate too high - soil conc. will exceed limit",
  IF(AW30&gt;135*0.9,"soil conc. is at or above 90% of the limit",
  IF(10*AV30*1000/3000+AW30&gt;135,"soil limit likely to be exceeded in 10yrs",
  IF(50*AV30*1000/3000+AW30&gt;135,"soil limit likely to be exceeded in 50yrs","ok"))))),
IF('Soil results'!$F33&gt;7,
  IF(AW30&gt;200,"no application - soil conc. already above limit",
  IF(AX30&gt;200,"application too high - soil conc. will exceed limit",
  IF(AW30&gt;200*0.9,"soil conc. is at or above 90% of the limit",
  IF(10*AV30*1000/3000+AW30&gt;200,"soil limit likely to be exceeded in 10yrs",
  IF(50*AV30*1000/3000+AW30&gt;200,"soil limit likely to be exceeded in 50yrs","ok")))))
))))))))</f>
        <v/>
      </c>
      <c r="BA30" s="238" t="str">
        <f ca="1">IF(B30="","",
IF(AND('Field information 2'!$O$5="", 'Field information 2'!$Q$5=""),
   IF('Waste results'!$S$28&lt;&gt;"data missing", Calc!BC28*'Waste results'!$S$28, "data missing"),
IF('Field information 2'!$Q$5="",
   IF(Calc!BD28=0,
     IF('Waste results'!$S$28&lt;&gt;"data missing", Calc!BC28*'Waste results'!$S$28, "data missing"),
   IF(Calc!BC28=0,
     IF('Waste results'!$S$64&lt;&gt;"data missing", Calc!BD28*'Waste results'!$S$64, "data missing"),
   IF(OR('Waste results'!$S$28&lt;&gt;"data missing", 'Waste results'!$S$64&lt;&gt;"data missing"), Calc!BC28*'Waste results'!$S$28+ Calc!BD28*'Waste results'!$S$64, "data missing"))),
IF(AND('Field information 2'!$M$5&lt;&gt;"", 'Field information 2'!$O$5&lt;&gt;"", 'Field information 2'!$Q$5&lt;&gt;""),
   IF(AND(Calc!BD28=0,Calc!BE28=0),
     IF('Waste results'!$S$28&lt;&gt;"data missing", Calc!BC28*'Waste results'!$S$28, "data missing"),
   IF(AND(Calc!BC28=0,Calc!BE28=0),
     IF('Waste results'!$S$64&lt;&gt;"data missing", Calc!BD28*'Waste results'!$S$64, "data missing"),
   IF(AND(Calc!BC28=0,Calc!BD28=0),
     IF('Waste results'!$S$100&lt;&gt;"data missing", Calc!BE28*'Waste results'!$S$100, "data missing"),
   IF(Calc!BE28=0,
     IF(OR('Waste results'!$S$28&lt;&gt;"data missing", 'Waste results'!$S$64&lt;&gt;"data missing"), Calc!BC28*'Waste results'!$S$28+ Calc!BD28*'Waste results'!$S$64, "data missing"),
   IF(Calc!BD28=0,
     IF(OR('Waste results'!$S$28&lt;&gt;"data missing", 'Waste results'!$S$100&lt;&gt;"data missing"), Calc!BC28*'Waste results'!$S$28+ Calc!BE28*'Waste results'!$S$100, "data missing"),
   IF(Calc!BC28=0,
     IF(OR('Waste results'!$S$64&lt;&gt;"data missing", 'Waste results'!$S$100&lt;&gt;"data missing"), Calc!BD28*'Waste results'!$S$64+Calc!BE28*'Waste results'!$S$100, "data missing"),
   IF(OR('Waste results'!$S$28&lt;&gt;"data missing", 'Waste results'!$S$64&lt;&gt;"data missing", 'Waste results'!$S$100&lt;&gt;"data missing"), Calc!BC28*'Waste results'!$S$28+Calc!BD28*'Waste results'!$S$64+ Calc!BE28*'Waste results'!$S$100, "data missing")))))))))))</f>
        <v/>
      </c>
      <c r="BB30" s="239" t="str">
        <f ca="1">IF($B30="","",
IF(ISBLANK('Soil results'!N33),"data missing",'Soil results'!N33))</f>
        <v/>
      </c>
      <c r="BC30" s="239" t="str">
        <f t="shared" ca="1" si="11"/>
        <v/>
      </c>
      <c r="BD30" s="9" t="str">
        <f t="shared" ca="1" si="12"/>
        <v/>
      </c>
      <c r="BF30" s="238" t="str">
        <f ca="1">IF(B30="","",
IF(AND('Field information 2'!$O$5="", 'Field information 2'!$Q$5=""),
   IF('Waste results'!$S$29&lt;&gt;"data missing", Calc!BC28*'Waste results'!$S$29, "data missing"),
IF('Field information 2'!$Q$5="",
   IF(Calc!BD28=0,
     IF('Waste results'!$S$29&lt;&gt;"data missing", Calc!BC28*'Waste results'!$S$29, "data missing"),
   IF(Calc!BC28=0,
     IF('Waste results'!$S$65&lt;&gt;"data missing", Calc!BD28*'Waste results'!$S$65, "data missing"),
   IF(OR('Waste results'!$S$29&lt;&gt;"data missing", 'Waste results'!$S$65&lt;&gt;"data missing"), Calc!BC28*'Waste results'!$S$29+ Calc!BD28*'Waste results'!$S$65, "data missing"))),
IF(AND('Field information 2'!$M$5&lt;&gt;"", 'Field information 2'!$O$5&lt;&gt;"", 'Field information 2'!$Q$5&lt;&gt;""),
   IF(AND(Calc!BD28=0,Calc!BE28=0),
     IF('Waste results'!$S$29&lt;&gt;"data missing", Calc!BC28*'Waste results'!$S$29, "data missing"),
   IF(AND(Calc!BC28=0,Calc!BE28=0),
     IF('Waste results'!$S$65&lt;&gt;"data missing", Calc!BD28*'Waste results'!$S$65, "data missing"),
   IF(AND(Calc!BC28=0,Calc!BD28=0),
     IF('Waste results'!$S$101&lt;&gt;"data missing", Calc!BE28*'Waste results'!$S$101, "data missing"),
   IF(Calc!BE28=0,
     IF(OR('Waste results'!$S$29&lt;&gt;"data missing", 'Waste results'!$S$65&lt;&gt;"data missing"), Calc!BC28*'Waste results'!$S$29+ Calc!BD28*'Waste results'!$S$65, "data missing"),
   IF(Calc!BD28=0,
     IF(OR('Waste results'!$S$29&lt;&gt;"data missing", 'Waste results'!$S$101&lt;&gt;"data missing"), Calc!BC28*'Waste results'!$S$29+ Calc!BE28*'Waste results'!$S$101, "data missing"),
   IF(Calc!BC28=0,
     IF(OR('Waste results'!$S$65&lt;&gt;"data missing", 'Waste results'!$S$101&lt;&gt;"data missing"), Calc!BD28*'Waste results'!$S$65+Calc!BE28*'Waste results'!$S$101, "data missing"),
   IF(OR('Waste results'!$S$29&lt;&gt;"data missing", 'Waste results'!$S$65&lt;&gt;"data missing", 'Waste results'!$S$101&lt;&gt;"data missing"), Calc!BC28*'Waste results'!$S$29+Calc!BD28*'Waste results'!$S$65+ Calc!BE28*'Waste results'!$S$101, "data missing")))))))))))</f>
        <v/>
      </c>
      <c r="BG30" s="239" t="str">
        <f ca="1">IF($B30="","",
IF(ISBLANK('Soil results'!O33),"data missing",'Soil results'!O33))</f>
        <v/>
      </c>
      <c r="BH30" s="239" t="str">
        <f t="shared" ca="1" si="13"/>
        <v/>
      </c>
      <c r="BI30" s="9" t="str">
        <f ca="1">IF(B30="","",
IF(BF30=0,"n/a",
IF(OR(BF30="data missing",BG30="data missing"),"data missing",
IF(BF30&gt;3,"application rate too high - permissible rate exceeds limit",
IF('Soil results'!F33&lt;=5.5,
  IF(BG30&gt;50,"no application - soil conc. already above limit",
  IF(BH30&gt;50,"application rate too high - soil conc. will exceed limit",
  IF(BG30&gt;50*0.9,"soil conc. is at or above 90% of the limit",
  IF(10*BF30*1000/3000+BG30&gt;50,"soil limit likely to be exceeded in 10yrs",
  IF(50*BF30*1000/3000+BG30&gt;50,"soil limit likely to be exceeded in 50yrs","ok"))))),
IF('Soil results'!F33&lt;=6,
  IF(BG30&gt;60,"no application - soil conc. already above limit",
  IF(BH30&gt;60,"application rate too high - soil conc. will exceed limit",
  IF(BG30&gt;60*0.9,"soil conc. is at or above 90% of the limit",
  IF(10*BF30*1000/3000+BG30&gt;60,"soil limit likely to be exceeded in 10yrs",
  IF(50*BF30*1000/3000+BG30&gt;60,"soil limit likely to be exceeded in 50yrs","ok"))))),
IF('Soil results'!F33&lt;=7,
  IF(BG30&gt;75,"no application - soil conc. already above limit",
  IF(BH30&gt;75,"application rate too high - soil conc. will exceed limit",
  IF(BG30&gt;75*0.9,"soil conc. is at or above 90% of the limit",
  IF(10*BF30*1000/3000+BG30&gt;75,"soil limit likely to be exceeded in 10yrs",
  IF(50*BF30*1000/3000+BG30&gt;75,"soil limit likely to be exceeded in 50yrs","ok"))))),
IF('Soil results'!F33&gt;7,
  IF(BG30&gt;100,"no application - soil conc. already above limit",
  IF(BH30&gt;100,"application rate too high - soil conc. will exceed limit",
  IF(BG30&gt;100*0.9,"soil conc. is at or above 90% of the limit",
  IF(10*BF30*1000/3000+BG30&gt;100,"soil limit likely to be exceeded in 10yrs",
  IF(50*BF30*1000/3000+BG30&gt;100,"soil limit likely to beexceeded in 50yrs","ok")))))
))))))))</f>
        <v/>
      </c>
      <c r="BK30" s="240" t="str">
        <f ca="1">IF(B30="","",
IF(AND('Field information 2'!$O$5="", 'Field information 2'!$Q$5=""),
   IF('Waste results'!$S$30&lt;&gt;"data missing", Calc!BC28*'Waste results'!$S$30, "data missing"),
IF('Field information 2'!$Q$5="",
   IF(Calc!BD28=0,
     IF('Waste results'!$S$30&lt;&gt;"data missing", Calc!BC28*'Waste results'!$S$30, "data missing"),
   IF(Calc!BC28=0,
     IF('Waste results'!$S$66&lt;&gt;"data missing", Calc!BD28*'Waste results'!$S$66, "data missing"),
   IF(OR('Waste results'!$S$30&lt;&gt;"data missing", 'Waste results'!$S$66&lt;&gt;"data missing"), Calc!BC28*'Waste results'!$S$30+ Calc!BD28*'Waste results'!$S$66, "data missing"))),
IF(AND('Field information 2'!$M$5&lt;&gt;"", 'Field information 2'!$O$5&lt;&gt;"", 'Field information 2'!$Q$5&lt;&gt;""),
   IF(AND(Calc!BD28=0,Calc!BE28=0),
     IF('Waste results'!$S$30&lt;&gt;"data missing", Calc!BC28*'Waste results'!$S$30, "data missing"),
   IF(AND(Calc!BC28=0,Calc!BE28=0),
     IF('Waste results'!$S$66&lt;&gt;"data missing", Calc!BD28*'Waste results'!$S$66, "data missing"),
   IF(AND(Calc!BC28=0,Calc!BD28=0),
     IF('Waste results'!$S$102&lt;&gt;"data missing", Calc!BE28*'Waste results'!$S$102, "data missing"),
   IF(Calc!BE28=0,
     IF(OR('Waste results'!$S$30&lt;&gt;"data missing", 'Waste results'!$S$66&lt;&gt;"data missing"), Calc!BC28*'Waste results'!$S$30+ Calc!BD28*'Waste results'!$S$66, "data missing"),
   IF(Calc!BD28=0,
     IF(OR('Waste results'!$S$30&lt;&gt;"data missing", 'Waste results'!$S$102&lt;&gt;"data missing"), Calc!BC28*'Waste results'!$S$30+ Calc!BE28*'Waste results'!$S$102, "data missing"),
   IF(Calc!BC28=0,
     IF(OR('Waste results'!$S$66&lt;&gt;"data missing", 'Waste results'!$S$102&lt;&gt;"data missing"), Calc!BD28*'Waste results'!$S$66+Calc!BE28*'Waste results'!$S$102, "data missing"),
   IF(OR('Waste results'!$S$30&lt;&gt;"data missing", 'Waste results'!$S$66&lt;&gt;"data missing", 'Waste results'!$S$102&lt;&gt;"data missing"), Calc!BC28*'Waste results'!$S$30+Calc!BD28*'Waste results'!$S$66+ Calc!BE28*'Waste results'!$S$102, "data missing")))))))))))</f>
        <v/>
      </c>
      <c r="BL30" s="241" t="str">
        <f ca="1">IF($B30="","",
IF(ISBLANK('Soil results'!P33),"data missing",'Soil results'!P33))</f>
        <v/>
      </c>
      <c r="BM30" s="241" t="str">
        <f t="shared" ca="1" si="14"/>
        <v/>
      </c>
      <c r="BN30" s="66" t="str">
        <f t="shared" ca="1" si="15"/>
        <v/>
      </c>
      <c r="BP30" s="238" t="str">
        <f ca="1">IF(B30="","",
IF(AND('Field information 2'!$O$5="", 'Field information 2'!$Q$5=""),
   IF('Waste results'!$S$31&lt;&gt;"data missing", Calc!BC28*'Waste results'!$S$31, "data missing"),
IF('Field information 2'!$Q$5="",
   IF(Calc!BD28=0,
     IF('Waste results'!$S$31&lt;&gt;"data missing", Calc!BC28*'Waste results'!$S$31, "data missing"),
   IF(Calc!BC28=0,
     IF('Waste results'!$S$67&lt;&gt;"data missing", Calc!BD28*'Waste results'!$S$67, "data missing"),
   IF(OR('Waste results'!$S$31&lt;&gt;"data missing", 'Waste results'!$S$67&lt;&gt;"data missing"), Calc!BC28*'Waste results'!$S$31+ Calc!BD28*'Waste results'!$S$67, "data missing"))),
IF(AND('Field information 2'!$M$5&lt;&gt;"", 'Field information 2'!$O$5&lt;&gt;"", 'Field information 2'!$Q$5&lt;&gt;""),
   IF(AND(Calc!BD28=0,Calc!BE28=0),
     IF('Waste results'!$S$31&lt;&gt;"data missing", Calc!BC28*'Waste results'!$S$31, "data missing"),
   IF(AND(Calc!BC28=0,Calc!BE28=0),
     IF('Waste results'!$S$67&lt;&gt;"data missing", Calc!BD28*'Waste results'!$S$67, "data missing"),
   IF(AND(Calc!BC28=0,Calc!BD28=0),
     IF('Waste results'!$S$103&lt;&gt;"data missing", Calc!BE28*'Waste results'!$S$103, "data missing"),
   IF(Calc!BE28=0,
     IF(OR('Waste results'!$S$31&lt;&gt;"data missing", 'Waste results'!$S$67&lt;&gt;"data missing"), Calc!BC28*'Waste results'!$S$31+ Calc!BD28*'Waste results'!$S$67, "data missing"),
   IF(Calc!BD28=0,
     IF(OR('Waste results'!$S$31&lt;&gt;"data missing", 'Waste results'!$S$103&lt;&gt;"data missing"), Calc!BC28*'Waste results'!$S$31+ Calc!BE28*'Waste results'!$S$103, "data missing"),
   IF(Calc!BC28=0,
     IF(OR('Waste results'!$S$67&lt;&gt;"data missing", 'Waste results'!$S$103&lt;&gt;"data missing"), Calc!BD28*'Waste results'!$S$67+Calc!BE28*'Waste results'!$S$103, "data missing"),
   IF(OR('Waste results'!$S$31&lt;&gt;"data missing", 'Waste results'!$S$67&lt;&gt;"data missing", 'Waste results'!$S$103&lt;&gt;"data missing"), Calc!BC28*'Waste results'!$S$31+Calc!BD28*'Waste results'!$S$67+ Calc!BE28*'Waste results'!$S$103, "data missing")))))))))))</f>
        <v/>
      </c>
      <c r="BQ30" s="239" t="str">
        <f ca="1">IF($B30="","",
IF(ISBLANK('Soil results'!Q33),"data missing",'Soil results'!Q33))</f>
        <v/>
      </c>
      <c r="BR30" s="239" t="str">
        <f t="shared" ca="1" si="16"/>
        <v/>
      </c>
      <c r="BS30" s="9" t="str">
        <f ca="1">IF(B30="","",
IF(BP30=0,"n/a",
IF(OR(BP30="data missing",BQ30=""),"data missing",
IF(BP30&gt;15,"application rate too high - permissible rate exceeds limit",
IF('Soil results'!F33&lt;=5.5,
  IF(BQ30&gt;200,"no application - soil conc. already above limit",
  IF(BR30&gt;200,"application rate too high - soil conc. will exceed limit",
  IF(BQ30&gt;200*0.9,"soil conc. is at or above 90% of the limit",
  IF(10*BP30*1000/3000+BQ30&gt;200,"soil limit likely to be exceeded in 10yrs",
  IF(50*BP30*1000/3000+BQ30&gt;200,"soil limit likely to be exceeded in 50yrs","ok"))))),
IF('Soil results'!F33&lt;=6,
  IF(BQ30&gt;250,"no application - soil conc. already above limit",
  IF(BR30&gt;250,"application rate too high - soil conc. will exceed limit",
  IF(BQ30&gt;250*0.9,"soil conc. is at or above 90% of the limit",
  IF(10*BP30*1000/3000+BQ30&gt;250,"soil limit likely to be exceeded in 10yrs",
  IF(50*BP30*1000/3000+BQ30&gt;250,"soil limit likely to be exceeded in 50yrs","ok"))))),
IF('Soil results'!F33&lt;=7,
  IF(BQ30&gt;300,"no application - soil conc. already above limit",
  IF(BR30&gt;300,"application rate too high - soil conc. will exceed limit",
  IF(BQ30&gt;300*0.9,"soil conc. is at or above 90% of the limit",
  IF(10*BP30*1000/3000+BQ30&gt;300,"soil limit likey to be exceeded in 10yrs",
  IF(50*BP30*1000/3000+BQ30&gt;300,"soil limit likely to be exceeded in 50yrs","ok"))))),
IF('Soil results'!F33&gt;7,
  IF(BQ30&gt;450,"no application - soil conc. already above limit",
  IF(BR30&gt;450,"application rate too high - soil conc. will exceed limit",
  IF(AW30&gt;450*0.9,"soil conc. is at or above 90% of the limit",
  IF(10*BP30*1000/3000+BQ30&gt;450,"soil limit likely to be exceeded in 10yrs",
  IF(50*BP30*1000/3000+BQ30&gt;450,"soil limit likely to be exceeded in 50yrs","ok")))))
))))))))</f>
        <v/>
      </c>
    </row>
    <row r="31" spans="2:71" s="9" customFormat="1" x14ac:dyDescent="0.35">
      <c r="B31" s="236" t="str">
        <f ca="1">'Soil results'!B34</f>
        <v/>
      </c>
      <c r="C31" s="91" t="str">
        <f ca="1">IF(B31="","",
IF(AND('Field information 2'!$O$5="", 'Field information 2'!$Q$5=""),
   IF('Waste results'!$S$12&lt;&gt;"data missing", Calc!BC29*'Waste results'!$S$12, "data missing"),
IF('Field information 2'!$Q$5="",
   IF(Calc!BD29=0,
     IF('Waste results'!$S$12&lt;&gt;"data missing", Calc!BC29*'Waste results'!$S$12, "data missing"),
   IF(Calc!BC29=0,
     IF('Waste results'!$S$48&lt;&gt;"data missing", Calc!BD29*'Waste results'!$S$48, "data missing"),
   IF(OR('Waste results'!$S$12&lt;&gt;"data missing", 'Waste results'!$S$48&lt;&gt;"data missing"), Calc!BC29*'Waste results'!$S$12+ Calc!BD29*'Waste results'!$S$48, "data missing"))),
IF(AND('Field information 2'!$M$5&lt;&gt;"", 'Field information 2'!$O$5&lt;&gt;"", 'Field information 2'!$Q$5&lt;&gt;""),
   IF(AND(Calc!BD29=0,Calc!BE29=0),
     IF('Waste results'!$S$12&lt;&gt;"data missing", Calc!BC29*'Waste results'!$S$12, "data missing"),
   IF(AND(Calc!BC29=0,Calc!BE29=0),
     IF('Waste results'!$S$48&lt;&gt;"data missing", Calc!BD29*'Waste results'!$S$48, "data missing"),
   IF(AND(Calc!BC29=0,Calc!BD29=0),
     IF('Waste results'!$S$84&lt;&gt;"data missing", Calc!BE29*'Waste results'!$S$84, "data missing"),
   IF(Calc!BE29=0,
     IF(OR('Waste results'!$S$12&lt;&gt;"data missing", 'Waste results'!$S$48&lt;&gt;"data missing"), Calc!BC29*'Waste results'!$S$12+ Calc!BD29*'Waste results'!$S$48, "data missing"),
   IF(Calc!BD29=0,
     IF(OR('Waste results'!$S$12&lt;&gt;"data missing", 'Waste results'!$S$84&lt;&gt;"data missing"), Calc!BC29*'Waste results'!$S$12+ Calc!BE29*'Waste results'!$S$84, "data missing"),
   IF(Calc!BC29=0,
     IF(OR('Waste results'!$S$48&lt;&gt;"data missing", 'Waste results'!$S$84&lt;&gt;"data missing"), Calc!BD29*'Waste results'!$S$48+Calc!BE29*'Waste results'!$S$84, "data missing"),
   IF(OR('Waste results'!$S$12&lt;&gt;"data missing", 'Waste results'!$S$48&lt;&gt;"data missing", 'Waste results'!$S$84&lt;&gt;"data missing"), Calc!BC29*'Waste results'!$S$12+Calc!BD29*'Waste results'!$S$48+ Calc!BE29*'Waste results'!$S$84, "data missing")))))))))))</f>
        <v/>
      </c>
      <c r="D31" s="161" t="str">
        <f ca="1">IF(B31="","",
IF(Calc!BG29="","soil texture missing",
IF(OR(Calc!BG29="SL; SZL; ZL",Calc!BG29="SCL; CL; ZCL; SC; ZC; C"),VLOOKUP(Calc!BI29,'Fertiliser recommendations'!$A$4:$C$63,3,FALSE),
IF(Calc!BG29="S; LS",VLOOKUP(Calc!BI29,'Fertiliser recommendations'!$A$4:$C$63,3,FALSE)+VLOOKUP(Calc!BI29,'Fertiliser recommendations'!$A$4:$D$63,4,FALSE),
IF(Calc!BG29="10-25% OM",VLOOKUP(Calc!BI29,'Fertiliser recommendations'!$A$4:$C$63,3,FALSE)+VLOOKUP(Calc!BI29,'Fertiliser recommendations'!$A$4:$E$63,5,FALSE),
IF(Calc!BG29="&gt;25% OM",VLOOKUP(Calc!BI29,'Fertiliser recommendations'!$A$4:$C$63,3,FALSE)+VLOOKUP(Calc!BI29,'Fertiliser recommendations'!$A$4:$F$63,6,FALSE),
""))))))</f>
        <v/>
      </c>
      <c r="E31" s="91" t="str">
        <f t="shared" ca="1" si="0"/>
        <v/>
      </c>
      <c r="F31" s="9" t="str">
        <f ca="1">IF(B31="","",
IF(OR(C31="data missing",D31="soil texture missing"),"data missing",
IF(Calc!BF29=0,"n/a",
IF(C31&lt;0.1*D31,"no benefit",
IF(C31&lt;0.3*D31,"limited benefit",
IF(C31&gt;250,"exceeds limit",
IF(OR(AND(D31=0,C31&gt;75),C31&gt;1.25*D31),"excessive",
IF(D31=0, "no requirement",
"benefit"))))))))</f>
        <v/>
      </c>
      <c r="H31" s="91" t="str">
        <f ca="1">IF(B31="","",
IF(AND('Field information 2'!$O$5="", 'Field information 2'!$Q$5=""),
   IF('Waste results'!$S$17&lt;&gt;"data missing", Calc!BC29*'Waste results'!$S$17, "data missing"),
IF('Field information 2'!$Q$5="",
   IF(Calc!BD29=0,
     IF('Waste results'!$S$17&lt;&gt;"data missing", Calc!BC29*'Waste results'!$S$17, "data missing"),
   IF(Calc!BC29=0,
     IF('Waste results'!$S$53&lt;&gt;"data missing", Calc!BD29*'Waste results'!$S$53, "data missing"),
   IF(OR('Waste results'!$S$17&lt;&gt;"data missing", 'Waste results'!$S$53&lt;&gt;"data missing"), Calc!BC29*'Waste results'!$S$17+ Calc!BD29*'Waste results'!$S$53, "data missing"))),
IF(AND('Field information 2'!$M$5&lt;&gt;"", 'Field information 2'!$O$5&lt;&gt;"", 'Field information 2'!$Q$5&lt;&gt;""),
   IF(AND(Calc!BD29=0,Calc!BE29=0),
     IF('Waste results'!$S$17&lt;&gt;"data missing", Calc!BC29*'Waste results'!$S$17, "data missing"),
   IF(AND(Calc!BC29=0,Calc!BE29=0),
     IF('Waste results'!$S$53&lt;&gt;"data missing", Calc!BD29*'Waste results'!$S$53, "data missing"),
   IF(AND(Calc!BC29=0,Calc!BD29=0),
     IF('Waste results'!$S$89&lt;&gt;"data missing", Calc!BE29*'Waste results'!$S$89, "data missing"),
   IF(Calc!BE29=0,
     IF(OR('Waste results'!$S$17&lt;&gt;"data missing", 'Waste results'!$S$53&lt;&gt;"data missing"), Calc!BC29*'Waste results'!$S$17+ Calc!BD29*'Waste results'!$S$53, "data missing"),
   IF(Calc!BD29=0,
     IF(OR('Waste results'!$S$17&lt;&gt;"data missing", 'Waste results'!$S$89&lt;&gt;"data missing"), Calc!BC29*'Waste results'!$S$17+ Calc!BE29*'Waste results'!$S$89, "data missing"),
   IF(Calc!BC29=0,
     IF(OR('Waste results'!$S$53&lt;&gt;"data missing", 'Waste results'!$S$89&lt;&gt;"data missing"), Calc!BD29*'Waste results'!$S$53+Calc!BE29*'Waste results'!$S$89, "data missing"),
   IF(OR('Waste results'!$S$17&lt;&gt;"data missing", 'Waste results'!$S$53&lt;&gt;"data missing", 'Waste results'!$S$89&lt;&gt;"data missing"), Calc!BC29*'Waste results'!$S$17+Calc!BD29*'Waste results'!$S$53+ Calc!BE29*'Waste results'!$S$89, "data missing")))))))))))</f>
        <v/>
      </c>
      <c r="I31" s="195" t="str">
        <f ca="1">IF(B31="","",
IF(OR(ISBLANK('Soil results'!G34), ISBLANK('Soil results'!G$7)),"data missing",
IF(OR(AND('Soil results'!G$7="Olsen (ADAS)",'Soil results'!G34&lt;16),AND('Soil results'!G$7="modified Morgan (SAC)",'Soil results'!G34&lt;4.5)),50,100)))</f>
        <v/>
      </c>
      <c r="J31" s="49" t="str">
        <f ca="1">IF(B31="","",
IF(OR(ISBLANK('Soil results'!G$7),ISBLANK('Soil results'!G34)),"data missing",
IF(OR(AND('Soil results'!G$7="Olsen (ADAS)",'Soil results'!G34&gt;45),AND('Soil results'!G$7="modified Morgan (SAC)",'Soil results'!G34&gt;30)),0,
IF(OR(AND('Soil results'!G$7="Olsen (ADAS)",'Soil results'!G34&gt;=16,'Soil results'!G34&lt;=20),AND('Soil results'!G$7="modified Morgan (SAC)",'Soil results'!G34&gt;=4.5,'Soil results'!G34&lt;=9.4)),VLOOKUP(Calc!BI29,'Fertiliser recommendations'!$A$4:$I$63,9,FALSE),
IF(OR(AND('Soil results'!G$7="Olsen (ADAS)",'Soil results'!G34&lt;10),AND('Soil results'!G$7="modified Morgan (SAC)",'Soil results'!G34&lt;1.8)),VLOOKUP(Calc!BI29,'Fertiliser recommendations'!$A$4:$I$63,9,FALSE)+VLOOKUP(Calc!BI29,'Fertiliser recommendations'!$A$4:$J$63,10,FALSE),
IF(OR(AND('Soil results'!G$7="Olsen (ADAS)",'Soil results'!G34&lt;16),AND('Soil results'!G$7="modified Morgan (SAC)",'Soil results'!G34&lt;4.5)),VLOOKUP(Calc!BI29,'Fertiliser recommendations'!$A$4:$I$63,9,FALSE)+VLOOKUP(Calc!BI29,'Fertiliser recommendations'!$A$4:$K$63,11,FALSE),
IF(OR(AND('Soil results'!G$7="Olsen (ADAS)",'Soil results'!G34&lt;26),AND('Soil results'!G$7="modified Morgan (SAC)",'Soil results'!G34&lt;13.5)),VLOOKUP(Calc!BI29,'Fertiliser recommendations'!$A$4:$I$63,9,FALSE)+VLOOKUP(Calc!BI29,'Fertiliser recommendations'!$A$4:$L$63,12,FALSE),
IF(OR(AND('Soil results'!G$7="Olsen (ADAS)",'Soil results'!G34&lt;=45),AND('Soil results'!G$7="modified Morgan (SAC)",'Soil results'!G34&lt;=30)),VLOOKUP(Calc!BI29,'Fertiliser recommendations'!$A$4:$I$63,9,FALSE)+VLOOKUP(Calc!BI29,'Fertiliser recommendations'!$A$4:$M$63,13,FALSE),
""))))))))</f>
        <v/>
      </c>
      <c r="K31" s="161" t="str">
        <f t="shared" ca="1" si="1"/>
        <v/>
      </c>
      <c r="L31" s="47" t="str">
        <f ca="1">IF(OR(ISBLANK('Soil results'!G$7),ISBLANK('Soil results'!G34),B31="", H31="data missing"),"",
IF('Soil results'!G$7="Olsen (ADAS)",
IF(((H31*Calc!BM29/2.291-(VLOOKUP(Calc!BI29,'Fertiliser recommendations'!$A$4:$I$63,9,FALSE))/2.291)*10/(400/2.291)+'Soil results'!G34)&lt;10,"0 (VL)",
IF(((H31*Calc!BM29/2.291-(VLOOKUP(Calc!BI29,'Fertiliser recommendations'!$A$4:$I$63,9,FALSE))/2.291)*10/(400/2.291)+'Soil results'!G34)&lt;16,"1 (L)",
IF(((H31*Calc!BM29/2.291-(VLOOKUP(Calc!BI29,'Fertiliser recommendations'!$A$4:$I$63,9,FALSE))/2.291)*10/(400/2.291)+'Soil results'!G34)&lt;21,"2 (M-)",
IF(((H31*Calc!BM29/2.291-(VLOOKUP(Calc!BI29,'Fertiliser recommendations'!$A$4:$I$63,9,FALSE))/2.291)*10/(400/2.291)+'Soil results'!G34)&lt;26,"2 (M+)",
IF(((H31*Calc!BM29/2.291-(VLOOKUP(Calc!BI29,'Fertiliser recommendations'!$A$4:$I$63,9,FALSE))/2.291)*10/(400/2.291)+'Soil results'!G34)&lt;45,"3 (H)","&gt;3 (VH)"))))),
IF('Soil results'!G$7="modified Morgan (SAC)",
IF('Soil results'!G34&gt;=6,
IF(((H31*Calc!BM29/2.291-(VLOOKUP(Calc!BI29,'Fertiliser recommendations'!$A$4:$I$63,9,FALSE))/2.291)*5/(147/2.291)+'Soil results'!G34)&lt;9.5,"2 (M-)",
IF(((H31*Calc!BM29/2.291-(VLOOKUP(Calc!BI29,'Fertiliser recommendations'!$A$4:$I$63,9,FALSE))/2.291)*5/(147/2.291)+'Soil results'!G34)&lt;13.5,"2 (M+)",
IF(((H31*Calc!BM29/2.291-(VLOOKUP(Calc!BI29,'Fertiliser recommendations'!$A$4:$I$63,9,FALSE))/2.291)*5/(147/2.291)+'Soil results'!G34)&lt;30,"3 (H)","4 (VH)"))),
IF(((H31*Calc!BM29/2.291-(VLOOKUP(Calc!BI29,'Fertiliser recommendations'!$A$4:$I$63,9,FALSE))/2.291)*5/(346/2.291)+'Soil results'!G34)&lt;1.8,"0 (VL)",
IF(((H31*Calc!BM29/2.291-(VLOOKUP(Calc!BI29,'Fertiliser recommendations'!$A$4:$I$63,9,FALSE))/2.291)*5/(147/2.291)+'Soil results'!G34)&lt;4.5,"1 (L)","2 (M-)"))))))</f>
        <v/>
      </c>
      <c r="M31" s="9" t="str">
        <f ca="1">IF(B31="","",
IF(OR(H31="data missing",I31="data missing",J31="data missing"),"data missing",
IF(Calc!BF29=0,"n/a",
IF(OR(AND('Soil results'!G$7="Olsen (ADAS)",'Soil results'!G34&gt;45),AND('Soil results'!G$7="modified Morgan (SAC)",'Soil results'!G34&gt;30)),
IF(H31&gt;2,"too high, not acceptable","no requirement"),IF(OR(AND('Soil results'!G$7="Olsen (ADAS)",'Soil results'!G34&gt;25),AND('Soil results'!G$7="modified Morgan (SAC)",'Soil results'!G34&gt;13.4)),
IF(H31*(I31/100)&lt;0.1*J31,"no benefit",
IF(H31*(I31/100)&lt;0.3*J31,"limited benefit",
IF(H31*(I31/100)&lt;1.1*J31,"benefit",
IF(H31*(I31/100)&lt;0.7*VLOOKUP(Calc!BI29,'Fertiliser recommendations'!$A$4:$I$63,9,FALSE),"excessive","too high, not acceptable")))),
IF(OR(AND('Soil results'!G$7="Olsen (ADAS)",'Soil results'!G34&gt;20),AND('Soil results'!G$7="modified Morgan (SAC)",'Soil results'!G34&gt;9.4)),
IF(H31*Calc!BM29*(I31/100)&lt;0.1*J31,"no benefit",
IF(H31*Calc!BM29*(I31/100)&lt;0.3*J31,"limited benefit",
IF(H31*Calc!BM29*(I31/100)&lt;1.1*J31,"benefit",
IF(L31="3 (H)","too high, not acceptable","excessive")))),
IF(OR(AND('Soil results'!G$7="Olsen (ADAS)",'Soil results'!G34&gt;15),AND('Soil results'!G$7="modified Morgan (SAC)",'Soil results'!G34&gt;4.4)),
IF(H31*Calc!BM29*(I31/100)&lt;0.1*VLOOKUP(Calc!BI29,'Fertiliser recommendations'!$A$4:$I$63,9,FALSE),"no benefit",
IF(H31*Calc!BM29*(I31/100)&lt;0.3*VLOOKUP(Calc!BI29,'Fertiliser recommendations'!$A$4:$I$63,9,FALSE),"limited benefit",
IF(H31*Calc!BM29*(I31/100)&lt;1.1*VLOOKUP(Calc!BI29,'Fertiliser recommendations'!$A$4:$I$63,9,FALSE),"benefit",
IF(L31="3 (H)", "too high, not acceptable", "excessive")))),
IF(OR(AND('Soil results'!G$7="Olsen (ADAS)",'Soil results'!G34&lt;=15),AND('Soil results'!G$7="modified Morgan (SAC)",'Soil results'!G34&lt;=4.4)),
IF(H31*Calc!BM29*(I31/100)&lt;0.1*VLOOKUP(Calc!BI29,'Fertiliser recommendations'!$A$4:$I$63,9,FALSE),"no benefit",
IF(H31*Calc!BM29*(I31/100)&lt;0.3*VLOOKUP(Calc!BI29,'Fertiliser recommendations'!$A$4:$I$63,9,FALSE),"limited benefit",
IF(H31*Calc!BM29*(I31/100)&lt;1.1*J31,"benefit","excessive")))))))))))</f>
        <v/>
      </c>
      <c r="O31" s="91" t="str">
        <f ca="1">IF(B31="","",
IF(AND('Field information 2'!$O$5="", 'Field information 2'!$Q$5=""),
   IF('Waste results'!$S$19&lt;&gt;"data missing", Calc!BC29*'Waste results'!$S$19, "data missing"),
IF('Field information 2'!$Q$5="",
   IF(Calc!BD29=0,
     IF('Waste results'!$S$19&lt;&gt;"data missing", Calc!BC29*'Waste results'!$S$19, "data missing"),
   IF(Calc!BC29=0,
     IF('Waste results'!$S$55&lt;&gt;"data missing", Calc!BD29*'Waste results'!$S$55, "data missing"),
   IF(OR('Waste results'!$S$19&lt;&gt;"data missing", 'Waste results'!$S$55&lt;&gt;"data missing"), Calc!BC29*'Waste results'!$S$19+ Calc!BD29*'Waste results'!$S$55, "data missing"))),
IF(AND('Field information 2'!$M$5&lt;&gt;"", 'Field information 2'!$O$5&lt;&gt;"", 'Field information 2'!$Q$5&lt;&gt;""),
   IF(AND(Calc!BD29=0,Calc!BE29=0),
     IF('Waste results'!$S$19&lt;&gt;"data missing", Calc!BC29*'Waste results'!$S$19, "data missing"),
   IF(AND(Calc!BC29=0,Calc!BE29=0),
     IF('Waste results'!$S$55&lt;&gt;"data missing", Calc!BD29*'Waste results'!$S$55, "data missing"),
   IF(AND(Calc!BC29=0,Calc!BD29=0),
     IF('Waste results'!$S$91&lt;&gt;"data missing", Calc!BE29*'Waste results'!$S$91, "data missing"),
   IF(Calc!BE29=0,
     IF(OR('Waste results'!$S$19&lt;&gt;"data missing", 'Waste results'!$S$55&lt;&gt;"data missing"), Calc!BC29*'Waste results'!$S$19+ Calc!BD29*'Waste results'!$S$55, "data missing"),
   IF(Calc!BD29=0,
     IF(OR('Waste results'!$S$19&lt;&gt;"data missing", 'Waste results'!$S$91&lt;&gt;"data missing"), Calc!BC29*'Waste results'!$S$19+ Calc!BE29*'Waste results'!$S$91, "data missing"),
   IF(Calc!BC29=0,
     IF(OR('Waste results'!$S$55&lt;&gt;"data missing", 'Waste results'!$S$91&lt;&gt;"data missing"), Calc!BD29*'Waste results'!$S$55+Calc!BE29*'Waste results'!$S$91, "data missing"),
   IF(OR('Waste results'!$S$19&lt;&gt;"data missing", 'Waste results'!$S$55&lt;&gt;"data missing", 'Waste results'!$S$91&lt;&gt;"data missing"), Calc!BC29*'Waste results'!$S$19+Calc!BD29*'Waste results'!$S$55+ Calc!BE29*'Waste results'!$S$91, "data missing")))))))))))</f>
        <v/>
      </c>
      <c r="P31" s="91" t="str">
        <f ca="1">IF(B31="","",
IF(OR(ISBLANK('Soil results'!H$7),ISBLANK('Soil results'!H34)),"data missing",
IF(OR(AND('Soil results'!H$7="ammonium nitrate (ADAS)",'Soil results'!H34&gt;400),AND('Soil results'!H$7="modified Morgan (SAC)",'Soil results'!H34&gt;400)),0,
IF(OR(AND('Soil results'!H$7="ammonium nitrate (ADAS)",'Soil results'!H34&gt;=121,'Soil results'!H34&lt;=180),AND('Soil results'!H$7="modified Morgan (SAC)",'Soil results'!H34&gt;=76,'Soil results'!H34&lt;=140)),VLOOKUP(Calc!BI29,'Fertiliser recommendations'!$A$4:$Z$63,26,FALSE),
IF(OR(AND('Soil results'!H$7="ammonium nitrate (ADAS)",'Soil results'!H34&lt;61),AND('Soil results'!H$7="modified Morgan (SAC)",'Soil results'!H34&lt;40)),VLOOKUP(Calc!BI29,'Fertiliser recommendations'!$A$4:$Z$63,26,FALSE)+VLOOKUP(Calc!BI29,'Fertiliser recommendations'!$A$4:$AA$63,27,FALSE),
IF(OR(AND('Soil results'!H$7="ammonium nitrate (ADAS)",'Soil results'!H34&lt;121),AND('Soil results'!H$7="modified Morgan (SAC)",'Soil results'!H34&lt;76)),VLOOKUP(Calc!BI29,'Fertiliser recommendations'!$A$4:$Z$63,26,FALSE)+VLOOKUP(Calc!BI29,'Fertiliser recommendations'!$A$4:$AB$63,28,FALSE),
IF(OR(AND('Soil results'!H$7="ammonium nitrate (ADAS)",'Soil results'!H34&lt;241),AND('Soil results'!H$7="modified Morgan (SAC)",'Soil results'!H34&lt;201)),VLOOKUP(Calc!BI29,'Fertiliser recommendations'!$A$4:$Z$63,26,FALSE)+VLOOKUP(Calc!BI29,'Fertiliser recommendations'!$A$4:$AC$63,29,FALSE),
IF(OR(AND('Soil results'!H$7="ammonium nitrate (ADAS)",'Soil results'!H34&lt;=400),AND('Soil results'!H$7="modified Morgan (SAC)",'Soil results'!H34&lt;=400)),VLOOKUP(Calc!BI29,'Fertiliser recommendations'!$A$4:$Z$63,26,FALSE)+VLOOKUP(Calc!BI29,'Fertiliser recommendations'!$A$4:$AD$63,30,FALSE),
"??"))))))))</f>
        <v/>
      </c>
      <c r="Q31" s="91" t="str">
        <f t="shared" ca="1" si="2"/>
        <v/>
      </c>
      <c r="R31" s="9" t="str">
        <f ca="1">IF(B31="","",
IF(OR(O31="data missing",P31="data missing"),"data missing",
IF(Calc!BF29=0,"n/a",
IF(P31=0, "no requirement",
IF(O31&lt;0.1*P31,"no benefit",
IF(O31&lt;0.3*P31,"limited benefit",
IF(O31&gt;1.25*P31,"excessive",
"benefit")))))))</f>
        <v/>
      </c>
      <c r="T31" s="91" t="str">
        <f ca="1">IF(B31="","",
IF(AND('Field information 2'!$O$5="", 'Field information 2'!$Q$5=""),
   IF('Waste results'!$S$21&lt;&gt;"data missing", Calc!BC29*'Waste results'!$S$21, "data missing"),
IF('Field information 2'!$Q$5="",
   IF(Calc!BD29=0,
     IF('Waste results'!$S$21&lt;&gt;"data missing", Calc!BC29*'Waste results'!$S$21, "data missing"),
   IF(Calc!BC29=0,
     IF('Waste results'!$S$57&lt;&gt;"data missing", Calc!BD29*'Waste results'!$S$57, "data missing"),
   IF(OR('Waste results'!$S$21&lt;&gt;"data missing", 'Waste results'!$S$57&lt;&gt;"data missing"), Calc!BC29*'Waste results'!$S$21+ Calc!BD29*'Waste results'!$S$57, "data missing"))),
IF(AND('Field information 2'!$M$5&lt;&gt;"", 'Field information 2'!$O$5&lt;&gt;"", 'Field information 2'!$Q$5&lt;&gt;""),
   IF(AND(Calc!BD29=0,Calc!BE29=0),
     IF('Waste results'!$S$21&lt;&gt;"data missing", Calc!BC29*'Waste results'!$S$21, "data missing"),
   IF(AND(Calc!BC29=0,Calc!BE29=0),
     IF('Waste results'!$S$57&lt;&gt;"data missing", Calc!BD29*'Waste results'!$S$57, "data missing"),
   IF(AND(Calc!BC29=0,Calc!BD29=0),
     IF('Waste results'!$S$93&lt;&gt;"data missing", Calc!BE29*'Waste results'!$S$93, "data missing"),
   IF(Calc!BE29=0,
     IF(OR('Waste results'!$S$21&lt;&gt;"data missing", 'Waste results'!$S$57&lt;&gt;"data missing"), Calc!BC29*'Waste results'!$S$21+ Calc!BD29*'Waste results'!$S$57, "data missing"),
   IF(Calc!BD29=0,
     IF(OR('Waste results'!$S$21&lt;&gt;"data missing", 'Waste results'!$S$93&lt;&gt;"data missing"), Calc!BC29*'Waste results'!$S$21+ Calc!BE29*'Waste results'!$S$93, "data missing"),
   IF(Calc!BC29=0,
     IF(OR('Waste results'!$S$57&lt;&gt;"data missing", 'Waste results'!$S$93&lt;&gt;"data missing"), Calc!BD29*'Waste results'!$S$57+Calc!BE29*'Waste results'!$S$93, "data missing"),
   IF(OR('Waste results'!$S$21&lt;&gt;"data missing", 'Waste results'!$S$57&lt;&gt;"data missing", 'Waste results'!$S$93&lt;&gt;"data missing"), Calc!BC29*'Waste results'!$S$21+Calc!BD29*'Waste results'!$S$57+ Calc!BE29*'Waste results'!$S$93, "data missing")))))))))))</f>
        <v/>
      </c>
      <c r="U31" s="7" t="str">
        <f ca="1">IF(B31="","",
IF(OR(ISBLANK('Soil results'!I$7),ISBLANK('Soil results'!I34)),"data missing",
IF(OR(AND('Soil results'!I$7="ammonium nitrate (ADAS)",'Soil results'!I34&gt;51),AND('Soil results'!I$7="modified Morgan (SAC)",'Soil results'!I34&gt;61)),0,
IF(OR(AND('Soil results'!I$7="ammonium nitrate (ADAS)",'Soil results'!I34&lt;25),AND('Soil results'!I$7="modified Morgan (SAC)",'Soil results'!I34&lt;19)),VLOOKUP(Calc!BI29,'Fertiliser recommendations'!$A$4:$AH$63,34,FALSE),
IF(OR(AND('Soil results'!I$7="ammonium nitrate (ADAS)",'Soil results'!I34&lt;=51),AND('Soil results'!I$7="modified Morgan (SAC)",'Soil results'!I34&lt;=61)),VLOOKUP(Calc!BI29,'Fertiliser recommendations'!$A$4:$AI$63,35,FALSE),
"")))))</f>
        <v/>
      </c>
      <c r="V31" s="91" t="str">
        <f t="shared" ca="1" si="3"/>
        <v/>
      </c>
      <c r="W31" s="9" t="str">
        <f ca="1">IF(B31="","",
IF(OR(T31="data missing",U31="data missing"),"data missing",
IF(Calc!BF29=0,"n/a",
IF(U31=0,"no requirement",
IF(T31&lt;0.1*U31,"no benefit",
IF(T31&lt;0.3*U31,"limited benefit",
IF(OR(T31&gt;1.5*U31,AND(Calc!BJ29="g",T31&gt;100)),"excessive",
"benefit")))))))</f>
        <v/>
      </c>
      <c r="Y31" s="91" t="str">
        <f ca="1">IF(B31="","",
IF(AND('Field information 2'!$O$5="", 'Field information 2'!$Q$5=""),
   IF('Waste results'!$P$23&lt;&gt;"", Calc!BC29*'Waste results'!$P$23, "no data"),
IF('Field information 2'!$Q$5="",
   IF(Calc!BD29=0,
     IF('Waste results'!$P$23&lt;&gt;"", Calc!BC29*'Waste results'!$P$23, "no data"),
   IF(Calc!BC29=0,
     IF('Waste results'!$P$59&lt;&gt;"", Calc!BD29*'Waste results'!$P$59, "no data"),
   IF(OR('Waste results'!$P$23&lt;&gt;"", 'Waste results'!$P$59&lt;&gt;""), Calc!BC29*'Waste results'!$P$23+ Calc!BD29*'Waste results'!$P$59, "no data"))),
IF(AND('Field information 2'!$M$5&lt;&gt;"", 'Field information 2'!$O$5&lt;&gt;"", 'Field information 2'!$Q$5&lt;&gt;""),
   IF(AND(Calc!BD29=0,Calc!BE29=0),
     IF('Waste results'!$P$23&lt;&gt;"", Calc!BC29*'Waste results'!$P$23, "no data"),
   IF(AND(Calc!BC29=0,Calc!BE29=0),
     IF('Waste results'!$P$59&lt;&gt;"", Calc!BD29*'Waste results'!$P$59, "no data"),
   IF(AND(Calc!BC29=0,Calc!BD29=0),
     IF('Waste results'!$P$95&lt;&gt;"", Calc!BE29*'Waste results'!$P$95, "no data"),
   IF(Calc!BE29=0,
     IF(OR('Waste results'!$P$23&lt;&gt;"", 'Waste results'!$P$59&lt;&gt;""), Calc!BC29*'Waste results'!$P$23+ Calc!BD29*'Waste results'!$P$59, "no data"),
   IF(Calc!BD29=0,
     IF(OR('Waste results'!$P$23&lt;&gt;"", 'Waste results'!$P$95&lt;&gt;""), Calc!BC29*'Waste results'!$P$23+ Calc!BE29*'Waste results'!$P$95, "no data"),
   IF(Calc!BC29=0,
     IF(OR('Waste results'!$P$59&lt;&gt;"", 'Waste results'!$P$95&lt;&gt;""), Calc!BD29*'Waste results'!$P$59+Calc!BE29*'Waste results'!$P$95, "no data"),
   IF(OR('Waste results'!$P$23&lt;&gt;"", 'Waste results'!$P$59&lt;&gt;"", 'Waste results'!$P$95&lt;&gt;""), Calc!BC29*'Waste results'!$P$23+Calc!BD29*'Waste results'!$P$59+ Calc!BE29*'Waste results'!$P$95, "no data")))))))))))</f>
        <v/>
      </c>
      <c r="Z31" s="7" t="str">
        <f ca="1">IF(OR(ISBLANK('Soil results'!I$7),ISBLANK('Soil results'!I34),'Soil results'!B34=""),"",
VLOOKUP(Calc!BI29,'Fertiliser recommendations'!$A$4:$AM$63,39,FALSE))</f>
        <v/>
      </c>
      <c r="AA31" s="91" t="str">
        <f t="shared" ca="1" si="4"/>
        <v/>
      </c>
      <c r="AB31" s="9" t="str">
        <f t="shared" ca="1" si="5"/>
        <v/>
      </c>
      <c r="AD31" s="48" t="str">
        <f>IF(ISBLANK('Soil results'!F34),"",'Soil results'!F34)</f>
        <v/>
      </c>
      <c r="AE31" s="49" t="str">
        <f ca="1">IF(B31="","",
IF(AND(Calc!BJ29="g", VLOOKUP(LEFT($B31,LEN($B31)-2),'Field information 2'!$B$12:$P$111,9,FALSE)&lt;&gt;"yes"),
 IF(Calc!BG29="10-25% OM", 5.9, IF(Calc!BG29="&gt;25% OM", 5.5, 6.2)),
IF(OR(Calc!BJ29="a", VLOOKUP(LEFT($B31,LEN($B31)-2),'Field information 2'!$B$12:$P$111,9,FALSE)="yes"),
 IF(Calc!BG29="10-25% OM", 6.4, IF(Calc!BG29="&gt;25% OM", 6, 6.7)), "")))</f>
        <v/>
      </c>
      <c r="AF31" s="91" t="str">
        <f ca="1">IF(B31="","",
IF('Waste results'!$Q$33="","no (significant) liming properties",
IF('Waste results'!Q$33&gt;100,"no (significant) liming properties",
IF(AD31="","",
IF(AD31&gt;=AE31,0,ROUNDDOWN((AE31-AD31)*Calc!BK29*'Waste results'!$Q$33+0.2,0))))))</f>
        <v/>
      </c>
      <c r="AG31" s="9" t="str">
        <f ca="1">IF(B31="","",
IF(T31=0,"n/a",
IF(AD31="","data missing",
IF(AND(AD31&lt;5,AF31="no (significant) liming properties"),"no waste application - pH too low",
IF(AND(AD31&gt;5.1,AF31="no (significant) liming properties",Calc!BH29&gt;25, LEFT(Calc!BI29,4)="graz"),"ok",
IF(AND(AD31&lt;=5.2,AF31="no (significant) liming properties"),"liming highly recommended",
IF(AF31=0,"no waste application - liming not required",
IF(AF31&lt;Calc!BC29,"application rate too high - exceeds liming requirement",
"ok"))))))))</f>
        <v/>
      </c>
      <c r="AI31" s="91" t="str">
        <f ca="1">IF(B31="","",
IF(AND('Field information 2'!$O$5="", 'Field information 2'!$Q$5=""),
   IF('Waste results'!$P$10&lt;&gt;"data missing", Calc!BC29*'Waste results'!$P$10, "data missing"),
IF('Field information 2'!$Q$5="",
   IF(Calc!BD29=0,
     IF('Waste results'!$P$10&lt;&gt;"data missing", Calc!BC29*'Waste results'!$P$10, "data missing"),
   IF(Calc!BC29=0,
     IF('Waste results'!$P$45&lt;&gt;"data missing", Calc!BD29*'Waste results'!$P$45, "data missing"),
   IF(OR('Waste results'!$P$10&lt;&gt;"data missing", 'Waste results'!$P$45&lt;&gt;"data missing"), Calc!BC29*'Waste results'!$P$10+ Calc!BD29*'Waste results'!$P$45, "data missing"))),
IF(AND('Field information 2'!$M$5&lt;&gt;"", 'Field information 2'!$O$5&lt;&gt;"", 'Field information 2'!$Q$5&lt;&gt;""),
   IF(AND(Calc!BD29=0,Calc!BE29=0),
     IF('Waste results'!$P$10&lt;&gt;"data missing", Calc!BC29*'Waste results'!$P$10, "data missing"),
   IF(AND(Calc!BC29=0,Calc!BE29=0),
     IF('Waste results'!$P$45&lt;&gt;"data missing", Calc!BD29*'Waste results'!$P$45, "data missing"),
   IF(AND(Calc!BC29=0,Calc!BD29=0),
     IF('Waste results'!$P$82&lt;&gt;"data missing", Calc!BE29*'Waste results'!$P$82, "data missing"),
   IF(Calc!BE29=0,
     IF(OR('Waste results'!$P$10&lt;&gt;"data missing", 'Waste results'!$P$45&lt;&gt;"data missing"), Calc!BC29*'Waste results'!$P$10+ Calc!BD29*'Waste results'!$P$45, "data missing"),
   IF(Calc!BD29=0,
     IF(OR('Waste results'!$P$10&lt;&gt;"data missing", 'Waste results'!$P$82&lt;&gt;"data missing"), Calc!BC29*'Waste results'!$P$10+ Calc!BE29*'Waste results'!$P$82, "data missing"),
   IF(Calc!BC29=0,
     IF(OR('Waste results'!$P$45&lt;&gt;"data missing", 'Waste results'!$P$82&lt;&gt;"data missing"), Calc!BD29*'Waste results'!$P$45+Calc!BE29*'Waste results'!$P$82, "data missing"),
   IF(OR('Waste results'!$P$10&lt;&gt;"data missing", 'Waste results'!$P$45&lt;&gt;"data missing", 'Waste results'!$P$82&lt;&gt;"data missing"), Calc!BC29*'Waste results'!$P$10+Calc!BD29*'Waste results'!$P$45+ Calc!BE29*'Waste results'!$P$82, "data missing")))))))))))</f>
        <v/>
      </c>
      <c r="AJ31" s="237" t="str">
        <f ca="1">IF(B31="","",
IF(AI31="data missing","data missing",
IF(Calc!BF29=0,"n/a",
IF(AND(Calc!BH29&gt;=8,AI31&lt;500),"no benefit",
IF(OR(AND(Calc!BH29&lt;=4,AI31&gt;=500),AND(Calc!BH29&lt;8,AI31&gt;5000)),"benefit",
"limited benefit")))))</f>
        <v/>
      </c>
      <c r="AL31" s="238" t="str">
        <f ca="1">IF(B31="","",
IF(AND('Field information 2'!$O$5="", 'Field information 2'!$Q$5=""),
   IF('Waste results'!$S$25&lt;&gt;"data missing", Calc!BC29*'Waste results'!$S$25, "data missing"),
IF('Field information 2'!$Q$5="",
   IF(Calc!BD29=0,
     IF('Waste results'!$S$25&lt;&gt;"data missing", Calc!BC29*'Waste results'!$S$25, "data missing"),
   IF(Calc!BC29=0,
     IF('Waste results'!$S$61&lt;&gt;"data missing", Calc!BD29*'Waste results'!$S$61, "data missing"),
   IF(OR('Waste results'!$S$25&lt;&gt;"data missing", 'Waste results'!$S$61&lt;&gt;"data missing"), Calc!BC29*'Waste results'!$S$25+ Calc!BD29*'Waste results'!$S$61, "data missing"))),
IF(AND('Field information 2'!$M$5&lt;&gt;"", 'Field information 2'!$O$5&lt;&gt;"", 'Field information 2'!$Q$5&lt;&gt;""),
   IF(AND(Calc!BD29=0,Calc!BE29=0),
     IF('Waste results'!$S$25&lt;&gt;"data missing", Calc!BC29*'Waste results'!$S$25, "data missing"),
   IF(AND(Calc!BC29=0,Calc!BE29=0),
     IF('Waste results'!$S$61&lt;&gt;"data missing", Calc!BD29*'Waste results'!$S$61, "data missing"),
   IF(AND(Calc!BC29=0,Calc!BD29=0),
     IF('Waste results'!$S$97&lt;&gt;"data missing", Calc!BE29*'Waste results'!$S$97, "data missing"),
   IF(Calc!BE29=0,
     IF(OR('Waste results'!$S$25&lt;&gt;"data missing", 'Waste results'!$S$61&lt;&gt;"data missing"), Calc!BC29*'Waste results'!$S$25+ Calc!BD29*'Waste results'!$S$61, "data missing"),
   IF(Calc!BD29=0,
     IF(OR('Waste results'!$S$25&lt;&gt;"data missing", 'Waste results'!$S$97&lt;&gt;"data missing"), Calc!BC29*'Waste results'!$S$25+ Calc!BE29*'Waste results'!$S$97, "data missing"),
   IF(Calc!BC29=0,
     IF(OR('Waste results'!$S$61&lt;&gt;"data missing", 'Waste results'!$S$97&lt;&gt;"data missing"), Calc!BD29*'Waste results'!$S$61+Calc!BE29*'Waste results'!$S$97, "data missing"),
   IF(OR('Waste results'!$S$25&lt;&gt;"data missing", 'Waste results'!$S$61&lt;&gt;"data missing", 'Waste results'!$S$97&lt;&gt;"data missing"), Calc!BC29*'Waste results'!$S$25+Calc!BD29*'Waste results'!$S$61+ Calc!BE29*'Waste results'!$S$97, "data missing")))))))))))</f>
        <v/>
      </c>
      <c r="AM31" s="239" t="str">
        <f ca="1">IF($B31="","",
IF(ISBLANK('Soil results'!K34),"data missing",'Soil results'!K34))</f>
        <v/>
      </c>
      <c r="AN31" s="239" t="str">
        <f t="shared" ca="1" si="6"/>
        <v/>
      </c>
      <c r="AO31" s="9" t="str">
        <f t="shared" ca="1" si="7"/>
        <v/>
      </c>
      <c r="AQ31" s="240" t="str">
        <f ca="1">IF(B31="","",
IF(AND('Field information 2'!$O$5="", 'Field information 2'!$Q$5=""),
   IF('Waste results'!$S$26&lt;&gt;"data missing", Calc!BC29*'Waste results'!$S$26, "data missing"),
IF('Field information 2'!$Q$5="",
   IF(Calc!BD29=0,
     IF('Waste results'!$S$26&lt;&gt;"data missing", Calc!BC29*'Waste results'!$S$26, "data missing"),
   IF(Calc!BC29=0,
     IF('Waste results'!$S$62&lt;&gt;"data missing", Calc!BD29*'Waste results'!$S$62, "data missing"),
   IF(OR('Waste results'!$S$26&lt;&gt;"data missing", 'Waste results'!$S$62&lt;&gt;"data missing"), Calc!BC29*'Waste results'!$S$26+ Calc!BD29*'Waste results'!$S$62, "data missing"))),
IF(AND('Field information 2'!$M$5&lt;&gt;"", 'Field information 2'!$O$5&lt;&gt;"", 'Field information 2'!$Q$5&lt;&gt;""),
   IF(AND(Calc!BD29=0,Calc!BE29=0),
     IF('Waste results'!$S$26&lt;&gt;"data missing", Calc!BC29*'Waste results'!$S$26, "data missing"),
   IF(AND(Calc!BC29=0,Calc!BE29=0),
     IF('Waste results'!$S$62&lt;&gt;"data missing", Calc!BD29*'Waste results'!$S$62, "data missing"),
   IF(AND(Calc!BC29=0,Calc!BD29=0),
     IF('Waste results'!$S$98&lt;&gt;"data missing", Calc!BE29*'Waste results'!$S$98, "data missing"),
   IF(Calc!BE29=0,
     IF(OR('Waste results'!$S$26&lt;&gt;"data missing", 'Waste results'!$S$62&lt;&gt;"data missing"), Calc!BC29*'Waste results'!$S$26+ Calc!BD29*'Waste results'!$S$62, "data missing"),
   IF(Calc!BD29=0,
     IF(OR('Waste results'!$S$26&lt;&gt;"data missing", 'Waste results'!$S$98&lt;&gt;"data missing"), Calc!BC29*'Waste results'!$S$26+ Calc!BE29*'Waste results'!$S$98, "data missing"),
   IF(Calc!BC29=0,
     IF(OR('Waste results'!$S$62&lt;&gt;"data missing", 'Waste results'!$S$98&lt;&gt;"data missing"), Calc!BD29*'Waste results'!$S$62+Calc!BE29*'Waste results'!$S$98, "data missing"),
   IF(OR('Waste results'!$S$26&lt;&gt;"data missing", 'Waste results'!$S$62&lt;&gt;"data missing", 'Waste results'!$S$98&lt;&gt;"data missing"), Calc!BC29*'Waste results'!$S$26+Calc!BD29*'Waste results'!$S$62+ Calc!BE29*'Waste results'!$S$98, "data missing")))))))))))</f>
        <v/>
      </c>
      <c r="AR31" s="241" t="str">
        <f ca="1">IF($B31="","",
IF(ISBLANK('Soil results'!L34),"data missing",'Soil results'!L34))</f>
        <v/>
      </c>
      <c r="AS31" s="241" t="str">
        <f t="shared" ca="1" si="8"/>
        <v/>
      </c>
      <c r="AT31" s="66" t="str">
        <f t="shared" ca="1" si="9"/>
        <v/>
      </c>
      <c r="AV31" s="238" t="str">
        <f ca="1">IF(B31="","",
IF(AND('Field information 2'!$O$5="", 'Field information 2'!$Q$5=""),
   IF('Waste results'!$S$27&lt;&gt;"data missing", Calc!BC29*'Waste results'!$S$27, "data missing"),
IF('Field information 2'!$Q$5="",
   IF(Calc!BD29=0,
     IF('Waste results'!$S$27&lt;&gt;"data missing", Calc!BC29*'Waste results'!$S$27, "data missing"),
   IF(Calc!BC29=0,
     IF('Waste results'!$S$63&lt;&gt;"data missing", Calc!BD29*'Waste results'!$S$63, "data missing"),
   IF(OR('Waste results'!$S$27&lt;&gt;"data missing", 'Waste results'!$S$63&lt;&gt;"data missing"), Calc!BC29*'Waste results'!$S$27+ Calc!BD29*'Waste results'!$S$63, "data missing"))),
IF(AND('Field information 2'!$M$5&lt;&gt;"", 'Field information 2'!$O$5&lt;&gt;"", 'Field information 2'!$Q$5&lt;&gt;""),
   IF(AND(Calc!BD29=0,Calc!BE29=0),
     IF('Waste results'!$S$27&lt;&gt;"data missing", Calc!BC29*'Waste results'!$S$27, "data missing"),
   IF(AND(Calc!BC29=0,Calc!BE29=0),
     IF('Waste results'!$S$63&lt;&gt;"data missing", Calc!BD29*'Waste results'!$S$63, "data missing"),
   IF(AND(Calc!BC29=0,Calc!BD29=0),
     IF('Waste results'!$S$99&lt;&gt;"data missing", Calc!BE29*'Waste results'!$S$99, "data missing"),
   IF(Calc!BE29=0,
     IF(OR('Waste results'!$S$27&lt;&gt;"data missing", 'Waste results'!$S$63&lt;&gt;"data missing"), Calc!BC29*'Waste results'!$S$27+ Calc!BD29*'Waste results'!$S$63, "data missing"),
   IF(Calc!BD29=0,
     IF(OR('Waste results'!$S$27&lt;&gt;"data missing", 'Waste results'!$S$99&lt;&gt;"data missing"), Calc!BC29*'Waste results'!$S$27+ Calc!BE29*'Waste results'!$S$99, "data missing"),
   IF(Calc!BC29=0,
     IF(OR('Waste results'!$S$63&lt;&gt;"data missing", 'Waste results'!$S$99&lt;&gt;"data missing"), Calc!BD29*'Waste results'!$S$63+Calc!BE29*'Waste results'!$S$99, "data missing"),
   IF(OR('Waste results'!$S$27&lt;&gt;"data missing", 'Waste results'!$S$63&lt;&gt;"data missing", 'Waste results'!$S$99&lt;&gt;"data missing"), Calc!BC29*'Waste results'!$S$27+Calc!BD29*'Waste results'!$S$63+ Calc!BE29*'Waste results'!$S$99, "data missing")))))))))))</f>
        <v/>
      </c>
      <c r="AW31" s="239" t="str">
        <f ca="1">IF($B31="","",
IF(ISBLANK('Soil results'!M34),"data missing",'Soil results'!M34))</f>
        <v/>
      </c>
      <c r="AX31" s="239" t="str">
        <f t="shared" ca="1" si="10"/>
        <v/>
      </c>
      <c r="AY31" s="9" t="str">
        <f ca="1">IF(B31="","",
IF(AV31=0,"n/a",
IF(OR(AV31="data missing",AW31="data missing"),"data missing",
IF(AV31&gt;7.5,"application rate too high - permissible rate exceeds limit",
IF('Soil results'!$F34&lt;=5.5,
  IF(AW31&gt;80,"no application - soil conc. already above limit",
  IF(AX31&gt;80,"application rate too high - soil conc. will exceed limit",
  IF(AW31&gt;80*0.9,"soil conc. is at or above 90% of the limit",
  IF(10*AV31*1000/3000+AW31&gt;80,"soil limit likely to be exceeded in 10yrs",
  IF(50*AV31*1000/3000+AW31&gt;80,"soil limit likely to be exceeded in 50yrs","ok"))))),
IF('Soil results'!$F34&lt;=6,
  IF(AW31&gt;100,"no application - soil conc. already above limit",
  IF(AX31&gt;100,"application rate too high - soil conc. will exceed limit",
  IF(AW31&gt;100*0.9,"soil conc. is at or above 90% of the limit",
  IF(10*AV31*1000/3000+AW31&gt;100,"soil limit likely to be exceeded in 10yrs",
  IF(50*AV31*1000/3000+AW31&gt;100,"soil limit likely to be exceeded in 50yrs","ok"))))),
IF('Soil results'!$F34&lt;=7,
  IF(AW31&gt;135,"no application - soil conc. already above limit",
  IF(AX31&gt;135,"application rate too high - soil conc. will exceed limit",
  IF(AW31&gt;135*0.9,"soil conc. is at or above 90% of the limit",
  IF(10*AV31*1000/3000+AW31&gt;135,"soil limit likely to be exceeded in 10yrs",
  IF(50*AV31*1000/3000+AW31&gt;135,"soil limit likely to be exceeded in 50yrs","ok"))))),
IF('Soil results'!$F34&gt;7,
  IF(AW31&gt;200,"no application - soil conc. already above limit",
  IF(AX31&gt;200,"application too high - soil conc. will exceed limit",
  IF(AW31&gt;200*0.9,"soil conc. is at or above 90% of the limit",
  IF(10*AV31*1000/3000+AW31&gt;200,"soil limit likely to be exceeded in 10yrs",
  IF(50*AV31*1000/3000+AW31&gt;200,"soil limit likely to be exceeded in 50yrs","ok")))))
))))))))</f>
        <v/>
      </c>
      <c r="BA31" s="238" t="str">
        <f ca="1">IF(B31="","",
IF(AND('Field information 2'!$O$5="", 'Field information 2'!$Q$5=""),
   IF('Waste results'!$S$28&lt;&gt;"data missing", Calc!BC29*'Waste results'!$S$28, "data missing"),
IF('Field information 2'!$Q$5="",
   IF(Calc!BD29=0,
     IF('Waste results'!$S$28&lt;&gt;"data missing", Calc!BC29*'Waste results'!$S$28, "data missing"),
   IF(Calc!BC29=0,
     IF('Waste results'!$S$64&lt;&gt;"data missing", Calc!BD29*'Waste results'!$S$64, "data missing"),
   IF(OR('Waste results'!$S$28&lt;&gt;"data missing", 'Waste results'!$S$64&lt;&gt;"data missing"), Calc!BC29*'Waste results'!$S$28+ Calc!BD29*'Waste results'!$S$64, "data missing"))),
IF(AND('Field information 2'!$M$5&lt;&gt;"", 'Field information 2'!$O$5&lt;&gt;"", 'Field information 2'!$Q$5&lt;&gt;""),
   IF(AND(Calc!BD29=0,Calc!BE29=0),
     IF('Waste results'!$S$28&lt;&gt;"data missing", Calc!BC29*'Waste results'!$S$28, "data missing"),
   IF(AND(Calc!BC29=0,Calc!BE29=0),
     IF('Waste results'!$S$64&lt;&gt;"data missing", Calc!BD29*'Waste results'!$S$64, "data missing"),
   IF(AND(Calc!BC29=0,Calc!BD29=0),
     IF('Waste results'!$S$100&lt;&gt;"data missing", Calc!BE29*'Waste results'!$S$100, "data missing"),
   IF(Calc!BE29=0,
     IF(OR('Waste results'!$S$28&lt;&gt;"data missing", 'Waste results'!$S$64&lt;&gt;"data missing"), Calc!BC29*'Waste results'!$S$28+ Calc!BD29*'Waste results'!$S$64, "data missing"),
   IF(Calc!BD29=0,
     IF(OR('Waste results'!$S$28&lt;&gt;"data missing", 'Waste results'!$S$100&lt;&gt;"data missing"), Calc!BC29*'Waste results'!$S$28+ Calc!BE29*'Waste results'!$S$100, "data missing"),
   IF(Calc!BC29=0,
     IF(OR('Waste results'!$S$64&lt;&gt;"data missing", 'Waste results'!$S$100&lt;&gt;"data missing"), Calc!BD29*'Waste results'!$S$64+Calc!BE29*'Waste results'!$S$100, "data missing"),
   IF(OR('Waste results'!$S$28&lt;&gt;"data missing", 'Waste results'!$S$64&lt;&gt;"data missing", 'Waste results'!$S$100&lt;&gt;"data missing"), Calc!BC29*'Waste results'!$S$28+Calc!BD29*'Waste results'!$S$64+ Calc!BE29*'Waste results'!$S$100, "data missing")))))))))))</f>
        <v/>
      </c>
      <c r="BB31" s="239" t="str">
        <f ca="1">IF($B31="","",
IF(ISBLANK('Soil results'!N34),"data missing",'Soil results'!N34))</f>
        <v/>
      </c>
      <c r="BC31" s="239" t="str">
        <f t="shared" ca="1" si="11"/>
        <v/>
      </c>
      <c r="BD31" s="9" t="str">
        <f t="shared" ca="1" si="12"/>
        <v/>
      </c>
      <c r="BF31" s="238" t="str">
        <f ca="1">IF(B31="","",
IF(AND('Field information 2'!$O$5="", 'Field information 2'!$Q$5=""),
   IF('Waste results'!$S$29&lt;&gt;"data missing", Calc!BC29*'Waste results'!$S$29, "data missing"),
IF('Field information 2'!$Q$5="",
   IF(Calc!BD29=0,
     IF('Waste results'!$S$29&lt;&gt;"data missing", Calc!BC29*'Waste results'!$S$29, "data missing"),
   IF(Calc!BC29=0,
     IF('Waste results'!$S$65&lt;&gt;"data missing", Calc!BD29*'Waste results'!$S$65, "data missing"),
   IF(OR('Waste results'!$S$29&lt;&gt;"data missing", 'Waste results'!$S$65&lt;&gt;"data missing"), Calc!BC29*'Waste results'!$S$29+ Calc!BD29*'Waste results'!$S$65, "data missing"))),
IF(AND('Field information 2'!$M$5&lt;&gt;"", 'Field information 2'!$O$5&lt;&gt;"", 'Field information 2'!$Q$5&lt;&gt;""),
   IF(AND(Calc!BD29=0,Calc!BE29=0),
     IF('Waste results'!$S$29&lt;&gt;"data missing", Calc!BC29*'Waste results'!$S$29, "data missing"),
   IF(AND(Calc!BC29=0,Calc!BE29=0),
     IF('Waste results'!$S$65&lt;&gt;"data missing", Calc!BD29*'Waste results'!$S$65, "data missing"),
   IF(AND(Calc!BC29=0,Calc!BD29=0),
     IF('Waste results'!$S$101&lt;&gt;"data missing", Calc!BE29*'Waste results'!$S$101, "data missing"),
   IF(Calc!BE29=0,
     IF(OR('Waste results'!$S$29&lt;&gt;"data missing", 'Waste results'!$S$65&lt;&gt;"data missing"), Calc!BC29*'Waste results'!$S$29+ Calc!BD29*'Waste results'!$S$65, "data missing"),
   IF(Calc!BD29=0,
     IF(OR('Waste results'!$S$29&lt;&gt;"data missing", 'Waste results'!$S$101&lt;&gt;"data missing"), Calc!BC29*'Waste results'!$S$29+ Calc!BE29*'Waste results'!$S$101, "data missing"),
   IF(Calc!BC29=0,
     IF(OR('Waste results'!$S$65&lt;&gt;"data missing", 'Waste results'!$S$101&lt;&gt;"data missing"), Calc!BD29*'Waste results'!$S$65+Calc!BE29*'Waste results'!$S$101, "data missing"),
   IF(OR('Waste results'!$S$29&lt;&gt;"data missing", 'Waste results'!$S$65&lt;&gt;"data missing", 'Waste results'!$S$101&lt;&gt;"data missing"), Calc!BC29*'Waste results'!$S$29+Calc!BD29*'Waste results'!$S$65+ Calc!BE29*'Waste results'!$S$101, "data missing")))))))))))</f>
        <v/>
      </c>
      <c r="BG31" s="239" t="str">
        <f ca="1">IF($B31="","",
IF(ISBLANK('Soil results'!O34),"data missing",'Soil results'!O34))</f>
        <v/>
      </c>
      <c r="BH31" s="239" t="str">
        <f t="shared" ca="1" si="13"/>
        <v/>
      </c>
      <c r="BI31" s="9" t="str">
        <f ca="1">IF(B31="","",
IF(BF31=0,"n/a",
IF(OR(BF31="data missing",BG31="data missing"),"data missing",
IF(BF31&gt;3,"application rate too high - permissible rate exceeds limit",
IF('Soil results'!F34&lt;=5.5,
  IF(BG31&gt;50,"no application - soil conc. already above limit",
  IF(BH31&gt;50,"application rate too high - soil conc. will exceed limit",
  IF(BG31&gt;50*0.9,"soil conc. is at or above 90% of the limit",
  IF(10*BF31*1000/3000+BG31&gt;50,"soil limit likely to be exceeded in 10yrs",
  IF(50*BF31*1000/3000+BG31&gt;50,"soil limit likely to be exceeded in 50yrs","ok"))))),
IF('Soil results'!F34&lt;=6,
  IF(BG31&gt;60,"no application - soil conc. already above limit",
  IF(BH31&gt;60,"application rate too high - soil conc. will exceed limit",
  IF(BG31&gt;60*0.9,"soil conc. is at or above 90% of the limit",
  IF(10*BF31*1000/3000+BG31&gt;60,"soil limit likely to be exceeded in 10yrs",
  IF(50*BF31*1000/3000+BG31&gt;60,"soil limit likely to be exceeded in 50yrs","ok"))))),
IF('Soil results'!F34&lt;=7,
  IF(BG31&gt;75,"no application - soil conc. already above limit",
  IF(BH31&gt;75,"application rate too high - soil conc. will exceed limit",
  IF(BG31&gt;75*0.9,"soil conc. is at or above 90% of the limit",
  IF(10*BF31*1000/3000+BG31&gt;75,"soil limit likely to be exceeded in 10yrs",
  IF(50*BF31*1000/3000+BG31&gt;75,"soil limit likely to be exceeded in 50yrs","ok"))))),
IF('Soil results'!F34&gt;7,
  IF(BG31&gt;100,"no application - soil conc. already above limit",
  IF(BH31&gt;100,"application rate too high - soil conc. will exceed limit",
  IF(BG31&gt;100*0.9,"soil conc. is at or above 90% of the limit",
  IF(10*BF31*1000/3000+BG31&gt;100,"soil limit likely to be exceeded in 10yrs",
  IF(50*BF31*1000/3000+BG31&gt;100,"soil limit likely to beexceeded in 50yrs","ok")))))
))))))))</f>
        <v/>
      </c>
      <c r="BK31" s="240" t="str">
        <f ca="1">IF(B31="","",
IF(AND('Field information 2'!$O$5="", 'Field information 2'!$Q$5=""),
   IF('Waste results'!$S$30&lt;&gt;"data missing", Calc!BC29*'Waste results'!$S$30, "data missing"),
IF('Field information 2'!$Q$5="",
   IF(Calc!BD29=0,
     IF('Waste results'!$S$30&lt;&gt;"data missing", Calc!BC29*'Waste results'!$S$30, "data missing"),
   IF(Calc!BC29=0,
     IF('Waste results'!$S$66&lt;&gt;"data missing", Calc!BD29*'Waste results'!$S$66, "data missing"),
   IF(OR('Waste results'!$S$30&lt;&gt;"data missing", 'Waste results'!$S$66&lt;&gt;"data missing"), Calc!BC29*'Waste results'!$S$30+ Calc!BD29*'Waste results'!$S$66, "data missing"))),
IF(AND('Field information 2'!$M$5&lt;&gt;"", 'Field information 2'!$O$5&lt;&gt;"", 'Field information 2'!$Q$5&lt;&gt;""),
   IF(AND(Calc!BD29=0,Calc!BE29=0),
     IF('Waste results'!$S$30&lt;&gt;"data missing", Calc!BC29*'Waste results'!$S$30, "data missing"),
   IF(AND(Calc!BC29=0,Calc!BE29=0),
     IF('Waste results'!$S$66&lt;&gt;"data missing", Calc!BD29*'Waste results'!$S$66, "data missing"),
   IF(AND(Calc!BC29=0,Calc!BD29=0),
     IF('Waste results'!$S$102&lt;&gt;"data missing", Calc!BE29*'Waste results'!$S$102, "data missing"),
   IF(Calc!BE29=0,
     IF(OR('Waste results'!$S$30&lt;&gt;"data missing", 'Waste results'!$S$66&lt;&gt;"data missing"), Calc!BC29*'Waste results'!$S$30+ Calc!BD29*'Waste results'!$S$66, "data missing"),
   IF(Calc!BD29=0,
     IF(OR('Waste results'!$S$30&lt;&gt;"data missing", 'Waste results'!$S$102&lt;&gt;"data missing"), Calc!BC29*'Waste results'!$S$30+ Calc!BE29*'Waste results'!$S$102, "data missing"),
   IF(Calc!BC29=0,
     IF(OR('Waste results'!$S$66&lt;&gt;"data missing", 'Waste results'!$S$102&lt;&gt;"data missing"), Calc!BD29*'Waste results'!$S$66+Calc!BE29*'Waste results'!$S$102, "data missing"),
   IF(OR('Waste results'!$S$30&lt;&gt;"data missing", 'Waste results'!$S$66&lt;&gt;"data missing", 'Waste results'!$S$102&lt;&gt;"data missing"), Calc!BC29*'Waste results'!$S$30+Calc!BD29*'Waste results'!$S$66+ Calc!BE29*'Waste results'!$S$102, "data missing")))))))))))</f>
        <v/>
      </c>
      <c r="BL31" s="241" t="str">
        <f ca="1">IF($B31="","",
IF(ISBLANK('Soil results'!P34),"data missing",'Soil results'!P34))</f>
        <v/>
      </c>
      <c r="BM31" s="241" t="str">
        <f t="shared" ca="1" si="14"/>
        <v/>
      </c>
      <c r="BN31" s="66" t="str">
        <f t="shared" ca="1" si="15"/>
        <v/>
      </c>
      <c r="BP31" s="238" t="str">
        <f ca="1">IF(B31="","",
IF(AND('Field information 2'!$O$5="", 'Field information 2'!$Q$5=""),
   IF('Waste results'!$S$31&lt;&gt;"data missing", Calc!BC29*'Waste results'!$S$31, "data missing"),
IF('Field information 2'!$Q$5="",
   IF(Calc!BD29=0,
     IF('Waste results'!$S$31&lt;&gt;"data missing", Calc!BC29*'Waste results'!$S$31, "data missing"),
   IF(Calc!BC29=0,
     IF('Waste results'!$S$67&lt;&gt;"data missing", Calc!BD29*'Waste results'!$S$67, "data missing"),
   IF(OR('Waste results'!$S$31&lt;&gt;"data missing", 'Waste results'!$S$67&lt;&gt;"data missing"), Calc!BC29*'Waste results'!$S$31+ Calc!BD29*'Waste results'!$S$67, "data missing"))),
IF(AND('Field information 2'!$M$5&lt;&gt;"", 'Field information 2'!$O$5&lt;&gt;"", 'Field information 2'!$Q$5&lt;&gt;""),
   IF(AND(Calc!BD29=0,Calc!BE29=0),
     IF('Waste results'!$S$31&lt;&gt;"data missing", Calc!BC29*'Waste results'!$S$31, "data missing"),
   IF(AND(Calc!BC29=0,Calc!BE29=0),
     IF('Waste results'!$S$67&lt;&gt;"data missing", Calc!BD29*'Waste results'!$S$67, "data missing"),
   IF(AND(Calc!BC29=0,Calc!BD29=0),
     IF('Waste results'!$S$103&lt;&gt;"data missing", Calc!BE29*'Waste results'!$S$103, "data missing"),
   IF(Calc!BE29=0,
     IF(OR('Waste results'!$S$31&lt;&gt;"data missing", 'Waste results'!$S$67&lt;&gt;"data missing"), Calc!BC29*'Waste results'!$S$31+ Calc!BD29*'Waste results'!$S$67, "data missing"),
   IF(Calc!BD29=0,
     IF(OR('Waste results'!$S$31&lt;&gt;"data missing", 'Waste results'!$S$103&lt;&gt;"data missing"), Calc!BC29*'Waste results'!$S$31+ Calc!BE29*'Waste results'!$S$103, "data missing"),
   IF(Calc!BC29=0,
     IF(OR('Waste results'!$S$67&lt;&gt;"data missing", 'Waste results'!$S$103&lt;&gt;"data missing"), Calc!BD29*'Waste results'!$S$67+Calc!BE29*'Waste results'!$S$103, "data missing"),
   IF(OR('Waste results'!$S$31&lt;&gt;"data missing", 'Waste results'!$S$67&lt;&gt;"data missing", 'Waste results'!$S$103&lt;&gt;"data missing"), Calc!BC29*'Waste results'!$S$31+Calc!BD29*'Waste results'!$S$67+ Calc!BE29*'Waste results'!$S$103, "data missing")))))))))))</f>
        <v/>
      </c>
      <c r="BQ31" s="239" t="str">
        <f ca="1">IF($B31="","",
IF(ISBLANK('Soil results'!Q34),"data missing",'Soil results'!Q34))</f>
        <v/>
      </c>
      <c r="BR31" s="239" t="str">
        <f t="shared" ca="1" si="16"/>
        <v/>
      </c>
      <c r="BS31" s="9" t="str">
        <f ca="1">IF(B31="","",
IF(BP31=0,"n/a",
IF(OR(BP31="data missing",BQ31=""),"data missing",
IF(BP31&gt;15,"application rate too high - permissible rate exceeds limit",
IF('Soil results'!F34&lt;=5.5,
  IF(BQ31&gt;200,"no application - soil conc. already above limit",
  IF(BR31&gt;200,"application rate too high - soil conc. will exceed limit",
  IF(BQ31&gt;200*0.9,"soil conc. is at or above 90% of the limit",
  IF(10*BP31*1000/3000+BQ31&gt;200,"soil limit likely to be exceeded in 10yrs",
  IF(50*BP31*1000/3000+BQ31&gt;200,"soil limit likely to be exceeded in 50yrs","ok"))))),
IF('Soil results'!F34&lt;=6,
  IF(BQ31&gt;250,"no application - soil conc. already above limit",
  IF(BR31&gt;250,"application rate too high - soil conc. will exceed limit",
  IF(BQ31&gt;250*0.9,"soil conc. is at or above 90% of the limit",
  IF(10*BP31*1000/3000+BQ31&gt;250,"soil limit likely to be exceeded in 10yrs",
  IF(50*BP31*1000/3000+BQ31&gt;250,"soil limit likely to be exceeded in 50yrs","ok"))))),
IF('Soil results'!F34&lt;=7,
  IF(BQ31&gt;300,"no application - soil conc. already above limit",
  IF(BR31&gt;300,"application rate too high - soil conc. will exceed limit",
  IF(BQ31&gt;300*0.9,"soil conc. is at or above 90% of the limit",
  IF(10*BP31*1000/3000+BQ31&gt;300,"soil limit likey to be exceeded in 10yrs",
  IF(50*BP31*1000/3000+BQ31&gt;300,"soil limit likely to be exceeded in 50yrs","ok"))))),
IF('Soil results'!F34&gt;7,
  IF(BQ31&gt;450,"no application - soil conc. already above limit",
  IF(BR31&gt;450,"application rate too high - soil conc. will exceed limit",
  IF(AW31&gt;450*0.9,"soil conc. is at or above 90% of the limit",
  IF(10*BP31*1000/3000+BQ31&gt;450,"soil limit likely to be exceeded in 10yrs",
  IF(50*BP31*1000/3000+BQ31&gt;450,"soil limit likely to be exceeded in 50yrs","ok")))))
))))))))</f>
        <v/>
      </c>
    </row>
    <row r="32" spans="2:71" s="9" customFormat="1" x14ac:dyDescent="0.35">
      <c r="B32" s="236" t="str">
        <f ca="1">'Soil results'!B35</f>
        <v/>
      </c>
      <c r="C32" s="91" t="str">
        <f ca="1">IF(B32="","",
IF(AND('Field information 2'!$O$5="", 'Field information 2'!$Q$5=""),
   IF('Waste results'!$S$12&lt;&gt;"data missing", Calc!BC30*'Waste results'!$S$12, "data missing"),
IF('Field information 2'!$Q$5="",
   IF(Calc!BD30=0,
     IF('Waste results'!$S$12&lt;&gt;"data missing", Calc!BC30*'Waste results'!$S$12, "data missing"),
   IF(Calc!BC30=0,
     IF('Waste results'!$S$48&lt;&gt;"data missing", Calc!BD30*'Waste results'!$S$48, "data missing"),
   IF(OR('Waste results'!$S$12&lt;&gt;"data missing", 'Waste results'!$S$48&lt;&gt;"data missing"), Calc!BC30*'Waste results'!$S$12+ Calc!BD30*'Waste results'!$S$48, "data missing"))),
IF(AND('Field information 2'!$M$5&lt;&gt;"", 'Field information 2'!$O$5&lt;&gt;"", 'Field information 2'!$Q$5&lt;&gt;""),
   IF(AND(Calc!BD30=0,Calc!BE30=0),
     IF('Waste results'!$S$12&lt;&gt;"data missing", Calc!BC30*'Waste results'!$S$12, "data missing"),
   IF(AND(Calc!BC30=0,Calc!BE30=0),
     IF('Waste results'!$S$48&lt;&gt;"data missing", Calc!BD30*'Waste results'!$S$48, "data missing"),
   IF(AND(Calc!BC30=0,Calc!BD30=0),
     IF('Waste results'!$S$84&lt;&gt;"data missing", Calc!BE30*'Waste results'!$S$84, "data missing"),
   IF(Calc!BE30=0,
     IF(OR('Waste results'!$S$12&lt;&gt;"data missing", 'Waste results'!$S$48&lt;&gt;"data missing"), Calc!BC30*'Waste results'!$S$12+ Calc!BD30*'Waste results'!$S$48, "data missing"),
   IF(Calc!BD30=0,
     IF(OR('Waste results'!$S$12&lt;&gt;"data missing", 'Waste results'!$S$84&lt;&gt;"data missing"), Calc!BC30*'Waste results'!$S$12+ Calc!BE30*'Waste results'!$S$84, "data missing"),
   IF(Calc!BC30=0,
     IF(OR('Waste results'!$S$48&lt;&gt;"data missing", 'Waste results'!$S$84&lt;&gt;"data missing"), Calc!BD30*'Waste results'!$S$48+Calc!BE30*'Waste results'!$S$84, "data missing"),
   IF(OR('Waste results'!$S$12&lt;&gt;"data missing", 'Waste results'!$S$48&lt;&gt;"data missing", 'Waste results'!$S$84&lt;&gt;"data missing"), Calc!BC30*'Waste results'!$S$12+Calc!BD30*'Waste results'!$S$48+ Calc!BE30*'Waste results'!$S$84, "data missing")))))))))))</f>
        <v/>
      </c>
      <c r="D32" s="161" t="str">
        <f ca="1">IF(B32="","",
IF(Calc!BG30="","soil texture missing",
IF(OR(Calc!BG30="SL; SZL; ZL",Calc!BG30="SCL; CL; ZCL; SC; ZC; C"),VLOOKUP(Calc!BI30,'Fertiliser recommendations'!$A$4:$C$63,3,FALSE),
IF(Calc!BG30="S; LS",VLOOKUP(Calc!BI30,'Fertiliser recommendations'!$A$4:$C$63,3,FALSE)+VLOOKUP(Calc!BI30,'Fertiliser recommendations'!$A$4:$D$63,4,FALSE),
IF(Calc!BG30="10-25% OM",VLOOKUP(Calc!BI30,'Fertiliser recommendations'!$A$4:$C$63,3,FALSE)+VLOOKUP(Calc!BI30,'Fertiliser recommendations'!$A$4:$E$63,5,FALSE),
IF(Calc!BG30="&gt;25% OM",VLOOKUP(Calc!BI30,'Fertiliser recommendations'!$A$4:$C$63,3,FALSE)+VLOOKUP(Calc!BI30,'Fertiliser recommendations'!$A$4:$F$63,6,FALSE),
""))))))</f>
        <v/>
      </c>
      <c r="E32" s="91" t="str">
        <f t="shared" ca="1" si="0"/>
        <v/>
      </c>
      <c r="F32" s="9" t="str">
        <f ca="1">IF(B32="","",
IF(OR(C32="data missing",D32="soil texture missing"),"data missing",
IF(Calc!BF30=0,"n/a",
IF(C32&lt;0.1*D32,"no benefit",
IF(C32&lt;0.3*D32,"limited benefit",
IF(C32&gt;250,"exceeds limit",
IF(OR(AND(D32=0,C32&gt;75),C32&gt;1.25*D32),"excessive",
IF(D32=0, "no requirement",
"benefit"))))))))</f>
        <v/>
      </c>
      <c r="H32" s="91" t="str">
        <f ca="1">IF(B32="","",
IF(AND('Field information 2'!$O$5="", 'Field information 2'!$Q$5=""),
   IF('Waste results'!$S$17&lt;&gt;"data missing", Calc!BC30*'Waste results'!$S$17, "data missing"),
IF('Field information 2'!$Q$5="",
   IF(Calc!BD30=0,
     IF('Waste results'!$S$17&lt;&gt;"data missing", Calc!BC30*'Waste results'!$S$17, "data missing"),
   IF(Calc!BC30=0,
     IF('Waste results'!$S$53&lt;&gt;"data missing", Calc!BD30*'Waste results'!$S$53, "data missing"),
   IF(OR('Waste results'!$S$17&lt;&gt;"data missing", 'Waste results'!$S$53&lt;&gt;"data missing"), Calc!BC30*'Waste results'!$S$17+ Calc!BD30*'Waste results'!$S$53, "data missing"))),
IF(AND('Field information 2'!$M$5&lt;&gt;"", 'Field information 2'!$O$5&lt;&gt;"", 'Field information 2'!$Q$5&lt;&gt;""),
   IF(AND(Calc!BD30=0,Calc!BE30=0),
     IF('Waste results'!$S$17&lt;&gt;"data missing", Calc!BC30*'Waste results'!$S$17, "data missing"),
   IF(AND(Calc!BC30=0,Calc!BE30=0),
     IF('Waste results'!$S$53&lt;&gt;"data missing", Calc!BD30*'Waste results'!$S$53, "data missing"),
   IF(AND(Calc!BC30=0,Calc!BD30=0),
     IF('Waste results'!$S$89&lt;&gt;"data missing", Calc!BE30*'Waste results'!$S$89, "data missing"),
   IF(Calc!BE30=0,
     IF(OR('Waste results'!$S$17&lt;&gt;"data missing", 'Waste results'!$S$53&lt;&gt;"data missing"), Calc!BC30*'Waste results'!$S$17+ Calc!BD30*'Waste results'!$S$53, "data missing"),
   IF(Calc!BD30=0,
     IF(OR('Waste results'!$S$17&lt;&gt;"data missing", 'Waste results'!$S$89&lt;&gt;"data missing"), Calc!BC30*'Waste results'!$S$17+ Calc!BE30*'Waste results'!$S$89, "data missing"),
   IF(Calc!BC30=0,
     IF(OR('Waste results'!$S$53&lt;&gt;"data missing", 'Waste results'!$S$89&lt;&gt;"data missing"), Calc!BD30*'Waste results'!$S$53+Calc!BE30*'Waste results'!$S$89, "data missing"),
   IF(OR('Waste results'!$S$17&lt;&gt;"data missing", 'Waste results'!$S$53&lt;&gt;"data missing", 'Waste results'!$S$89&lt;&gt;"data missing"), Calc!BC30*'Waste results'!$S$17+Calc!BD30*'Waste results'!$S$53+ Calc!BE30*'Waste results'!$S$89, "data missing")))))))))))</f>
        <v/>
      </c>
      <c r="I32" s="195" t="str">
        <f ca="1">IF(B32="","",
IF(OR(ISBLANK('Soil results'!G35), ISBLANK('Soil results'!G$7)),"data missing",
IF(OR(AND('Soil results'!G$7="Olsen (ADAS)",'Soil results'!G35&lt;16),AND('Soil results'!G$7="modified Morgan (SAC)",'Soil results'!G35&lt;4.5)),50,100)))</f>
        <v/>
      </c>
      <c r="J32" s="49" t="str">
        <f ca="1">IF(B32="","",
IF(OR(ISBLANK('Soil results'!G$7),ISBLANK('Soil results'!G35)),"data missing",
IF(OR(AND('Soil results'!G$7="Olsen (ADAS)",'Soil results'!G35&gt;45),AND('Soil results'!G$7="modified Morgan (SAC)",'Soil results'!G35&gt;30)),0,
IF(OR(AND('Soil results'!G$7="Olsen (ADAS)",'Soil results'!G35&gt;=16,'Soil results'!G35&lt;=20),AND('Soil results'!G$7="modified Morgan (SAC)",'Soil results'!G35&gt;=4.5,'Soil results'!G35&lt;=9.4)),VLOOKUP(Calc!BI30,'Fertiliser recommendations'!$A$4:$I$63,9,FALSE),
IF(OR(AND('Soil results'!G$7="Olsen (ADAS)",'Soil results'!G35&lt;10),AND('Soil results'!G$7="modified Morgan (SAC)",'Soil results'!G35&lt;1.8)),VLOOKUP(Calc!BI30,'Fertiliser recommendations'!$A$4:$I$63,9,FALSE)+VLOOKUP(Calc!BI30,'Fertiliser recommendations'!$A$4:$J$63,10,FALSE),
IF(OR(AND('Soil results'!G$7="Olsen (ADAS)",'Soil results'!G35&lt;16),AND('Soil results'!G$7="modified Morgan (SAC)",'Soil results'!G35&lt;4.5)),VLOOKUP(Calc!BI30,'Fertiliser recommendations'!$A$4:$I$63,9,FALSE)+VLOOKUP(Calc!BI30,'Fertiliser recommendations'!$A$4:$K$63,11,FALSE),
IF(OR(AND('Soil results'!G$7="Olsen (ADAS)",'Soil results'!G35&lt;26),AND('Soil results'!G$7="modified Morgan (SAC)",'Soil results'!G35&lt;13.5)),VLOOKUP(Calc!BI30,'Fertiliser recommendations'!$A$4:$I$63,9,FALSE)+VLOOKUP(Calc!BI30,'Fertiliser recommendations'!$A$4:$L$63,12,FALSE),
IF(OR(AND('Soil results'!G$7="Olsen (ADAS)",'Soil results'!G35&lt;=45),AND('Soil results'!G$7="modified Morgan (SAC)",'Soil results'!G35&lt;=30)),VLOOKUP(Calc!BI30,'Fertiliser recommendations'!$A$4:$I$63,9,FALSE)+VLOOKUP(Calc!BI30,'Fertiliser recommendations'!$A$4:$M$63,13,FALSE),
""))))))))</f>
        <v/>
      </c>
      <c r="K32" s="161" t="str">
        <f t="shared" ca="1" si="1"/>
        <v/>
      </c>
      <c r="L32" s="47" t="str">
        <f ca="1">IF(OR(ISBLANK('Soil results'!G$7),ISBLANK('Soil results'!G35),B32="", H32="data missing"),"",
IF('Soil results'!G$7="Olsen (ADAS)",
IF(((H32*Calc!BM30/2.291-(VLOOKUP(Calc!BI30,'Fertiliser recommendations'!$A$4:$I$63,9,FALSE))/2.291)*10/(400/2.291)+'Soil results'!G35)&lt;10,"0 (VL)",
IF(((H32*Calc!BM30/2.291-(VLOOKUP(Calc!BI30,'Fertiliser recommendations'!$A$4:$I$63,9,FALSE))/2.291)*10/(400/2.291)+'Soil results'!G35)&lt;16,"1 (L)",
IF(((H32*Calc!BM30/2.291-(VLOOKUP(Calc!BI30,'Fertiliser recommendations'!$A$4:$I$63,9,FALSE))/2.291)*10/(400/2.291)+'Soil results'!G35)&lt;21,"2 (M-)",
IF(((H32*Calc!BM30/2.291-(VLOOKUP(Calc!BI30,'Fertiliser recommendations'!$A$4:$I$63,9,FALSE))/2.291)*10/(400/2.291)+'Soil results'!G35)&lt;26,"2 (M+)",
IF(((H32*Calc!BM30/2.291-(VLOOKUP(Calc!BI30,'Fertiliser recommendations'!$A$4:$I$63,9,FALSE))/2.291)*10/(400/2.291)+'Soil results'!G35)&lt;45,"3 (H)","&gt;3 (VH)"))))),
IF('Soil results'!G$7="modified Morgan (SAC)",
IF('Soil results'!G35&gt;=6,
IF(((H32*Calc!BM30/2.291-(VLOOKUP(Calc!BI30,'Fertiliser recommendations'!$A$4:$I$63,9,FALSE))/2.291)*5/(147/2.291)+'Soil results'!G35)&lt;9.5,"2 (M-)",
IF(((H32*Calc!BM30/2.291-(VLOOKUP(Calc!BI30,'Fertiliser recommendations'!$A$4:$I$63,9,FALSE))/2.291)*5/(147/2.291)+'Soil results'!G35)&lt;13.5,"2 (M+)",
IF(((H32*Calc!BM30/2.291-(VLOOKUP(Calc!BI30,'Fertiliser recommendations'!$A$4:$I$63,9,FALSE))/2.291)*5/(147/2.291)+'Soil results'!G35)&lt;30,"3 (H)","4 (VH)"))),
IF(((H32*Calc!BM30/2.291-(VLOOKUP(Calc!BI30,'Fertiliser recommendations'!$A$4:$I$63,9,FALSE))/2.291)*5/(346/2.291)+'Soil results'!G35)&lt;1.8,"0 (VL)",
IF(((H32*Calc!BM30/2.291-(VLOOKUP(Calc!BI30,'Fertiliser recommendations'!$A$4:$I$63,9,FALSE))/2.291)*5/(147/2.291)+'Soil results'!G35)&lt;4.5,"1 (L)","2 (M-)"))))))</f>
        <v/>
      </c>
      <c r="M32" s="9" t="str">
        <f ca="1">IF(B32="","",
IF(OR(H32="data missing",I32="data missing",J32="data missing"),"data missing",
IF(Calc!BF30=0,"n/a",
IF(OR(AND('Soil results'!G$7="Olsen (ADAS)",'Soil results'!G35&gt;45),AND('Soil results'!G$7="modified Morgan (SAC)",'Soil results'!G35&gt;30)),
IF(H32&gt;2,"too high, not acceptable","no requirement"),IF(OR(AND('Soil results'!G$7="Olsen (ADAS)",'Soil results'!G35&gt;25),AND('Soil results'!G$7="modified Morgan (SAC)",'Soil results'!G35&gt;13.4)),
IF(H32*(I32/100)&lt;0.1*J32,"no benefit",
IF(H32*(I32/100)&lt;0.3*J32,"limited benefit",
IF(H32*(I32/100)&lt;1.1*J32,"benefit",
IF(H32*(I32/100)&lt;0.7*VLOOKUP(Calc!BI30,'Fertiliser recommendations'!$A$4:$I$63,9,FALSE),"excessive","too high, not acceptable")))),
IF(OR(AND('Soil results'!G$7="Olsen (ADAS)",'Soil results'!G35&gt;20),AND('Soil results'!G$7="modified Morgan (SAC)",'Soil results'!G35&gt;9.4)),
IF(H32*Calc!BM30*(I32/100)&lt;0.1*J32,"no benefit",
IF(H32*Calc!BM30*(I32/100)&lt;0.3*J32,"limited benefit",
IF(H32*Calc!BM30*(I32/100)&lt;1.1*J32,"benefit",
IF(L32="3 (H)","too high, not acceptable","excessive")))),
IF(OR(AND('Soil results'!G$7="Olsen (ADAS)",'Soil results'!G35&gt;15),AND('Soil results'!G$7="modified Morgan (SAC)",'Soil results'!G35&gt;4.4)),
IF(H32*Calc!BM30*(I32/100)&lt;0.1*VLOOKUP(Calc!BI30,'Fertiliser recommendations'!$A$4:$I$63,9,FALSE),"no benefit",
IF(H32*Calc!BM30*(I32/100)&lt;0.3*VLOOKUP(Calc!BI30,'Fertiliser recommendations'!$A$4:$I$63,9,FALSE),"limited benefit",
IF(H32*Calc!BM30*(I32/100)&lt;1.1*VLOOKUP(Calc!BI30,'Fertiliser recommendations'!$A$4:$I$63,9,FALSE),"benefit",
IF(L32="3 (H)", "too high, not acceptable", "excessive")))),
IF(OR(AND('Soil results'!G$7="Olsen (ADAS)",'Soil results'!G35&lt;=15),AND('Soil results'!G$7="modified Morgan (SAC)",'Soil results'!G35&lt;=4.4)),
IF(H32*Calc!BM30*(I32/100)&lt;0.1*VLOOKUP(Calc!BI30,'Fertiliser recommendations'!$A$4:$I$63,9,FALSE),"no benefit",
IF(H32*Calc!BM30*(I32/100)&lt;0.3*VLOOKUP(Calc!BI30,'Fertiliser recommendations'!$A$4:$I$63,9,FALSE),"limited benefit",
IF(H32*Calc!BM30*(I32/100)&lt;1.1*J32,"benefit","excessive")))))))))))</f>
        <v/>
      </c>
      <c r="O32" s="91" t="str">
        <f ca="1">IF(B32="","",
IF(AND('Field information 2'!$O$5="", 'Field information 2'!$Q$5=""),
   IF('Waste results'!$S$19&lt;&gt;"data missing", Calc!BC30*'Waste results'!$S$19, "data missing"),
IF('Field information 2'!$Q$5="",
   IF(Calc!BD30=0,
     IF('Waste results'!$S$19&lt;&gt;"data missing", Calc!BC30*'Waste results'!$S$19, "data missing"),
   IF(Calc!BC30=0,
     IF('Waste results'!$S$55&lt;&gt;"data missing", Calc!BD30*'Waste results'!$S$55, "data missing"),
   IF(OR('Waste results'!$S$19&lt;&gt;"data missing", 'Waste results'!$S$55&lt;&gt;"data missing"), Calc!BC30*'Waste results'!$S$19+ Calc!BD30*'Waste results'!$S$55, "data missing"))),
IF(AND('Field information 2'!$M$5&lt;&gt;"", 'Field information 2'!$O$5&lt;&gt;"", 'Field information 2'!$Q$5&lt;&gt;""),
   IF(AND(Calc!BD30=0,Calc!BE30=0),
     IF('Waste results'!$S$19&lt;&gt;"data missing", Calc!BC30*'Waste results'!$S$19, "data missing"),
   IF(AND(Calc!BC30=0,Calc!BE30=0),
     IF('Waste results'!$S$55&lt;&gt;"data missing", Calc!BD30*'Waste results'!$S$55, "data missing"),
   IF(AND(Calc!BC30=0,Calc!BD30=0),
     IF('Waste results'!$S$91&lt;&gt;"data missing", Calc!BE30*'Waste results'!$S$91, "data missing"),
   IF(Calc!BE30=0,
     IF(OR('Waste results'!$S$19&lt;&gt;"data missing", 'Waste results'!$S$55&lt;&gt;"data missing"), Calc!BC30*'Waste results'!$S$19+ Calc!BD30*'Waste results'!$S$55, "data missing"),
   IF(Calc!BD30=0,
     IF(OR('Waste results'!$S$19&lt;&gt;"data missing", 'Waste results'!$S$91&lt;&gt;"data missing"), Calc!BC30*'Waste results'!$S$19+ Calc!BE30*'Waste results'!$S$91, "data missing"),
   IF(Calc!BC30=0,
     IF(OR('Waste results'!$S$55&lt;&gt;"data missing", 'Waste results'!$S$91&lt;&gt;"data missing"), Calc!BD30*'Waste results'!$S$55+Calc!BE30*'Waste results'!$S$91, "data missing"),
   IF(OR('Waste results'!$S$19&lt;&gt;"data missing", 'Waste results'!$S$55&lt;&gt;"data missing", 'Waste results'!$S$91&lt;&gt;"data missing"), Calc!BC30*'Waste results'!$S$19+Calc!BD30*'Waste results'!$S$55+ Calc!BE30*'Waste results'!$S$91, "data missing")))))))))))</f>
        <v/>
      </c>
      <c r="P32" s="91" t="str">
        <f ca="1">IF(B32="","",
IF(OR(ISBLANK('Soil results'!H$7),ISBLANK('Soil results'!H35)),"data missing",
IF(OR(AND('Soil results'!H$7="ammonium nitrate (ADAS)",'Soil results'!H35&gt;400),AND('Soil results'!H$7="modified Morgan (SAC)",'Soil results'!H35&gt;400)),0,
IF(OR(AND('Soil results'!H$7="ammonium nitrate (ADAS)",'Soil results'!H35&gt;=121,'Soil results'!H35&lt;=180),AND('Soil results'!H$7="modified Morgan (SAC)",'Soil results'!H35&gt;=76,'Soil results'!H35&lt;=140)),VLOOKUP(Calc!BI30,'Fertiliser recommendations'!$A$4:$Z$63,26,FALSE),
IF(OR(AND('Soil results'!H$7="ammonium nitrate (ADAS)",'Soil results'!H35&lt;61),AND('Soil results'!H$7="modified Morgan (SAC)",'Soil results'!H35&lt;40)),VLOOKUP(Calc!BI30,'Fertiliser recommendations'!$A$4:$Z$63,26,FALSE)+VLOOKUP(Calc!BI30,'Fertiliser recommendations'!$A$4:$AA$63,27,FALSE),
IF(OR(AND('Soil results'!H$7="ammonium nitrate (ADAS)",'Soil results'!H35&lt;121),AND('Soil results'!H$7="modified Morgan (SAC)",'Soil results'!H35&lt;76)),VLOOKUP(Calc!BI30,'Fertiliser recommendations'!$A$4:$Z$63,26,FALSE)+VLOOKUP(Calc!BI30,'Fertiliser recommendations'!$A$4:$AB$63,28,FALSE),
IF(OR(AND('Soil results'!H$7="ammonium nitrate (ADAS)",'Soil results'!H35&lt;241),AND('Soil results'!H$7="modified Morgan (SAC)",'Soil results'!H35&lt;201)),VLOOKUP(Calc!BI30,'Fertiliser recommendations'!$A$4:$Z$63,26,FALSE)+VLOOKUP(Calc!BI30,'Fertiliser recommendations'!$A$4:$AC$63,29,FALSE),
IF(OR(AND('Soil results'!H$7="ammonium nitrate (ADAS)",'Soil results'!H35&lt;=400),AND('Soil results'!H$7="modified Morgan (SAC)",'Soil results'!H35&lt;=400)),VLOOKUP(Calc!BI30,'Fertiliser recommendations'!$A$4:$Z$63,26,FALSE)+VLOOKUP(Calc!BI30,'Fertiliser recommendations'!$A$4:$AD$63,30,FALSE),
"??"))))))))</f>
        <v/>
      </c>
      <c r="Q32" s="91" t="str">
        <f t="shared" ca="1" si="2"/>
        <v/>
      </c>
      <c r="R32" s="9" t="str">
        <f ca="1">IF(B32="","",
IF(OR(O32="data missing",P32="data missing"),"data missing",
IF(Calc!BF30=0,"n/a",
IF(P32=0, "no requirement",
IF(O32&lt;0.1*P32,"no benefit",
IF(O32&lt;0.3*P32,"limited benefit",
IF(O32&gt;1.25*P32,"excessive",
"benefit")))))))</f>
        <v/>
      </c>
      <c r="T32" s="91" t="str">
        <f ca="1">IF(B32="","",
IF(AND('Field information 2'!$O$5="", 'Field information 2'!$Q$5=""),
   IF('Waste results'!$S$21&lt;&gt;"data missing", Calc!BC30*'Waste results'!$S$21, "data missing"),
IF('Field information 2'!$Q$5="",
   IF(Calc!BD30=0,
     IF('Waste results'!$S$21&lt;&gt;"data missing", Calc!BC30*'Waste results'!$S$21, "data missing"),
   IF(Calc!BC30=0,
     IF('Waste results'!$S$57&lt;&gt;"data missing", Calc!BD30*'Waste results'!$S$57, "data missing"),
   IF(OR('Waste results'!$S$21&lt;&gt;"data missing", 'Waste results'!$S$57&lt;&gt;"data missing"), Calc!BC30*'Waste results'!$S$21+ Calc!BD30*'Waste results'!$S$57, "data missing"))),
IF(AND('Field information 2'!$M$5&lt;&gt;"", 'Field information 2'!$O$5&lt;&gt;"", 'Field information 2'!$Q$5&lt;&gt;""),
   IF(AND(Calc!BD30=0,Calc!BE30=0),
     IF('Waste results'!$S$21&lt;&gt;"data missing", Calc!BC30*'Waste results'!$S$21, "data missing"),
   IF(AND(Calc!BC30=0,Calc!BE30=0),
     IF('Waste results'!$S$57&lt;&gt;"data missing", Calc!BD30*'Waste results'!$S$57, "data missing"),
   IF(AND(Calc!BC30=0,Calc!BD30=0),
     IF('Waste results'!$S$93&lt;&gt;"data missing", Calc!BE30*'Waste results'!$S$93, "data missing"),
   IF(Calc!BE30=0,
     IF(OR('Waste results'!$S$21&lt;&gt;"data missing", 'Waste results'!$S$57&lt;&gt;"data missing"), Calc!BC30*'Waste results'!$S$21+ Calc!BD30*'Waste results'!$S$57, "data missing"),
   IF(Calc!BD30=0,
     IF(OR('Waste results'!$S$21&lt;&gt;"data missing", 'Waste results'!$S$93&lt;&gt;"data missing"), Calc!BC30*'Waste results'!$S$21+ Calc!BE30*'Waste results'!$S$93, "data missing"),
   IF(Calc!BC30=0,
     IF(OR('Waste results'!$S$57&lt;&gt;"data missing", 'Waste results'!$S$93&lt;&gt;"data missing"), Calc!BD30*'Waste results'!$S$57+Calc!BE30*'Waste results'!$S$93, "data missing"),
   IF(OR('Waste results'!$S$21&lt;&gt;"data missing", 'Waste results'!$S$57&lt;&gt;"data missing", 'Waste results'!$S$93&lt;&gt;"data missing"), Calc!BC30*'Waste results'!$S$21+Calc!BD30*'Waste results'!$S$57+ Calc!BE30*'Waste results'!$S$93, "data missing")))))))))))</f>
        <v/>
      </c>
      <c r="U32" s="7" t="str">
        <f ca="1">IF(B32="","",
IF(OR(ISBLANK('Soil results'!I$7),ISBLANK('Soil results'!I35)),"data missing",
IF(OR(AND('Soil results'!I$7="ammonium nitrate (ADAS)",'Soil results'!I35&gt;51),AND('Soil results'!I$7="modified Morgan (SAC)",'Soil results'!I35&gt;61)),0,
IF(OR(AND('Soil results'!I$7="ammonium nitrate (ADAS)",'Soil results'!I35&lt;25),AND('Soil results'!I$7="modified Morgan (SAC)",'Soil results'!I35&lt;19)),VLOOKUP(Calc!BI30,'Fertiliser recommendations'!$A$4:$AH$63,34,FALSE),
IF(OR(AND('Soil results'!I$7="ammonium nitrate (ADAS)",'Soil results'!I35&lt;=51),AND('Soil results'!I$7="modified Morgan (SAC)",'Soil results'!I35&lt;=61)),VLOOKUP(Calc!BI30,'Fertiliser recommendations'!$A$4:$AI$63,35,FALSE),
"")))))</f>
        <v/>
      </c>
      <c r="V32" s="91" t="str">
        <f t="shared" ca="1" si="3"/>
        <v/>
      </c>
      <c r="W32" s="9" t="str">
        <f ca="1">IF(B32="","",
IF(OR(T32="data missing",U32="data missing"),"data missing",
IF(Calc!BF30=0,"n/a",
IF(U32=0,"no requirement",
IF(T32&lt;0.1*U32,"no benefit",
IF(T32&lt;0.3*U32,"limited benefit",
IF(OR(T32&gt;1.5*U32,AND(Calc!BJ30="g",T32&gt;100)),"excessive",
"benefit")))))))</f>
        <v/>
      </c>
      <c r="Y32" s="91" t="str">
        <f ca="1">IF(B32="","",
IF(AND('Field information 2'!$O$5="", 'Field information 2'!$Q$5=""),
   IF('Waste results'!$P$23&lt;&gt;"", Calc!BC30*'Waste results'!$P$23, "no data"),
IF('Field information 2'!$Q$5="",
   IF(Calc!BD30=0,
     IF('Waste results'!$P$23&lt;&gt;"", Calc!BC30*'Waste results'!$P$23, "no data"),
   IF(Calc!BC30=0,
     IF('Waste results'!$P$59&lt;&gt;"", Calc!BD30*'Waste results'!$P$59, "no data"),
   IF(OR('Waste results'!$P$23&lt;&gt;"", 'Waste results'!$P$59&lt;&gt;""), Calc!BC30*'Waste results'!$P$23+ Calc!BD30*'Waste results'!$P$59, "no data"))),
IF(AND('Field information 2'!$M$5&lt;&gt;"", 'Field information 2'!$O$5&lt;&gt;"", 'Field information 2'!$Q$5&lt;&gt;""),
   IF(AND(Calc!BD30=0,Calc!BE30=0),
     IF('Waste results'!$P$23&lt;&gt;"", Calc!BC30*'Waste results'!$P$23, "no data"),
   IF(AND(Calc!BC30=0,Calc!BE30=0),
     IF('Waste results'!$P$59&lt;&gt;"", Calc!BD30*'Waste results'!$P$59, "no data"),
   IF(AND(Calc!BC30=0,Calc!BD30=0),
     IF('Waste results'!$P$95&lt;&gt;"", Calc!BE30*'Waste results'!$P$95, "no data"),
   IF(Calc!BE30=0,
     IF(OR('Waste results'!$P$23&lt;&gt;"", 'Waste results'!$P$59&lt;&gt;""), Calc!BC30*'Waste results'!$P$23+ Calc!BD30*'Waste results'!$P$59, "no data"),
   IF(Calc!BD30=0,
     IF(OR('Waste results'!$P$23&lt;&gt;"", 'Waste results'!$P$95&lt;&gt;""), Calc!BC30*'Waste results'!$P$23+ Calc!BE30*'Waste results'!$P$95, "no data"),
   IF(Calc!BC30=0,
     IF(OR('Waste results'!$P$59&lt;&gt;"", 'Waste results'!$P$95&lt;&gt;""), Calc!BD30*'Waste results'!$P$59+Calc!BE30*'Waste results'!$P$95, "no data"),
   IF(OR('Waste results'!$P$23&lt;&gt;"", 'Waste results'!$P$59&lt;&gt;"", 'Waste results'!$P$95&lt;&gt;""), Calc!BC30*'Waste results'!$P$23+Calc!BD30*'Waste results'!$P$59+ Calc!BE30*'Waste results'!$P$95, "no data")))))))))))</f>
        <v/>
      </c>
      <c r="Z32" s="7" t="str">
        <f ca="1">IF(OR(ISBLANK('Soil results'!I$7),ISBLANK('Soil results'!I35),'Soil results'!B35=""),"",
VLOOKUP(Calc!BI30,'Fertiliser recommendations'!$A$4:$AM$63,39,FALSE))</f>
        <v/>
      </c>
      <c r="AA32" s="91" t="str">
        <f t="shared" ca="1" si="4"/>
        <v/>
      </c>
      <c r="AB32" s="9" t="str">
        <f t="shared" ca="1" si="5"/>
        <v/>
      </c>
      <c r="AD32" s="48" t="str">
        <f>IF(ISBLANK('Soil results'!F35),"",'Soil results'!F35)</f>
        <v/>
      </c>
      <c r="AE32" s="49" t="str">
        <f ca="1">IF(B32="","",
IF(AND(Calc!BJ30="g", VLOOKUP(LEFT($B32,LEN($B32)-2),'Field information 2'!$B$12:$P$111,9,FALSE)&lt;&gt;"yes"),
 IF(Calc!BG30="10-25% OM", 5.9, IF(Calc!BG30="&gt;25% OM", 5.5, 6.2)),
IF(OR(Calc!BJ30="a", VLOOKUP(LEFT($B32,LEN($B32)-2),'Field information 2'!$B$12:$P$111,9,FALSE)="yes"),
 IF(Calc!BG30="10-25% OM", 6.4, IF(Calc!BG30="&gt;25% OM", 6, 6.7)), "")))</f>
        <v/>
      </c>
      <c r="AF32" s="91" t="str">
        <f ca="1">IF(B32="","",
IF('Waste results'!$Q$33="","no (significant) liming properties",
IF('Waste results'!Q$33&gt;100,"no (significant) liming properties",
IF(AD32="","",
IF(AD32&gt;=AE32,0,ROUNDDOWN((AE32-AD32)*Calc!BK30*'Waste results'!$Q$33+0.2,0))))))</f>
        <v/>
      </c>
      <c r="AG32" s="9" t="str">
        <f ca="1">IF(B32="","",
IF(T32=0,"n/a",
IF(AD32="","data missing",
IF(AND(AD32&lt;5,AF32="no (significant) liming properties"),"no waste application - pH too low",
IF(AND(AD32&gt;5.1,AF32="no (significant) liming properties",Calc!BH30&gt;25, LEFT(Calc!BI30,4)="graz"),"ok",
IF(AND(AD32&lt;=5.2,AF32="no (significant) liming properties"),"liming highly recommended",
IF(AF32=0,"no waste application - liming not required",
IF(AF32&lt;Calc!BC30,"application rate too high - exceeds liming requirement",
"ok"))))))))</f>
        <v/>
      </c>
      <c r="AI32" s="91" t="str">
        <f ca="1">IF(B32="","",
IF(AND('Field information 2'!$O$5="", 'Field information 2'!$Q$5=""),
   IF('Waste results'!$P$10&lt;&gt;"data missing", Calc!BC30*'Waste results'!$P$10, "data missing"),
IF('Field information 2'!$Q$5="",
   IF(Calc!BD30=0,
     IF('Waste results'!$P$10&lt;&gt;"data missing", Calc!BC30*'Waste results'!$P$10, "data missing"),
   IF(Calc!BC30=0,
     IF('Waste results'!$P$45&lt;&gt;"data missing", Calc!BD30*'Waste results'!$P$45, "data missing"),
   IF(OR('Waste results'!$P$10&lt;&gt;"data missing", 'Waste results'!$P$45&lt;&gt;"data missing"), Calc!BC30*'Waste results'!$P$10+ Calc!BD30*'Waste results'!$P$45, "data missing"))),
IF(AND('Field information 2'!$M$5&lt;&gt;"", 'Field information 2'!$O$5&lt;&gt;"", 'Field information 2'!$Q$5&lt;&gt;""),
   IF(AND(Calc!BD30=0,Calc!BE30=0),
     IF('Waste results'!$P$10&lt;&gt;"data missing", Calc!BC30*'Waste results'!$P$10, "data missing"),
   IF(AND(Calc!BC30=0,Calc!BE30=0),
     IF('Waste results'!$P$45&lt;&gt;"data missing", Calc!BD30*'Waste results'!$P$45, "data missing"),
   IF(AND(Calc!BC30=0,Calc!BD30=0),
     IF('Waste results'!$P$82&lt;&gt;"data missing", Calc!BE30*'Waste results'!$P$82, "data missing"),
   IF(Calc!BE30=0,
     IF(OR('Waste results'!$P$10&lt;&gt;"data missing", 'Waste results'!$P$45&lt;&gt;"data missing"), Calc!BC30*'Waste results'!$P$10+ Calc!BD30*'Waste results'!$P$45, "data missing"),
   IF(Calc!BD30=0,
     IF(OR('Waste results'!$P$10&lt;&gt;"data missing", 'Waste results'!$P$82&lt;&gt;"data missing"), Calc!BC30*'Waste results'!$P$10+ Calc!BE30*'Waste results'!$P$82, "data missing"),
   IF(Calc!BC30=0,
     IF(OR('Waste results'!$P$45&lt;&gt;"data missing", 'Waste results'!$P$82&lt;&gt;"data missing"), Calc!BD30*'Waste results'!$P$45+Calc!BE30*'Waste results'!$P$82, "data missing"),
   IF(OR('Waste results'!$P$10&lt;&gt;"data missing", 'Waste results'!$P$45&lt;&gt;"data missing", 'Waste results'!$P$82&lt;&gt;"data missing"), Calc!BC30*'Waste results'!$P$10+Calc!BD30*'Waste results'!$P$45+ Calc!BE30*'Waste results'!$P$82, "data missing")))))))))))</f>
        <v/>
      </c>
      <c r="AJ32" s="237" t="str">
        <f ca="1">IF(B32="","",
IF(AI32="data missing","data missing",
IF(Calc!BF30=0,"n/a",
IF(AND(Calc!BH30&gt;=8,AI32&lt;500),"no benefit",
IF(OR(AND(Calc!BH30&lt;=4,AI32&gt;=500),AND(Calc!BH30&lt;8,AI32&gt;5000)),"benefit",
"limited benefit")))))</f>
        <v/>
      </c>
      <c r="AL32" s="238" t="str">
        <f ca="1">IF(B32="","",
IF(AND('Field information 2'!$O$5="", 'Field information 2'!$Q$5=""),
   IF('Waste results'!$S$25&lt;&gt;"data missing", Calc!BC30*'Waste results'!$S$25, "data missing"),
IF('Field information 2'!$Q$5="",
   IF(Calc!BD30=0,
     IF('Waste results'!$S$25&lt;&gt;"data missing", Calc!BC30*'Waste results'!$S$25, "data missing"),
   IF(Calc!BC30=0,
     IF('Waste results'!$S$61&lt;&gt;"data missing", Calc!BD30*'Waste results'!$S$61, "data missing"),
   IF(OR('Waste results'!$S$25&lt;&gt;"data missing", 'Waste results'!$S$61&lt;&gt;"data missing"), Calc!BC30*'Waste results'!$S$25+ Calc!BD30*'Waste results'!$S$61, "data missing"))),
IF(AND('Field information 2'!$M$5&lt;&gt;"", 'Field information 2'!$O$5&lt;&gt;"", 'Field information 2'!$Q$5&lt;&gt;""),
   IF(AND(Calc!BD30=0,Calc!BE30=0),
     IF('Waste results'!$S$25&lt;&gt;"data missing", Calc!BC30*'Waste results'!$S$25, "data missing"),
   IF(AND(Calc!BC30=0,Calc!BE30=0),
     IF('Waste results'!$S$61&lt;&gt;"data missing", Calc!BD30*'Waste results'!$S$61, "data missing"),
   IF(AND(Calc!BC30=0,Calc!BD30=0),
     IF('Waste results'!$S$97&lt;&gt;"data missing", Calc!BE30*'Waste results'!$S$97, "data missing"),
   IF(Calc!BE30=0,
     IF(OR('Waste results'!$S$25&lt;&gt;"data missing", 'Waste results'!$S$61&lt;&gt;"data missing"), Calc!BC30*'Waste results'!$S$25+ Calc!BD30*'Waste results'!$S$61, "data missing"),
   IF(Calc!BD30=0,
     IF(OR('Waste results'!$S$25&lt;&gt;"data missing", 'Waste results'!$S$97&lt;&gt;"data missing"), Calc!BC30*'Waste results'!$S$25+ Calc!BE30*'Waste results'!$S$97, "data missing"),
   IF(Calc!BC30=0,
     IF(OR('Waste results'!$S$61&lt;&gt;"data missing", 'Waste results'!$S$97&lt;&gt;"data missing"), Calc!BD30*'Waste results'!$S$61+Calc!BE30*'Waste results'!$S$97, "data missing"),
   IF(OR('Waste results'!$S$25&lt;&gt;"data missing", 'Waste results'!$S$61&lt;&gt;"data missing", 'Waste results'!$S$97&lt;&gt;"data missing"), Calc!BC30*'Waste results'!$S$25+Calc!BD30*'Waste results'!$S$61+ Calc!BE30*'Waste results'!$S$97, "data missing")))))))))))</f>
        <v/>
      </c>
      <c r="AM32" s="239" t="str">
        <f ca="1">IF($B32="","",
IF(ISBLANK('Soil results'!K35),"data missing",'Soil results'!K35))</f>
        <v/>
      </c>
      <c r="AN32" s="239" t="str">
        <f t="shared" ca="1" si="6"/>
        <v/>
      </c>
      <c r="AO32" s="9" t="str">
        <f t="shared" ca="1" si="7"/>
        <v/>
      </c>
      <c r="AQ32" s="240" t="str">
        <f ca="1">IF(B32="","",
IF(AND('Field information 2'!$O$5="", 'Field information 2'!$Q$5=""),
   IF('Waste results'!$S$26&lt;&gt;"data missing", Calc!BC30*'Waste results'!$S$26, "data missing"),
IF('Field information 2'!$Q$5="",
   IF(Calc!BD30=0,
     IF('Waste results'!$S$26&lt;&gt;"data missing", Calc!BC30*'Waste results'!$S$26, "data missing"),
   IF(Calc!BC30=0,
     IF('Waste results'!$S$62&lt;&gt;"data missing", Calc!BD30*'Waste results'!$S$62, "data missing"),
   IF(OR('Waste results'!$S$26&lt;&gt;"data missing", 'Waste results'!$S$62&lt;&gt;"data missing"), Calc!BC30*'Waste results'!$S$26+ Calc!BD30*'Waste results'!$S$62, "data missing"))),
IF(AND('Field information 2'!$M$5&lt;&gt;"", 'Field information 2'!$O$5&lt;&gt;"", 'Field information 2'!$Q$5&lt;&gt;""),
   IF(AND(Calc!BD30=0,Calc!BE30=0),
     IF('Waste results'!$S$26&lt;&gt;"data missing", Calc!BC30*'Waste results'!$S$26, "data missing"),
   IF(AND(Calc!BC30=0,Calc!BE30=0),
     IF('Waste results'!$S$62&lt;&gt;"data missing", Calc!BD30*'Waste results'!$S$62, "data missing"),
   IF(AND(Calc!BC30=0,Calc!BD30=0),
     IF('Waste results'!$S$98&lt;&gt;"data missing", Calc!BE30*'Waste results'!$S$98, "data missing"),
   IF(Calc!BE30=0,
     IF(OR('Waste results'!$S$26&lt;&gt;"data missing", 'Waste results'!$S$62&lt;&gt;"data missing"), Calc!BC30*'Waste results'!$S$26+ Calc!BD30*'Waste results'!$S$62, "data missing"),
   IF(Calc!BD30=0,
     IF(OR('Waste results'!$S$26&lt;&gt;"data missing", 'Waste results'!$S$98&lt;&gt;"data missing"), Calc!BC30*'Waste results'!$S$26+ Calc!BE30*'Waste results'!$S$98, "data missing"),
   IF(Calc!BC30=0,
     IF(OR('Waste results'!$S$62&lt;&gt;"data missing", 'Waste results'!$S$98&lt;&gt;"data missing"), Calc!BD30*'Waste results'!$S$62+Calc!BE30*'Waste results'!$S$98, "data missing"),
   IF(OR('Waste results'!$S$26&lt;&gt;"data missing", 'Waste results'!$S$62&lt;&gt;"data missing", 'Waste results'!$S$98&lt;&gt;"data missing"), Calc!BC30*'Waste results'!$S$26+Calc!BD30*'Waste results'!$S$62+ Calc!BE30*'Waste results'!$S$98, "data missing")))))))))))</f>
        <v/>
      </c>
      <c r="AR32" s="241" t="str">
        <f ca="1">IF($B32="","",
IF(ISBLANK('Soil results'!L35),"data missing",'Soil results'!L35))</f>
        <v/>
      </c>
      <c r="AS32" s="241" t="str">
        <f t="shared" ca="1" si="8"/>
        <v/>
      </c>
      <c r="AT32" s="66" t="str">
        <f t="shared" ca="1" si="9"/>
        <v/>
      </c>
      <c r="AV32" s="238" t="str">
        <f ca="1">IF(B32="","",
IF(AND('Field information 2'!$O$5="", 'Field information 2'!$Q$5=""),
   IF('Waste results'!$S$27&lt;&gt;"data missing", Calc!BC30*'Waste results'!$S$27, "data missing"),
IF('Field information 2'!$Q$5="",
   IF(Calc!BD30=0,
     IF('Waste results'!$S$27&lt;&gt;"data missing", Calc!BC30*'Waste results'!$S$27, "data missing"),
   IF(Calc!BC30=0,
     IF('Waste results'!$S$63&lt;&gt;"data missing", Calc!BD30*'Waste results'!$S$63, "data missing"),
   IF(OR('Waste results'!$S$27&lt;&gt;"data missing", 'Waste results'!$S$63&lt;&gt;"data missing"), Calc!BC30*'Waste results'!$S$27+ Calc!BD30*'Waste results'!$S$63, "data missing"))),
IF(AND('Field information 2'!$M$5&lt;&gt;"", 'Field information 2'!$O$5&lt;&gt;"", 'Field information 2'!$Q$5&lt;&gt;""),
   IF(AND(Calc!BD30=0,Calc!BE30=0),
     IF('Waste results'!$S$27&lt;&gt;"data missing", Calc!BC30*'Waste results'!$S$27, "data missing"),
   IF(AND(Calc!BC30=0,Calc!BE30=0),
     IF('Waste results'!$S$63&lt;&gt;"data missing", Calc!BD30*'Waste results'!$S$63, "data missing"),
   IF(AND(Calc!BC30=0,Calc!BD30=0),
     IF('Waste results'!$S$99&lt;&gt;"data missing", Calc!BE30*'Waste results'!$S$99, "data missing"),
   IF(Calc!BE30=0,
     IF(OR('Waste results'!$S$27&lt;&gt;"data missing", 'Waste results'!$S$63&lt;&gt;"data missing"), Calc!BC30*'Waste results'!$S$27+ Calc!BD30*'Waste results'!$S$63, "data missing"),
   IF(Calc!BD30=0,
     IF(OR('Waste results'!$S$27&lt;&gt;"data missing", 'Waste results'!$S$99&lt;&gt;"data missing"), Calc!BC30*'Waste results'!$S$27+ Calc!BE30*'Waste results'!$S$99, "data missing"),
   IF(Calc!BC30=0,
     IF(OR('Waste results'!$S$63&lt;&gt;"data missing", 'Waste results'!$S$99&lt;&gt;"data missing"), Calc!BD30*'Waste results'!$S$63+Calc!BE30*'Waste results'!$S$99, "data missing"),
   IF(OR('Waste results'!$S$27&lt;&gt;"data missing", 'Waste results'!$S$63&lt;&gt;"data missing", 'Waste results'!$S$99&lt;&gt;"data missing"), Calc!BC30*'Waste results'!$S$27+Calc!BD30*'Waste results'!$S$63+ Calc!BE30*'Waste results'!$S$99, "data missing")))))))))))</f>
        <v/>
      </c>
      <c r="AW32" s="239" t="str">
        <f ca="1">IF($B32="","",
IF(ISBLANK('Soil results'!M35),"data missing",'Soil results'!M35))</f>
        <v/>
      </c>
      <c r="AX32" s="239" t="str">
        <f t="shared" ca="1" si="10"/>
        <v/>
      </c>
      <c r="AY32" s="9" t="str">
        <f ca="1">IF(B32="","",
IF(AV32=0,"n/a",
IF(OR(AV32="data missing",AW32="data missing"),"data missing",
IF(AV32&gt;7.5,"application rate too high - permissible rate exceeds limit",
IF('Soil results'!$F35&lt;=5.5,
  IF(AW32&gt;80,"no application - soil conc. already above limit",
  IF(AX32&gt;80,"application rate too high - soil conc. will exceed limit",
  IF(AW32&gt;80*0.9,"soil conc. is at or above 90% of the limit",
  IF(10*AV32*1000/3000+AW32&gt;80,"soil limit likely to be exceeded in 10yrs",
  IF(50*AV32*1000/3000+AW32&gt;80,"soil limit likely to be exceeded in 50yrs","ok"))))),
IF('Soil results'!$F35&lt;=6,
  IF(AW32&gt;100,"no application - soil conc. already above limit",
  IF(AX32&gt;100,"application rate too high - soil conc. will exceed limit",
  IF(AW32&gt;100*0.9,"soil conc. is at or above 90% of the limit",
  IF(10*AV32*1000/3000+AW32&gt;100,"soil limit likely to be exceeded in 10yrs",
  IF(50*AV32*1000/3000+AW32&gt;100,"soil limit likely to be exceeded in 50yrs","ok"))))),
IF('Soil results'!$F35&lt;=7,
  IF(AW32&gt;135,"no application - soil conc. already above limit",
  IF(AX32&gt;135,"application rate too high - soil conc. will exceed limit",
  IF(AW32&gt;135*0.9,"soil conc. is at or above 90% of the limit",
  IF(10*AV32*1000/3000+AW32&gt;135,"soil limit likely to be exceeded in 10yrs",
  IF(50*AV32*1000/3000+AW32&gt;135,"soil limit likely to be exceeded in 50yrs","ok"))))),
IF('Soil results'!$F35&gt;7,
  IF(AW32&gt;200,"no application - soil conc. already above limit",
  IF(AX32&gt;200,"application too high - soil conc. will exceed limit",
  IF(AW32&gt;200*0.9,"soil conc. is at or above 90% of the limit",
  IF(10*AV32*1000/3000+AW32&gt;200,"soil limit likely to be exceeded in 10yrs",
  IF(50*AV32*1000/3000+AW32&gt;200,"soil limit likely to be exceeded in 50yrs","ok")))))
))))))))</f>
        <v/>
      </c>
      <c r="BA32" s="238" t="str">
        <f ca="1">IF(B32="","",
IF(AND('Field information 2'!$O$5="", 'Field information 2'!$Q$5=""),
   IF('Waste results'!$S$28&lt;&gt;"data missing", Calc!BC30*'Waste results'!$S$28, "data missing"),
IF('Field information 2'!$Q$5="",
   IF(Calc!BD30=0,
     IF('Waste results'!$S$28&lt;&gt;"data missing", Calc!BC30*'Waste results'!$S$28, "data missing"),
   IF(Calc!BC30=0,
     IF('Waste results'!$S$64&lt;&gt;"data missing", Calc!BD30*'Waste results'!$S$64, "data missing"),
   IF(OR('Waste results'!$S$28&lt;&gt;"data missing", 'Waste results'!$S$64&lt;&gt;"data missing"), Calc!BC30*'Waste results'!$S$28+ Calc!BD30*'Waste results'!$S$64, "data missing"))),
IF(AND('Field information 2'!$M$5&lt;&gt;"", 'Field information 2'!$O$5&lt;&gt;"", 'Field information 2'!$Q$5&lt;&gt;""),
   IF(AND(Calc!BD30=0,Calc!BE30=0),
     IF('Waste results'!$S$28&lt;&gt;"data missing", Calc!BC30*'Waste results'!$S$28, "data missing"),
   IF(AND(Calc!BC30=0,Calc!BE30=0),
     IF('Waste results'!$S$64&lt;&gt;"data missing", Calc!BD30*'Waste results'!$S$64, "data missing"),
   IF(AND(Calc!BC30=0,Calc!BD30=0),
     IF('Waste results'!$S$100&lt;&gt;"data missing", Calc!BE30*'Waste results'!$S$100, "data missing"),
   IF(Calc!BE30=0,
     IF(OR('Waste results'!$S$28&lt;&gt;"data missing", 'Waste results'!$S$64&lt;&gt;"data missing"), Calc!BC30*'Waste results'!$S$28+ Calc!BD30*'Waste results'!$S$64, "data missing"),
   IF(Calc!BD30=0,
     IF(OR('Waste results'!$S$28&lt;&gt;"data missing", 'Waste results'!$S$100&lt;&gt;"data missing"), Calc!BC30*'Waste results'!$S$28+ Calc!BE30*'Waste results'!$S$100, "data missing"),
   IF(Calc!BC30=0,
     IF(OR('Waste results'!$S$64&lt;&gt;"data missing", 'Waste results'!$S$100&lt;&gt;"data missing"), Calc!BD30*'Waste results'!$S$64+Calc!BE30*'Waste results'!$S$100, "data missing"),
   IF(OR('Waste results'!$S$28&lt;&gt;"data missing", 'Waste results'!$S$64&lt;&gt;"data missing", 'Waste results'!$S$100&lt;&gt;"data missing"), Calc!BC30*'Waste results'!$S$28+Calc!BD30*'Waste results'!$S$64+ Calc!BE30*'Waste results'!$S$100, "data missing")))))))))))</f>
        <v/>
      </c>
      <c r="BB32" s="239" t="str">
        <f ca="1">IF($B32="","",
IF(ISBLANK('Soil results'!N35),"data missing",'Soil results'!N35))</f>
        <v/>
      </c>
      <c r="BC32" s="239" t="str">
        <f t="shared" ca="1" si="11"/>
        <v/>
      </c>
      <c r="BD32" s="9" t="str">
        <f t="shared" ca="1" si="12"/>
        <v/>
      </c>
      <c r="BF32" s="238" t="str">
        <f ca="1">IF(B32="","",
IF(AND('Field information 2'!$O$5="", 'Field information 2'!$Q$5=""),
   IF('Waste results'!$S$29&lt;&gt;"data missing", Calc!BC30*'Waste results'!$S$29, "data missing"),
IF('Field information 2'!$Q$5="",
   IF(Calc!BD30=0,
     IF('Waste results'!$S$29&lt;&gt;"data missing", Calc!BC30*'Waste results'!$S$29, "data missing"),
   IF(Calc!BC30=0,
     IF('Waste results'!$S$65&lt;&gt;"data missing", Calc!BD30*'Waste results'!$S$65, "data missing"),
   IF(OR('Waste results'!$S$29&lt;&gt;"data missing", 'Waste results'!$S$65&lt;&gt;"data missing"), Calc!BC30*'Waste results'!$S$29+ Calc!BD30*'Waste results'!$S$65, "data missing"))),
IF(AND('Field information 2'!$M$5&lt;&gt;"", 'Field information 2'!$O$5&lt;&gt;"", 'Field information 2'!$Q$5&lt;&gt;""),
   IF(AND(Calc!BD30=0,Calc!BE30=0),
     IF('Waste results'!$S$29&lt;&gt;"data missing", Calc!BC30*'Waste results'!$S$29, "data missing"),
   IF(AND(Calc!BC30=0,Calc!BE30=0),
     IF('Waste results'!$S$65&lt;&gt;"data missing", Calc!BD30*'Waste results'!$S$65, "data missing"),
   IF(AND(Calc!BC30=0,Calc!BD30=0),
     IF('Waste results'!$S$101&lt;&gt;"data missing", Calc!BE30*'Waste results'!$S$101, "data missing"),
   IF(Calc!BE30=0,
     IF(OR('Waste results'!$S$29&lt;&gt;"data missing", 'Waste results'!$S$65&lt;&gt;"data missing"), Calc!BC30*'Waste results'!$S$29+ Calc!BD30*'Waste results'!$S$65, "data missing"),
   IF(Calc!BD30=0,
     IF(OR('Waste results'!$S$29&lt;&gt;"data missing", 'Waste results'!$S$101&lt;&gt;"data missing"), Calc!BC30*'Waste results'!$S$29+ Calc!BE30*'Waste results'!$S$101, "data missing"),
   IF(Calc!BC30=0,
     IF(OR('Waste results'!$S$65&lt;&gt;"data missing", 'Waste results'!$S$101&lt;&gt;"data missing"), Calc!BD30*'Waste results'!$S$65+Calc!BE30*'Waste results'!$S$101, "data missing"),
   IF(OR('Waste results'!$S$29&lt;&gt;"data missing", 'Waste results'!$S$65&lt;&gt;"data missing", 'Waste results'!$S$101&lt;&gt;"data missing"), Calc!BC30*'Waste results'!$S$29+Calc!BD30*'Waste results'!$S$65+ Calc!BE30*'Waste results'!$S$101, "data missing")))))))))))</f>
        <v/>
      </c>
      <c r="BG32" s="239" t="str">
        <f ca="1">IF($B32="","",
IF(ISBLANK('Soil results'!O35),"data missing",'Soil results'!O35))</f>
        <v/>
      </c>
      <c r="BH32" s="239" t="str">
        <f t="shared" ca="1" si="13"/>
        <v/>
      </c>
      <c r="BI32" s="9" t="str">
        <f ca="1">IF(B32="","",
IF(BF32=0,"n/a",
IF(OR(BF32="data missing",BG32="data missing"),"data missing",
IF(BF32&gt;3,"application rate too high - permissible rate exceeds limit",
IF('Soil results'!F35&lt;=5.5,
  IF(BG32&gt;50,"no application - soil conc. already above limit",
  IF(BH32&gt;50,"application rate too high - soil conc. will exceed limit",
  IF(BG32&gt;50*0.9,"soil conc. is at or above 90% of the limit",
  IF(10*BF32*1000/3000+BG32&gt;50,"soil limit likely to be exceeded in 10yrs",
  IF(50*BF32*1000/3000+BG32&gt;50,"soil limit likely to be exceeded in 50yrs","ok"))))),
IF('Soil results'!F35&lt;=6,
  IF(BG32&gt;60,"no application - soil conc. already above limit",
  IF(BH32&gt;60,"application rate too high - soil conc. will exceed limit",
  IF(BG32&gt;60*0.9,"soil conc. is at or above 90% of the limit",
  IF(10*BF32*1000/3000+BG32&gt;60,"soil limit likely to be exceeded in 10yrs",
  IF(50*BF32*1000/3000+BG32&gt;60,"soil limit likely to be exceeded in 50yrs","ok"))))),
IF('Soil results'!F35&lt;=7,
  IF(BG32&gt;75,"no application - soil conc. already above limit",
  IF(BH32&gt;75,"application rate too high - soil conc. will exceed limit",
  IF(BG32&gt;75*0.9,"soil conc. is at or above 90% of the limit",
  IF(10*BF32*1000/3000+BG32&gt;75,"soil limit likely to be exceeded in 10yrs",
  IF(50*BF32*1000/3000+BG32&gt;75,"soil limit likely to be exceeded in 50yrs","ok"))))),
IF('Soil results'!F35&gt;7,
  IF(BG32&gt;100,"no application - soil conc. already above limit",
  IF(BH32&gt;100,"application rate too high - soil conc. will exceed limit",
  IF(BG32&gt;100*0.9,"soil conc. is at or above 90% of the limit",
  IF(10*BF32*1000/3000+BG32&gt;100,"soil limit likely to be exceeded in 10yrs",
  IF(50*BF32*1000/3000+BG32&gt;100,"soil limit likely to beexceeded in 50yrs","ok")))))
))))))))</f>
        <v/>
      </c>
      <c r="BK32" s="240" t="str">
        <f ca="1">IF(B32="","",
IF(AND('Field information 2'!$O$5="", 'Field information 2'!$Q$5=""),
   IF('Waste results'!$S$30&lt;&gt;"data missing", Calc!BC30*'Waste results'!$S$30, "data missing"),
IF('Field information 2'!$Q$5="",
   IF(Calc!BD30=0,
     IF('Waste results'!$S$30&lt;&gt;"data missing", Calc!BC30*'Waste results'!$S$30, "data missing"),
   IF(Calc!BC30=0,
     IF('Waste results'!$S$66&lt;&gt;"data missing", Calc!BD30*'Waste results'!$S$66, "data missing"),
   IF(OR('Waste results'!$S$30&lt;&gt;"data missing", 'Waste results'!$S$66&lt;&gt;"data missing"), Calc!BC30*'Waste results'!$S$30+ Calc!BD30*'Waste results'!$S$66, "data missing"))),
IF(AND('Field information 2'!$M$5&lt;&gt;"", 'Field information 2'!$O$5&lt;&gt;"", 'Field information 2'!$Q$5&lt;&gt;""),
   IF(AND(Calc!BD30=0,Calc!BE30=0),
     IF('Waste results'!$S$30&lt;&gt;"data missing", Calc!BC30*'Waste results'!$S$30, "data missing"),
   IF(AND(Calc!BC30=0,Calc!BE30=0),
     IF('Waste results'!$S$66&lt;&gt;"data missing", Calc!BD30*'Waste results'!$S$66, "data missing"),
   IF(AND(Calc!BC30=0,Calc!BD30=0),
     IF('Waste results'!$S$102&lt;&gt;"data missing", Calc!BE30*'Waste results'!$S$102, "data missing"),
   IF(Calc!BE30=0,
     IF(OR('Waste results'!$S$30&lt;&gt;"data missing", 'Waste results'!$S$66&lt;&gt;"data missing"), Calc!BC30*'Waste results'!$S$30+ Calc!BD30*'Waste results'!$S$66, "data missing"),
   IF(Calc!BD30=0,
     IF(OR('Waste results'!$S$30&lt;&gt;"data missing", 'Waste results'!$S$102&lt;&gt;"data missing"), Calc!BC30*'Waste results'!$S$30+ Calc!BE30*'Waste results'!$S$102, "data missing"),
   IF(Calc!BC30=0,
     IF(OR('Waste results'!$S$66&lt;&gt;"data missing", 'Waste results'!$S$102&lt;&gt;"data missing"), Calc!BD30*'Waste results'!$S$66+Calc!BE30*'Waste results'!$S$102, "data missing"),
   IF(OR('Waste results'!$S$30&lt;&gt;"data missing", 'Waste results'!$S$66&lt;&gt;"data missing", 'Waste results'!$S$102&lt;&gt;"data missing"), Calc!BC30*'Waste results'!$S$30+Calc!BD30*'Waste results'!$S$66+ Calc!BE30*'Waste results'!$S$102, "data missing")))))))))))</f>
        <v/>
      </c>
      <c r="BL32" s="241" t="str">
        <f ca="1">IF($B32="","",
IF(ISBLANK('Soil results'!P35),"data missing",'Soil results'!P35))</f>
        <v/>
      </c>
      <c r="BM32" s="241" t="str">
        <f t="shared" ca="1" si="14"/>
        <v/>
      </c>
      <c r="BN32" s="66" t="str">
        <f t="shared" ca="1" si="15"/>
        <v/>
      </c>
      <c r="BP32" s="238" t="str">
        <f ca="1">IF(B32="","",
IF(AND('Field information 2'!$O$5="", 'Field information 2'!$Q$5=""),
   IF('Waste results'!$S$31&lt;&gt;"data missing", Calc!BC30*'Waste results'!$S$31, "data missing"),
IF('Field information 2'!$Q$5="",
   IF(Calc!BD30=0,
     IF('Waste results'!$S$31&lt;&gt;"data missing", Calc!BC30*'Waste results'!$S$31, "data missing"),
   IF(Calc!BC30=0,
     IF('Waste results'!$S$67&lt;&gt;"data missing", Calc!BD30*'Waste results'!$S$67, "data missing"),
   IF(OR('Waste results'!$S$31&lt;&gt;"data missing", 'Waste results'!$S$67&lt;&gt;"data missing"), Calc!BC30*'Waste results'!$S$31+ Calc!BD30*'Waste results'!$S$67, "data missing"))),
IF(AND('Field information 2'!$M$5&lt;&gt;"", 'Field information 2'!$O$5&lt;&gt;"", 'Field information 2'!$Q$5&lt;&gt;""),
   IF(AND(Calc!BD30=0,Calc!BE30=0),
     IF('Waste results'!$S$31&lt;&gt;"data missing", Calc!BC30*'Waste results'!$S$31, "data missing"),
   IF(AND(Calc!BC30=0,Calc!BE30=0),
     IF('Waste results'!$S$67&lt;&gt;"data missing", Calc!BD30*'Waste results'!$S$67, "data missing"),
   IF(AND(Calc!BC30=0,Calc!BD30=0),
     IF('Waste results'!$S$103&lt;&gt;"data missing", Calc!BE30*'Waste results'!$S$103, "data missing"),
   IF(Calc!BE30=0,
     IF(OR('Waste results'!$S$31&lt;&gt;"data missing", 'Waste results'!$S$67&lt;&gt;"data missing"), Calc!BC30*'Waste results'!$S$31+ Calc!BD30*'Waste results'!$S$67, "data missing"),
   IF(Calc!BD30=0,
     IF(OR('Waste results'!$S$31&lt;&gt;"data missing", 'Waste results'!$S$103&lt;&gt;"data missing"), Calc!BC30*'Waste results'!$S$31+ Calc!BE30*'Waste results'!$S$103, "data missing"),
   IF(Calc!BC30=0,
     IF(OR('Waste results'!$S$67&lt;&gt;"data missing", 'Waste results'!$S$103&lt;&gt;"data missing"), Calc!BD30*'Waste results'!$S$67+Calc!BE30*'Waste results'!$S$103, "data missing"),
   IF(OR('Waste results'!$S$31&lt;&gt;"data missing", 'Waste results'!$S$67&lt;&gt;"data missing", 'Waste results'!$S$103&lt;&gt;"data missing"), Calc!BC30*'Waste results'!$S$31+Calc!BD30*'Waste results'!$S$67+ Calc!BE30*'Waste results'!$S$103, "data missing")))))))))))</f>
        <v/>
      </c>
      <c r="BQ32" s="239" t="str">
        <f ca="1">IF($B32="","",
IF(ISBLANK('Soil results'!Q35),"data missing",'Soil results'!Q35))</f>
        <v/>
      </c>
      <c r="BR32" s="239" t="str">
        <f t="shared" ca="1" si="16"/>
        <v/>
      </c>
      <c r="BS32" s="9" t="str">
        <f ca="1">IF(B32="","",
IF(BP32=0,"n/a",
IF(OR(BP32="data missing",BQ32=""),"data missing",
IF(BP32&gt;15,"application rate too high - permissible rate exceeds limit",
IF('Soil results'!F35&lt;=5.5,
  IF(BQ32&gt;200,"no application - soil conc. already above limit",
  IF(BR32&gt;200,"application rate too high - soil conc. will exceed limit",
  IF(BQ32&gt;200*0.9,"soil conc. is at or above 90% of the limit",
  IF(10*BP32*1000/3000+BQ32&gt;200,"soil limit likely to be exceeded in 10yrs",
  IF(50*BP32*1000/3000+BQ32&gt;200,"soil limit likely to be exceeded in 50yrs","ok"))))),
IF('Soil results'!F35&lt;=6,
  IF(BQ32&gt;250,"no application - soil conc. already above limit",
  IF(BR32&gt;250,"application rate too high - soil conc. will exceed limit",
  IF(BQ32&gt;250*0.9,"soil conc. is at or above 90% of the limit",
  IF(10*BP32*1000/3000+BQ32&gt;250,"soil limit likely to be exceeded in 10yrs",
  IF(50*BP32*1000/3000+BQ32&gt;250,"soil limit likely to be exceeded in 50yrs","ok"))))),
IF('Soil results'!F35&lt;=7,
  IF(BQ32&gt;300,"no application - soil conc. already above limit",
  IF(BR32&gt;300,"application rate too high - soil conc. will exceed limit",
  IF(BQ32&gt;300*0.9,"soil conc. is at or above 90% of the limit",
  IF(10*BP32*1000/3000+BQ32&gt;300,"soil limit likey to be exceeded in 10yrs",
  IF(50*BP32*1000/3000+BQ32&gt;300,"soil limit likely to be exceeded in 50yrs","ok"))))),
IF('Soil results'!F35&gt;7,
  IF(BQ32&gt;450,"no application - soil conc. already above limit",
  IF(BR32&gt;450,"application rate too high - soil conc. will exceed limit",
  IF(AW32&gt;450*0.9,"soil conc. is at or above 90% of the limit",
  IF(10*BP32*1000/3000+BQ32&gt;450,"soil limit likely to be exceeded in 10yrs",
  IF(50*BP32*1000/3000+BQ32&gt;450,"soil limit likely to be exceeded in 50yrs","ok")))))
))))))))</f>
        <v/>
      </c>
    </row>
    <row r="33" spans="2:71" s="9" customFormat="1" x14ac:dyDescent="0.35">
      <c r="B33" s="236" t="str">
        <f ca="1">'Soil results'!B36</f>
        <v/>
      </c>
      <c r="C33" s="91" t="str">
        <f ca="1">IF(B33="","",
IF(AND('Field information 2'!$O$5="", 'Field information 2'!$Q$5=""),
   IF('Waste results'!$S$12&lt;&gt;"data missing", Calc!BC31*'Waste results'!$S$12, "data missing"),
IF('Field information 2'!$Q$5="",
   IF(Calc!BD31=0,
     IF('Waste results'!$S$12&lt;&gt;"data missing", Calc!BC31*'Waste results'!$S$12, "data missing"),
   IF(Calc!BC31=0,
     IF('Waste results'!$S$48&lt;&gt;"data missing", Calc!BD31*'Waste results'!$S$48, "data missing"),
   IF(OR('Waste results'!$S$12&lt;&gt;"data missing", 'Waste results'!$S$48&lt;&gt;"data missing"), Calc!BC31*'Waste results'!$S$12+ Calc!BD31*'Waste results'!$S$48, "data missing"))),
IF(AND('Field information 2'!$M$5&lt;&gt;"", 'Field information 2'!$O$5&lt;&gt;"", 'Field information 2'!$Q$5&lt;&gt;""),
   IF(AND(Calc!BD31=0,Calc!BE31=0),
     IF('Waste results'!$S$12&lt;&gt;"data missing", Calc!BC31*'Waste results'!$S$12, "data missing"),
   IF(AND(Calc!BC31=0,Calc!BE31=0),
     IF('Waste results'!$S$48&lt;&gt;"data missing", Calc!BD31*'Waste results'!$S$48, "data missing"),
   IF(AND(Calc!BC31=0,Calc!BD31=0),
     IF('Waste results'!$S$84&lt;&gt;"data missing", Calc!BE31*'Waste results'!$S$84, "data missing"),
   IF(Calc!BE31=0,
     IF(OR('Waste results'!$S$12&lt;&gt;"data missing", 'Waste results'!$S$48&lt;&gt;"data missing"), Calc!BC31*'Waste results'!$S$12+ Calc!BD31*'Waste results'!$S$48, "data missing"),
   IF(Calc!BD31=0,
     IF(OR('Waste results'!$S$12&lt;&gt;"data missing", 'Waste results'!$S$84&lt;&gt;"data missing"), Calc!BC31*'Waste results'!$S$12+ Calc!BE31*'Waste results'!$S$84, "data missing"),
   IF(Calc!BC31=0,
     IF(OR('Waste results'!$S$48&lt;&gt;"data missing", 'Waste results'!$S$84&lt;&gt;"data missing"), Calc!BD31*'Waste results'!$S$48+Calc!BE31*'Waste results'!$S$84, "data missing"),
   IF(OR('Waste results'!$S$12&lt;&gt;"data missing", 'Waste results'!$S$48&lt;&gt;"data missing", 'Waste results'!$S$84&lt;&gt;"data missing"), Calc!BC31*'Waste results'!$S$12+Calc!BD31*'Waste results'!$S$48+ Calc!BE31*'Waste results'!$S$84, "data missing")))))))))))</f>
        <v/>
      </c>
      <c r="D33" s="161" t="str">
        <f ca="1">IF(B33="","",
IF(Calc!BG31="","soil texture missing",
IF(OR(Calc!BG31="SL; SZL; ZL",Calc!BG31="SCL; CL; ZCL; SC; ZC; C"),VLOOKUP(Calc!BI31,'Fertiliser recommendations'!$A$4:$C$63,3,FALSE),
IF(Calc!BG31="S; LS",VLOOKUP(Calc!BI31,'Fertiliser recommendations'!$A$4:$C$63,3,FALSE)+VLOOKUP(Calc!BI31,'Fertiliser recommendations'!$A$4:$D$63,4,FALSE),
IF(Calc!BG31="10-25% OM",VLOOKUP(Calc!BI31,'Fertiliser recommendations'!$A$4:$C$63,3,FALSE)+VLOOKUP(Calc!BI31,'Fertiliser recommendations'!$A$4:$E$63,5,FALSE),
IF(Calc!BG31="&gt;25% OM",VLOOKUP(Calc!BI31,'Fertiliser recommendations'!$A$4:$C$63,3,FALSE)+VLOOKUP(Calc!BI31,'Fertiliser recommendations'!$A$4:$F$63,6,FALSE),
""))))))</f>
        <v/>
      </c>
      <c r="E33" s="91" t="str">
        <f t="shared" ca="1" si="0"/>
        <v/>
      </c>
      <c r="F33" s="9" t="str">
        <f ca="1">IF(B33="","",
IF(OR(C33="data missing",D33="soil texture missing"),"data missing",
IF(Calc!BF31=0,"n/a",
IF(C33&lt;0.1*D33,"no benefit",
IF(C33&lt;0.3*D33,"limited benefit",
IF(C33&gt;250,"exceeds limit",
IF(OR(AND(D33=0,C33&gt;75),C33&gt;1.25*D33),"excessive",
IF(D33=0, "no requirement",
"benefit"))))))))</f>
        <v/>
      </c>
      <c r="H33" s="91" t="str">
        <f ca="1">IF(B33="","",
IF(AND('Field information 2'!$O$5="", 'Field information 2'!$Q$5=""),
   IF('Waste results'!$S$17&lt;&gt;"data missing", Calc!BC31*'Waste results'!$S$17, "data missing"),
IF('Field information 2'!$Q$5="",
   IF(Calc!BD31=0,
     IF('Waste results'!$S$17&lt;&gt;"data missing", Calc!BC31*'Waste results'!$S$17, "data missing"),
   IF(Calc!BC31=0,
     IF('Waste results'!$S$53&lt;&gt;"data missing", Calc!BD31*'Waste results'!$S$53, "data missing"),
   IF(OR('Waste results'!$S$17&lt;&gt;"data missing", 'Waste results'!$S$53&lt;&gt;"data missing"), Calc!BC31*'Waste results'!$S$17+ Calc!BD31*'Waste results'!$S$53, "data missing"))),
IF(AND('Field information 2'!$M$5&lt;&gt;"", 'Field information 2'!$O$5&lt;&gt;"", 'Field information 2'!$Q$5&lt;&gt;""),
   IF(AND(Calc!BD31=0,Calc!BE31=0),
     IF('Waste results'!$S$17&lt;&gt;"data missing", Calc!BC31*'Waste results'!$S$17, "data missing"),
   IF(AND(Calc!BC31=0,Calc!BE31=0),
     IF('Waste results'!$S$53&lt;&gt;"data missing", Calc!BD31*'Waste results'!$S$53, "data missing"),
   IF(AND(Calc!BC31=0,Calc!BD31=0),
     IF('Waste results'!$S$89&lt;&gt;"data missing", Calc!BE31*'Waste results'!$S$89, "data missing"),
   IF(Calc!BE31=0,
     IF(OR('Waste results'!$S$17&lt;&gt;"data missing", 'Waste results'!$S$53&lt;&gt;"data missing"), Calc!BC31*'Waste results'!$S$17+ Calc!BD31*'Waste results'!$S$53, "data missing"),
   IF(Calc!BD31=0,
     IF(OR('Waste results'!$S$17&lt;&gt;"data missing", 'Waste results'!$S$89&lt;&gt;"data missing"), Calc!BC31*'Waste results'!$S$17+ Calc!BE31*'Waste results'!$S$89, "data missing"),
   IF(Calc!BC31=0,
     IF(OR('Waste results'!$S$53&lt;&gt;"data missing", 'Waste results'!$S$89&lt;&gt;"data missing"), Calc!BD31*'Waste results'!$S$53+Calc!BE31*'Waste results'!$S$89, "data missing"),
   IF(OR('Waste results'!$S$17&lt;&gt;"data missing", 'Waste results'!$S$53&lt;&gt;"data missing", 'Waste results'!$S$89&lt;&gt;"data missing"), Calc!BC31*'Waste results'!$S$17+Calc!BD31*'Waste results'!$S$53+ Calc!BE31*'Waste results'!$S$89, "data missing")))))))))))</f>
        <v/>
      </c>
      <c r="I33" s="195" t="str">
        <f ca="1">IF(B33="","",
IF(OR(ISBLANK('Soil results'!G36), ISBLANK('Soil results'!G$7)),"data missing",
IF(OR(AND('Soil results'!G$7="Olsen (ADAS)",'Soil results'!G36&lt;16),AND('Soil results'!G$7="modified Morgan (SAC)",'Soil results'!G36&lt;4.5)),50,100)))</f>
        <v/>
      </c>
      <c r="J33" s="49" t="str">
        <f ca="1">IF(B33="","",
IF(OR(ISBLANK('Soil results'!G$7),ISBLANK('Soil results'!G36)),"data missing",
IF(OR(AND('Soil results'!G$7="Olsen (ADAS)",'Soil results'!G36&gt;45),AND('Soil results'!G$7="modified Morgan (SAC)",'Soil results'!G36&gt;30)),0,
IF(OR(AND('Soil results'!G$7="Olsen (ADAS)",'Soil results'!G36&gt;=16,'Soil results'!G36&lt;=20),AND('Soil results'!G$7="modified Morgan (SAC)",'Soil results'!G36&gt;=4.5,'Soil results'!G36&lt;=9.4)),VLOOKUP(Calc!BI31,'Fertiliser recommendations'!$A$4:$I$63,9,FALSE),
IF(OR(AND('Soil results'!G$7="Olsen (ADAS)",'Soil results'!G36&lt;10),AND('Soil results'!G$7="modified Morgan (SAC)",'Soil results'!G36&lt;1.8)),VLOOKUP(Calc!BI31,'Fertiliser recommendations'!$A$4:$I$63,9,FALSE)+VLOOKUP(Calc!BI31,'Fertiliser recommendations'!$A$4:$J$63,10,FALSE),
IF(OR(AND('Soil results'!G$7="Olsen (ADAS)",'Soil results'!G36&lt;16),AND('Soil results'!G$7="modified Morgan (SAC)",'Soil results'!G36&lt;4.5)),VLOOKUP(Calc!BI31,'Fertiliser recommendations'!$A$4:$I$63,9,FALSE)+VLOOKUP(Calc!BI31,'Fertiliser recommendations'!$A$4:$K$63,11,FALSE),
IF(OR(AND('Soil results'!G$7="Olsen (ADAS)",'Soil results'!G36&lt;26),AND('Soil results'!G$7="modified Morgan (SAC)",'Soil results'!G36&lt;13.5)),VLOOKUP(Calc!BI31,'Fertiliser recommendations'!$A$4:$I$63,9,FALSE)+VLOOKUP(Calc!BI31,'Fertiliser recommendations'!$A$4:$L$63,12,FALSE),
IF(OR(AND('Soil results'!G$7="Olsen (ADAS)",'Soil results'!G36&lt;=45),AND('Soil results'!G$7="modified Morgan (SAC)",'Soil results'!G36&lt;=30)),VLOOKUP(Calc!BI31,'Fertiliser recommendations'!$A$4:$I$63,9,FALSE)+VLOOKUP(Calc!BI31,'Fertiliser recommendations'!$A$4:$M$63,13,FALSE),
""))))))))</f>
        <v/>
      </c>
      <c r="K33" s="161" t="str">
        <f t="shared" ca="1" si="1"/>
        <v/>
      </c>
      <c r="L33" s="47" t="str">
        <f ca="1">IF(OR(ISBLANK('Soil results'!G$7),ISBLANK('Soil results'!G36),B33="", H33="data missing"),"",
IF('Soil results'!G$7="Olsen (ADAS)",
IF(((H33*Calc!BM31/2.291-(VLOOKUP(Calc!BI31,'Fertiliser recommendations'!$A$4:$I$63,9,FALSE))/2.291)*10/(400/2.291)+'Soil results'!G36)&lt;10,"0 (VL)",
IF(((H33*Calc!BM31/2.291-(VLOOKUP(Calc!BI31,'Fertiliser recommendations'!$A$4:$I$63,9,FALSE))/2.291)*10/(400/2.291)+'Soil results'!G36)&lt;16,"1 (L)",
IF(((H33*Calc!BM31/2.291-(VLOOKUP(Calc!BI31,'Fertiliser recommendations'!$A$4:$I$63,9,FALSE))/2.291)*10/(400/2.291)+'Soil results'!G36)&lt;21,"2 (M-)",
IF(((H33*Calc!BM31/2.291-(VLOOKUP(Calc!BI31,'Fertiliser recommendations'!$A$4:$I$63,9,FALSE))/2.291)*10/(400/2.291)+'Soil results'!G36)&lt;26,"2 (M+)",
IF(((H33*Calc!BM31/2.291-(VLOOKUP(Calc!BI31,'Fertiliser recommendations'!$A$4:$I$63,9,FALSE))/2.291)*10/(400/2.291)+'Soil results'!G36)&lt;45,"3 (H)","&gt;3 (VH)"))))),
IF('Soil results'!G$7="modified Morgan (SAC)",
IF('Soil results'!G36&gt;=6,
IF(((H33*Calc!BM31/2.291-(VLOOKUP(Calc!BI31,'Fertiliser recommendations'!$A$4:$I$63,9,FALSE))/2.291)*5/(147/2.291)+'Soil results'!G36)&lt;9.5,"2 (M-)",
IF(((H33*Calc!BM31/2.291-(VLOOKUP(Calc!BI31,'Fertiliser recommendations'!$A$4:$I$63,9,FALSE))/2.291)*5/(147/2.291)+'Soil results'!G36)&lt;13.5,"2 (M+)",
IF(((H33*Calc!BM31/2.291-(VLOOKUP(Calc!BI31,'Fertiliser recommendations'!$A$4:$I$63,9,FALSE))/2.291)*5/(147/2.291)+'Soil results'!G36)&lt;30,"3 (H)","4 (VH)"))),
IF(((H33*Calc!BM31/2.291-(VLOOKUP(Calc!BI31,'Fertiliser recommendations'!$A$4:$I$63,9,FALSE))/2.291)*5/(346/2.291)+'Soil results'!G36)&lt;1.8,"0 (VL)",
IF(((H33*Calc!BM31/2.291-(VLOOKUP(Calc!BI31,'Fertiliser recommendations'!$A$4:$I$63,9,FALSE))/2.291)*5/(147/2.291)+'Soil results'!G36)&lt;4.5,"1 (L)","2 (M-)"))))))</f>
        <v/>
      </c>
      <c r="M33" s="9" t="str">
        <f ca="1">IF(B33="","",
IF(OR(H33="data missing",I33="data missing",J33="data missing"),"data missing",
IF(Calc!BF31=0,"n/a",
IF(OR(AND('Soil results'!G$7="Olsen (ADAS)",'Soil results'!G36&gt;45),AND('Soil results'!G$7="modified Morgan (SAC)",'Soil results'!G36&gt;30)),
IF(H33&gt;2,"too high, not acceptable","no requirement"),IF(OR(AND('Soil results'!G$7="Olsen (ADAS)",'Soil results'!G36&gt;25),AND('Soil results'!G$7="modified Morgan (SAC)",'Soil results'!G36&gt;13.4)),
IF(H33*(I33/100)&lt;0.1*J33,"no benefit",
IF(H33*(I33/100)&lt;0.3*J33,"limited benefit",
IF(H33*(I33/100)&lt;1.1*J33,"benefit",
IF(H33*(I33/100)&lt;0.7*VLOOKUP(Calc!BI31,'Fertiliser recommendations'!$A$4:$I$63,9,FALSE),"excessive","too high, not acceptable")))),
IF(OR(AND('Soil results'!G$7="Olsen (ADAS)",'Soil results'!G36&gt;20),AND('Soil results'!G$7="modified Morgan (SAC)",'Soil results'!G36&gt;9.4)),
IF(H33*Calc!BM31*(I33/100)&lt;0.1*J33,"no benefit",
IF(H33*Calc!BM31*(I33/100)&lt;0.3*J33,"limited benefit",
IF(H33*Calc!BM31*(I33/100)&lt;1.1*J33,"benefit",
IF(L33="3 (H)","too high, not acceptable","excessive")))),
IF(OR(AND('Soil results'!G$7="Olsen (ADAS)",'Soil results'!G36&gt;15),AND('Soil results'!G$7="modified Morgan (SAC)",'Soil results'!G36&gt;4.4)),
IF(H33*Calc!BM31*(I33/100)&lt;0.1*VLOOKUP(Calc!BI31,'Fertiliser recommendations'!$A$4:$I$63,9,FALSE),"no benefit",
IF(H33*Calc!BM31*(I33/100)&lt;0.3*VLOOKUP(Calc!BI31,'Fertiliser recommendations'!$A$4:$I$63,9,FALSE),"limited benefit",
IF(H33*Calc!BM31*(I33/100)&lt;1.1*VLOOKUP(Calc!BI31,'Fertiliser recommendations'!$A$4:$I$63,9,FALSE),"benefit",
IF(L33="3 (H)", "too high, not acceptable", "excessive")))),
IF(OR(AND('Soil results'!G$7="Olsen (ADAS)",'Soil results'!G36&lt;=15),AND('Soil results'!G$7="modified Morgan (SAC)",'Soil results'!G36&lt;=4.4)),
IF(H33*Calc!BM31*(I33/100)&lt;0.1*VLOOKUP(Calc!BI31,'Fertiliser recommendations'!$A$4:$I$63,9,FALSE),"no benefit",
IF(H33*Calc!BM31*(I33/100)&lt;0.3*VLOOKUP(Calc!BI31,'Fertiliser recommendations'!$A$4:$I$63,9,FALSE),"limited benefit",
IF(H33*Calc!BM31*(I33/100)&lt;1.1*J33,"benefit","excessive")))))))))))</f>
        <v/>
      </c>
      <c r="O33" s="91" t="str">
        <f ca="1">IF(B33="","",
IF(AND('Field information 2'!$O$5="", 'Field information 2'!$Q$5=""),
   IF('Waste results'!$S$19&lt;&gt;"data missing", Calc!BC31*'Waste results'!$S$19, "data missing"),
IF('Field information 2'!$Q$5="",
   IF(Calc!BD31=0,
     IF('Waste results'!$S$19&lt;&gt;"data missing", Calc!BC31*'Waste results'!$S$19, "data missing"),
   IF(Calc!BC31=0,
     IF('Waste results'!$S$55&lt;&gt;"data missing", Calc!BD31*'Waste results'!$S$55, "data missing"),
   IF(OR('Waste results'!$S$19&lt;&gt;"data missing", 'Waste results'!$S$55&lt;&gt;"data missing"), Calc!BC31*'Waste results'!$S$19+ Calc!BD31*'Waste results'!$S$55, "data missing"))),
IF(AND('Field information 2'!$M$5&lt;&gt;"", 'Field information 2'!$O$5&lt;&gt;"", 'Field information 2'!$Q$5&lt;&gt;""),
   IF(AND(Calc!BD31=0,Calc!BE31=0),
     IF('Waste results'!$S$19&lt;&gt;"data missing", Calc!BC31*'Waste results'!$S$19, "data missing"),
   IF(AND(Calc!BC31=0,Calc!BE31=0),
     IF('Waste results'!$S$55&lt;&gt;"data missing", Calc!BD31*'Waste results'!$S$55, "data missing"),
   IF(AND(Calc!BC31=0,Calc!BD31=0),
     IF('Waste results'!$S$91&lt;&gt;"data missing", Calc!BE31*'Waste results'!$S$91, "data missing"),
   IF(Calc!BE31=0,
     IF(OR('Waste results'!$S$19&lt;&gt;"data missing", 'Waste results'!$S$55&lt;&gt;"data missing"), Calc!BC31*'Waste results'!$S$19+ Calc!BD31*'Waste results'!$S$55, "data missing"),
   IF(Calc!BD31=0,
     IF(OR('Waste results'!$S$19&lt;&gt;"data missing", 'Waste results'!$S$91&lt;&gt;"data missing"), Calc!BC31*'Waste results'!$S$19+ Calc!BE31*'Waste results'!$S$91, "data missing"),
   IF(Calc!BC31=0,
     IF(OR('Waste results'!$S$55&lt;&gt;"data missing", 'Waste results'!$S$91&lt;&gt;"data missing"), Calc!BD31*'Waste results'!$S$55+Calc!BE31*'Waste results'!$S$91, "data missing"),
   IF(OR('Waste results'!$S$19&lt;&gt;"data missing", 'Waste results'!$S$55&lt;&gt;"data missing", 'Waste results'!$S$91&lt;&gt;"data missing"), Calc!BC31*'Waste results'!$S$19+Calc!BD31*'Waste results'!$S$55+ Calc!BE31*'Waste results'!$S$91, "data missing")))))))))))</f>
        <v/>
      </c>
      <c r="P33" s="91" t="str">
        <f ca="1">IF(B33="","",
IF(OR(ISBLANK('Soil results'!H$7),ISBLANK('Soil results'!H36)),"data missing",
IF(OR(AND('Soil results'!H$7="ammonium nitrate (ADAS)",'Soil results'!H36&gt;400),AND('Soil results'!H$7="modified Morgan (SAC)",'Soil results'!H36&gt;400)),0,
IF(OR(AND('Soil results'!H$7="ammonium nitrate (ADAS)",'Soil results'!H36&gt;=121,'Soil results'!H36&lt;=180),AND('Soil results'!H$7="modified Morgan (SAC)",'Soil results'!H36&gt;=76,'Soil results'!H36&lt;=140)),VLOOKUP(Calc!BI31,'Fertiliser recommendations'!$A$4:$Z$63,26,FALSE),
IF(OR(AND('Soil results'!H$7="ammonium nitrate (ADAS)",'Soil results'!H36&lt;61),AND('Soil results'!H$7="modified Morgan (SAC)",'Soil results'!H36&lt;40)),VLOOKUP(Calc!BI31,'Fertiliser recommendations'!$A$4:$Z$63,26,FALSE)+VLOOKUP(Calc!BI31,'Fertiliser recommendations'!$A$4:$AA$63,27,FALSE),
IF(OR(AND('Soil results'!H$7="ammonium nitrate (ADAS)",'Soil results'!H36&lt;121),AND('Soil results'!H$7="modified Morgan (SAC)",'Soil results'!H36&lt;76)),VLOOKUP(Calc!BI31,'Fertiliser recommendations'!$A$4:$Z$63,26,FALSE)+VLOOKUP(Calc!BI31,'Fertiliser recommendations'!$A$4:$AB$63,28,FALSE),
IF(OR(AND('Soil results'!H$7="ammonium nitrate (ADAS)",'Soil results'!H36&lt;241),AND('Soil results'!H$7="modified Morgan (SAC)",'Soil results'!H36&lt;201)),VLOOKUP(Calc!BI31,'Fertiliser recommendations'!$A$4:$Z$63,26,FALSE)+VLOOKUP(Calc!BI31,'Fertiliser recommendations'!$A$4:$AC$63,29,FALSE),
IF(OR(AND('Soil results'!H$7="ammonium nitrate (ADAS)",'Soil results'!H36&lt;=400),AND('Soil results'!H$7="modified Morgan (SAC)",'Soil results'!H36&lt;=400)),VLOOKUP(Calc!BI31,'Fertiliser recommendations'!$A$4:$Z$63,26,FALSE)+VLOOKUP(Calc!BI31,'Fertiliser recommendations'!$A$4:$AD$63,30,FALSE),
"??"))))))))</f>
        <v/>
      </c>
      <c r="Q33" s="91" t="str">
        <f t="shared" ca="1" si="2"/>
        <v/>
      </c>
      <c r="R33" s="9" t="str">
        <f ca="1">IF(B33="","",
IF(OR(O33="data missing",P33="data missing"),"data missing",
IF(Calc!BF31=0,"n/a",
IF(P33=0, "no requirement",
IF(O33&lt;0.1*P33,"no benefit",
IF(O33&lt;0.3*P33,"limited benefit",
IF(O33&gt;1.25*P33,"excessive",
"benefit")))))))</f>
        <v/>
      </c>
      <c r="T33" s="91" t="str">
        <f ca="1">IF(B33="","",
IF(AND('Field information 2'!$O$5="", 'Field information 2'!$Q$5=""),
   IF('Waste results'!$S$21&lt;&gt;"data missing", Calc!BC31*'Waste results'!$S$21, "data missing"),
IF('Field information 2'!$Q$5="",
   IF(Calc!BD31=0,
     IF('Waste results'!$S$21&lt;&gt;"data missing", Calc!BC31*'Waste results'!$S$21, "data missing"),
   IF(Calc!BC31=0,
     IF('Waste results'!$S$57&lt;&gt;"data missing", Calc!BD31*'Waste results'!$S$57, "data missing"),
   IF(OR('Waste results'!$S$21&lt;&gt;"data missing", 'Waste results'!$S$57&lt;&gt;"data missing"), Calc!BC31*'Waste results'!$S$21+ Calc!BD31*'Waste results'!$S$57, "data missing"))),
IF(AND('Field information 2'!$M$5&lt;&gt;"", 'Field information 2'!$O$5&lt;&gt;"", 'Field information 2'!$Q$5&lt;&gt;""),
   IF(AND(Calc!BD31=0,Calc!BE31=0),
     IF('Waste results'!$S$21&lt;&gt;"data missing", Calc!BC31*'Waste results'!$S$21, "data missing"),
   IF(AND(Calc!BC31=0,Calc!BE31=0),
     IF('Waste results'!$S$57&lt;&gt;"data missing", Calc!BD31*'Waste results'!$S$57, "data missing"),
   IF(AND(Calc!BC31=0,Calc!BD31=0),
     IF('Waste results'!$S$93&lt;&gt;"data missing", Calc!BE31*'Waste results'!$S$93, "data missing"),
   IF(Calc!BE31=0,
     IF(OR('Waste results'!$S$21&lt;&gt;"data missing", 'Waste results'!$S$57&lt;&gt;"data missing"), Calc!BC31*'Waste results'!$S$21+ Calc!BD31*'Waste results'!$S$57, "data missing"),
   IF(Calc!BD31=0,
     IF(OR('Waste results'!$S$21&lt;&gt;"data missing", 'Waste results'!$S$93&lt;&gt;"data missing"), Calc!BC31*'Waste results'!$S$21+ Calc!BE31*'Waste results'!$S$93, "data missing"),
   IF(Calc!BC31=0,
     IF(OR('Waste results'!$S$57&lt;&gt;"data missing", 'Waste results'!$S$93&lt;&gt;"data missing"), Calc!BD31*'Waste results'!$S$57+Calc!BE31*'Waste results'!$S$93, "data missing"),
   IF(OR('Waste results'!$S$21&lt;&gt;"data missing", 'Waste results'!$S$57&lt;&gt;"data missing", 'Waste results'!$S$93&lt;&gt;"data missing"), Calc!BC31*'Waste results'!$S$21+Calc!BD31*'Waste results'!$S$57+ Calc!BE31*'Waste results'!$S$93, "data missing")))))))))))</f>
        <v/>
      </c>
      <c r="U33" s="7" t="str">
        <f ca="1">IF(B33="","",
IF(OR(ISBLANK('Soil results'!I$7),ISBLANK('Soil results'!I36)),"data missing",
IF(OR(AND('Soil results'!I$7="ammonium nitrate (ADAS)",'Soil results'!I36&gt;51),AND('Soil results'!I$7="modified Morgan (SAC)",'Soil results'!I36&gt;61)),0,
IF(OR(AND('Soil results'!I$7="ammonium nitrate (ADAS)",'Soil results'!I36&lt;25),AND('Soil results'!I$7="modified Morgan (SAC)",'Soil results'!I36&lt;19)),VLOOKUP(Calc!BI31,'Fertiliser recommendations'!$A$4:$AH$63,34,FALSE),
IF(OR(AND('Soil results'!I$7="ammonium nitrate (ADAS)",'Soil results'!I36&lt;=51),AND('Soil results'!I$7="modified Morgan (SAC)",'Soil results'!I36&lt;=61)),VLOOKUP(Calc!BI31,'Fertiliser recommendations'!$A$4:$AI$63,35,FALSE),
"")))))</f>
        <v/>
      </c>
      <c r="V33" s="91" t="str">
        <f t="shared" ca="1" si="3"/>
        <v/>
      </c>
      <c r="W33" s="9" t="str">
        <f ca="1">IF(B33="","",
IF(OR(T33="data missing",U33="data missing"),"data missing",
IF(Calc!BF31=0,"n/a",
IF(U33=0,"no requirement",
IF(T33&lt;0.1*U33,"no benefit",
IF(T33&lt;0.3*U33,"limited benefit",
IF(OR(T33&gt;1.5*U33,AND(Calc!BJ31="g",T33&gt;100)),"excessive",
"benefit")))))))</f>
        <v/>
      </c>
      <c r="Y33" s="91" t="str">
        <f ca="1">IF(B33="","",
IF(AND('Field information 2'!$O$5="", 'Field information 2'!$Q$5=""),
   IF('Waste results'!$P$23&lt;&gt;"", Calc!BC31*'Waste results'!$P$23, "no data"),
IF('Field information 2'!$Q$5="",
   IF(Calc!BD31=0,
     IF('Waste results'!$P$23&lt;&gt;"", Calc!BC31*'Waste results'!$P$23, "no data"),
   IF(Calc!BC31=0,
     IF('Waste results'!$P$59&lt;&gt;"", Calc!BD31*'Waste results'!$P$59, "no data"),
   IF(OR('Waste results'!$P$23&lt;&gt;"", 'Waste results'!$P$59&lt;&gt;""), Calc!BC31*'Waste results'!$P$23+ Calc!BD31*'Waste results'!$P$59, "no data"))),
IF(AND('Field information 2'!$M$5&lt;&gt;"", 'Field information 2'!$O$5&lt;&gt;"", 'Field information 2'!$Q$5&lt;&gt;""),
   IF(AND(Calc!BD31=0,Calc!BE31=0),
     IF('Waste results'!$P$23&lt;&gt;"", Calc!BC31*'Waste results'!$P$23, "no data"),
   IF(AND(Calc!BC31=0,Calc!BE31=0),
     IF('Waste results'!$P$59&lt;&gt;"", Calc!BD31*'Waste results'!$P$59, "no data"),
   IF(AND(Calc!BC31=0,Calc!BD31=0),
     IF('Waste results'!$P$95&lt;&gt;"", Calc!BE31*'Waste results'!$P$95, "no data"),
   IF(Calc!BE31=0,
     IF(OR('Waste results'!$P$23&lt;&gt;"", 'Waste results'!$P$59&lt;&gt;""), Calc!BC31*'Waste results'!$P$23+ Calc!BD31*'Waste results'!$P$59, "no data"),
   IF(Calc!BD31=0,
     IF(OR('Waste results'!$P$23&lt;&gt;"", 'Waste results'!$P$95&lt;&gt;""), Calc!BC31*'Waste results'!$P$23+ Calc!BE31*'Waste results'!$P$95, "no data"),
   IF(Calc!BC31=0,
     IF(OR('Waste results'!$P$59&lt;&gt;"", 'Waste results'!$P$95&lt;&gt;""), Calc!BD31*'Waste results'!$P$59+Calc!BE31*'Waste results'!$P$95, "no data"),
   IF(OR('Waste results'!$P$23&lt;&gt;"", 'Waste results'!$P$59&lt;&gt;"", 'Waste results'!$P$95&lt;&gt;""), Calc!BC31*'Waste results'!$P$23+Calc!BD31*'Waste results'!$P$59+ Calc!BE31*'Waste results'!$P$95, "no data")))))))))))</f>
        <v/>
      </c>
      <c r="Z33" s="7" t="str">
        <f ca="1">IF(OR(ISBLANK('Soil results'!I$7),ISBLANK('Soil results'!I36),'Soil results'!B36=""),"",
VLOOKUP(Calc!BI31,'Fertiliser recommendations'!$A$4:$AM$63,39,FALSE))</f>
        <v/>
      </c>
      <c r="AA33" s="91" t="str">
        <f t="shared" ca="1" si="4"/>
        <v/>
      </c>
      <c r="AB33" s="9" t="str">
        <f t="shared" ca="1" si="5"/>
        <v/>
      </c>
      <c r="AD33" s="48" t="str">
        <f>IF(ISBLANK('Soil results'!F36),"",'Soil results'!F36)</f>
        <v/>
      </c>
      <c r="AE33" s="49" t="str">
        <f ca="1">IF(B33="","",
IF(AND(Calc!BJ31="g", VLOOKUP(LEFT($B33,LEN($B33)-2),'Field information 2'!$B$12:$P$111,9,FALSE)&lt;&gt;"yes"),
 IF(Calc!BG31="10-25% OM", 5.9, IF(Calc!BG31="&gt;25% OM", 5.5, 6.2)),
IF(OR(Calc!BJ31="a", VLOOKUP(LEFT($B33,LEN($B33)-2),'Field information 2'!$B$12:$P$111,9,FALSE)="yes"),
 IF(Calc!BG31="10-25% OM", 6.4, IF(Calc!BG31="&gt;25% OM", 6, 6.7)), "")))</f>
        <v/>
      </c>
      <c r="AF33" s="91" t="str">
        <f ca="1">IF(B33="","",
IF('Waste results'!$Q$33="","no (significant) liming properties",
IF('Waste results'!Q$33&gt;100,"no (significant) liming properties",
IF(AD33="","",
IF(AD33&gt;=AE33,0,ROUNDDOWN((AE33-AD33)*Calc!BK31*'Waste results'!$Q$33+0.2,0))))))</f>
        <v/>
      </c>
      <c r="AG33" s="9" t="str">
        <f ca="1">IF(B33="","",
IF(T33=0,"n/a",
IF(AD33="","data missing",
IF(AND(AD33&lt;5,AF33="no (significant) liming properties"),"no waste application - pH too low",
IF(AND(AD33&gt;5.1,AF33="no (significant) liming properties",Calc!BH31&gt;25, LEFT(Calc!BI31,4)="graz"),"ok",
IF(AND(AD33&lt;=5.2,AF33="no (significant) liming properties"),"liming highly recommended",
IF(AF33=0,"no waste application - liming not required",
IF(AF33&lt;Calc!BC31,"application rate too high - exceeds liming requirement",
"ok"))))))))</f>
        <v/>
      </c>
      <c r="AI33" s="91" t="str">
        <f ca="1">IF(B33="","",
IF(AND('Field information 2'!$O$5="", 'Field information 2'!$Q$5=""),
   IF('Waste results'!$P$10&lt;&gt;"data missing", Calc!BC31*'Waste results'!$P$10, "data missing"),
IF('Field information 2'!$Q$5="",
   IF(Calc!BD31=0,
     IF('Waste results'!$P$10&lt;&gt;"data missing", Calc!BC31*'Waste results'!$P$10, "data missing"),
   IF(Calc!BC31=0,
     IF('Waste results'!$P$45&lt;&gt;"data missing", Calc!BD31*'Waste results'!$P$45, "data missing"),
   IF(OR('Waste results'!$P$10&lt;&gt;"data missing", 'Waste results'!$P$45&lt;&gt;"data missing"), Calc!BC31*'Waste results'!$P$10+ Calc!BD31*'Waste results'!$P$45, "data missing"))),
IF(AND('Field information 2'!$M$5&lt;&gt;"", 'Field information 2'!$O$5&lt;&gt;"", 'Field information 2'!$Q$5&lt;&gt;""),
   IF(AND(Calc!BD31=0,Calc!BE31=0),
     IF('Waste results'!$P$10&lt;&gt;"data missing", Calc!BC31*'Waste results'!$P$10, "data missing"),
   IF(AND(Calc!BC31=0,Calc!BE31=0),
     IF('Waste results'!$P$45&lt;&gt;"data missing", Calc!BD31*'Waste results'!$P$45, "data missing"),
   IF(AND(Calc!BC31=0,Calc!BD31=0),
     IF('Waste results'!$P$82&lt;&gt;"data missing", Calc!BE31*'Waste results'!$P$82, "data missing"),
   IF(Calc!BE31=0,
     IF(OR('Waste results'!$P$10&lt;&gt;"data missing", 'Waste results'!$P$45&lt;&gt;"data missing"), Calc!BC31*'Waste results'!$P$10+ Calc!BD31*'Waste results'!$P$45, "data missing"),
   IF(Calc!BD31=0,
     IF(OR('Waste results'!$P$10&lt;&gt;"data missing", 'Waste results'!$P$82&lt;&gt;"data missing"), Calc!BC31*'Waste results'!$P$10+ Calc!BE31*'Waste results'!$P$82, "data missing"),
   IF(Calc!BC31=0,
     IF(OR('Waste results'!$P$45&lt;&gt;"data missing", 'Waste results'!$P$82&lt;&gt;"data missing"), Calc!BD31*'Waste results'!$P$45+Calc!BE31*'Waste results'!$P$82, "data missing"),
   IF(OR('Waste results'!$P$10&lt;&gt;"data missing", 'Waste results'!$P$45&lt;&gt;"data missing", 'Waste results'!$P$82&lt;&gt;"data missing"), Calc!BC31*'Waste results'!$P$10+Calc!BD31*'Waste results'!$P$45+ Calc!BE31*'Waste results'!$P$82, "data missing")))))))))))</f>
        <v/>
      </c>
      <c r="AJ33" s="237" t="str">
        <f ca="1">IF(B33="","",
IF(AI33="data missing","data missing",
IF(Calc!BF31=0,"n/a",
IF(AND(Calc!BH31&gt;=8,AI33&lt;500),"no benefit",
IF(OR(AND(Calc!BH31&lt;=4,AI33&gt;=500),AND(Calc!BH31&lt;8,AI33&gt;5000)),"benefit",
"limited benefit")))))</f>
        <v/>
      </c>
      <c r="AL33" s="238" t="str">
        <f ca="1">IF(B33="","",
IF(AND('Field information 2'!$O$5="", 'Field information 2'!$Q$5=""),
   IF('Waste results'!$S$25&lt;&gt;"data missing", Calc!BC31*'Waste results'!$S$25, "data missing"),
IF('Field information 2'!$Q$5="",
   IF(Calc!BD31=0,
     IF('Waste results'!$S$25&lt;&gt;"data missing", Calc!BC31*'Waste results'!$S$25, "data missing"),
   IF(Calc!BC31=0,
     IF('Waste results'!$S$61&lt;&gt;"data missing", Calc!BD31*'Waste results'!$S$61, "data missing"),
   IF(OR('Waste results'!$S$25&lt;&gt;"data missing", 'Waste results'!$S$61&lt;&gt;"data missing"), Calc!BC31*'Waste results'!$S$25+ Calc!BD31*'Waste results'!$S$61, "data missing"))),
IF(AND('Field information 2'!$M$5&lt;&gt;"", 'Field information 2'!$O$5&lt;&gt;"", 'Field information 2'!$Q$5&lt;&gt;""),
   IF(AND(Calc!BD31=0,Calc!BE31=0),
     IF('Waste results'!$S$25&lt;&gt;"data missing", Calc!BC31*'Waste results'!$S$25, "data missing"),
   IF(AND(Calc!BC31=0,Calc!BE31=0),
     IF('Waste results'!$S$61&lt;&gt;"data missing", Calc!BD31*'Waste results'!$S$61, "data missing"),
   IF(AND(Calc!BC31=0,Calc!BD31=0),
     IF('Waste results'!$S$97&lt;&gt;"data missing", Calc!BE31*'Waste results'!$S$97, "data missing"),
   IF(Calc!BE31=0,
     IF(OR('Waste results'!$S$25&lt;&gt;"data missing", 'Waste results'!$S$61&lt;&gt;"data missing"), Calc!BC31*'Waste results'!$S$25+ Calc!BD31*'Waste results'!$S$61, "data missing"),
   IF(Calc!BD31=0,
     IF(OR('Waste results'!$S$25&lt;&gt;"data missing", 'Waste results'!$S$97&lt;&gt;"data missing"), Calc!BC31*'Waste results'!$S$25+ Calc!BE31*'Waste results'!$S$97, "data missing"),
   IF(Calc!BC31=0,
     IF(OR('Waste results'!$S$61&lt;&gt;"data missing", 'Waste results'!$S$97&lt;&gt;"data missing"), Calc!BD31*'Waste results'!$S$61+Calc!BE31*'Waste results'!$S$97, "data missing"),
   IF(OR('Waste results'!$S$25&lt;&gt;"data missing", 'Waste results'!$S$61&lt;&gt;"data missing", 'Waste results'!$S$97&lt;&gt;"data missing"), Calc!BC31*'Waste results'!$S$25+Calc!BD31*'Waste results'!$S$61+ Calc!BE31*'Waste results'!$S$97, "data missing")))))))))))</f>
        <v/>
      </c>
      <c r="AM33" s="239" t="str">
        <f ca="1">IF($B33="","",
IF(ISBLANK('Soil results'!K36),"data missing",'Soil results'!K36))</f>
        <v/>
      </c>
      <c r="AN33" s="239" t="str">
        <f t="shared" ca="1" si="6"/>
        <v/>
      </c>
      <c r="AO33" s="9" t="str">
        <f t="shared" ca="1" si="7"/>
        <v/>
      </c>
      <c r="AQ33" s="240" t="str">
        <f ca="1">IF(B33="","",
IF(AND('Field information 2'!$O$5="", 'Field information 2'!$Q$5=""),
   IF('Waste results'!$S$26&lt;&gt;"data missing", Calc!BC31*'Waste results'!$S$26, "data missing"),
IF('Field information 2'!$Q$5="",
   IF(Calc!BD31=0,
     IF('Waste results'!$S$26&lt;&gt;"data missing", Calc!BC31*'Waste results'!$S$26, "data missing"),
   IF(Calc!BC31=0,
     IF('Waste results'!$S$62&lt;&gt;"data missing", Calc!BD31*'Waste results'!$S$62, "data missing"),
   IF(OR('Waste results'!$S$26&lt;&gt;"data missing", 'Waste results'!$S$62&lt;&gt;"data missing"), Calc!BC31*'Waste results'!$S$26+ Calc!BD31*'Waste results'!$S$62, "data missing"))),
IF(AND('Field information 2'!$M$5&lt;&gt;"", 'Field information 2'!$O$5&lt;&gt;"", 'Field information 2'!$Q$5&lt;&gt;""),
   IF(AND(Calc!BD31=0,Calc!BE31=0),
     IF('Waste results'!$S$26&lt;&gt;"data missing", Calc!BC31*'Waste results'!$S$26, "data missing"),
   IF(AND(Calc!BC31=0,Calc!BE31=0),
     IF('Waste results'!$S$62&lt;&gt;"data missing", Calc!BD31*'Waste results'!$S$62, "data missing"),
   IF(AND(Calc!BC31=0,Calc!BD31=0),
     IF('Waste results'!$S$98&lt;&gt;"data missing", Calc!BE31*'Waste results'!$S$98, "data missing"),
   IF(Calc!BE31=0,
     IF(OR('Waste results'!$S$26&lt;&gt;"data missing", 'Waste results'!$S$62&lt;&gt;"data missing"), Calc!BC31*'Waste results'!$S$26+ Calc!BD31*'Waste results'!$S$62, "data missing"),
   IF(Calc!BD31=0,
     IF(OR('Waste results'!$S$26&lt;&gt;"data missing", 'Waste results'!$S$98&lt;&gt;"data missing"), Calc!BC31*'Waste results'!$S$26+ Calc!BE31*'Waste results'!$S$98, "data missing"),
   IF(Calc!BC31=0,
     IF(OR('Waste results'!$S$62&lt;&gt;"data missing", 'Waste results'!$S$98&lt;&gt;"data missing"), Calc!BD31*'Waste results'!$S$62+Calc!BE31*'Waste results'!$S$98, "data missing"),
   IF(OR('Waste results'!$S$26&lt;&gt;"data missing", 'Waste results'!$S$62&lt;&gt;"data missing", 'Waste results'!$S$98&lt;&gt;"data missing"), Calc!BC31*'Waste results'!$S$26+Calc!BD31*'Waste results'!$S$62+ Calc!BE31*'Waste results'!$S$98, "data missing")))))))))))</f>
        <v/>
      </c>
      <c r="AR33" s="241" t="str">
        <f ca="1">IF($B33="","",
IF(ISBLANK('Soil results'!L36),"data missing",'Soil results'!L36))</f>
        <v/>
      </c>
      <c r="AS33" s="241" t="str">
        <f t="shared" ca="1" si="8"/>
        <v/>
      </c>
      <c r="AT33" s="66" t="str">
        <f t="shared" ca="1" si="9"/>
        <v/>
      </c>
      <c r="AV33" s="238" t="str">
        <f ca="1">IF(B33="","",
IF(AND('Field information 2'!$O$5="", 'Field information 2'!$Q$5=""),
   IF('Waste results'!$S$27&lt;&gt;"data missing", Calc!BC31*'Waste results'!$S$27, "data missing"),
IF('Field information 2'!$Q$5="",
   IF(Calc!BD31=0,
     IF('Waste results'!$S$27&lt;&gt;"data missing", Calc!BC31*'Waste results'!$S$27, "data missing"),
   IF(Calc!BC31=0,
     IF('Waste results'!$S$63&lt;&gt;"data missing", Calc!BD31*'Waste results'!$S$63, "data missing"),
   IF(OR('Waste results'!$S$27&lt;&gt;"data missing", 'Waste results'!$S$63&lt;&gt;"data missing"), Calc!BC31*'Waste results'!$S$27+ Calc!BD31*'Waste results'!$S$63, "data missing"))),
IF(AND('Field information 2'!$M$5&lt;&gt;"", 'Field information 2'!$O$5&lt;&gt;"", 'Field information 2'!$Q$5&lt;&gt;""),
   IF(AND(Calc!BD31=0,Calc!BE31=0),
     IF('Waste results'!$S$27&lt;&gt;"data missing", Calc!BC31*'Waste results'!$S$27, "data missing"),
   IF(AND(Calc!BC31=0,Calc!BE31=0),
     IF('Waste results'!$S$63&lt;&gt;"data missing", Calc!BD31*'Waste results'!$S$63, "data missing"),
   IF(AND(Calc!BC31=0,Calc!BD31=0),
     IF('Waste results'!$S$99&lt;&gt;"data missing", Calc!BE31*'Waste results'!$S$99, "data missing"),
   IF(Calc!BE31=0,
     IF(OR('Waste results'!$S$27&lt;&gt;"data missing", 'Waste results'!$S$63&lt;&gt;"data missing"), Calc!BC31*'Waste results'!$S$27+ Calc!BD31*'Waste results'!$S$63, "data missing"),
   IF(Calc!BD31=0,
     IF(OR('Waste results'!$S$27&lt;&gt;"data missing", 'Waste results'!$S$99&lt;&gt;"data missing"), Calc!BC31*'Waste results'!$S$27+ Calc!BE31*'Waste results'!$S$99, "data missing"),
   IF(Calc!BC31=0,
     IF(OR('Waste results'!$S$63&lt;&gt;"data missing", 'Waste results'!$S$99&lt;&gt;"data missing"), Calc!BD31*'Waste results'!$S$63+Calc!BE31*'Waste results'!$S$99, "data missing"),
   IF(OR('Waste results'!$S$27&lt;&gt;"data missing", 'Waste results'!$S$63&lt;&gt;"data missing", 'Waste results'!$S$99&lt;&gt;"data missing"), Calc!BC31*'Waste results'!$S$27+Calc!BD31*'Waste results'!$S$63+ Calc!BE31*'Waste results'!$S$99, "data missing")))))))))))</f>
        <v/>
      </c>
      <c r="AW33" s="239" t="str">
        <f ca="1">IF($B33="","",
IF(ISBLANK('Soil results'!M36),"data missing",'Soil results'!M36))</f>
        <v/>
      </c>
      <c r="AX33" s="239" t="str">
        <f t="shared" ca="1" si="10"/>
        <v/>
      </c>
      <c r="AY33" s="9" t="str">
        <f ca="1">IF(B33="","",
IF(AV33=0,"n/a",
IF(OR(AV33="data missing",AW33="data missing"),"data missing",
IF(AV33&gt;7.5,"application rate too high - permissible rate exceeds limit",
IF('Soil results'!$F36&lt;=5.5,
  IF(AW33&gt;80,"no application - soil conc. already above limit",
  IF(AX33&gt;80,"application rate too high - soil conc. will exceed limit",
  IF(AW33&gt;80*0.9,"soil conc. is at or above 90% of the limit",
  IF(10*AV33*1000/3000+AW33&gt;80,"soil limit likely to be exceeded in 10yrs",
  IF(50*AV33*1000/3000+AW33&gt;80,"soil limit likely to be exceeded in 50yrs","ok"))))),
IF('Soil results'!$F36&lt;=6,
  IF(AW33&gt;100,"no application - soil conc. already above limit",
  IF(AX33&gt;100,"application rate too high - soil conc. will exceed limit",
  IF(AW33&gt;100*0.9,"soil conc. is at or above 90% of the limit",
  IF(10*AV33*1000/3000+AW33&gt;100,"soil limit likely to be exceeded in 10yrs",
  IF(50*AV33*1000/3000+AW33&gt;100,"soil limit likely to be exceeded in 50yrs","ok"))))),
IF('Soil results'!$F36&lt;=7,
  IF(AW33&gt;135,"no application - soil conc. already above limit",
  IF(AX33&gt;135,"application rate too high - soil conc. will exceed limit",
  IF(AW33&gt;135*0.9,"soil conc. is at or above 90% of the limit",
  IF(10*AV33*1000/3000+AW33&gt;135,"soil limit likely to be exceeded in 10yrs",
  IF(50*AV33*1000/3000+AW33&gt;135,"soil limit likely to be exceeded in 50yrs","ok"))))),
IF('Soil results'!$F36&gt;7,
  IF(AW33&gt;200,"no application - soil conc. already above limit",
  IF(AX33&gt;200,"application too high - soil conc. will exceed limit",
  IF(AW33&gt;200*0.9,"soil conc. is at or above 90% of the limit",
  IF(10*AV33*1000/3000+AW33&gt;200,"soil limit likely to be exceeded in 10yrs",
  IF(50*AV33*1000/3000+AW33&gt;200,"soil limit likely to be exceeded in 50yrs","ok")))))
))))))))</f>
        <v/>
      </c>
      <c r="BA33" s="238" t="str">
        <f ca="1">IF(B33="","",
IF(AND('Field information 2'!$O$5="", 'Field information 2'!$Q$5=""),
   IF('Waste results'!$S$28&lt;&gt;"data missing", Calc!BC31*'Waste results'!$S$28, "data missing"),
IF('Field information 2'!$Q$5="",
   IF(Calc!BD31=0,
     IF('Waste results'!$S$28&lt;&gt;"data missing", Calc!BC31*'Waste results'!$S$28, "data missing"),
   IF(Calc!BC31=0,
     IF('Waste results'!$S$64&lt;&gt;"data missing", Calc!BD31*'Waste results'!$S$64, "data missing"),
   IF(OR('Waste results'!$S$28&lt;&gt;"data missing", 'Waste results'!$S$64&lt;&gt;"data missing"), Calc!BC31*'Waste results'!$S$28+ Calc!BD31*'Waste results'!$S$64, "data missing"))),
IF(AND('Field information 2'!$M$5&lt;&gt;"", 'Field information 2'!$O$5&lt;&gt;"", 'Field information 2'!$Q$5&lt;&gt;""),
   IF(AND(Calc!BD31=0,Calc!BE31=0),
     IF('Waste results'!$S$28&lt;&gt;"data missing", Calc!BC31*'Waste results'!$S$28, "data missing"),
   IF(AND(Calc!BC31=0,Calc!BE31=0),
     IF('Waste results'!$S$64&lt;&gt;"data missing", Calc!BD31*'Waste results'!$S$64, "data missing"),
   IF(AND(Calc!BC31=0,Calc!BD31=0),
     IF('Waste results'!$S$100&lt;&gt;"data missing", Calc!BE31*'Waste results'!$S$100, "data missing"),
   IF(Calc!BE31=0,
     IF(OR('Waste results'!$S$28&lt;&gt;"data missing", 'Waste results'!$S$64&lt;&gt;"data missing"), Calc!BC31*'Waste results'!$S$28+ Calc!BD31*'Waste results'!$S$64, "data missing"),
   IF(Calc!BD31=0,
     IF(OR('Waste results'!$S$28&lt;&gt;"data missing", 'Waste results'!$S$100&lt;&gt;"data missing"), Calc!BC31*'Waste results'!$S$28+ Calc!BE31*'Waste results'!$S$100, "data missing"),
   IF(Calc!BC31=0,
     IF(OR('Waste results'!$S$64&lt;&gt;"data missing", 'Waste results'!$S$100&lt;&gt;"data missing"), Calc!BD31*'Waste results'!$S$64+Calc!BE31*'Waste results'!$S$100, "data missing"),
   IF(OR('Waste results'!$S$28&lt;&gt;"data missing", 'Waste results'!$S$64&lt;&gt;"data missing", 'Waste results'!$S$100&lt;&gt;"data missing"), Calc!BC31*'Waste results'!$S$28+Calc!BD31*'Waste results'!$S$64+ Calc!BE31*'Waste results'!$S$100, "data missing")))))))))))</f>
        <v/>
      </c>
      <c r="BB33" s="239" t="str">
        <f ca="1">IF($B33="","",
IF(ISBLANK('Soil results'!N36),"data missing",'Soil results'!N36))</f>
        <v/>
      </c>
      <c r="BC33" s="239" t="str">
        <f t="shared" ca="1" si="11"/>
        <v/>
      </c>
      <c r="BD33" s="9" t="str">
        <f t="shared" ca="1" si="12"/>
        <v/>
      </c>
      <c r="BF33" s="238" t="str">
        <f ca="1">IF(B33="","",
IF(AND('Field information 2'!$O$5="", 'Field information 2'!$Q$5=""),
   IF('Waste results'!$S$29&lt;&gt;"data missing", Calc!BC31*'Waste results'!$S$29, "data missing"),
IF('Field information 2'!$Q$5="",
   IF(Calc!BD31=0,
     IF('Waste results'!$S$29&lt;&gt;"data missing", Calc!BC31*'Waste results'!$S$29, "data missing"),
   IF(Calc!BC31=0,
     IF('Waste results'!$S$65&lt;&gt;"data missing", Calc!BD31*'Waste results'!$S$65, "data missing"),
   IF(OR('Waste results'!$S$29&lt;&gt;"data missing", 'Waste results'!$S$65&lt;&gt;"data missing"), Calc!BC31*'Waste results'!$S$29+ Calc!BD31*'Waste results'!$S$65, "data missing"))),
IF(AND('Field information 2'!$M$5&lt;&gt;"", 'Field information 2'!$O$5&lt;&gt;"", 'Field information 2'!$Q$5&lt;&gt;""),
   IF(AND(Calc!BD31=0,Calc!BE31=0),
     IF('Waste results'!$S$29&lt;&gt;"data missing", Calc!BC31*'Waste results'!$S$29, "data missing"),
   IF(AND(Calc!BC31=0,Calc!BE31=0),
     IF('Waste results'!$S$65&lt;&gt;"data missing", Calc!BD31*'Waste results'!$S$65, "data missing"),
   IF(AND(Calc!BC31=0,Calc!BD31=0),
     IF('Waste results'!$S$101&lt;&gt;"data missing", Calc!BE31*'Waste results'!$S$101, "data missing"),
   IF(Calc!BE31=0,
     IF(OR('Waste results'!$S$29&lt;&gt;"data missing", 'Waste results'!$S$65&lt;&gt;"data missing"), Calc!BC31*'Waste results'!$S$29+ Calc!BD31*'Waste results'!$S$65, "data missing"),
   IF(Calc!BD31=0,
     IF(OR('Waste results'!$S$29&lt;&gt;"data missing", 'Waste results'!$S$101&lt;&gt;"data missing"), Calc!BC31*'Waste results'!$S$29+ Calc!BE31*'Waste results'!$S$101, "data missing"),
   IF(Calc!BC31=0,
     IF(OR('Waste results'!$S$65&lt;&gt;"data missing", 'Waste results'!$S$101&lt;&gt;"data missing"), Calc!BD31*'Waste results'!$S$65+Calc!BE31*'Waste results'!$S$101, "data missing"),
   IF(OR('Waste results'!$S$29&lt;&gt;"data missing", 'Waste results'!$S$65&lt;&gt;"data missing", 'Waste results'!$S$101&lt;&gt;"data missing"), Calc!BC31*'Waste results'!$S$29+Calc!BD31*'Waste results'!$S$65+ Calc!BE31*'Waste results'!$S$101, "data missing")))))))))))</f>
        <v/>
      </c>
      <c r="BG33" s="239" t="str">
        <f ca="1">IF($B33="","",
IF(ISBLANK('Soil results'!O36),"data missing",'Soil results'!O36))</f>
        <v/>
      </c>
      <c r="BH33" s="239" t="str">
        <f t="shared" ca="1" si="13"/>
        <v/>
      </c>
      <c r="BI33" s="9" t="str">
        <f ca="1">IF(B33="","",
IF(BF33=0,"n/a",
IF(OR(BF33="data missing",BG33="data missing"),"data missing",
IF(BF33&gt;3,"application rate too high - permissible rate exceeds limit",
IF('Soil results'!F36&lt;=5.5,
  IF(BG33&gt;50,"no application - soil conc. already above limit",
  IF(BH33&gt;50,"application rate too high - soil conc. will exceed limit",
  IF(BG33&gt;50*0.9,"soil conc. is at or above 90% of the limit",
  IF(10*BF33*1000/3000+BG33&gt;50,"soil limit likely to be exceeded in 10yrs",
  IF(50*BF33*1000/3000+BG33&gt;50,"soil limit likely to be exceeded in 50yrs","ok"))))),
IF('Soil results'!F36&lt;=6,
  IF(BG33&gt;60,"no application - soil conc. already above limit",
  IF(BH33&gt;60,"application rate too high - soil conc. will exceed limit",
  IF(BG33&gt;60*0.9,"soil conc. is at or above 90% of the limit",
  IF(10*BF33*1000/3000+BG33&gt;60,"soil limit likely to be exceeded in 10yrs",
  IF(50*BF33*1000/3000+BG33&gt;60,"soil limit likely to be exceeded in 50yrs","ok"))))),
IF('Soil results'!F36&lt;=7,
  IF(BG33&gt;75,"no application - soil conc. already above limit",
  IF(BH33&gt;75,"application rate too high - soil conc. will exceed limit",
  IF(BG33&gt;75*0.9,"soil conc. is at or above 90% of the limit",
  IF(10*BF33*1000/3000+BG33&gt;75,"soil limit likely to be exceeded in 10yrs",
  IF(50*BF33*1000/3000+BG33&gt;75,"soil limit likely to be exceeded in 50yrs","ok"))))),
IF('Soil results'!F36&gt;7,
  IF(BG33&gt;100,"no application - soil conc. already above limit",
  IF(BH33&gt;100,"application rate too high - soil conc. will exceed limit",
  IF(BG33&gt;100*0.9,"soil conc. is at or above 90% of the limit",
  IF(10*BF33*1000/3000+BG33&gt;100,"soil limit likely to be exceeded in 10yrs",
  IF(50*BF33*1000/3000+BG33&gt;100,"soil limit likely to beexceeded in 50yrs","ok")))))
))))))))</f>
        <v/>
      </c>
      <c r="BK33" s="240" t="str">
        <f ca="1">IF(B33="","",
IF(AND('Field information 2'!$O$5="", 'Field information 2'!$Q$5=""),
   IF('Waste results'!$S$30&lt;&gt;"data missing", Calc!BC31*'Waste results'!$S$30, "data missing"),
IF('Field information 2'!$Q$5="",
   IF(Calc!BD31=0,
     IF('Waste results'!$S$30&lt;&gt;"data missing", Calc!BC31*'Waste results'!$S$30, "data missing"),
   IF(Calc!BC31=0,
     IF('Waste results'!$S$66&lt;&gt;"data missing", Calc!BD31*'Waste results'!$S$66, "data missing"),
   IF(OR('Waste results'!$S$30&lt;&gt;"data missing", 'Waste results'!$S$66&lt;&gt;"data missing"), Calc!BC31*'Waste results'!$S$30+ Calc!BD31*'Waste results'!$S$66, "data missing"))),
IF(AND('Field information 2'!$M$5&lt;&gt;"", 'Field information 2'!$O$5&lt;&gt;"", 'Field information 2'!$Q$5&lt;&gt;""),
   IF(AND(Calc!BD31=0,Calc!BE31=0),
     IF('Waste results'!$S$30&lt;&gt;"data missing", Calc!BC31*'Waste results'!$S$30, "data missing"),
   IF(AND(Calc!BC31=0,Calc!BE31=0),
     IF('Waste results'!$S$66&lt;&gt;"data missing", Calc!BD31*'Waste results'!$S$66, "data missing"),
   IF(AND(Calc!BC31=0,Calc!BD31=0),
     IF('Waste results'!$S$102&lt;&gt;"data missing", Calc!BE31*'Waste results'!$S$102, "data missing"),
   IF(Calc!BE31=0,
     IF(OR('Waste results'!$S$30&lt;&gt;"data missing", 'Waste results'!$S$66&lt;&gt;"data missing"), Calc!BC31*'Waste results'!$S$30+ Calc!BD31*'Waste results'!$S$66, "data missing"),
   IF(Calc!BD31=0,
     IF(OR('Waste results'!$S$30&lt;&gt;"data missing", 'Waste results'!$S$102&lt;&gt;"data missing"), Calc!BC31*'Waste results'!$S$30+ Calc!BE31*'Waste results'!$S$102, "data missing"),
   IF(Calc!BC31=0,
     IF(OR('Waste results'!$S$66&lt;&gt;"data missing", 'Waste results'!$S$102&lt;&gt;"data missing"), Calc!BD31*'Waste results'!$S$66+Calc!BE31*'Waste results'!$S$102, "data missing"),
   IF(OR('Waste results'!$S$30&lt;&gt;"data missing", 'Waste results'!$S$66&lt;&gt;"data missing", 'Waste results'!$S$102&lt;&gt;"data missing"), Calc!BC31*'Waste results'!$S$30+Calc!BD31*'Waste results'!$S$66+ Calc!BE31*'Waste results'!$S$102, "data missing")))))))))))</f>
        <v/>
      </c>
      <c r="BL33" s="241" t="str">
        <f ca="1">IF($B33="","",
IF(ISBLANK('Soil results'!P36),"data missing",'Soil results'!P36))</f>
        <v/>
      </c>
      <c r="BM33" s="241" t="str">
        <f t="shared" ca="1" si="14"/>
        <v/>
      </c>
      <c r="BN33" s="66" t="str">
        <f t="shared" ca="1" si="15"/>
        <v/>
      </c>
      <c r="BP33" s="238" t="str">
        <f ca="1">IF(B33="","",
IF(AND('Field information 2'!$O$5="", 'Field information 2'!$Q$5=""),
   IF('Waste results'!$S$31&lt;&gt;"data missing", Calc!BC31*'Waste results'!$S$31, "data missing"),
IF('Field information 2'!$Q$5="",
   IF(Calc!BD31=0,
     IF('Waste results'!$S$31&lt;&gt;"data missing", Calc!BC31*'Waste results'!$S$31, "data missing"),
   IF(Calc!BC31=0,
     IF('Waste results'!$S$67&lt;&gt;"data missing", Calc!BD31*'Waste results'!$S$67, "data missing"),
   IF(OR('Waste results'!$S$31&lt;&gt;"data missing", 'Waste results'!$S$67&lt;&gt;"data missing"), Calc!BC31*'Waste results'!$S$31+ Calc!BD31*'Waste results'!$S$67, "data missing"))),
IF(AND('Field information 2'!$M$5&lt;&gt;"", 'Field information 2'!$O$5&lt;&gt;"", 'Field information 2'!$Q$5&lt;&gt;""),
   IF(AND(Calc!BD31=0,Calc!BE31=0),
     IF('Waste results'!$S$31&lt;&gt;"data missing", Calc!BC31*'Waste results'!$S$31, "data missing"),
   IF(AND(Calc!BC31=0,Calc!BE31=0),
     IF('Waste results'!$S$67&lt;&gt;"data missing", Calc!BD31*'Waste results'!$S$67, "data missing"),
   IF(AND(Calc!BC31=0,Calc!BD31=0),
     IF('Waste results'!$S$103&lt;&gt;"data missing", Calc!BE31*'Waste results'!$S$103, "data missing"),
   IF(Calc!BE31=0,
     IF(OR('Waste results'!$S$31&lt;&gt;"data missing", 'Waste results'!$S$67&lt;&gt;"data missing"), Calc!BC31*'Waste results'!$S$31+ Calc!BD31*'Waste results'!$S$67, "data missing"),
   IF(Calc!BD31=0,
     IF(OR('Waste results'!$S$31&lt;&gt;"data missing", 'Waste results'!$S$103&lt;&gt;"data missing"), Calc!BC31*'Waste results'!$S$31+ Calc!BE31*'Waste results'!$S$103, "data missing"),
   IF(Calc!BC31=0,
     IF(OR('Waste results'!$S$67&lt;&gt;"data missing", 'Waste results'!$S$103&lt;&gt;"data missing"), Calc!BD31*'Waste results'!$S$67+Calc!BE31*'Waste results'!$S$103, "data missing"),
   IF(OR('Waste results'!$S$31&lt;&gt;"data missing", 'Waste results'!$S$67&lt;&gt;"data missing", 'Waste results'!$S$103&lt;&gt;"data missing"), Calc!BC31*'Waste results'!$S$31+Calc!BD31*'Waste results'!$S$67+ Calc!BE31*'Waste results'!$S$103, "data missing")))))))))))</f>
        <v/>
      </c>
      <c r="BQ33" s="239" t="str">
        <f ca="1">IF($B33="","",
IF(ISBLANK('Soil results'!Q36),"data missing",'Soil results'!Q36))</f>
        <v/>
      </c>
      <c r="BR33" s="239" t="str">
        <f t="shared" ca="1" si="16"/>
        <v/>
      </c>
      <c r="BS33" s="9" t="str">
        <f ca="1">IF(B33="","",
IF(BP33=0,"n/a",
IF(OR(BP33="data missing",BQ33=""),"data missing",
IF(BP33&gt;15,"application rate too high - permissible rate exceeds limit",
IF('Soil results'!F36&lt;=5.5,
  IF(BQ33&gt;200,"no application - soil conc. already above limit",
  IF(BR33&gt;200,"application rate too high - soil conc. will exceed limit",
  IF(BQ33&gt;200*0.9,"soil conc. is at or above 90% of the limit",
  IF(10*BP33*1000/3000+BQ33&gt;200,"soil limit likely to be exceeded in 10yrs",
  IF(50*BP33*1000/3000+BQ33&gt;200,"soil limit likely to be exceeded in 50yrs","ok"))))),
IF('Soil results'!F36&lt;=6,
  IF(BQ33&gt;250,"no application - soil conc. already above limit",
  IF(BR33&gt;250,"application rate too high - soil conc. will exceed limit",
  IF(BQ33&gt;250*0.9,"soil conc. is at or above 90% of the limit",
  IF(10*BP33*1000/3000+BQ33&gt;250,"soil limit likely to be exceeded in 10yrs",
  IF(50*BP33*1000/3000+BQ33&gt;250,"soil limit likely to be exceeded in 50yrs","ok"))))),
IF('Soil results'!F36&lt;=7,
  IF(BQ33&gt;300,"no application - soil conc. already above limit",
  IF(BR33&gt;300,"application rate too high - soil conc. will exceed limit",
  IF(BQ33&gt;300*0.9,"soil conc. is at or above 90% of the limit",
  IF(10*BP33*1000/3000+BQ33&gt;300,"soil limit likey to be exceeded in 10yrs",
  IF(50*BP33*1000/3000+BQ33&gt;300,"soil limit likely to be exceeded in 50yrs","ok"))))),
IF('Soil results'!F36&gt;7,
  IF(BQ33&gt;450,"no application - soil conc. already above limit",
  IF(BR33&gt;450,"application rate too high - soil conc. will exceed limit",
  IF(AW33&gt;450*0.9,"soil conc. is at or above 90% of the limit",
  IF(10*BP33*1000/3000+BQ33&gt;450,"soil limit likely to be exceeded in 10yrs",
  IF(50*BP33*1000/3000+BQ33&gt;450,"soil limit likely to be exceeded in 50yrs","ok")))))
))))))))</f>
        <v/>
      </c>
    </row>
    <row r="34" spans="2:71" s="9" customFormat="1" x14ac:dyDescent="0.35">
      <c r="B34" s="236" t="str">
        <f ca="1">'Soil results'!B37</f>
        <v/>
      </c>
      <c r="C34" s="91" t="str">
        <f ca="1">IF(B34="","",
IF(AND('Field information 2'!$O$5="", 'Field information 2'!$Q$5=""),
   IF('Waste results'!$S$12&lt;&gt;"data missing", Calc!BC32*'Waste results'!$S$12, "data missing"),
IF('Field information 2'!$Q$5="",
   IF(Calc!BD32=0,
     IF('Waste results'!$S$12&lt;&gt;"data missing", Calc!BC32*'Waste results'!$S$12, "data missing"),
   IF(Calc!BC32=0,
     IF('Waste results'!$S$48&lt;&gt;"data missing", Calc!BD32*'Waste results'!$S$48, "data missing"),
   IF(OR('Waste results'!$S$12&lt;&gt;"data missing", 'Waste results'!$S$48&lt;&gt;"data missing"), Calc!BC32*'Waste results'!$S$12+ Calc!BD32*'Waste results'!$S$48, "data missing"))),
IF(AND('Field information 2'!$M$5&lt;&gt;"", 'Field information 2'!$O$5&lt;&gt;"", 'Field information 2'!$Q$5&lt;&gt;""),
   IF(AND(Calc!BD32=0,Calc!BE32=0),
     IF('Waste results'!$S$12&lt;&gt;"data missing", Calc!BC32*'Waste results'!$S$12, "data missing"),
   IF(AND(Calc!BC32=0,Calc!BE32=0),
     IF('Waste results'!$S$48&lt;&gt;"data missing", Calc!BD32*'Waste results'!$S$48, "data missing"),
   IF(AND(Calc!BC32=0,Calc!BD32=0),
     IF('Waste results'!$S$84&lt;&gt;"data missing", Calc!BE32*'Waste results'!$S$84, "data missing"),
   IF(Calc!BE32=0,
     IF(OR('Waste results'!$S$12&lt;&gt;"data missing", 'Waste results'!$S$48&lt;&gt;"data missing"), Calc!BC32*'Waste results'!$S$12+ Calc!BD32*'Waste results'!$S$48, "data missing"),
   IF(Calc!BD32=0,
     IF(OR('Waste results'!$S$12&lt;&gt;"data missing", 'Waste results'!$S$84&lt;&gt;"data missing"), Calc!BC32*'Waste results'!$S$12+ Calc!BE32*'Waste results'!$S$84, "data missing"),
   IF(Calc!BC32=0,
     IF(OR('Waste results'!$S$48&lt;&gt;"data missing", 'Waste results'!$S$84&lt;&gt;"data missing"), Calc!BD32*'Waste results'!$S$48+Calc!BE32*'Waste results'!$S$84, "data missing"),
   IF(OR('Waste results'!$S$12&lt;&gt;"data missing", 'Waste results'!$S$48&lt;&gt;"data missing", 'Waste results'!$S$84&lt;&gt;"data missing"), Calc!BC32*'Waste results'!$S$12+Calc!BD32*'Waste results'!$S$48+ Calc!BE32*'Waste results'!$S$84, "data missing")))))))))))</f>
        <v/>
      </c>
      <c r="D34" s="161" t="str">
        <f ca="1">IF(B34="","",
IF(Calc!BG32="","soil texture missing",
IF(OR(Calc!BG32="SL; SZL; ZL",Calc!BG32="SCL; CL; ZCL; SC; ZC; C"),VLOOKUP(Calc!BI32,'Fertiliser recommendations'!$A$4:$C$63,3,FALSE),
IF(Calc!BG32="S; LS",VLOOKUP(Calc!BI32,'Fertiliser recommendations'!$A$4:$C$63,3,FALSE)+VLOOKUP(Calc!BI32,'Fertiliser recommendations'!$A$4:$D$63,4,FALSE),
IF(Calc!BG32="10-25% OM",VLOOKUP(Calc!BI32,'Fertiliser recommendations'!$A$4:$C$63,3,FALSE)+VLOOKUP(Calc!BI32,'Fertiliser recommendations'!$A$4:$E$63,5,FALSE),
IF(Calc!BG32="&gt;25% OM",VLOOKUP(Calc!BI32,'Fertiliser recommendations'!$A$4:$C$63,3,FALSE)+VLOOKUP(Calc!BI32,'Fertiliser recommendations'!$A$4:$F$63,6,FALSE),
""))))))</f>
        <v/>
      </c>
      <c r="E34" s="91" t="str">
        <f t="shared" ca="1" si="0"/>
        <v/>
      </c>
      <c r="F34" s="9" t="str">
        <f ca="1">IF(B34="","",
IF(OR(C34="data missing",D34="soil texture missing"),"data missing",
IF(Calc!BF32=0,"n/a",
IF(C34&lt;0.1*D34,"no benefit",
IF(C34&lt;0.3*D34,"limited benefit",
IF(C34&gt;250,"exceeds limit",
IF(OR(AND(D34=0,C34&gt;75),C34&gt;1.25*D34),"excessive",
IF(D34=0, "no requirement",
"benefit"))))))))</f>
        <v/>
      </c>
      <c r="H34" s="91" t="str">
        <f ca="1">IF(B34="","",
IF(AND('Field information 2'!$O$5="", 'Field information 2'!$Q$5=""),
   IF('Waste results'!$S$17&lt;&gt;"data missing", Calc!BC32*'Waste results'!$S$17, "data missing"),
IF('Field information 2'!$Q$5="",
   IF(Calc!BD32=0,
     IF('Waste results'!$S$17&lt;&gt;"data missing", Calc!BC32*'Waste results'!$S$17, "data missing"),
   IF(Calc!BC32=0,
     IF('Waste results'!$S$53&lt;&gt;"data missing", Calc!BD32*'Waste results'!$S$53, "data missing"),
   IF(OR('Waste results'!$S$17&lt;&gt;"data missing", 'Waste results'!$S$53&lt;&gt;"data missing"), Calc!BC32*'Waste results'!$S$17+ Calc!BD32*'Waste results'!$S$53, "data missing"))),
IF(AND('Field information 2'!$M$5&lt;&gt;"", 'Field information 2'!$O$5&lt;&gt;"", 'Field information 2'!$Q$5&lt;&gt;""),
   IF(AND(Calc!BD32=0,Calc!BE32=0),
     IF('Waste results'!$S$17&lt;&gt;"data missing", Calc!BC32*'Waste results'!$S$17, "data missing"),
   IF(AND(Calc!BC32=0,Calc!BE32=0),
     IF('Waste results'!$S$53&lt;&gt;"data missing", Calc!BD32*'Waste results'!$S$53, "data missing"),
   IF(AND(Calc!BC32=0,Calc!BD32=0),
     IF('Waste results'!$S$89&lt;&gt;"data missing", Calc!BE32*'Waste results'!$S$89, "data missing"),
   IF(Calc!BE32=0,
     IF(OR('Waste results'!$S$17&lt;&gt;"data missing", 'Waste results'!$S$53&lt;&gt;"data missing"), Calc!BC32*'Waste results'!$S$17+ Calc!BD32*'Waste results'!$S$53, "data missing"),
   IF(Calc!BD32=0,
     IF(OR('Waste results'!$S$17&lt;&gt;"data missing", 'Waste results'!$S$89&lt;&gt;"data missing"), Calc!BC32*'Waste results'!$S$17+ Calc!BE32*'Waste results'!$S$89, "data missing"),
   IF(Calc!BC32=0,
     IF(OR('Waste results'!$S$53&lt;&gt;"data missing", 'Waste results'!$S$89&lt;&gt;"data missing"), Calc!BD32*'Waste results'!$S$53+Calc!BE32*'Waste results'!$S$89, "data missing"),
   IF(OR('Waste results'!$S$17&lt;&gt;"data missing", 'Waste results'!$S$53&lt;&gt;"data missing", 'Waste results'!$S$89&lt;&gt;"data missing"), Calc!BC32*'Waste results'!$S$17+Calc!BD32*'Waste results'!$S$53+ Calc!BE32*'Waste results'!$S$89, "data missing")))))))))))</f>
        <v/>
      </c>
      <c r="I34" s="195" t="str">
        <f ca="1">IF(B34="","",
IF(OR(ISBLANK('Soil results'!G37), ISBLANK('Soil results'!G$7)),"data missing",
IF(OR(AND('Soil results'!G$7="Olsen (ADAS)",'Soil results'!G37&lt;16),AND('Soil results'!G$7="modified Morgan (SAC)",'Soil results'!G37&lt;4.5)),50,100)))</f>
        <v/>
      </c>
      <c r="J34" s="49" t="str">
        <f ca="1">IF(B34="","",
IF(OR(ISBLANK('Soil results'!G$7),ISBLANK('Soil results'!G37)),"data missing",
IF(OR(AND('Soil results'!G$7="Olsen (ADAS)",'Soil results'!G37&gt;45),AND('Soil results'!G$7="modified Morgan (SAC)",'Soil results'!G37&gt;30)),0,
IF(OR(AND('Soil results'!G$7="Olsen (ADAS)",'Soil results'!G37&gt;=16,'Soil results'!G37&lt;=20),AND('Soil results'!G$7="modified Morgan (SAC)",'Soil results'!G37&gt;=4.5,'Soil results'!G37&lt;=9.4)),VLOOKUP(Calc!BI32,'Fertiliser recommendations'!$A$4:$I$63,9,FALSE),
IF(OR(AND('Soil results'!G$7="Olsen (ADAS)",'Soil results'!G37&lt;10),AND('Soil results'!G$7="modified Morgan (SAC)",'Soil results'!G37&lt;1.8)),VLOOKUP(Calc!BI32,'Fertiliser recommendations'!$A$4:$I$63,9,FALSE)+VLOOKUP(Calc!BI32,'Fertiliser recommendations'!$A$4:$J$63,10,FALSE),
IF(OR(AND('Soil results'!G$7="Olsen (ADAS)",'Soil results'!G37&lt;16),AND('Soil results'!G$7="modified Morgan (SAC)",'Soil results'!G37&lt;4.5)),VLOOKUP(Calc!BI32,'Fertiliser recommendations'!$A$4:$I$63,9,FALSE)+VLOOKUP(Calc!BI32,'Fertiliser recommendations'!$A$4:$K$63,11,FALSE),
IF(OR(AND('Soil results'!G$7="Olsen (ADAS)",'Soil results'!G37&lt;26),AND('Soil results'!G$7="modified Morgan (SAC)",'Soil results'!G37&lt;13.5)),VLOOKUP(Calc!BI32,'Fertiliser recommendations'!$A$4:$I$63,9,FALSE)+VLOOKUP(Calc!BI32,'Fertiliser recommendations'!$A$4:$L$63,12,FALSE),
IF(OR(AND('Soil results'!G$7="Olsen (ADAS)",'Soil results'!G37&lt;=45),AND('Soil results'!G$7="modified Morgan (SAC)",'Soil results'!G37&lt;=30)),VLOOKUP(Calc!BI32,'Fertiliser recommendations'!$A$4:$I$63,9,FALSE)+VLOOKUP(Calc!BI32,'Fertiliser recommendations'!$A$4:$M$63,13,FALSE),
""))))))))</f>
        <v/>
      </c>
      <c r="K34" s="161" t="str">
        <f t="shared" ca="1" si="1"/>
        <v/>
      </c>
      <c r="L34" s="47" t="str">
        <f ca="1">IF(OR(ISBLANK('Soil results'!G$7),ISBLANK('Soil results'!G37),B34="", H34="data missing"),"",
IF('Soil results'!G$7="Olsen (ADAS)",
IF(((H34*Calc!BM32/2.291-(VLOOKUP(Calc!BI32,'Fertiliser recommendations'!$A$4:$I$63,9,FALSE))/2.291)*10/(400/2.291)+'Soil results'!G37)&lt;10,"0 (VL)",
IF(((H34*Calc!BM32/2.291-(VLOOKUP(Calc!BI32,'Fertiliser recommendations'!$A$4:$I$63,9,FALSE))/2.291)*10/(400/2.291)+'Soil results'!G37)&lt;16,"1 (L)",
IF(((H34*Calc!BM32/2.291-(VLOOKUP(Calc!BI32,'Fertiliser recommendations'!$A$4:$I$63,9,FALSE))/2.291)*10/(400/2.291)+'Soil results'!G37)&lt;21,"2 (M-)",
IF(((H34*Calc!BM32/2.291-(VLOOKUP(Calc!BI32,'Fertiliser recommendations'!$A$4:$I$63,9,FALSE))/2.291)*10/(400/2.291)+'Soil results'!G37)&lt;26,"2 (M+)",
IF(((H34*Calc!BM32/2.291-(VLOOKUP(Calc!BI32,'Fertiliser recommendations'!$A$4:$I$63,9,FALSE))/2.291)*10/(400/2.291)+'Soil results'!G37)&lt;45,"3 (H)","&gt;3 (VH)"))))),
IF('Soil results'!G$7="modified Morgan (SAC)",
IF('Soil results'!G37&gt;=6,
IF(((H34*Calc!BM32/2.291-(VLOOKUP(Calc!BI32,'Fertiliser recommendations'!$A$4:$I$63,9,FALSE))/2.291)*5/(147/2.291)+'Soil results'!G37)&lt;9.5,"2 (M-)",
IF(((H34*Calc!BM32/2.291-(VLOOKUP(Calc!BI32,'Fertiliser recommendations'!$A$4:$I$63,9,FALSE))/2.291)*5/(147/2.291)+'Soil results'!G37)&lt;13.5,"2 (M+)",
IF(((H34*Calc!BM32/2.291-(VLOOKUP(Calc!BI32,'Fertiliser recommendations'!$A$4:$I$63,9,FALSE))/2.291)*5/(147/2.291)+'Soil results'!G37)&lt;30,"3 (H)","4 (VH)"))),
IF(((H34*Calc!BM32/2.291-(VLOOKUP(Calc!BI32,'Fertiliser recommendations'!$A$4:$I$63,9,FALSE))/2.291)*5/(346/2.291)+'Soil results'!G37)&lt;1.8,"0 (VL)",
IF(((H34*Calc!BM32/2.291-(VLOOKUP(Calc!BI32,'Fertiliser recommendations'!$A$4:$I$63,9,FALSE))/2.291)*5/(147/2.291)+'Soil results'!G37)&lt;4.5,"1 (L)","2 (M-)"))))))</f>
        <v/>
      </c>
      <c r="M34" s="9" t="str">
        <f ca="1">IF(B34="","",
IF(OR(H34="data missing",I34="data missing",J34="data missing"),"data missing",
IF(Calc!BF32=0,"n/a",
IF(OR(AND('Soil results'!G$7="Olsen (ADAS)",'Soil results'!G37&gt;45),AND('Soil results'!G$7="modified Morgan (SAC)",'Soil results'!G37&gt;30)),
IF(H34&gt;2,"too high, not acceptable","no requirement"),IF(OR(AND('Soil results'!G$7="Olsen (ADAS)",'Soil results'!G37&gt;25),AND('Soil results'!G$7="modified Morgan (SAC)",'Soil results'!G37&gt;13.4)),
IF(H34*(I34/100)&lt;0.1*J34,"no benefit",
IF(H34*(I34/100)&lt;0.3*J34,"limited benefit",
IF(H34*(I34/100)&lt;1.1*J34,"benefit",
IF(H34*(I34/100)&lt;0.7*VLOOKUP(Calc!BI32,'Fertiliser recommendations'!$A$4:$I$63,9,FALSE),"excessive","too high, not acceptable")))),
IF(OR(AND('Soil results'!G$7="Olsen (ADAS)",'Soil results'!G37&gt;20),AND('Soil results'!G$7="modified Morgan (SAC)",'Soil results'!G37&gt;9.4)),
IF(H34*Calc!BM32*(I34/100)&lt;0.1*J34,"no benefit",
IF(H34*Calc!BM32*(I34/100)&lt;0.3*J34,"limited benefit",
IF(H34*Calc!BM32*(I34/100)&lt;1.1*J34,"benefit",
IF(L34="3 (H)","too high, not acceptable","excessive")))),
IF(OR(AND('Soil results'!G$7="Olsen (ADAS)",'Soil results'!G37&gt;15),AND('Soil results'!G$7="modified Morgan (SAC)",'Soil results'!G37&gt;4.4)),
IF(H34*Calc!BM32*(I34/100)&lt;0.1*VLOOKUP(Calc!BI32,'Fertiliser recommendations'!$A$4:$I$63,9,FALSE),"no benefit",
IF(H34*Calc!BM32*(I34/100)&lt;0.3*VLOOKUP(Calc!BI32,'Fertiliser recommendations'!$A$4:$I$63,9,FALSE),"limited benefit",
IF(H34*Calc!BM32*(I34/100)&lt;1.1*VLOOKUP(Calc!BI32,'Fertiliser recommendations'!$A$4:$I$63,9,FALSE),"benefit",
IF(L34="3 (H)", "too high, not acceptable", "excessive")))),
IF(OR(AND('Soil results'!G$7="Olsen (ADAS)",'Soil results'!G37&lt;=15),AND('Soil results'!G$7="modified Morgan (SAC)",'Soil results'!G37&lt;=4.4)),
IF(H34*Calc!BM32*(I34/100)&lt;0.1*VLOOKUP(Calc!BI32,'Fertiliser recommendations'!$A$4:$I$63,9,FALSE),"no benefit",
IF(H34*Calc!BM32*(I34/100)&lt;0.3*VLOOKUP(Calc!BI32,'Fertiliser recommendations'!$A$4:$I$63,9,FALSE),"limited benefit",
IF(H34*Calc!BM32*(I34/100)&lt;1.1*J34,"benefit","excessive")))))))))))</f>
        <v/>
      </c>
      <c r="O34" s="91" t="str">
        <f ca="1">IF(B34="","",
IF(AND('Field information 2'!$O$5="", 'Field information 2'!$Q$5=""),
   IF('Waste results'!$S$19&lt;&gt;"data missing", Calc!BC32*'Waste results'!$S$19, "data missing"),
IF('Field information 2'!$Q$5="",
   IF(Calc!BD32=0,
     IF('Waste results'!$S$19&lt;&gt;"data missing", Calc!BC32*'Waste results'!$S$19, "data missing"),
   IF(Calc!BC32=0,
     IF('Waste results'!$S$55&lt;&gt;"data missing", Calc!BD32*'Waste results'!$S$55, "data missing"),
   IF(OR('Waste results'!$S$19&lt;&gt;"data missing", 'Waste results'!$S$55&lt;&gt;"data missing"), Calc!BC32*'Waste results'!$S$19+ Calc!BD32*'Waste results'!$S$55, "data missing"))),
IF(AND('Field information 2'!$M$5&lt;&gt;"", 'Field information 2'!$O$5&lt;&gt;"", 'Field information 2'!$Q$5&lt;&gt;""),
   IF(AND(Calc!BD32=0,Calc!BE32=0),
     IF('Waste results'!$S$19&lt;&gt;"data missing", Calc!BC32*'Waste results'!$S$19, "data missing"),
   IF(AND(Calc!BC32=0,Calc!BE32=0),
     IF('Waste results'!$S$55&lt;&gt;"data missing", Calc!BD32*'Waste results'!$S$55, "data missing"),
   IF(AND(Calc!BC32=0,Calc!BD32=0),
     IF('Waste results'!$S$91&lt;&gt;"data missing", Calc!BE32*'Waste results'!$S$91, "data missing"),
   IF(Calc!BE32=0,
     IF(OR('Waste results'!$S$19&lt;&gt;"data missing", 'Waste results'!$S$55&lt;&gt;"data missing"), Calc!BC32*'Waste results'!$S$19+ Calc!BD32*'Waste results'!$S$55, "data missing"),
   IF(Calc!BD32=0,
     IF(OR('Waste results'!$S$19&lt;&gt;"data missing", 'Waste results'!$S$91&lt;&gt;"data missing"), Calc!BC32*'Waste results'!$S$19+ Calc!BE32*'Waste results'!$S$91, "data missing"),
   IF(Calc!BC32=0,
     IF(OR('Waste results'!$S$55&lt;&gt;"data missing", 'Waste results'!$S$91&lt;&gt;"data missing"), Calc!BD32*'Waste results'!$S$55+Calc!BE32*'Waste results'!$S$91, "data missing"),
   IF(OR('Waste results'!$S$19&lt;&gt;"data missing", 'Waste results'!$S$55&lt;&gt;"data missing", 'Waste results'!$S$91&lt;&gt;"data missing"), Calc!BC32*'Waste results'!$S$19+Calc!BD32*'Waste results'!$S$55+ Calc!BE32*'Waste results'!$S$91, "data missing")))))))))))</f>
        <v/>
      </c>
      <c r="P34" s="91" t="str">
        <f ca="1">IF(B34="","",
IF(OR(ISBLANK('Soil results'!H$7),ISBLANK('Soil results'!H37)),"data missing",
IF(OR(AND('Soil results'!H$7="ammonium nitrate (ADAS)",'Soil results'!H37&gt;400),AND('Soil results'!H$7="modified Morgan (SAC)",'Soil results'!H37&gt;400)),0,
IF(OR(AND('Soil results'!H$7="ammonium nitrate (ADAS)",'Soil results'!H37&gt;=121,'Soil results'!H37&lt;=180),AND('Soil results'!H$7="modified Morgan (SAC)",'Soil results'!H37&gt;=76,'Soil results'!H37&lt;=140)),VLOOKUP(Calc!BI32,'Fertiliser recommendations'!$A$4:$Z$63,26,FALSE),
IF(OR(AND('Soil results'!H$7="ammonium nitrate (ADAS)",'Soil results'!H37&lt;61),AND('Soil results'!H$7="modified Morgan (SAC)",'Soil results'!H37&lt;40)),VLOOKUP(Calc!BI32,'Fertiliser recommendations'!$A$4:$Z$63,26,FALSE)+VLOOKUP(Calc!BI32,'Fertiliser recommendations'!$A$4:$AA$63,27,FALSE),
IF(OR(AND('Soil results'!H$7="ammonium nitrate (ADAS)",'Soil results'!H37&lt;121),AND('Soil results'!H$7="modified Morgan (SAC)",'Soil results'!H37&lt;76)),VLOOKUP(Calc!BI32,'Fertiliser recommendations'!$A$4:$Z$63,26,FALSE)+VLOOKUP(Calc!BI32,'Fertiliser recommendations'!$A$4:$AB$63,28,FALSE),
IF(OR(AND('Soil results'!H$7="ammonium nitrate (ADAS)",'Soil results'!H37&lt;241),AND('Soil results'!H$7="modified Morgan (SAC)",'Soil results'!H37&lt;201)),VLOOKUP(Calc!BI32,'Fertiliser recommendations'!$A$4:$Z$63,26,FALSE)+VLOOKUP(Calc!BI32,'Fertiliser recommendations'!$A$4:$AC$63,29,FALSE),
IF(OR(AND('Soil results'!H$7="ammonium nitrate (ADAS)",'Soil results'!H37&lt;=400),AND('Soil results'!H$7="modified Morgan (SAC)",'Soil results'!H37&lt;=400)),VLOOKUP(Calc!BI32,'Fertiliser recommendations'!$A$4:$Z$63,26,FALSE)+VLOOKUP(Calc!BI32,'Fertiliser recommendations'!$A$4:$AD$63,30,FALSE),
"??"))))))))</f>
        <v/>
      </c>
      <c r="Q34" s="91" t="str">
        <f t="shared" ca="1" si="2"/>
        <v/>
      </c>
      <c r="R34" s="9" t="str">
        <f ca="1">IF(B34="","",
IF(OR(O34="data missing",P34="data missing"),"data missing",
IF(Calc!BF32=0,"n/a",
IF(P34=0, "no requirement",
IF(O34&lt;0.1*P34,"no benefit",
IF(O34&lt;0.3*P34,"limited benefit",
IF(O34&gt;1.25*P34,"excessive",
"benefit")))))))</f>
        <v/>
      </c>
      <c r="T34" s="91" t="str">
        <f ca="1">IF(B34="","",
IF(AND('Field information 2'!$O$5="", 'Field information 2'!$Q$5=""),
   IF('Waste results'!$S$21&lt;&gt;"data missing", Calc!BC32*'Waste results'!$S$21, "data missing"),
IF('Field information 2'!$Q$5="",
   IF(Calc!BD32=0,
     IF('Waste results'!$S$21&lt;&gt;"data missing", Calc!BC32*'Waste results'!$S$21, "data missing"),
   IF(Calc!BC32=0,
     IF('Waste results'!$S$57&lt;&gt;"data missing", Calc!BD32*'Waste results'!$S$57, "data missing"),
   IF(OR('Waste results'!$S$21&lt;&gt;"data missing", 'Waste results'!$S$57&lt;&gt;"data missing"), Calc!BC32*'Waste results'!$S$21+ Calc!BD32*'Waste results'!$S$57, "data missing"))),
IF(AND('Field information 2'!$M$5&lt;&gt;"", 'Field information 2'!$O$5&lt;&gt;"", 'Field information 2'!$Q$5&lt;&gt;""),
   IF(AND(Calc!BD32=0,Calc!BE32=0),
     IF('Waste results'!$S$21&lt;&gt;"data missing", Calc!BC32*'Waste results'!$S$21, "data missing"),
   IF(AND(Calc!BC32=0,Calc!BE32=0),
     IF('Waste results'!$S$57&lt;&gt;"data missing", Calc!BD32*'Waste results'!$S$57, "data missing"),
   IF(AND(Calc!BC32=0,Calc!BD32=0),
     IF('Waste results'!$S$93&lt;&gt;"data missing", Calc!BE32*'Waste results'!$S$93, "data missing"),
   IF(Calc!BE32=0,
     IF(OR('Waste results'!$S$21&lt;&gt;"data missing", 'Waste results'!$S$57&lt;&gt;"data missing"), Calc!BC32*'Waste results'!$S$21+ Calc!BD32*'Waste results'!$S$57, "data missing"),
   IF(Calc!BD32=0,
     IF(OR('Waste results'!$S$21&lt;&gt;"data missing", 'Waste results'!$S$93&lt;&gt;"data missing"), Calc!BC32*'Waste results'!$S$21+ Calc!BE32*'Waste results'!$S$93, "data missing"),
   IF(Calc!BC32=0,
     IF(OR('Waste results'!$S$57&lt;&gt;"data missing", 'Waste results'!$S$93&lt;&gt;"data missing"), Calc!BD32*'Waste results'!$S$57+Calc!BE32*'Waste results'!$S$93, "data missing"),
   IF(OR('Waste results'!$S$21&lt;&gt;"data missing", 'Waste results'!$S$57&lt;&gt;"data missing", 'Waste results'!$S$93&lt;&gt;"data missing"), Calc!BC32*'Waste results'!$S$21+Calc!BD32*'Waste results'!$S$57+ Calc!BE32*'Waste results'!$S$93, "data missing")))))))))))</f>
        <v/>
      </c>
      <c r="U34" s="7" t="str">
        <f ca="1">IF(B34="","",
IF(OR(ISBLANK('Soil results'!I$7),ISBLANK('Soil results'!I37)),"data missing",
IF(OR(AND('Soil results'!I$7="ammonium nitrate (ADAS)",'Soil results'!I37&gt;51),AND('Soil results'!I$7="modified Morgan (SAC)",'Soil results'!I37&gt;61)),0,
IF(OR(AND('Soil results'!I$7="ammonium nitrate (ADAS)",'Soil results'!I37&lt;25),AND('Soil results'!I$7="modified Morgan (SAC)",'Soil results'!I37&lt;19)),VLOOKUP(Calc!BI32,'Fertiliser recommendations'!$A$4:$AH$63,34,FALSE),
IF(OR(AND('Soil results'!I$7="ammonium nitrate (ADAS)",'Soil results'!I37&lt;=51),AND('Soil results'!I$7="modified Morgan (SAC)",'Soil results'!I37&lt;=61)),VLOOKUP(Calc!BI32,'Fertiliser recommendations'!$A$4:$AI$63,35,FALSE),
"")))))</f>
        <v/>
      </c>
      <c r="V34" s="91" t="str">
        <f t="shared" ca="1" si="3"/>
        <v/>
      </c>
      <c r="W34" s="9" t="str">
        <f ca="1">IF(B34="","",
IF(OR(T34="data missing",U34="data missing"),"data missing",
IF(Calc!BF32=0,"n/a",
IF(U34=0,"no requirement",
IF(T34&lt;0.1*U34,"no benefit",
IF(T34&lt;0.3*U34,"limited benefit",
IF(OR(T34&gt;1.5*U34,AND(Calc!BJ32="g",T34&gt;100)),"excessive",
"benefit")))))))</f>
        <v/>
      </c>
      <c r="Y34" s="91" t="str">
        <f ca="1">IF(B34="","",
IF(AND('Field information 2'!$O$5="", 'Field information 2'!$Q$5=""),
   IF('Waste results'!$P$23&lt;&gt;"", Calc!BC32*'Waste results'!$P$23, "no data"),
IF('Field information 2'!$Q$5="",
   IF(Calc!BD32=0,
     IF('Waste results'!$P$23&lt;&gt;"", Calc!BC32*'Waste results'!$P$23, "no data"),
   IF(Calc!BC32=0,
     IF('Waste results'!$P$59&lt;&gt;"", Calc!BD32*'Waste results'!$P$59, "no data"),
   IF(OR('Waste results'!$P$23&lt;&gt;"", 'Waste results'!$P$59&lt;&gt;""), Calc!BC32*'Waste results'!$P$23+ Calc!BD32*'Waste results'!$P$59, "no data"))),
IF(AND('Field information 2'!$M$5&lt;&gt;"", 'Field information 2'!$O$5&lt;&gt;"", 'Field information 2'!$Q$5&lt;&gt;""),
   IF(AND(Calc!BD32=0,Calc!BE32=0),
     IF('Waste results'!$P$23&lt;&gt;"", Calc!BC32*'Waste results'!$P$23, "no data"),
   IF(AND(Calc!BC32=0,Calc!BE32=0),
     IF('Waste results'!$P$59&lt;&gt;"", Calc!BD32*'Waste results'!$P$59, "no data"),
   IF(AND(Calc!BC32=0,Calc!BD32=0),
     IF('Waste results'!$P$95&lt;&gt;"", Calc!BE32*'Waste results'!$P$95, "no data"),
   IF(Calc!BE32=0,
     IF(OR('Waste results'!$P$23&lt;&gt;"", 'Waste results'!$P$59&lt;&gt;""), Calc!BC32*'Waste results'!$P$23+ Calc!BD32*'Waste results'!$P$59, "no data"),
   IF(Calc!BD32=0,
     IF(OR('Waste results'!$P$23&lt;&gt;"", 'Waste results'!$P$95&lt;&gt;""), Calc!BC32*'Waste results'!$P$23+ Calc!BE32*'Waste results'!$P$95, "no data"),
   IF(Calc!BC32=0,
     IF(OR('Waste results'!$P$59&lt;&gt;"", 'Waste results'!$P$95&lt;&gt;""), Calc!BD32*'Waste results'!$P$59+Calc!BE32*'Waste results'!$P$95, "no data"),
   IF(OR('Waste results'!$P$23&lt;&gt;"", 'Waste results'!$P$59&lt;&gt;"", 'Waste results'!$P$95&lt;&gt;""), Calc!BC32*'Waste results'!$P$23+Calc!BD32*'Waste results'!$P$59+ Calc!BE32*'Waste results'!$P$95, "no data")))))))))))</f>
        <v/>
      </c>
      <c r="Z34" s="7" t="str">
        <f ca="1">IF(OR(ISBLANK('Soil results'!I$7),ISBLANK('Soil results'!I37),'Soil results'!B37=""),"",
VLOOKUP(Calc!BI32,'Fertiliser recommendations'!$A$4:$AM$63,39,FALSE))</f>
        <v/>
      </c>
      <c r="AA34" s="91" t="str">
        <f t="shared" ca="1" si="4"/>
        <v/>
      </c>
      <c r="AB34" s="9" t="str">
        <f t="shared" ca="1" si="5"/>
        <v/>
      </c>
      <c r="AD34" s="48" t="str">
        <f>IF(ISBLANK('Soil results'!F37),"",'Soil results'!F37)</f>
        <v/>
      </c>
      <c r="AE34" s="49" t="str">
        <f ca="1">IF(B34="","",
IF(AND(Calc!BJ32="g", VLOOKUP(LEFT($B34,LEN($B34)-2),'Field information 2'!$B$12:$P$111,9,FALSE)&lt;&gt;"yes"),
 IF(Calc!BG32="10-25% OM", 5.9, IF(Calc!BG32="&gt;25% OM", 5.5, 6.2)),
IF(OR(Calc!BJ32="a", VLOOKUP(LEFT($B34,LEN($B34)-2),'Field information 2'!$B$12:$P$111,9,FALSE)="yes"),
 IF(Calc!BG32="10-25% OM", 6.4, IF(Calc!BG32="&gt;25% OM", 6, 6.7)), "")))</f>
        <v/>
      </c>
      <c r="AF34" s="91" t="str">
        <f ca="1">IF(B34="","",
IF('Waste results'!$Q$33="","no (significant) liming properties",
IF('Waste results'!Q$33&gt;100,"no (significant) liming properties",
IF(AD34="","",
IF(AD34&gt;=AE34,0,ROUNDDOWN((AE34-AD34)*Calc!BK32*'Waste results'!$Q$33+0.2,0))))))</f>
        <v/>
      </c>
      <c r="AG34" s="9" t="str">
        <f ca="1">IF(B34="","",
IF(T34=0,"n/a",
IF(AD34="","data missing",
IF(AND(AD34&lt;5,AF34="no (significant) liming properties"),"no waste application - pH too low",
IF(AND(AD34&gt;5.1,AF34="no (significant) liming properties",Calc!BH32&gt;25, LEFT(Calc!BI32,4)="graz"),"ok",
IF(AND(AD34&lt;=5.2,AF34="no (significant) liming properties"),"liming highly recommended",
IF(AF34=0,"no waste application - liming not required",
IF(AF34&lt;Calc!BC32,"application rate too high - exceeds liming requirement",
"ok"))))))))</f>
        <v/>
      </c>
      <c r="AI34" s="91" t="str">
        <f ca="1">IF(B34="","",
IF(AND('Field information 2'!$O$5="", 'Field information 2'!$Q$5=""),
   IF('Waste results'!$P$10&lt;&gt;"data missing", Calc!BC32*'Waste results'!$P$10, "data missing"),
IF('Field information 2'!$Q$5="",
   IF(Calc!BD32=0,
     IF('Waste results'!$P$10&lt;&gt;"data missing", Calc!BC32*'Waste results'!$P$10, "data missing"),
   IF(Calc!BC32=0,
     IF('Waste results'!$P$45&lt;&gt;"data missing", Calc!BD32*'Waste results'!$P$45, "data missing"),
   IF(OR('Waste results'!$P$10&lt;&gt;"data missing", 'Waste results'!$P$45&lt;&gt;"data missing"), Calc!BC32*'Waste results'!$P$10+ Calc!BD32*'Waste results'!$P$45, "data missing"))),
IF(AND('Field information 2'!$M$5&lt;&gt;"", 'Field information 2'!$O$5&lt;&gt;"", 'Field information 2'!$Q$5&lt;&gt;""),
   IF(AND(Calc!BD32=0,Calc!BE32=0),
     IF('Waste results'!$P$10&lt;&gt;"data missing", Calc!BC32*'Waste results'!$P$10, "data missing"),
   IF(AND(Calc!BC32=0,Calc!BE32=0),
     IF('Waste results'!$P$45&lt;&gt;"data missing", Calc!BD32*'Waste results'!$P$45, "data missing"),
   IF(AND(Calc!BC32=0,Calc!BD32=0),
     IF('Waste results'!$P$82&lt;&gt;"data missing", Calc!BE32*'Waste results'!$P$82, "data missing"),
   IF(Calc!BE32=0,
     IF(OR('Waste results'!$P$10&lt;&gt;"data missing", 'Waste results'!$P$45&lt;&gt;"data missing"), Calc!BC32*'Waste results'!$P$10+ Calc!BD32*'Waste results'!$P$45, "data missing"),
   IF(Calc!BD32=0,
     IF(OR('Waste results'!$P$10&lt;&gt;"data missing", 'Waste results'!$P$82&lt;&gt;"data missing"), Calc!BC32*'Waste results'!$P$10+ Calc!BE32*'Waste results'!$P$82, "data missing"),
   IF(Calc!BC32=0,
     IF(OR('Waste results'!$P$45&lt;&gt;"data missing", 'Waste results'!$P$82&lt;&gt;"data missing"), Calc!BD32*'Waste results'!$P$45+Calc!BE32*'Waste results'!$P$82, "data missing"),
   IF(OR('Waste results'!$P$10&lt;&gt;"data missing", 'Waste results'!$P$45&lt;&gt;"data missing", 'Waste results'!$P$82&lt;&gt;"data missing"), Calc!BC32*'Waste results'!$P$10+Calc!BD32*'Waste results'!$P$45+ Calc!BE32*'Waste results'!$P$82, "data missing")))))))))))</f>
        <v/>
      </c>
      <c r="AJ34" s="237" t="str">
        <f ca="1">IF(B34="","",
IF(AI34="data missing","data missing",
IF(Calc!BF32=0,"n/a",
IF(AND(Calc!BH32&gt;=8,AI34&lt;500),"no benefit",
IF(OR(AND(Calc!BH32&lt;=4,AI34&gt;=500),AND(Calc!BH32&lt;8,AI34&gt;5000)),"benefit",
"limited benefit")))))</f>
        <v/>
      </c>
      <c r="AL34" s="238" t="str">
        <f ca="1">IF(B34="","",
IF(AND('Field information 2'!$O$5="", 'Field information 2'!$Q$5=""),
   IF('Waste results'!$S$25&lt;&gt;"data missing", Calc!BC32*'Waste results'!$S$25, "data missing"),
IF('Field information 2'!$Q$5="",
   IF(Calc!BD32=0,
     IF('Waste results'!$S$25&lt;&gt;"data missing", Calc!BC32*'Waste results'!$S$25, "data missing"),
   IF(Calc!BC32=0,
     IF('Waste results'!$S$61&lt;&gt;"data missing", Calc!BD32*'Waste results'!$S$61, "data missing"),
   IF(OR('Waste results'!$S$25&lt;&gt;"data missing", 'Waste results'!$S$61&lt;&gt;"data missing"), Calc!BC32*'Waste results'!$S$25+ Calc!BD32*'Waste results'!$S$61, "data missing"))),
IF(AND('Field information 2'!$M$5&lt;&gt;"", 'Field information 2'!$O$5&lt;&gt;"", 'Field information 2'!$Q$5&lt;&gt;""),
   IF(AND(Calc!BD32=0,Calc!BE32=0),
     IF('Waste results'!$S$25&lt;&gt;"data missing", Calc!BC32*'Waste results'!$S$25, "data missing"),
   IF(AND(Calc!BC32=0,Calc!BE32=0),
     IF('Waste results'!$S$61&lt;&gt;"data missing", Calc!BD32*'Waste results'!$S$61, "data missing"),
   IF(AND(Calc!BC32=0,Calc!BD32=0),
     IF('Waste results'!$S$97&lt;&gt;"data missing", Calc!BE32*'Waste results'!$S$97, "data missing"),
   IF(Calc!BE32=0,
     IF(OR('Waste results'!$S$25&lt;&gt;"data missing", 'Waste results'!$S$61&lt;&gt;"data missing"), Calc!BC32*'Waste results'!$S$25+ Calc!BD32*'Waste results'!$S$61, "data missing"),
   IF(Calc!BD32=0,
     IF(OR('Waste results'!$S$25&lt;&gt;"data missing", 'Waste results'!$S$97&lt;&gt;"data missing"), Calc!BC32*'Waste results'!$S$25+ Calc!BE32*'Waste results'!$S$97, "data missing"),
   IF(Calc!BC32=0,
     IF(OR('Waste results'!$S$61&lt;&gt;"data missing", 'Waste results'!$S$97&lt;&gt;"data missing"), Calc!BD32*'Waste results'!$S$61+Calc!BE32*'Waste results'!$S$97, "data missing"),
   IF(OR('Waste results'!$S$25&lt;&gt;"data missing", 'Waste results'!$S$61&lt;&gt;"data missing", 'Waste results'!$S$97&lt;&gt;"data missing"), Calc!BC32*'Waste results'!$S$25+Calc!BD32*'Waste results'!$S$61+ Calc!BE32*'Waste results'!$S$97, "data missing")))))))))))</f>
        <v/>
      </c>
      <c r="AM34" s="239" t="str">
        <f ca="1">IF($B34="","",
IF(ISBLANK('Soil results'!K37),"data missing",'Soil results'!K37))</f>
        <v/>
      </c>
      <c r="AN34" s="239" t="str">
        <f t="shared" ca="1" si="6"/>
        <v/>
      </c>
      <c r="AO34" s="9" t="str">
        <f t="shared" ca="1" si="7"/>
        <v/>
      </c>
      <c r="AQ34" s="240" t="str">
        <f ca="1">IF(B34="","",
IF(AND('Field information 2'!$O$5="", 'Field information 2'!$Q$5=""),
   IF('Waste results'!$S$26&lt;&gt;"data missing", Calc!BC32*'Waste results'!$S$26, "data missing"),
IF('Field information 2'!$Q$5="",
   IF(Calc!BD32=0,
     IF('Waste results'!$S$26&lt;&gt;"data missing", Calc!BC32*'Waste results'!$S$26, "data missing"),
   IF(Calc!BC32=0,
     IF('Waste results'!$S$62&lt;&gt;"data missing", Calc!BD32*'Waste results'!$S$62, "data missing"),
   IF(OR('Waste results'!$S$26&lt;&gt;"data missing", 'Waste results'!$S$62&lt;&gt;"data missing"), Calc!BC32*'Waste results'!$S$26+ Calc!BD32*'Waste results'!$S$62, "data missing"))),
IF(AND('Field information 2'!$M$5&lt;&gt;"", 'Field information 2'!$O$5&lt;&gt;"", 'Field information 2'!$Q$5&lt;&gt;""),
   IF(AND(Calc!BD32=0,Calc!BE32=0),
     IF('Waste results'!$S$26&lt;&gt;"data missing", Calc!BC32*'Waste results'!$S$26, "data missing"),
   IF(AND(Calc!BC32=0,Calc!BE32=0),
     IF('Waste results'!$S$62&lt;&gt;"data missing", Calc!BD32*'Waste results'!$S$62, "data missing"),
   IF(AND(Calc!BC32=0,Calc!BD32=0),
     IF('Waste results'!$S$98&lt;&gt;"data missing", Calc!BE32*'Waste results'!$S$98, "data missing"),
   IF(Calc!BE32=0,
     IF(OR('Waste results'!$S$26&lt;&gt;"data missing", 'Waste results'!$S$62&lt;&gt;"data missing"), Calc!BC32*'Waste results'!$S$26+ Calc!BD32*'Waste results'!$S$62, "data missing"),
   IF(Calc!BD32=0,
     IF(OR('Waste results'!$S$26&lt;&gt;"data missing", 'Waste results'!$S$98&lt;&gt;"data missing"), Calc!BC32*'Waste results'!$S$26+ Calc!BE32*'Waste results'!$S$98, "data missing"),
   IF(Calc!BC32=0,
     IF(OR('Waste results'!$S$62&lt;&gt;"data missing", 'Waste results'!$S$98&lt;&gt;"data missing"), Calc!BD32*'Waste results'!$S$62+Calc!BE32*'Waste results'!$S$98, "data missing"),
   IF(OR('Waste results'!$S$26&lt;&gt;"data missing", 'Waste results'!$S$62&lt;&gt;"data missing", 'Waste results'!$S$98&lt;&gt;"data missing"), Calc!BC32*'Waste results'!$S$26+Calc!BD32*'Waste results'!$S$62+ Calc!BE32*'Waste results'!$S$98, "data missing")))))))))))</f>
        <v/>
      </c>
      <c r="AR34" s="241" t="str">
        <f ca="1">IF($B34="","",
IF(ISBLANK('Soil results'!L37),"data missing",'Soil results'!L37))</f>
        <v/>
      </c>
      <c r="AS34" s="241" t="str">
        <f t="shared" ca="1" si="8"/>
        <v/>
      </c>
      <c r="AT34" s="66" t="str">
        <f t="shared" ca="1" si="9"/>
        <v/>
      </c>
      <c r="AV34" s="238" t="str">
        <f ca="1">IF(B34="","",
IF(AND('Field information 2'!$O$5="", 'Field information 2'!$Q$5=""),
   IF('Waste results'!$S$27&lt;&gt;"data missing", Calc!BC32*'Waste results'!$S$27, "data missing"),
IF('Field information 2'!$Q$5="",
   IF(Calc!BD32=0,
     IF('Waste results'!$S$27&lt;&gt;"data missing", Calc!BC32*'Waste results'!$S$27, "data missing"),
   IF(Calc!BC32=0,
     IF('Waste results'!$S$63&lt;&gt;"data missing", Calc!BD32*'Waste results'!$S$63, "data missing"),
   IF(OR('Waste results'!$S$27&lt;&gt;"data missing", 'Waste results'!$S$63&lt;&gt;"data missing"), Calc!BC32*'Waste results'!$S$27+ Calc!BD32*'Waste results'!$S$63, "data missing"))),
IF(AND('Field information 2'!$M$5&lt;&gt;"", 'Field information 2'!$O$5&lt;&gt;"", 'Field information 2'!$Q$5&lt;&gt;""),
   IF(AND(Calc!BD32=0,Calc!BE32=0),
     IF('Waste results'!$S$27&lt;&gt;"data missing", Calc!BC32*'Waste results'!$S$27, "data missing"),
   IF(AND(Calc!BC32=0,Calc!BE32=0),
     IF('Waste results'!$S$63&lt;&gt;"data missing", Calc!BD32*'Waste results'!$S$63, "data missing"),
   IF(AND(Calc!BC32=0,Calc!BD32=0),
     IF('Waste results'!$S$99&lt;&gt;"data missing", Calc!BE32*'Waste results'!$S$99, "data missing"),
   IF(Calc!BE32=0,
     IF(OR('Waste results'!$S$27&lt;&gt;"data missing", 'Waste results'!$S$63&lt;&gt;"data missing"), Calc!BC32*'Waste results'!$S$27+ Calc!BD32*'Waste results'!$S$63, "data missing"),
   IF(Calc!BD32=0,
     IF(OR('Waste results'!$S$27&lt;&gt;"data missing", 'Waste results'!$S$99&lt;&gt;"data missing"), Calc!BC32*'Waste results'!$S$27+ Calc!BE32*'Waste results'!$S$99, "data missing"),
   IF(Calc!BC32=0,
     IF(OR('Waste results'!$S$63&lt;&gt;"data missing", 'Waste results'!$S$99&lt;&gt;"data missing"), Calc!BD32*'Waste results'!$S$63+Calc!BE32*'Waste results'!$S$99, "data missing"),
   IF(OR('Waste results'!$S$27&lt;&gt;"data missing", 'Waste results'!$S$63&lt;&gt;"data missing", 'Waste results'!$S$99&lt;&gt;"data missing"), Calc!BC32*'Waste results'!$S$27+Calc!BD32*'Waste results'!$S$63+ Calc!BE32*'Waste results'!$S$99, "data missing")))))))))))</f>
        <v/>
      </c>
      <c r="AW34" s="239" t="str">
        <f ca="1">IF($B34="","",
IF(ISBLANK('Soil results'!M37),"data missing",'Soil results'!M37))</f>
        <v/>
      </c>
      <c r="AX34" s="239" t="str">
        <f t="shared" ca="1" si="10"/>
        <v/>
      </c>
      <c r="AY34" s="9" t="str">
        <f ca="1">IF(B34="","",
IF(AV34=0,"n/a",
IF(OR(AV34="data missing",AW34="data missing"),"data missing",
IF(AV34&gt;7.5,"application rate too high - permissible rate exceeds limit",
IF('Soil results'!$F37&lt;=5.5,
  IF(AW34&gt;80,"no application - soil conc. already above limit",
  IF(AX34&gt;80,"application rate too high - soil conc. will exceed limit",
  IF(AW34&gt;80*0.9,"soil conc. is at or above 90% of the limit",
  IF(10*AV34*1000/3000+AW34&gt;80,"soil limit likely to be exceeded in 10yrs",
  IF(50*AV34*1000/3000+AW34&gt;80,"soil limit likely to be exceeded in 50yrs","ok"))))),
IF('Soil results'!$F37&lt;=6,
  IF(AW34&gt;100,"no application - soil conc. already above limit",
  IF(AX34&gt;100,"application rate too high - soil conc. will exceed limit",
  IF(AW34&gt;100*0.9,"soil conc. is at or above 90% of the limit",
  IF(10*AV34*1000/3000+AW34&gt;100,"soil limit likely to be exceeded in 10yrs",
  IF(50*AV34*1000/3000+AW34&gt;100,"soil limit likely to be exceeded in 50yrs","ok"))))),
IF('Soil results'!$F37&lt;=7,
  IF(AW34&gt;135,"no application - soil conc. already above limit",
  IF(AX34&gt;135,"application rate too high - soil conc. will exceed limit",
  IF(AW34&gt;135*0.9,"soil conc. is at or above 90% of the limit",
  IF(10*AV34*1000/3000+AW34&gt;135,"soil limit likely to be exceeded in 10yrs",
  IF(50*AV34*1000/3000+AW34&gt;135,"soil limit likely to be exceeded in 50yrs","ok"))))),
IF('Soil results'!$F37&gt;7,
  IF(AW34&gt;200,"no application - soil conc. already above limit",
  IF(AX34&gt;200,"application too high - soil conc. will exceed limit",
  IF(AW34&gt;200*0.9,"soil conc. is at or above 90% of the limit",
  IF(10*AV34*1000/3000+AW34&gt;200,"soil limit likely to be exceeded in 10yrs",
  IF(50*AV34*1000/3000+AW34&gt;200,"soil limit likely to be exceeded in 50yrs","ok")))))
))))))))</f>
        <v/>
      </c>
      <c r="BA34" s="238" t="str">
        <f ca="1">IF(B34="","",
IF(AND('Field information 2'!$O$5="", 'Field information 2'!$Q$5=""),
   IF('Waste results'!$S$28&lt;&gt;"data missing", Calc!BC32*'Waste results'!$S$28, "data missing"),
IF('Field information 2'!$Q$5="",
   IF(Calc!BD32=0,
     IF('Waste results'!$S$28&lt;&gt;"data missing", Calc!BC32*'Waste results'!$S$28, "data missing"),
   IF(Calc!BC32=0,
     IF('Waste results'!$S$64&lt;&gt;"data missing", Calc!BD32*'Waste results'!$S$64, "data missing"),
   IF(OR('Waste results'!$S$28&lt;&gt;"data missing", 'Waste results'!$S$64&lt;&gt;"data missing"), Calc!BC32*'Waste results'!$S$28+ Calc!BD32*'Waste results'!$S$64, "data missing"))),
IF(AND('Field information 2'!$M$5&lt;&gt;"", 'Field information 2'!$O$5&lt;&gt;"", 'Field information 2'!$Q$5&lt;&gt;""),
   IF(AND(Calc!BD32=0,Calc!BE32=0),
     IF('Waste results'!$S$28&lt;&gt;"data missing", Calc!BC32*'Waste results'!$S$28, "data missing"),
   IF(AND(Calc!BC32=0,Calc!BE32=0),
     IF('Waste results'!$S$64&lt;&gt;"data missing", Calc!BD32*'Waste results'!$S$64, "data missing"),
   IF(AND(Calc!BC32=0,Calc!BD32=0),
     IF('Waste results'!$S$100&lt;&gt;"data missing", Calc!BE32*'Waste results'!$S$100, "data missing"),
   IF(Calc!BE32=0,
     IF(OR('Waste results'!$S$28&lt;&gt;"data missing", 'Waste results'!$S$64&lt;&gt;"data missing"), Calc!BC32*'Waste results'!$S$28+ Calc!BD32*'Waste results'!$S$64, "data missing"),
   IF(Calc!BD32=0,
     IF(OR('Waste results'!$S$28&lt;&gt;"data missing", 'Waste results'!$S$100&lt;&gt;"data missing"), Calc!BC32*'Waste results'!$S$28+ Calc!BE32*'Waste results'!$S$100, "data missing"),
   IF(Calc!BC32=0,
     IF(OR('Waste results'!$S$64&lt;&gt;"data missing", 'Waste results'!$S$100&lt;&gt;"data missing"), Calc!BD32*'Waste results'!$S$64+Calc!BE32*'Waste results'!$S$100, "data missing"),
   IF(OR('Waste results'!$S$28&lt;&gt;"data missing", 'Waste results'!$S$64&lt;&gt;"data missing", 'Waste results'!$S$100&lt;&gt;"data missing"), Calc!BC32*'Waste results'!$S$28+Calc!BD32*'Waste results'!$S$64+ Calc!BE32*'Waste results'!$S$100, "data missing")))))))))))</f>
        <v/>
      </c>
      <c r="BB34" s="239" t="str">
        <f ca="1">IF($B34="","",
IF(ISBLANK('Soil results'!N37),"data missing",'Soil results'!N37))</f>
        <v/>
      </c>
      <c r="BC34" s="239" t="str">
        <f t="shared" ca="1" si="11"/>
        <v/>
      </c>
      <c r="BD34" s="9" t="str">
        <f t="shared" ca="1" si="12"/>
        <v/>
      </c>
      <c r="BF34" s="238" t="str">
        <f ca="1">IF(B34="","",
IF(AND('Field information 2'!$O$5="", 'Field information 2'!$Q$5=""),
   IF('Waste results'!$S$29&lt;&gt;"data missing", Calc!BC32*'Waste results'!$S$29, "data missing"),
IF('Field information 2'!$Q$5="",
   IF(Calc!BD32=0,
     IF('Waste results'!$S$29&lt;&gt;"data missing", Calc!BC32*'Waste results'!$S$29, "data missing"),
   IF(Calc!BC32=0,
     IF('Waste results'!$S$65&lt;&gt;"data missing", Calc!BD32*'Waste results'!$S$65, "data missing"),
   IF(OR('Waste results'!$S$29&lt;&gt;"data missing", 'Waste results'!$S$65&lt;&gt;"data missing"), Calc!BC32*'Waste results'!$S$29+ Calc!BD32*'Waste results'!$S$65, "data missing"))),
IF(AND('Field information 2'!$M$5&lt;&gt;"", 'Field information 2'!$O$5&lt;&gt;"", 'Field information 2'!$Q$5&lt;&gt;""),
   IF(AND(Calc!BD32=0,Calc!BE32=0),
     IF('Waste results'!$S$29&lt;&gt;"data missing", Calc!BC32*'Waste results'!$S$29, "data missing"),
   IF(AND(Calc!BC32=0,Calc!BE32=0),
     IF('Waste results'!$S$65&lt;&gt;"data missing", Calc!BD32*'Waste results'!$S$65, "data missing"),
   IF(AND(Calc!BC32=0,Calc!BD32=0),
     IF('Waste results'!$S$101&lt;&gt;"data missing", Calc!BE32*'Waste results'!$S$101, "data missing"),
   IF(Calc!BE32=0,
     IF(OR('Waste results'!$S$29&lt;&gt;"data missing", 'Waste results'!$S$65&lt;&gt;"data missing"), Calc!BC32*'Waste results'!$S$29+ Calc!BD32*'Waste results'!$S$65, "data missing"),
   IF(Calc!BD32=0,
     IF(OR('Waste results'!$S$29&lt;&gt;"data missing", 'Waste results'!$S$101&lt;&gt;"data missing"), Calc!BC32*'Waste results'!$S$29+ Calc!BE32*'Waste results'!$S$101, "data missing"),
   IF(Calc!BC32=0,
     IF(OR('Waste results'!$S$65&lt;&gt;"data missing", 'Waste results'!$S$101&lt;&gt;"data missing"), Calc!BD32*'Waste results'!$S$65+Calc!BE32*'Waste results'!$S$101, "data missing"),
   IF(OR('Waste results'!$S$29&lt;&gt;"data missing", 'Waste results'!$S$65&lt;&gt;"data missing", 'Waste results'!$S$101&lt;&gt;"data missing"), Calc!BC32*'Waste results'!$S$29+Calc!BD32*'Waste results'!$S$65+ Calc!BE32*'Waste results'!$S$101, "data missing")))))))))))</f>
        <v/>
      </c>
      <c r="BG34" s="239" t="str">
        <f ca="1">IF($B34="","",
IF(ISBLANK('Soil results'!O37),"data missing",'Soil results'!O37))</f>
        <v/>
      </c>
      <c r="BH34" s="239" t="str">
        <f t="shared" ca="1" si="13"/>
        <v/>
      </c>
      <c r="BI34" s="9" t="str">
        <f ca="1">IF(B34="","",
IF(BF34=0,"n/a",
IF(OR(BF34="data missing",BG34="data missing"),"data missing",
IF(BF34&gt;3,"application rate too high - permissible rate exceeds limit",
IF('Soil results'!F37&lt;=5.5,
  IF(BG34&gt;50,"no application - soil conc. already above limit",
  IF(BH34&gt;50,"application rate too high - soil conc. will exceed limit",
  IF(BG34&gt;50*0.9,"soil conc. is at or above 90% of the limit",
  IF(10*BF34*1000/3000+BG34&gt;50,"soil limit likely to be exceeded in 10yrs",
  IF(50*BF34*1000/3000+BG34&gt;50,"soil limit likely to be exceeded in 50yrs","ok"))))),
IF('Soil results'!F37&lt;=6,
  IF(BG34&gt;60,"no application - soil conc. already above limit",
  IF(BH34&gt;60,"application rate too high - soil conc. will exceed limit",
  IF(BG34&gt;60*0.9,"soil conc. is at or above 90% of the limit",
  IF(10*BF34*1000/3000+BG34&gt;60,"soil limit likely to be exceeded in 10yrs",
  IF(50*BF34*1000/3000+BG34&gt;60,"soil limit likely to be exceeded in 50yrs","ok"))))),
IF('Soil results'!F37&lt;=7,
  IF(BG34&gt;75,"no application - soil conc. already above limit",
  IF(BH34&gt;75,"application rate too high - soil conc. will exceed limit",
  IF(BG34&gt;75*0.9,"soil conc. is at or above 90% of the limit",
  IF(10*BF34*1000/3000+BG34&gt;75,"soil limit likely to be exceeded in 10yrs",
  IF(50*BF34*1000/3000+BG34&gt;75,"soil limit likely to be exceeded in 50yrs","ok"))))),
IF('Soil results'!F37&gt;7,
  IF(BG34&gt;100,"no application - soil conc. already above limit",
  IF(BH34&gt;100,"application rate too high - soil conc. will exceed limit",
  IF(BG34&gt;100*0.9,"soil conc. is at or above 90% of the limit",
  IF(10*BF34*1000/3000+BG34&gt;100,"soil limit likely to be exceeded in 10yrs",
  IF(50*BF34*1000/3000+BG34&gt;100,"soil limit likely to beexceeded in 50yrs","ok")))))
))))))))</f>
        <v/>
      </c>
      <c r="BK34" s="240" t="str">
        <f ca="1">IF(B34="","",
IF(AND('Field information 2'!$O$5="", 'Field information 2'!$Q$5=""),
   IF('Waste results'!$S$30&lt;&gt;"data missing", Calc!BC32*'Waste results'!$S$30, "data missing"),
IF('Field information 2'!$Q$5="",
   IF(Calc!BD32=0,
     IF('Waste results'!$S$30&lt;&gt;"data missing", Calc!BC32*'Waste results'!$S$30, "data missing"),
   IF(Calc!BC32=0,
     IF('Waste results'!$S$66&lt;&gt;"data missing", Calc!BD32*'Waste results'!$S$66, "data missing"),
   IF(OR('Waste results'!$S$30&lt;&gt;"data missing", 'Waste results'!$S$66&lt;&gt;"data missing"), Calc!BC32*'Waste results'!$S$30+ Calc!BD32*'Waste results'!$S$66, "data missing"))),
IF(AND('Field information 2'!$M$5&lt;&gt;"", 'Field information 2'!$O$5&lt;&gt;"", 'Field information 2'!$Q$5&lt;&gt;""),
   IF(AND(Calc!BD32=0,Calc!BE32=0),
     IF('Waste results'!$S$30&lt;&gt;"data missing", Calc!BC32*'Waste results'!$S$30, "data missing"),
   IF(AND(Calc!BC32=0,Calc!BE32=0),
     IF('Waste results'!$S$66&lt;&gt;"data missing", Calc!BD32*'Waste results'!$S$66, "data missing"),
   IF(AND(Calc!BC32=0,Calc!BD32=0),
     IF('Waste results'!$S$102&lt;&gt;"data missing", Calc!BE32*'Waste results'!$S$102, "data missing"),
   IF(Calc!BE32=0,
     IF(OR('Waste results'!$S$30&lt;&gt;"data missing", 'Waste results'!$S$66&lt;&gt;"data missing"), Calc!BC32*'Waste results'!$S$30+ Calc!BD32*'Waste results'!$S$66, "data missing"),
   IF(Calc!BD32=0,
     IF(OR('Waste results'!$S$30&lt;&gt;"data missing", 'Waste results'!$S$102&lt;&gt;"data missing"), Calc!BC32*'Waste results'!$S$30+ Calc!BE32*'Waste results'!$S$102, "data missing"),
   IF(Calc!BC32=0,
     IF(OR('Waste results'!$S$66&lt;&gt;"data missing", 'Waste results'!$S$102&lt;&gt;"data missing"), Calc!BD32*'Waste results'!$S$66+Calc!BE32*'Waste results'!$S$102, "data missing"),
   IF(OR('Waste results'!$S$30&lt;&gt;"data missing", 'Waste results'!$S$66&lt;&gt;"data missing", 'Waste results'!$S$102&lt;&gt;"data missing"), Calc!BC32*'Waste results'!$S$30+Calc!BD32*'Waste results'!$S$66+ Calc!BE32*'Waste results'!$S$102, "data missing")))))))))))</f>
        <v/>
      </c>
      <c r="BL34" s="241" t="str">
        <f ca="1">IF($B34="","",
IF(ISBLANK('Soil results'!P37),"data missing",'Soil results'!P37))</f>
        <v/>
      </c>
      <c r="BM34" s="241" t="str">
        <f t="shared" ca="1" si="14"/>
        <v/>
      </c>
      <c r="BN34" s="66" t="str">
        <f t="shared" ca="1" si="15"/>
        <v/>
      </c>
      <c r="BP34" s="238" t="str">
        <f ca="1">IF(B34="","",
IF(AND('Field information 2'!$O$5="", 'Field information 2'!$Q$5=""),
   IF('Waste results'!$S$31&lt;&gt;"data missing", Calc!BC32*'Waste results'!$S$31, "data missing"),
IF('Field information 2'!$Q$5="",
   IF(Calc!BD32=0,
     IF('Waste results'!$S$31&lt;&gt;"data missing", Calc!BC32*'Waste results'!$S$31, "data missing"),
   IF(Calc!BC32=0,
     IF('Waste results'!$S$67&lt;&gt;"data missing", Calc!BD32*'Waste results'!$S$67, "data missing"),
   IF(OR('Waste results'!$S$31&lt;&gt;"data missing", 'Waste results'!$S$67&lt;&gt;"data missing"), Calc!BC32*'Waste results'!$S$31+ Calc!BD32*'Waste results'!$S$67, "data missing"))),
IF(AND('Field information 2'!$M$5&lt;&gt;"", 'Field information 2'!$O$5&lt;&gt;"", 'Field information 2'!$Q$5&lt;&gt;""),
   IF(AND(Calc!BD32=0,Calc!BE32=0),
     IF('Waste results'!$S$31&lt;&gt;"data missing", Calc!BC32*'Waste results'!$S$31, "data missing"),
   IF(AND(Calc!BC32=0,Calc!BE32=0),
     IF('Waste results'!$S$67&lt;&gt;"data missing", Calc!BD32*'Waste results'!$S$67, "data missing"),
   IF(AND(Calc!BC32=0,Calc!BD32=0),
     IF('Waste results'!$S$103&lt;&gt;"data missing", Calc!BE32*'Waste results'!$S$103, "data missing"),
   IF(Calc!BE32=0,
     IF(OR('Waste results'!$S$31&lt;&gt;"data missing", 'Waste results'!$S$67&lt;&gt;"data missing"), Calc!BC32*'Waste results'!$S$31+ Calc!BD32*'Waste results'!$S$67, "data missing"),
   IF(Calc!BD32=0,
     IF(OR('Waste results'!$S$31&lt;&gt;"data missing", 'Waste results'!$S$103&lt;&gt;"data missing"), Calc!BC32*'Waste results'!$S$31+ Calc!BE32*'Waste results'!$S$103, "data missing"),
   IF(Calc!BC32=0,
     IF(OR('Waste results'!$S$67&lt;&gt;"data missing", 'Waste results'!$S$103&lt;&gt;"data missing"), Calc!BD32*'Waste results'!$S$67+Calc!BE32*'Waste results'!$S$103, "data missing"),
   IF(OR('Waste results'!$S$31&lt;&gt;"data missing", 'Waste results'!$S$67&lt;&gt;"data missing", 'Waste results'!$S$103&lt;&gt;"data missing"), Calc!BC32*'Waste results'!$S$31+Calc!BD32*'Waste results'!$S$67+ Calc!BE32*'Waste results'!$S$103, "data missing")))))))))))</f>
        <v/>
      </c>
      <c r="BQ34" s="239" t="str">
        <f ca="1">IF($B34="","",
IF(ISBLANK('Soil results'!Q37),"data missing",'Soil results'!Q37))</f>
        <v/>
      </c>
      <c r="BR34" s="239" t="str">
        <f t="shared" ca="1" si="16"/>
        <v/>
      </c>
      <c r="BS34" s="9" t="str">
        <f ca="1">IF(B34="","",
IF(BP34=0,"n/a",
IF(OR(BP34="data missing",BQ34=""),"data missing",
IF(BP34&gt;15,"application rate too high - permissible rate exceeds limit",
IF('Soil results'!F37&lt;=5.5,
  IF(BQ34&gt;200,"no application - soil conc. already above limit",
  IF(BR34&gt;200,"application rate too high - soil conc. will exceed limit",
  IF(BQ34&gt;200*0.9,"soil conc. is at or above 90% of the limit",
  IF(10*BP34*1000/3000+BQ34&gt;200,"soil limit likely to be exceeded in 10yrs",
  IF(50*BP34*1000/3000+BQ34&gt;200,"soil limit likely to be exceeded in 50yrs","ok"))))),
IF('Soil results'!F37&lt;=6,
  IF(BQ34&gt;250,"no application - soil conc. already above limit",
  IF(BR34&gt;250,"application rate too high - soil conc. will exceed limit",
  IF(BQ34&gt;250*0.9,"soil conc. is at or above 90% of the limit",
  IF(10*BP34*1000/3000+BQ34&gt;250,"soil limit likely to be exceeded in 10yrs",
  IF(50*BP34*1000/3000+BQ34&gt;250,"soil limit likely to be exceeded in 50yrs","ok"))))),
IF('Soil results'!F37&lt;=7,
  IF(BQ34&gt;300,"no application - soil conc. already above limit",
  IF(BR34&gt;300,"application rate too high - soil conc. will exceed limit",
  IF(BQ34&gt;300*0.9,"soil conc. is at or above 90% of the limit",
  IF(10*BP34*1000/3000+BQ34&gt;300,"soil limit likey to be exceeded in 10yrs",
  IF(50*BP34*1000/3000+BQ34&gt;300,"soil limit likely to be exceeded in 50yrs","ok"))))),
IF('Soil results'!F37&gt;7,
  IF(BQ34&gt;450,"no application - soil conc. already above limit",
  IF(BR34&gt;450,"application rate too high - soil conc. will exceed limit",
  IF(AW34&gt;450*0.9,"soil conc. is at or above 90% of the limit",
  IF(10*BP34*1000/3000+BQ34&gt;450,"soil limit likely to be exceeded in 10yrs",
  IF(50*BP34*1000/3000+BQ34&gt;450,"soil limit likely to be exceeded in 50yrs","ok")))))
))))))))</f>
        <v/>
      </c>
    </row>
    <row r="35" spans="2:71" s="9" customFormat="1" x14ac:dyDescent="0.35">
      <c r="B35" s="236" t="str">
        <f ca="1">'Soil results'!B38</f>
        <v/>
      </c>
      <c r="C35" s="91" t="str">
        <f ca="1">IF(B35="","",
IF(AND('Field information 2'!$O$5="", 'Field information 2'!$Q$5=""),
   IF('Waste results'!$S$12&lt;&gt;"data missing", Calc!BC33*'Waste results'!$S$12, "data missing"),
IF('Field information 2'!$Q$5="",
   IF(Calc!BD33=0,
     IF('Waste results'!$S$12&lt;&gt;"data missing", Calc!BC33*'Waste results'!$S$12, "data missing"),
   IF(Calc!BC33=0,
     IF('Waste results'!$S$48&lt;&gt;"data missing", Calc!BD33*'Waste results'!$S$48, "data missing"),
   IF(OR('Waste results'!$S$12&lt;&gt;"data missing", 'Waste results'!$S$48&lt;&gt;"data missing"), Calc!BC33*'Waste results'!$S$12+ Calc!BD33*'Waste results'!$S$48, "data missing"))),
IF(AND('Field information 2'!$M$5&lt;&gt;"", 'Field information 2'!$O$5&lt;&gt;"", 'Field information 2'!$Q$5&lt;&gt;""),
   IF(AND(Calc!BD33=0,Calc!BE33=0),
     IF('Waste results'!$S$12&lt;&gt;"data missing", Calc!BC33*'Waste results'!$S$12, "data missing"),
   IF(AND(Calc!BC33=0,Calc!BE33=0),
     IF('Waste results'!$S$48&lt;&gt;"data missing", Calc!BD33*'Waste results'!$S$48, "data missing"),
   IF(AND(Calc!BC33=0,Calc!BD33=0),
     IF('Waste results'!$S$84&lt;&gt;"data missing", Calc!BE33*'Waste results'!$S$84, "data missing"),
   IF(Calc!BE33=0,
     IF(OR('Waste results'!$S$12&lt;&gt;"data missing", 'Waste results'!$S$48&lt;&gt;"data missing"), Calc!BC33*'Waste results'!$S$12+ Calc!BD33*'Waste results'!$S$48, "data missing"),
   IF(Calc!BD33=0,
     IF(OR('Waste results'!$S$12&lt;&gt;"data missing", 'Waste results'!$S$84&lt;&gt;"data missing"), Calc!BC33*'Waste results'!$S$12+ Calc!BE33*'Waste results'!$S$84, "data missing"),
   IF(Calc!BC33=0,
     IF(OR('Waste results'!$S$48&lt;&gt;"data missing", 'Waste results'!$S$84&lt;&gt;"data missing"), Calc!BD33*'Waste results'!$S$48+Calc!BE33*'Waste results'!$S$84, "data missing"),
   IF(OR('Waste results'!$S$12&lt;&gt;"data missing", 'Waste results'!$S$48&lt;&gt;"data missing", 'Waste results'!$S$84&lt;&gt;"data missing"), Calc!BC33*'Waste results'!$S$12+Calc!BD33*'Waste results'!$S$48+ Calc!BE33*'Waste results'!$S$84, "data missing")))))))))))</f>
        <v/>
      </c>
      <c r="D35" s="161" t="str">
        <f ca="1">IF(B35="","",
IF(Calc!BG33="","soil texture missing",
IF(OR(Calc!BG33="SL; SZL; ZL",Calc!BG33="SCL; CL; ZCL; SC; ZC; C"),VLOOKUP(Calc!BI33,'Fertiliser recommendations'!$A$4:$C$63,3,FALSE),
IF(Calc!BG33="S; LS",VLOOKUP(Calc!BI33,'Fertiliser recommendations'!$A$4:$C$63,3,FALSE)+VLOOKUP(Calc!BI33,'Fertiliser recommendations'!$A$4:$D$63,4,FALSE),
IF(Calc!BG33="10-25% OM",VLOOKUP(Calc!BI33,'Fertiliser recommendations'!$A$4:$C$63,3,FALSE)+VLOOKUP(Calc!BI33,'Fertiliser recommendations'!$A$4:$E$63,5,FALSE),
IF(Calc!BG33="&gt;25% OM",VLOOKUP(Calc!BI33,'Fertiliser recommendations'!$A$4:$C$63,3,FALSE)+VLOOKUP(Calc!BI33,'Fertiliser recommendations'!$A$4:$F$63,6,FALSE),
""))))))</f>
        <v/>
      </c>
      <c r="E35" s="91" t="str">
        <f t="shared" ca="1" si="0"/>
        <v/>
      </c>
      <c r="F35" s="9" t="str">
        <f ca="1">IF(B35="","",
IF(OR(C35="data missing",D35="soil texture missing"),"data missing",
IF(Calc!BF33=0,"n/a",
IF(C35&lt;0.1*D35,"no benefit",
IF(C35&lt;0.3*D35,"limited benefit",
IF(C35&gt;250,"exceeds limit",
IF(OR(AND(D35=0,C35&gt;75),C35&gt;1.25*D35),"excessive",
IF(D35=0, "no requirement",
"benefit"))))))))</f>
        <v/>
      </c>
      <c r="H35" s="91" t="str">
        <f ca="1">IF(B35="","",
IF(AND('Field information 2'!$O$5="", 'Field information 2'!$Q$5=""),
   IF('Waste results'!$S$17&lt;&gt;"data missing", Calc!BC33*'Waste results'!$S$17, "data missing"),
IF('Field information 2'!$Q$5="",
   IF(Calc!BD33=0,
     IF('Waste results'!$S$17&lt;&gt;"data missing", Calc!BC33*'Waste results'!$S$17, "data missing"),
   IF(Calc!BC33=0,
     IF('Waste results'!$S$53&lt;&gt;"data missing", Calc!BD33*'Waste results'!$S$53, "data missing"),
   IF(OR('Waste results'!$S$17&lt;&gt;"data missing", 'Waste results'!$S$53&lt;&gt;"data missing"), Calc!BC33*'Waste results'!$S$17+ Calc!BD33*'Waste results'!$S$53, "data missing"))),
IF(AND('Field information 2'!$M$5&lt;&gt;"", 'Field information 2'!$O$5&lt;&gt;"", 'Field information 2'!$Q$5&lt;&gt;""),
   IF(AND(Calc!BD33=0,Calc!BE33=0),
     IF('Waste results'!$S$17&lt;&gt;"data missing", Calc!BC33*'Waste results'!$S$17, "data missing"),
   IF(AND(Calc!BC33=0,Calc!BE33=0),
     IF('Waste results'!$S$53&lt;&gt;"data missing", Calc!BD33*'Waste results'!$S$53, "data missing"),
   IF(AND(Calc!BC33=0,Calc!BD33=0),
     IF('Waste results'!$S$89&lt;&gt;"data missing", Calc!BE33*'Waste results'!$S$89, "data missing"),
   IF(Calc!BE33=0,
     IF(OR('Waste results'!$S$17&lt;&gt;"data missing", 'Waste results'!$S$53&lt;&gt;"data missing"), Calc!BC33*'Waste results'!$S$17+ Calc!BD33*'Waste results'!$S$53, "data missing"),
   IF(Calc!BD33=0,
     IF(OR('Waste results'!$S$17&lt;&gt;"data missing", 'Waste results'!$S$89&lt;&gt;"data missing"), Calc!BC33*'Waste results'!$S$17+ Calc!BE33*'Waste results'!$S$89, "data missing"),
   IF(Calc!BC33=0,
     IF(OR('Waste results'!$S$53&lt;&gt;"data missing", 'Waste results'!$S$89&lt;&gt;"data missing"), Calc!BD33*'Waste results'!$S$53+Calc!BE33*'Waste results'!$S$89, "data missing"),
   IF(OR('Waste results'!$S$17&lt;&gt;"data missing", 'Waste results'!$S$53&lt;&gt;"data missing", 'Waste results'!$S$89&lt;&gt;"data missing"), Calc!BC33*'Waste results'!$S$17+Calc!BD33*'Waste results'!$S$53+ Calc!BE33*'Waste results'!$S$89, "data missing")))))))))))</f>
        <v/>
      </c>
      <c r="I35" s="195" t="str">
        <f ca="1">IF(B35="","",
IF(OR(ISBLANK('Soil results'!G38), ISBLANK('Soil results'!G$7)),"data missing",
IF(OR(AND('Soil results'!G$7="Olsen (ADAS)",'Soil results'!G38&lt;16),AND('Soil results'!G$7="modified Morgan (SAC)",'Soil results'!G38&lt;4.5)),50,100)))</f>
        <v/>
      </c>
      <c r="J35" s="49" t="str">
        <f ca="1">IF(B35="","",
IF(OR(ISBLANK('Soil results'!G$7),ISBLANK('Soil results'!G38)),"data missing",
IF(OR(AND('Soil results'!G$7="Olsen (ADAS)",'Soil results'!G38&gt;45),AND('Soil results'!G$7="modified Morgan (SAC)",'Soil results'!G38&gt;30)),0,
IF(OR(AND('Soil results'!G$7="Olsen (ADAS)",'Soil results'!G38&gt;=16,'Soil results'!G38&lt;=20),AND('Soil results'!G$7="modified Morgan (SAC)",'Soil results'!G38&gt;=4.5,'Soil results'!G38&lt;=9.4)),VLOOKUP(Calc!BI33,'Fertiliser recommendations'!$A$4:$I$63,9,FALSE),
IF(OR(AND('Soil results'!G$7="Olsen (ADAS)",'Soil results'!G38&lt;10),AND('Soil results'!G$7="modified Morgan (SAC)",'Soil results'!G38&lt;1.8)),VLOOKUP(Calc!BI33,'Fertiliser recommendations'!$A$4:$I$63,9,FALSE)+VLOOKUP(Calc!BI33,'Fertiliser recommendations'!$A$4:$J$63,10,FALSE),
IF(OR(AND('Soil results'!G$7="Olsen (ADAS)",'Soil results'!G38&lt;16),AND('Soil results'!G$7="modified Morgan (SAC)",'Soil results'!G38&lt;4.5)),VLOOKUP(Calc!BI33,'Fertiliser recommendations'!$A$4:$I$63,9,FALSE)+VLOOKUP(Calc!BI33,'Fertiliser recommendations'!$A$4:$K$63,11,FALSE),
IF(OR(AND('Soil results'!G$7="Olsen (ADAS)",'Soil results'!G38&lt;26),AND('Soil results'!G$7="modified Morgan (SAC)",'Soil results'!G38&lt;13.5)),VLOOKUP(Calc!BI33,'Fertiliser recommendations'!$A$4:$I$63,9,FALSE)+VLOOKUP(Calc!BI33,'Fertiliser recommendations'!$A$4:$L$63,12,FALSE),
IF(OR(AND('Soil results'!G$7="Olsen (ADAS)",'Soil results'!G38&lt;=45),AND('Soil results'!G$7="modified Morgan (SAC)",'Soil results'!G38&lt;=30)),VLOOKUP(Calc!BI33,'Fertiliser recommendations'!$A$4:$I$63,9,FALSE)+VLOOKUP(Calc!BI33,'Fertiliser recommendations'!$A$4:$M$63,13,FALSE),
""))))))))</f>
        <v/>
      </c>
      <c r="K35" s="161" t="str">
        <f t="shared" ca="1" si="1"/>
        <v/>
      </c>
      <c r="L35" s="47" t="str">
        <f ca="1">IF(OR(ISBLANK('Soil results'!G$7),ISBLANK('Soil results'!G38),B35="", H35="data missing"),"",
IF('Soil results'!G$7="Olsen (ADAS)",
IF(((H35*Calc!BM33/2.291-(VLOOKUP(Calc!BI33,'Fertiliser recommendations'!$A$4:$I$63,9,FALSE))/2.291)*10/(400/2.291)+'Soil results'!G38)&lt;10,"0 (VL)",
IF(((H35*Calc!BM33/2.291-(VLOOKUP(Calc!BI33,'Fertiliser recommendations'!$A$4:$I$63,9,FALSE))/2.291)*10/(400/2.291)+'Soil results'!G38)&lt;16,"1 (L)",
IF(((H35*Calc!BM33/2.291-(VLOOKUP(Calc!BI33,'Fertiliser recommendations'!$A$4:$I$63,9,FALSE))/2.291)*10/(400/2.291)+'Soil results'!G38)&lt;21,"2 (M-)",
IF(((H35*Calc!BM33/2.291-(VLOOKUP(Calc!BI33,'Fertiliser recommendations'!$A$4:$I$63,9,FALSE))/2.291)*10/(400/2.291)+'Soil results'!G38)&lt;26,"2 (M+)",
IF(((H35*Calc!BM33/2.291-(VLOOKUP(Calc!BI33,'Fertiliser recommendations'!$A$4:$I$63,9,FALSE))/2.291)*10/(400/2.291)+'Soil results'!G38)&lt;45,"3 (H)","&gt;3 (VH)"))))),
IF('Soil results'!G$7="modified Morgan (SAC)",
IF('Soil results'!G38&gt;=6,
IF(((H35*Calc!BM33/2.291-(VLOOKUP(Calc!BI33,'Fertiliser recommendations'!$A$4:$I$63,9,FALSE))/2.291)*5/(147/2.291)+'Soil results'!G38)&lt;9.5,"2 (M-)",
IF(((H35*Calc!BM33/2.291-(VLOOKUP(Calc!BI33,'Fertiliser recommendations'!$A$4:$I$63,9,FALSE))/2.291)*5/(147/2.291)+'Soil results'!G38)&lt;13.5,"2 (M+)",
IF(((H35*Calc!BM33/2.291-(VLOOKUP(Calc!BI33,'Fertiliser recommendations'!$A$4:$I$63,9,FALSE))/2.291)*5/(147/2.291)+'Soil results'!G38)&lt;30,"3 (H)","4 (VH)"))),
IF(((H35*Calc!BM33/2.291-(VLOOKUP(Calc!BI33,'Fertiliser recommendations'!$A$4:$I$63,9,FALSE))/2.291)*5/(346/2.291)+'Soil results'!G38)&lt;1.8,"0 (VL)",
IF(((H35*Calc!BM33/2.291-(VLOOKUP(Calc!BI33,'Fertiliser recommendations'!$A$4:$I$63,9,FALSE))/2.291)*5/(147/2.291)+'Soil results'!G38)&lt;4.5,"1 (L)","2 (M-)"))))))</f>
        <v/>
      </c>
      <c r="M35" s="9" t="str">
        <f ca="1">IF(B35="","",
IF(OR(H35="data missing",I35="data missing",J35="data missing"),"data missing",
IF(Calc!BF33=0,"n/a",
IF(OR(AND('Soil results'!G$7="Olsen (ADAS)",'Soil results'!G38&gt;45),AND('Soil results'!G$7="modified Morgan (SAC)",'Soil results'!G38&gt;30)),
IF(H35&gt;2,"too high, not acceptable","no requirement"),IF(OR(AND('Soil results'!G$7="Olsen (ADAS)",'Soil results'!G38&gt;25),AND('Soil results'!G$7="modified Morgan (SAC)",'Soil results'!G38&gt;13.4)),
IF(H35*(I35/100)&lt;0.1*J35,"no benefit",
IF(H35*(I35/100)&lt;0.3*J35,"limited benefit",
IF(H35*(I35/100)&lt;1.1*J35,"benefit",
IF(H35*(I35/100)&lt;0.7*VLOOKUP(Calc!BI33,'Fertiliser recommendations'!$A$4:$I$63,9,FALSE),"excessive","too high, not acceptable")))),
IF(OR(AND('Soil results'!G$7="Olsen (ADAS)",'Soil results'!G38&gt;20),AND('Soil results'!G$7="modified Morgan (SAC)",'Soil results'!G38&gt;9.4)),
IF(H35*Calc!BM33*(I35/100)&lt;0.1*J35,"no benefit",
IF(H35*Calc!BM33*(I35/100)&lt;0.3*J35,"limited benefit",
IF(H35*Calc!BM33*(I35/100)&lt;1.1*J35,"benefit",
IF(L35="3 (H)","too high, not acceptable","excessive")))),
IF(OR(AND('Soil results'!G$7="Olsen (ADAS)",'Soil results'!G38&gt;15),AND('Soil results'!G$7="modified Morgan (SAC)",'Soil results'!G38&gt;4.4)),
IF(H35*Calc!BM33*(I35/100)&lt;0.1*VLOOKUP(Calc!BI33,'Fertiliser recommendations'!$A$4:$I$63,9,FALSE),"no benefit",
IF(H35*Calc!BM33*(I35/100)&lt;0.3*VLOOKUP(Calc!BI33,'Fertiliser recommendations'!$A$4:$I$63,9,FALSE),"limited benefit",
IF(H35*Calc!BM33*(I35/100)&lt;1.1*VLOOKUP(Calc!BI33,'Fertiliser recommendations'!$A$4:$I$63,9,FALSE),"benefit",
IF(L35="3 (H)", "too high, not acceptable", "excessive")))),
IF(OR(AND('Soil results'!G$7="Olsen (ADAS)",'Soil results'!G38&lt;=15),AND('Soil results'!G$7="modified Morgan (SAC)",'Soil results'!G38&lt;=4.4)),
IF(H35*Calc!BM33*(I35/100)&lt;0.1*VLOOKUP(Calc!BI33,'Fertiliser recommendations'!$A$4:$I$63,9,FALSE),"no benefit",
IF(H35*Calc!BM33*(I35/100)&lt;0.3*VLOOKUP(Calc!BI33,'Fertiliser recommendations'!$A$4:$I$63,9,FALSE),"limited benefit",
IF(H35*Calc!BM33*(I35/100)&lt;1.1*J35,"benefit","excessive")))))))))))</f>
        <v/>
      </c>
      <c r="O35" s="91" t="str">
        <f ca="1">IF(B35="","",
IF(AND('Field information 2'!$O$5="", 'Field information 2'!$Q$5=""),
   IF('Waste results'!$S$19&lt;&gt;"data missing", Calc!BC33*'Waste results'!$S$19, "data missing"),
IF('Field information 2'!$Q$5="",
   IF(Calc!BD33=0,
     IF('Waste results'!$S$19&lt;&gt;"data missing", Calc!BC33*'Waste results'!$S$19, "data missing"),
   IF(Calc!BC33=0,
     IF('Waste results'!$S$55&lt;&gt;"data missing", Calc!BD33*'Waste results'!$S$55, "data missing"),
   IF(OR('Waste results'!$S$19&lt;&gt;"data missing", 'Waste results'!$S$55&lt;&gt;"data missing"), Calc!BC33*'Waste results'!$S$19+ Calc!BD33*'Waste results'!$S$55, "data missing"))),
IF(AND('Field information 2'!$M$5&lt;&gt;"", 'Field information 2'!$O$5&lt;&gt;"", 'Field information 2'!$Q$5&lt;&gt;""),
   IF(AND(Calc!BD33=0,Calc!BE33=0),
     IF('Waste results'!$S$19&lt;&gt;"data missing", Calc!BC33*'Waste results'!$S$19, "data missing"),
   IF(AND(Calc!BC33=0,Calc!BE33=0),
     IF('Waste results'!$S$55&lt;&gt;"data missing", Calc!BD33*'Waste results'!$S$55, "data missing"),
   IF(AND(Calc!BC33=0,Calc!BD33=0),
     IF('Waste results'!$S$91&lt;&gt;"data missing", Calc!BE33*'Waste results'!$S$91, "data missing"),
   IF(Calc!BE33=0,
     IF(OR('Waste results'!$S$19&lt;&gt;"data missing", 'Waste results'!$S$55&lt;&gt;"data missing"), Calc!BC33*'Waste results'!$S$19+ Calc!BD33*'Waste results'!$S$55, "data missing"),
   IF(Calc!BD33=0,
     IF(OR('Waste results'!$S$19&lt;&gt;"data missing", 'Waste results'!$S$91&lt;&gt;"data missing"), Calc!BC33*'Waste results'!$S$19+ Calc!BE33*'Waste results'!$S$91, "data missing"),
   IF(Calc!BC33=0,
     IF(OR('Waste results'!$S$55&lt;&gt;"data missing", 'Waste results'!$S$91&lt;&gt;"data missing"), Calc!BD33*'Waste results'!$S$55+Calc!BE33*'Waste results'!$S$91, "data missing"),
   IF(OR('Waste results'!$S$19&lt;&gt;"data missing", 'Waste results'!$S$55&lt;&gt;"data missing", 'Waste results'!$S$91&lt;&gt;"data missing"), Calc!BC33*'Waste results'!$S$19+Calc!BD33*'Waste results'!$S$55+ Calc!BE33*'Waste results'!$S$91, "data missing")))))))))))</f>
        <v/>
      </c>
      <c r="P35" s="91" t="str">
        <f ca="1">IF(B35="","",
IF(OR(ISBLANK('Soil results'!H$7),ISBLANK('Soil results'!H38)),"data missing",
IF(OR(AND('Soil results'!H$7="ammonium nitrate (ADAS)",'Soil results'!H38&gt;400),AND('Soil results'!H$7="modified Morgan (SAC)",'Soil results'!H38&gt;400)),0,
IF(OR(AND('Soil results'!H$7="ammonium nitrate (ADAS)",'Soil results'!H38&gt;=121,'Soil results'!H38&lt;=180),AND('Soil results'!H$7="modified Morgan (SAC)",'Soil results'!H38&gt;=76,'Soil results'!H38&lt;=140)),VLOOKUP(Calc!BI33,'Fertiliser recommendations'!$A$4:$Z$63,26,FALSE),
IF(OR(AND('Soil results'!H$7="ammonium nitrate (ADAS)",'Soil results'!H38&lt;61),AND('Soil results'!H$7="modified Morgan (SAC)",'Soil results'!H38&lt;40)),VLOOKUP(Calc!BI33,'Fertiliser recommendations'!$A$4:$Z$63,26,FALSE)+VLOOKUP(Calc!BI33,'Fertiliser recommendations'!$A$4:$AA$63,27,FALSE),
IF(OR(AND('Soil results'!H$7="ammonium nitrate (ADAS)",'Soil results'!H38&lt;121),AND('Soil results'!H$7="modified Morgan (SAC)",'Soil results'!H38&lt;76)),VLOOKUP(Calc!BI33,'Fertiliser recommendations'!$A$4:$Z$63,26,FALSE)+VLOOKUP(Calc!BI33,'Fertiliser recommendations'!$A$4:$AB$63,28,FALSE),
IF(OR(AND('Soil results'!H$7="ammonium nitrate (ADAS)",'Soil results'!H38&lt;241),AND('Soil results'!H$7="modified Morgan (SAC)",'Soil results'!H38&lt;201)),VLOOKUP(Calc!BI33,'Fertiliser recommendations'!$A$4:$Z$63,26,FALSE)+VLOOKUP(Calc!BI33,'Fertiliser recommendations'!$A$4:$AC$63,29,FALSE),
IF(OR(AND('Soil results'!H$7="ammonium nitrate (ADAS)",'Soil results'!H38&lt;=400),AND('Soil results'!H$7="modified Morgan (SAC)",'Soil results'!H38&lt;=400)),VLOOKUP(Calc!BI33,'Fertiliser recommendations'!$A$4:$Z$63,26,FALSE)+VLOOKUP(Calc!BI33,'Fertiliser recommendations'!$A$4:$AD$63,30,FALSE),
"??"))))))))</f>
        <v/>
      </c>
      <c r="Q35" s="91" t="str">
        <f t="shared" ca="1" si="2"/>
        <v/>
      </c>
      <c r="R35" s="9" t="str">
        <f ca="1">IF(B35="","",
IF(OR(O35="data missing",P35="data missing"),"data missing",
IF(Calc!BF33=0,"n/a",
IF(P35=0, "no requirement",
IF(O35&lt;0.1*P35,"no benefit",
IF(O35&lt;0.3*P35,"limited benefit",
IF(O35&gt;1.25*P35,"excessive",
"benefit")))))))</f>
        <v/>
      </c>
      <c r="T35" s="91" t="str">
        <f ca="1">IF(B35="","",
IF(AND('Field information 2'!$O$5="", 'Field information 2'!$Q$5=""),
   IF('Waste results'!$S$21&lt;&gt;"data missing", Calc!BC33*'Waste results'!$S$21, "data missing"),
IF('Field information 2'!$Q$5="",
   IF(Calc!BD33=0,
     IF('Waste results'!$S$21&lt;&gt;"data missing", Calc!BC33*'Waste results'!$S$21, "data missing"),
   IF(Calc!BC33=0,
     IF('Waste results'!$S$57&lt;&gt;"data missing", Calc!BD33*'Waste results'!$S$57, "data missing"),
   IF(OR('Waste results'!$S$21&lt;&gt;"data missing", 'Waste results'!$S$57&lt;&gt;"data missing"), Calc!BC33*'Waste results'!$S$21+ Calc!BD33*'Waste results'!$S$57, "data missing"))),
IF(AND('Field information 2'!$M$5&lt;&gt;"", 'Field information 2'!$O$5&lt;&gt;"", 'Field information 2'!$Q$5&lt;&gt;""),
   IF(AND(Calc!BD33=0,Calc!BE33=0),
     IF('Waste results'!$S$21&lt;&gt;"data missing", Calc!BC33*'Waste results'!$S$21, "data missing"),
   IF(AND(Calc!BC33=0,Calc!BE33=0),
     IF('Waste results'!$S$57&lt;&gt;"data missing", Calc!BD33*'Waste results'!$S$57, "data missing"),
   IF(AND(Calc!BC33=0,Calc!BD33=0),
     IF('Waste results'!$S$93&lt;&gt;"data missing", Calc!BE33*'Waste results'!$S$93, "data missing"),
   IF(Calc!BE33=0,
     IF(OR('Waste results'!$S$21&lt;&gt;"data missing", 'Waste results'!$S$57&lt;&gt;"data missing"), Calc!BC33*'Waste results'!$S$21+ Calc!BD33*'Waste results'!$S$57, "data missing"),
   IF(Calc!BD33=0,
     IF(OR('Waste results'!$S$21&lt;&gt;"data missing", 'Waste results'!$S$93&lt;&gt;"data missing"), Calc!BC33*'Waste results'!$S$21+ Calc!BE33*'Waste results'!$S$93, "data missing"),
   IF(Calc!BC33=0,
     IF(OR('Waste results'!$S$57&lt;&gt;"data missing", 'Waste results'!$S$93&lt;&gt;"data missing"), Calc!BD33*'Waste results'!$S$57+Calc!BE33*'Waste results'!$S$93, "data missing"),
   IF(OR('Waste results'!$S$21&lt;&gt;"data missing", 'Waste results'!$S$57&lt;&gt;"data missing", 'Waste results'!$S$93&lt;&gt;"data missing"), Calc!BC33*'Waste results'!$S$21+Calc!BD33*'Waste results'!$S$57+ Calc!BE33*'Waste results'!$S$93, "data missing")))))))))))</f>
        <v/>
      </c>
      <c r="U35" s="7" t="str">
        <f ca="1">IF(B35="","",
IF(OR(ISBLANK('Soil results'!I$7),ISBLANK('Soil results'!I38)),"data missing",
IF(OR(AND('Soil results'!I$7="ammonium nitrate (ADAS)",'Soil results'!I38&gt;51),AND('Soil results'!I$7="modified Morgan (SAC)",'Soil results'!I38&gt;61)),0,
IF(OR(AND('Soil results'!I$7="ammonium nitrate (ADAS)",'Soil results'!I38&lt;25),AND('Soil results'!I$7="modified Morgan (SAC)",'Soil results'!I38&lt;19)),VLOOKUP(Calc!BI33,'Fertiliser recommendations'!$A$4:$AH$63,34,FALSE),
IF(OR(AND('Soil results'!I$7="ammonium nitrate (ADAS)",'Soil results'!I38&lt;=51),AND('Soil results'!I$7="modified Morgan (SAC)",'Soil results'!I38&lt;=61)),VLOOKUP(Calc!BI33,'Fertiliser recommendations'!$A$4:$AI$63,35,FALSE),
"")))))</f>
        <v/>
      </c>
      <c r="V35" s="91" t="str">
        <f t="shared" ca="1" si="3"/>
        <v/>
      </c>
      <c r="W35" s="9" t="str">
        <f ca="1">IF(B35="","",
IF(OR(T35="data missing",U35="data missing"),"data missing",
IF(Calc!BF33=0,"n/a",
IF(U35=0,"no requirement",
IF(T35&lt;0.1*U35,"no benefit",
IF(T35&lt;0.3*U35,"limited benefit",
IF(OR(T35&gt;1.5*U35,AND(Calc!BJ33="g",T35&gt;100)),"excessive",
"benefit")))))))</f>
        <v/>
      </c>
      <c r="Y35" s="91" t="str">
        <f ca="1">IF(B35="","",
IF(AND('Field information 2'!$O$5="", 'Field information 2'!$Q$5=""),
   IF('Waste results'!$P$23&lt;&gt;"", Calc!BC33*'Waste results'!$P$23, "no data"),
IF('Field information 2'!$Q$5="",
   IF(Calc!BD33=0,
     IF('Waste results'!$P$23&lt;&gt;"", Calc!BC33*'Waste results'!$P$23, "no data"),
   IF(Calc!BC33=0,
     IF('Waste results'!$P$59&lt;&gt;"", Calc!BD33*'Waste results'!$P$59, "no data"),
   IF(OR('Waste results'!$P$23&lt;&gt;"", 'Waste results'!$P$59&lt;&gt;""), Calc!BC33*'Waste results'!$P$23+ Calc!BD33*'Waste results'!$P$59, "no data"))),
IF(AND('Field information 2'!$M$5&lt;&gt;"", 'Field information 2'!$O$5&lt;&gt;"", 'Field information 2'!$Q$5&lt;&gt;""),
   IF(AND(Calc!BD33=0,Calc!BE33=0),
     IF('Waste results'!$P$23&lt;&gt;"", Calc!BC33*'Waste results'!$P$23, "no data"),
   IF(AND(Calc!BC33=0,Calc!BE33=0),
     IF('Waste results'!$P$59&lt;&gt;"", Calc!BD33*'Waste results'!$P$59, "no data"),
   IF(AND(Calc!BC33=0,Calc!BD33=0),
     IF('Waste results'!$P$95&lt;&gt;"", Calc!BE33*'Waste results'!$P$95, "no data"),
   IF(Calc!BE33=0,
     IF(OR('Waste results'!$P$23&lt;&gt;"", 'Waste results'!$P$59&lt;&gt;""), Calc!BC33*'Waste results'!$P$23+ Calc!BD33*'Waste results'!$P$59, "no data"),
   IF(Calc!BD33=0,
     IF(OR('Waste results'!$P$23&lt;&gt;"", 'Waste results'!$P$95&lt;&gt;""), Calc!BC33*'Waste results'!$P$23+ Calc!BE33*'Waste results'!$P$95, "no data"),
   IF(Calc!BC33=0,
     IF(OR('Waste results'!$P$59&lt;&gt;"", 'Waste results'!$P$95&lt;&gt;""), Calc!BD33*'Waste results'!$P$59+Calc!BE33*'Waste results'!$P$95, "no data"),
   IF(OR('Waste results'!$P$23&lt;&gt;"", 'Waste results'!$P$59&lt;&gt;"", 'Waste results'!$P$95&lt;&gt;""), Calc!BC33*'Waste results'!$P$23+Calc!BD33*'Waste results'!$P$59+ Calc!BE33*'Waste results'!$P$95, "no data")))))))))))</f>
        <v/>
      </c>
      <c r="Z35" s="7" t="str">
        <f ca="1">IF(OR(ISBLANK('Soil results'!I$7),ISBLANK('Soil results'!I38),'Soil results'!B38=""),"",
VLOOKUP(Calc!BI33,'Fertiliser recommendations'!$A$4:$AM$63,39,FALSE))</f>
        <v/>
      </c>
      <c r="AA35" s="91" t="str">
        <f t="shared" ca="1" si="4"/>
        <v/>
      </c>
      <c r="AB35" s="9" t="str">
        <f t="shared" ca="1" si="5"/>
        <v/>
      </c>
      <c r="AD35" s="48" t="str">
        <f>IF(ISBLANK('Soil results'!F38),"",'Soil results'!F38)</f>
        <v/>
      </c>
      <c r="AE35" s="49" t="str">
        <f ca="1">IF(B35="","",
IF(AND(Calc!BJ33="g", VLOOKUP(LEFT($B35,LEN($B35)-2),'Field information 2'!$B$12:$P$111,9,FALSE)&lt;&gt;"yes"),
 IF(Calc!BG33="10-25% OM", 5.9, IF(Calc!BG33="&gt;25% OM", 5.5, 6.2)),
IF(OR(Calc!BJ33="a", VLOOKUP(LEFT($B35,LEN($B35)-2),'Field information 2'!$B$12:$P$111,9,FALSE)="yes"),
 IF(Calc!BG33="10-25% OM", 6.4, IF(Calc!BG33="&gt;25% OM", 6, 6.7)), "")))</f>
        <v/>
      </c>
      <c r="AF35" s="91" t="str">
        <f ca="1">IF(B35="","",
IF('Waste results'!$Q$33="","no (significant) liming properties",
IF('Waste results'!Q$33&gt;100,"no (significant) liming properties",
IF(AD35="","",
IF(AD35&gt;=AE35,0,ROUNDDOWN((AE35-AD35)*Calc!BK33*'Waste results'!$Q$33+0.2,0))))))</f>
        <v/>
      </c>
      <c r="AG35" s="9" t="str">
        <f ca="1">IF(B35="","",
IF(T35=0,"n/a",
IF(AD35="","data missing",
IF(AND(AD35&lt;5,AF35="no (significant) liming properties"),"no waste application - pH too low",
IF(AND(AD35&gt;5.1,AF35="no (significant) liming properties",Calc!BH33&gt;25, LEFT(Calc!BI33,4)="graz"),"ok",
IF(AND(AD35&lt;=5.2,AF35="no (significant) liming properties"),"liming highly recommended",
IF(AF35=0,"no waste application - liming not required",
IF(AF35&lt;Calc!BC33,"application rate too high - exceeds liming requirement",
"ok"))))))))</f>
        <v/>
      </c>
      <c r="AI35" s="91" t="str">
        <f ca="1">IF(B35="","",
IF(AND('Field information 2'!$O$5="", 'Field information 2'!$Q$5=""),
   IF('Waste results'!$P$10&lt;&gt;"data missing", Calc!BC33*'Waste results'!$P$10, "data missing"),
IF('Field information 2'!$Q$5="",
   IF(Calc!BD33=0,
     IF('Waste results'!$P$10&lt;&gt;"data missing", Calc!BC33*'Waste results'!$P$10, "data missing"),
   IF(Calc!BC33=0,
     IF('Waste results'!$P$45&lt;&gt;"data missing", Calc!BD33*'Waste results'!$P$45, "data missing"),
   IF(OR('Waste results'!$P$10&lt;&gt;"data missing", 'Waste results'!$P$45&lt;&gt;"data missing"), Calc!BC33*'Waste results'!$P$10+ Calc!BD33*'Waste results'!$P$45, "data missing"))),
IF(AND('Field information 2'!$M$5&lt;&gt;"", 'Field information 2'!$O$5&lt;&gt;"", 'Field information 2'!$Q$5&lt;&gt;""),
   IF(AND(Calc!BD33=0,Calc!BE33=0),
     IF('Waste results'!$P$10&lt;&gt;"data missing", Calc!BC33*'Waste results'!$P$10, "data missing"),
   IF(AND(Calc!BC33=0,Calc!BE33=0),
     IF('Waste results'!$P$45&lt;&gt;"data missing", Calc!BD33*'Waste results'!$P$45, "data missing"),
   IF(AND(Calc!BC33=0,Calc!BD33=0),
     IF('Waste results'!$P$82&lt;&gt;"data missing", Calc!BE33*'Waste results'!$P$82, "data missing"),
   IF(Calc!BE33=0,
     IF(OR('Waste results'!$P$10&lt;&gt;"data missing", 'Waste results'!$P$45&lt;&gt;"data missing"), Calc!BC33*'Waste results'!$P$10+ Calc!BD33*'Waste results'!$P$45, "data missing"),
   IF(Calc!BD33=0,
     IF(OR('Waste results'!$P$10&lt;&gt;"data missing", 'Waste results'!$P$82&lt;&gt;"data missing"), Calc!BC33*'Waste results'!$P$10+ Calc!BE33*'Waste results'!$P$82, "data missing"),
   IF(Calc!BC33=0,
     IF(OR('Waste results'!$P$45&lt;&gt;"data missing", 'Waste results'!$P$82&lt;&gt;"data missing"), Calc!BD33*'Waste results'!$P$45+Calc!BE33*'Waste results'!$P$82, "data missing"),
   IF(OR('Waste results'!$P$10&lt;&gt;"data missing", 'Waste results'!$P$45&lt;&gt;"data missing", 'Waste results'!$P$82&lt;&gt;"data missing"), Calc!BC33*'Waste results'!$P$10+Calc!BD33*'Waste results'!$P$45+ Calc!BE33*'Waste results'!$P$82, "data missing")))))))))))</f>
        <v/>
      </c>
      <c r="AJ35" s="237" t="str">
        <f ca="1">IF(B35="","",
IF(AI35="data missing","data missing",
IF(Calc!BF33=0,"n/a",
IF(AND(Calc!BH33&gt;=8,AI35&lt;500),"no benefit",
IF(OR(AND(Calc!BH33&lt;=4,AI35&gt;=500),AND(Calc!BH33&lt;8,AI35&gt;5000)),"benefit",
"limited benefit")))))</f>
        <v/>
      </c>
      <c r="AL35" s="238" t="str">
        <f ca="1">IF(B35="","",
IF(AND('Field information 2'!$O$5="", 'Field information 2'!$Q$5=""),
   IF('Waste results'!$S$25&lt;&gt;"data missing", Calc!BC33*'Waste results'!$S$25, "data missing"),
IF('Field information 2'!$Q$5="",
   IF(Calc!BD33=0,
     IF('Waste results'!$S$25&lt;&gt;"data missing", Calc!BC33*'Waste results'!$S$25, "data missing"),
   IF(Calc!BC33=0,
     IF('Waste results'!$S$61&lt;&gt;"data missing", Calc!BD33*'Waste results'!$S$61, "data missing"),
   IF(OR('Waste results'!$S$25&lt;&gt;"data missing", 'Waste results'!$S$61&lt;&gt;"data missing"), Calc!BC33*'Waste results'!$S$25+ Calc!BD33*'Waste results'!$S$61, "data missing"))),
IF(AND('Field information 2'!$M$5&lt;&gt;"", 'Field information 2'!$O$5&lt;&gt;"", 'Field information 2'!$Q$5&lt;&gt;""),
   IF(AND(Calc!BD33=0,Calc!BE33=0),
     IF('Waste results'!$S$25&lt;&gt;"data missing", Calc!BC33*'Waste results'!$S$25, "data missing"),
   IF(AND(Calc!BC33=0,Calc!BE33=0),
     IF('Waste results'!$S$61&lt;&gt;"data missing", Calc!BD33*'Waste results'!$S$61, "data missing"),
   IF(AND(Calc!BC33=0,Calc!BD33=0),
     IF('Waste results'!$S$97&lt;&gt;"data missing", Calc!BE33*'Waste results'!$S$97, "data missing"),
   IF(Calc!BE33=0,
     IF(OR('Waste results'!$S$25&lt;&gt;"data missing", 'Waste results'!$S$61&lt;&gt;"data missing"), Calc!BC33*'Waste results'!$S$25+ Calc!BD33*'Waste results'!$S$61, "data missing"),
   IF(Calc!BD33=0,
     IF(OR('Waste results'!$S$25&lt;&gt;"data missing", 'Waste results'!$S$97&lt;&gt;"data missing"), Calc!BC33*'Waste results'!$S$25+ Calc!BE33*'Waste results'!$S$97, "data missing"),
   IF(Calc!BC33=0,
     IF(OR('Waste results'!$S$61&lt;&gt;"data missing", 'Waste results'!$S$97&lt;&gt;"data missing"), Calc!BD33*'Waste results'!$S$61+Calc!BE33*'Waste results'!$S$97, "data missing"),
   IF(OR('Waste results'!$S$25&lt;&gt;"data missing", 'Waste results'!$S$61&lt;&gt;"data missing", 'Waste results'!$S$97&lt;&gt;"data missing"), Calc!BC33*'Waste results'!$S$25+Calc!BD33*'Waste results'!$S$61+ Calc!BE33*'Waste results'!$S$97, "data missing")))))))))))</f>
        <v/>
      </c>
      <c r="AM35" s="239" t="str">
        <f ca="1">IF($B35="","",
IF(ISBLANK('Soil results'!K38),"data missing",'Soil results'!K38))</f>
        <v/>
      </c>
      <c r="AN35" s="239" t="str">
        <f t="shared" ca="1" si="6"/>
        <v/>
      </c>
      <c r="AO35" s="9" t="str">
        <f t="shared" ca="1" si="7"/>
        <v/>
      </c>
      <c r="AQ35" s="240" t="str">
        <f ca="1">IF(B35="","",
IF(AND('Field information 2'!$O$5="", 'Field information 2'!$Q$5=""),
   IF('Waste results'!$S$26&lt;&gt;"data missing", Calc!BC33*'Waste results'!$S$26, "data missing"),
IF('Field information 2'!$Q$5="",
   IF(Calc!BD33=0,
     IF('Waste results'!$S$26&lt;&gt;"data missing", Calc!BC33*'Waste results'!$S$26, "data missing"),
   IF(Calc!BC33=0,
     IF('Waste results'!$S$62&lt;&gt;"data missing", Calc!BD33*'Waste results'!$S$62, "data missing"),
   IF(OR('Waste results'!$S$26&lt;&gt;"data missing", 'Waste results'!$S$62&lt;&gt;"data missing"), Calc!BC33*'Waste results'!$S$26+ Calc!BD33*'Waste results'!$S$62, "data missing"))),
IF(AND('Field information 2'!$M$5&lt;&gt;"", 'Field information 2'!$O$5&lt;&gt;"", 'Field information 2'!$Q$5&lt;&gt;""),
   IF(AND(Calc!BD33=0,Calc!BE33=0),
     IF('Waste results'!$S$26&lt;&gt;"data missing", Calc!BC33*'Waste results'!$S$26, "data missing"),
   IF(AND(Calc!BC33=0,Calc!BE33=0),
     IF('Waste results'!$S$62&lt;&gt;"data missing", Calc!BD33*'Waste results'!$S$62, "data missing"),
   IF(AND(Calc!BC33=0,Calc!BD33=0),
     IF('Waste results'!$S$98&lt;&gt;"data missing", Calc!BE33*'Waste results'!$S$98, "data missing"),
   IF(Calc!BE33=0,
     IF(OR('Waste results'!$S$26&lt;&gt;"data missing", 'Waste results'!$S$62&lt;&gt;"data missing"), Calc!BC33*'Waste results'!$S$26+ Calc!BD33*'Waste results'!$S$62, "data missing"),
   IF(Calc!BD33=0,
     IF(OR('Waste results'!$S$26&lt;&gt;"data missing", 'Waste results'!$S$98&lt;&gt;"data missing"), Calc!BC33*'Waste results'!$S$26+ Calc!BE33*'Waste results'!$S$98, "data missing"),
   IF(Calc!BC33=0,
     IF(OR('Waste results'!$S$62&lt;&gt;"data missing", 'Waste results'!$S$98&lt;&gt;"data missing"), Calc!BD33*'Waste results'!$S$62+Calc!BE33*'Waste results'!$S$98, "data missing"),
   IF(OR('Waste results'!$S$26&lt;&gt;"data missing", 'Waste results'!$S$62&lt;&gt;"data missing", 'Waste results'!$S$98&lt;&gt;"data missing"), Calc!BC33*'Waste results'!$S$26+Calc!BD33*'Waste results'!$S$62+ Calc!BE33*'Waste results'!$S$98, "data missing")))))))))))</f>
        <v/>
      </c>
      <c r="AR35" s="241" t="str">
        <f ca="1">IF($B35="","",
IF(ISBLANK('Soil results'!L38),"data missing",'Soil results'!L38))</f>
        <v/>
      </c>
      <c r="AS35" s="241" t="str">
        <f t="shared" ca="1" si="8"/>
        <v/>
      </c>
      <c r="AT35" s="66" t="str">
        <f t="shared" ca="1" si="9"/>
        <v/>
      </c>
      <c r="AV35" s="238" t="str">
        <f ca="1">IF(B35="","",
IF(AND('Field information 2'!$O$5="", 'Field information 2'!$Q$5=""),
   IF('Waste results'!$S$27&lt;&gt;"data missing", Calc!BC33*'Waste results'!$S$27, "data missing"),
IF('Field information 2'!$Q$5="",
   IF(Calc!BD33=0,
     IF('Waste results'!$S$27&lt;&gt;"data missing", Calc!BC33*'Waste results'!$S$27, "data missing"),
   IF(Calc!BC33=0,
     IF('Waste results'!$S$63&lt;&gt;"data missing", Calc!BD33*'Waste results'!$S$63, "data missing"),
   IF(OR('Waste results'!$S$27&lt;&gt;"data missing", 'Waste results'!$S$63&lt;&gt;"data missing"), Calc!BC33*'Waste results'!$S$27+ Calc!BD33*'Waste results'!$S$63, "data missing"))),
IF(AND('Field information 2'!$M$5&lt;&gt;"", 'Field information 2'!$O$5&lt;&gt;"", 'Field information 2'!$Q$5&lt;&gt;""),
   IF(AND(Calc!BD33=0,Calc!BE33=0),
     IF('Waste results'!$S$27&lt;&gt;"data missing", Calc!BC33*'Waste results'!$S$27, "data missing"),
   IF(AND(Calc!BC33=0,Calc!BE33=0),
     IF('Waste results'!$S$63&lt;&gt;"data missing", Calc!BD33*'Waste results'!$S$63, "data missing"),
   IF(AND(Calc!BC33=0,Calc!BD33=0),
     IF('Waste results'!$S$99&lt;&gt;"data missing", Calc!BE33*'Waste results'!$S$99, "data missing"),
   IF(Calc!BE33=0,
     IF(OR('Waste results'!$S$27&lt;&gt;"data missing", 'Waste results'!$S$63&lt;&gt;"data missing"), Calc!BC33*'Waste results'!$S$27+ Calc!BD33*'Waste results'!$S$63, "data missing"),
   IF(Calc!BD33=0,
     IF(OR('Waste results'!$S$27&lt;&gt;"data missing", 'Waste results'!$S$99&lt;&gt;"data missing"), Calc!BC33*'Waste results'!$S$27+ Calc!BE33*'Waste results'!$S$99, "data missing"),
   IF(Calc!BC33=0,
     IF(OR('Waste results'!$S$63&lt;&gt;"data missing", 'Waste results'!$S$99&lt;&gt;"data missing"), Calc!BD33*'Waste results'!$S$63+Calc!BE33*'Waste results'!$S$99, "data missing"),
   IF(OR('Waste results'!$S$27&lt;&gt;"data missing", 'Waste results'!$S$63&lt;&gt;"data missing", 'Waste results'!$S$99&lt;&gt;"data missing"), Calc!BC33*'Waste results'!$S$27+Calc!BD33*'Waste results'!$S$63+ Calc!BE33*'Waste results'!$S$99, "data missing")))))))))))</f>
        <v/>
      </c>
      <c r="AW35" s="239" t="str">
        <f ca="1">IF($B35="","",
IF(ISBLANK('Soil results'!M38),"data missing",'Soil results'!M38))</f>
        <v/>
      </c>
      <c r="AX35" s="239" t="str">
        <f t="shared" ca="1" si="10"/>
        <v/>
      </c>
      <c r="AY35" s="9" t="str">
        <f ca="1">IF(B35="","",
IF(AV35=0,"n/a",
IF(OR(AV35="data missing",AW35="data missing"),"data missing",
IF(AV35&gt;7.5,"application rate too high - permissible rate exceeds limit",
IF('Soil results'!$F38&lt;=5.5,
  IF(AW35&gt;80,"no application - soil conc. already above limit",
  IF(AX35&gt;80,"application rate too high - soil conc. will exceed limit",
  IF(AW35&gt;80*0.9,"soil conc. is at or above 90% of the limit",
  IF(10*AV35*1000/3000+AW35&gt;80,"soil limit likely to be exceeded in 10yrs",
  IF(50*AV35*1000/3000+AW35&gt;80,"soil limit likely to be exceeded in 50yrs","ok"))))),
IF('Soil results'!$F38&lt;=6,
  IF(AW35&gt;100,"no application - soil conc. already above limit",
  IF(AX35&gt;100,"application rate too high - soil conc. will exceed limit",
  IF(AW35&gt;100*0.9,"soil conc. is at or above 90% of the limit",
  IF(10*AV35*1000/3000+AW35&gt;100,"soil limit likely to be exceeded in 10yrs",
  IF(50*AV35*1000/3000+AW35&gt;100,"soil limit likely to be exceeded in 50yrs","ok"))))),
IF('Soil results'!$F38&lt;=7,
  IF(AW35&gt;135,"no application - soil conc. already above limit",
  IF(AX35&gt;135,"application rate too high - soil conc. will exceed limit",
  IF(AW35&gt;135*0.9,"soil conc. is at or above 90% of the limit",
  IF(10*AV35*1000/3000+AW35&gt;135,"soil limit likely to be exceeded in 10yrs",
  IF(50*AV35*1000/3000+AW35&gt;135,"soil limit likely to be exceeded in 50yrs","ok"))))),
IF('Soil results'!$F38&gt;7,
  IF(AW35&gt;200,"no application - soil conc. already above limit",
  IF(AX35&gt;200,"application too high - soil conc. will exceed limit",
  IF(AW35&gt;200*0.9,"soil conc. is at or above 90% of the limit",
  IF(10*AV35*1000/3000+AW35&gt;200,"soil limit likely to be exceeded in 10yrs",
  IF(50*AV35*1000/3000+AW35&gt;200,"soil limit likely to be exceeded in 50yrs","ok")))))
))))))))</f>
        <v/>
      </c>
      <c r="BA35" s="238" t="str">
        <f ca="1">IF(B35="","",
IF(AND('Field information 2'!$O$5="", 'Field information 2'!$Q$5=""),
   IF('Waste results'!$S$28&lt;&gt;"data missing", Calc!BC33*'Waste results'!$S$28, "data missing"),
IF('Field information 2'!$Q$5="",
   IF(Calc!BD33=0,
     IF('Waste results'!$S$28&lt;&gt;"data missing", Calc!BC33*'Waste results'!$S$28, "data missing"),
   IF(Calc!BC33=0,
     IF('Waste results'!$S$64&lt;&gt;"data missing", Calc!BD33*'Waste results'!$S$64, "data missing"),
   IF(OR('Waste results'!$S$28&lt;&gt;"data missing", 'Waste results'!$S$64&lt;&gt;"data missing"), Calc!BC33*'Waste results'!$S$28+ Calc!BD33*'Waste results'!$S$64, "data missing"))),
IF(AND('Field information 2'!$M$5&lt;&gt;"", 'Field information 2'!$O$5&lt;&gt;"", 'Field information 2'!$Q$5&lt;&gt;""),
   IF(AND(Calc!BD33=0,Calc!BE33=0),
     IF('Waste results'!$S$28&lt;&gt;"data missing", Calc!BC33*'Waste results'!$S$28, "data missing"),
   IF(AND(Calc!BC33=0,Calc!BE33=0),
     IF('Waste results'!$S$64&lt;&gt;"data missing", Calc!BD33*'Waste results'!$S$64, "data missing"),
   IF(AND(Calc!BC33=0,Calc!BD33=0),
     IF('Waste results'!$S$100&lt;&gt;"data missing", Calc!BE33*'Waste results'!$S$100, "data missing"),
   IF(Calc!BE33=0,
     IF(OR('Waste results'!$S$28&lt;&gt;"data missing", 'Waste results'!$S$64&lt;&gt;"data missing"), Calc!BC33*'Waste results'!$S$28+ Calc!BD33*'Waste results'!$S$64, "data missing"),
   IF(Calc!BD33=0,
     IF(OR('Waste results'!$S$28&lt;&gt;"data missing", 'Waste results'!$S$100&lt;&gt;"data missing"), Calc!BC33*'Waste results'!$S$28+ Calc!BE33*'Waste results'!$S$100, "data missing"),
   IF(Calc!BC33=0,
     IF(OR('Waste results'!$S$64&lt;&gt;"data missing", 'Waste results'!$S$100&lt;&gt;"data missing"), Calc!BD33*'Waste results'!$S$64+Calc!BE33*'Waste results'!$S$100, "data missing"),
   IF(OR('Waste results'!$S$28&lt;&gt;"data missing", 'Waste results'!$S$64&lt;&gt;"data missing", 'Waste results'!$S$100&lt;&gt;"data missing"), Calc!BC33*'Waste results'!$S$28+Calc!BD33*'Waste results'!$S$64+ Calc!BE33*'Waste results'!$S$100, "data missing")))))))))))</f>
        <v/>
      </c>
      <c r="BB35" s="239" t="str">
        <f ca="1">IF($B35="","",
IF(ISBLANK('Soil results'!N38),"data missing",'Soil results'!N38))</f>
        <v/>
      </c>
      <c r="BC35" s="239" t="str">
        <f t="shared" ca="1" si="11"/>
        <v/>
      </c>
      <c r="BD35" s="9" t="str">
        <f t="shared" ca="1" si="12"/>
        <v/>
      </c>
      <c r="BF35" s="238" t="str">
        <f ca="1">IF(B35="","",
IF(AND('Field information 2'!$O$5="", 'Field information 2'!$Q$5=""),
   IF('Waste results'!$S$29&lt;&gt;"data missing", Calc!BC33*'Waste results'!$S$29, "data missing"),
IF('Field information 2'!$Q$5="",
   IF(Calc!BD33=0,
     IF('Waste results'!$S$29&lt;&gt;"data missing", Calc!BC33*'Waste results'!$S$29, "data missing"),
   IF(Calc!BC33=0,
     IF('Waste results'!$S$65&lt;&gt;"data missing", Calc!BD33*'Waste results'!$S$65, "data missing"),
   IF(OR('Waste results'!$S$29&lt;&gt;"data missing", 'Waste results'!$S$65&lt;&gt;"data missing"), Calc!BC33*'Waste results'!$S$29+ Calc!BD33*'Waste results'!$S$65, "data missing"))),
IF(AND('Field information 2'!$M$5&lt;&gt;"", 'Field information 2'!$O$5&lt;&gt;"", 'Field information 2'!$Q$5&lt;&gt;""),
   IF(AND(Calc!BD33=0,Calc!BE33=0),
     IF('Waste results'!$S$29&lt;&gt;"data missing", Calc!BC33*'Waste results'!$S$29, "data missing"),
   IF(AND(Calc!BC33=0,Calc!BE33=0),
     IF('Waste results'!$S$65&lt;&gt;"data missing", Calc!BD33*'Waste results'!$S$65, "data missing"),
   IF(AND(Calc!BC33=0,Calc!BD33=0),
     IF('Waste results'!$S$101&lt;&gt;"data missing", Calc!BE33*'Waste results'!$S$101, "data missing"),
   IF(Calc!BE33=0,
     IF(OR('Waste results'!$S$29&lt;&gt;"data missing", 'Waste results'!$S$65&lt;&gt;"data missing"), Calc!BC33*'Waste results'!$S$29+ Calc!BD33*'Waste results'!$S$65, "data missing"),
   IF(Calc!BD33=0,
     IF(OR('Waste results'!$S$29&lt;&gt;"data missing", 'Waste results'!$S$101&lt;&gt;"data missing"), Calc!BC33*'Waste results'!$S$29+ Calc!BE33*'Waste results'!$S$101, "data missing"),
   IF(Calc!BC33=0,
     IF(OR('Waste results'!$S$65&lt;&gt;"data missing", 'Waste results'!$S$101&lt;&gt;"data missing"), Calc!BD33*'Waste results'!$S$65+Calc!BE33*'Waste results'!$S$101, "data missing"),
   IF(OR('Waste results'!$S$29&lt;&gt;"data missing", 'Waste results'!$S$65&lt;&gt;"data missing", 'Waste results'!$S$101&lt;&gt;"data missing"), Calc!BC33*'Waste results'!$S$29+Calc!BD33*'Waste results'!$S$65+ Calc!BE33*'Waste results'!$S$101, "data missing")))))))))))</f>
        <v/>
      </c>
      <c r="BG35" s="239" t="str">
        <f ca="1">IF($B35="","",
IF(ISBLANK('Soil results'!O38),"data missing",'Soil results'!O38))</f>
        <v/>
      </c>
      <c r="BH35" s="239" t="str">
        <f t="shared" ca="1" si="13"/>
        <v/>
      </c>
      <c r="BI35" s="9" t="str">
        <f ca="1">IF(B35="","",
IF(BF35=0,"n/a",
IF(OR(BF35="data missing",BG35="data missing"),"data missing",
IF(BF35&gt;3,"application rate too high - permissible rate exceeds limit",
IF('Soil results'!F38&lt;=5.5,
  IF(BG35&gt;50,"no application - soil conc. already above limit",
  IF(BH35&gt;50,"application rate too high - soil conc. will exceed limit",
  IF(BG35&gt;50*0.9,"soil conc. is at or above 90% of the limit",
  IF(10*BF35*1000/3000+BG35&gt;50,"soil limit likely to be exceeded in 10yrs",
  IF(50*BF35*1000/3000+BG35&gt;50,"soil limit likely to be exceeded in 50yrs","ok"))))),
IF('Soil results'!F38&lt;=6,
  IF(BG35&gt;60,"no application - soil conc. already above limit",
  IF(BH35&gt;60,"application rate too high - soil conc. will exceed limit",
  IF(BG35&gt;60*0.9,"soil conc. is at or above 90% of the limit",
  IF(10*BF35*1000/3000+BG35&gt;60,"soil limit likely to be exceeded in 10yrs",
  IF(50*BF35*1000/3000+BG35&gt;60,"soil limit likely to be exceeded in 50yrs","ok"))))),
IF('Soil results'!F38&lt;=7,
  IF(BG35&gt;75,"no application - soil conc. already above limit",
  IF(BH35&gt;75,"application rate too high - soil conc. will exceed limit",
  IF(BG35&gt;75*0.9,"soil conc. is at or above 90% of the limit",
  IF(10*BF35*1000/3000+BG35&gt;75,"soil limit likely to be exceeded in 10yrs",
  IF(50*BF35*1000/3000+BG35&gt;75,"soil limit likely to be exceeded in 50yrs","ok"))))),
IF('Soil results'!F38&gt;7,
  IF(BG35&gt;100,"no application - soil conc. already above limit",
  IF(BH35&gt;100,"application rate too high - soil conc. will exceed limit",
  IF(BG35&gt;100*0.9,"soil conc. is at or above 90% of the limit",
  IF(10*BF35*1000/3000+BG35&gt;100,"soil limit likely to be exceeded in 10yrs",
  IF(50*BF35*1000/3000+BG35&gt;100,"soil limit likely to beexceeded in 50yrs","ok")))))
))))))))</f>
        <v/>
      </c>
      <c r="BK35" s="240" t="str">
        <f ca="1">IF(B35="","",
IF(AND('Field information 2'!$O$5="", 'Field information 2'!$Q$5=""),
   IF('Waste results'!$S$30&lt;&gt;"data missing", Calc!BC33*'Waste results'!$S$30, "data missing"),
IF('Field information 2'!$Q$5="",
   IF(Calc!BD33=0,
     IF('Waste results'!$S$30&lt;&gt;"data missing", Calc!BC33*'Waste results'!$S$30, "data missing"),
   IF(Calc!BC33=0,
     IF('Waste results'!$S$66&lt;&gt;"data missing", Calc!BD33*'Waste results'!$S$66, "data missing"),
   IF(OR('Waste results'!$S$30&lt;&gt;"data missing", 'Waste results'!$S$66&lt;&gt;"data missing"), Calc!BC33*'Waste results'!$S$30+ Calc!BD33*'Waste results'!$S$66, "data missing"))),
IF(AND('Field information 2'!$M$5&lt;&gt;"", 'Field information 2'!$O$5&lt;&gt;"", 'Field information 2'!$Q$5&lt;&gt;""),
   IF(AND(Calc!BD33=0,Calc!BE33=0),
     IF('Waste results'!$S$30&lt;&gt;"data missing", Calc!BC33*'Waste results'!$S$30, "data missing"),
   IF(AND(Calc!BC33=0,Calc!BE33=0),
     IF('Waste results'!$S$66&lt;&gt;"data missing", Calc!BD33*'Waste results'!$S$66, "data missing"),
   IF(AND(Calc!BC33=0,Calc!BD33=0),
     IF('Waste results'!$S$102&lt;&gt;"data missing", Calc!BE33*'Waste results'!$S$102, "data missing"),
   IF(Calc!BE33=0,
     IF(OR('Waste results'!$S$30&lt;&gt;"data missing", 'Waste results'!$S$66&lt;&gt;"data missing"), Calc!BC33*'Waste results'!$S$30+ Calc!BD33*'Waste results'!$S$66, "data missing"),
   IF(Calc!BD33=0,
     IF(OR('Waste results'!$S$30&lt;&gt;"data missing", 'Waste results'!$S$102&lt;&gt;"data missing"), Calc!BC33*'Waste results'!$S$30+ Calc!BE33*'Waste results'!$S$102, "data missing"),
   IF(Calc!BC33=0,
     IF(OR('Waste results'!$S$66&lt;&gt;"data missing", 'Waste results'!$S$102&lt;&gt;"data missing"), Calc!BD33*'Waste results'!$S$66+Calc!BE33*'Waste results'!$S$102, "data missing"),
   IF(OR('Waste results'!$S$30&lt;&gt;"data missing", 'Waste results'!$S$66&lt;&gt;"data missing", 'Waste results'!$S$102&lt;&gt;"data missing"), Calc!BC33*'Waste results'!$S$30+Calc!BD33*'Waste results'!$S$66+ Calc!BE33*'Waste results'!$S$102, "data missing")))))))))))</f>
        <v/>
      </c>
      <c r="BL35" s="241" t="str">
        <f ca="1">IF($B35="","",
IF(ISBLANK('Soil results'!P38),"data missing",'Soil results'!P38))</f>
        <v/>
      </c>
      <c r="BM35" s="241" t="str">
        <f t="shared" ca="1" si="14"/>
        <v/>
      </c>
      <c r="BN35" s="66" t="str">
        <f t="shared" ca="1" si="15"/>
        <v/>
      </c>
      <c r="BP35" s="238" t="str">
        <f ca="1">IF(B35="","",
IF(AND('Field information 2'!$O$5="", 'Field information 2'!$Q$5=""),
   IF('Waste results'!$S$31&lt;&gt;"data missing", Calc!BC33*'Waste results'!$S$31, "data missing"),
IF('Field information 2'!$Q$5="",
   IF(Calc!BD33=0,
     IF('Waste results'!$S$31&lt;&gt;"data missing", Calc!BC33*'Waste results'!$S$31, "data missing"),
   IF(Calc!BC33=0,
     IF('Waste results'!$S$67&lt;&gt;"data missing", Calc!BD33*'Waste results'!$S$67, "data missing"),
   IF(OR('Waste results'!$S$31&lt;&gt;"data missing", 'Waste results'!$S$67&lt;&gt;"data missing"), Calc!BC33*'Waste results'!$S$31+ Calc!BD33*'Waste results'!$S$67, "data missing"))),
IF(AND('Field information 2'!$M$5&lt;&gt;"", 'Field information 2'!$O$5&lt;&gt;"", 'Field information 2'!$Q$5&lt;&gt;""),
   IF(AND(Calc!BD33=0,Calc!BE33=0),
     IF('Waste results'!$S$31&lt;&gt;"data missing", Calc!BC33*'Waste results'!$S$31, "data missing"),
   IF(AND(Calc!BC33=0,Calc!BE33=0),
     IF('Waste results'!$S$67&lt;&gt;"data missing", Calc!BD33*'Waste results'!$S$67, "data missing"),
   IF(AND(Calc!BC33=0,Calc!BD33=0),
     IF('Waste results'!$S$103&lt;&gt;"data missing", Calc!BE33*'Waste results'!$S$103, "data missing"),
   IF(Calc!BE33=0,
     IF(OR('Waste results'!$S$31&lt;&gt;"data missing", 'Waste results'!$S$67&lt;&gt;"data missing"), Calc!BC33*'Waste results'!$S$31+ Calc!BD33*'Waste results'!$S$67, "data missing"),
   IF(Calc!BD33=0,
     IF(OR('Waste results'!$S$31&lt;&gt;"data missing", 'Waste results'!$S$103&lt;&gt;"data missing"), Calc!BC33*'Waste results'!$S$31+ Calc!BE33*'Waste results'!$S$103, "data missing"),
   IF(Calc!BC33=0,
     IF(OR('Waste results'!$S$67&lt;&gt;"data missing", 'Waste results'!$S$103&lt;&gt;"data missing"), Calc!BD33*'Waste results'!$S$67+Calc!BE33*'Waste results'!$S$103, "data missing"),
   IF(OR('Waste results'!$S$31&lt;&gt;"data missing", 'Waste results'!$S$67&lt;&gt;"data missing", 'Waste results'!$S$103&lt;&gt;"data missing"), Calc!BC33*'Waste results'!$S$31+Calc!BD33*'Waste results'!$S$67+ Calc!BE33*'Waste results'!$S$103, "data missing")))))))))))</f>
        <v/>
      </c>
      <c r="BQ35" s="239" t="str">
        <f ca="1">IF($B35="","",
IF(ISBLANK('Soil results'!Q38),"data missing",'Soil results'!Q38))</f>
        <v/>
      </c>
      <c r="BR35" s="239" t="str">
        <f t="shared" ca="1" si="16"/>
        <v/>
      </c>
      <c r="BS35" s="9" t="str">
        <f ca="1">IF(B35="","",
IF(BP35=0,"n/a",
IF(OR(BP35="data missing",BQ35=""),"data missing",
IF(BP35&gt;15,"application rate too high - permissible rate exceeds limit",
IF('Soil results'!F38&lt;=5.5,
  IF(BQ35&gt;200,"no application - soil conc. already above limit",
  IF(BR35&gt;200,"application rate too high - soil conc. will exceed limit",
  IF(BQ35&gt;200*0.9,"soil conc. is at or above 90% of the limit",
  IF(10*BP35*1000/3000+BQ35&gt;200,"soil limit likely to be exceeded in 10yrs",
  IF(50*BP35*1000/3000+BQ35&gt;200,"soil limit likely to be exceeded in 50yrs","ok"))))),
IF('Soil results'!F38&lt;=6,
  IF(BQ35&gt;250,"no application - soil conc. already above limit",
  IF(BR35&gt;250,"application rate too high - soil conc. will exceed limit",
  IF(BQ35&gt;250*0.9,"soil conc. is at or above 90% of the limit",
  IF(10*BP35*1000/3000+BQ35&gt;250,"soil limit likely to be exceeded in 10yrs",
  IF(50*BP35*1000/3000+BQ35&gt;250,"soil limit likely to be exceeded in 50yrs","ok"))))),
IF('Soil results'!F38&lt;=7,
  IF(BQ35&gt;300,"no application - soil conc. already above limit",
  IF(BR35&gt;300,"application rate too high - soil conc. will exceed limit",
  IF(BQ35&gt;300*0.9,"soil conc. is at or above 90% of the limit",
  IF(10*BP35*1000/3000+BQ35&gt;300,"soil limit likey to be exceeded in 10yrs",
  IF(50*BP35*1000/3000+BQ35&gt;300,"soil limit likely to be exceeded in 50yrs","ok"))))),
IF('Soil results'!F38&gt;7,
  IF(BQ35&gt;450,"no application - soil conc. already above limit",
  IF(BR35&gt;450,"application rate too high - soil conc. will exceed limit",
  IF(AW35&gt;450*0.9,"soil conc. is at or above 90% of the limit",
  IF(10*BP35*1000/3000+BQ35&gt;450,"soil limit likely to be exceeded in 10yrs",
  IF(50*BP35*1000/3000+BQ35&gt;450,"soil limit likely to be exceeded in 50yrs","ok")))))
))))))))</f>
        <v/>
      </c>
    </row>
    <row r="36" spans="2:71" s="9" customFormat="1" x14ac:dyDescent="0.35">
      <c r="B36" s="236" t="str">
        <f ca="1">'Soil results'!B39</f>
        <v/>
      </c>
      <c r="C36" s="91" t="str">
        <f ca="1">IF(B36="","",
IF(AND('Field information 2'!$O$5="", 'Field information 2'!$Q$5=""),
   IF('Waste results'!$S$12&lt;&gt;"data missing", Calc!BC34*'Waste results'!$S$12, "data missing"),
IF('Field information 2'!$Q$5="",
   IF(Calc!BD34=0,
     IF('Waste results'!$S$12&lt;&gt;"data missing", Calc!BC34*'Waste results'!$S$12, "data missing"),
   IF(Calc!BC34=0,
     IF('Waste results'!$S$48&lt;&gt;"data missing", Calc!BD34*'Waste results'!$S$48, "data missing"),
   IF(OR('Waste results'!$S$12&lt;&gt;"data missing", 'Waste results'!$S$48&lt;&gt;"data missing"), Calc!BC34*'Waste results'!$S$12+ Calc!BD34*'Waste results'!$S$48, "data missing"))),
IF(AND('Field information 2'!$M$5&lt;&gt;"", 'Field information 2'!$O$5&lt;&gt;"", 'Field information 2'!$Q$5&lt;&gt;""),
   IF(AND(Calc!BD34=0,Calc!BE34=0),
     IF('Waste results'!$S$12&lt;&gt;"data missing", Calc!BC34*'Waste results'!$S$12, "data missing"),
   IF(AND(Calc!BC34=0,Calc!BE34=0),
     IF('Waste results'!$S$48&lt;&gt;"data missing", Calc!BD34*'Waste results'!$S$48, "data missing"),
   IF(AND(Calc!BC34=0,Calc!BD34=0),
     IF('Waste results'!$S$84&lt;&gt;"data missing", Calc!BE34*'Waste results'!$S$84, "data missing"),
   IF(Calc!BE34=0,
     IF(OR('Waste results'!$S$12&lt;&gt;"data missing", 'Waste results'!$S$48&lt;&gt;"data missing"), Calc!BC34*'Waste results'!$S$12+ Calc!BD34*'Waste results'!$S$48, "data missing"),
   IF(Calc!BD34=0,
     IF(OR('Waste results'!$S$12&lt;&gt;"data missing", 'Waste results'!$S$84&lt;&gt;"data missing"), Calc!BC34*'Waste results'!$S$12+ Calc!BE34*'Waste results'!$S$84, "data missing"),
   IF(Calc!BC34=0,
     IF(OR('Waste results'!$S$48&lt;&gt;"data missing", 'Waste results'!$S$84&lt;&gt;"data missing"), Calc!BD34*'Waste results'!$S$48+Calc!BE34*'Waste results'!$S$84, "data missing"),
   IF(OR('Waste results'!$S$12&lt;&gt;"data missing", 'Waste results'!$S$48&lt;&gt;"data missing", 'Waste results'!$S$84&lt;&gt;"data missing"), Calc!BC34*'Waste results'!$S$12+Calc!BD34*'Waste results'!$S$48+ Calc!BE34*'Waste results'!$S$84, "data missing")))))))))))</f>
        <v/>
      </c>
      <c r="D36" s="161" t="str">
        <f ca="1">IF(B36="","",
IF(Calc!BG34="","soil texture missing",
IF(OR(Calc!BG34="SL; SZL; ZL",Calc!BG34="SCL; CL; ZCL; SC; ZC; C"),VLOOKUP(Calc!BI34,'Fertiliser recommendations'!$A$4:$C$63,3,FALSE),
IF(Calc!BG34="S; LS",VLOOKUP(Calc!BI34,'Fertiliser recommendations'!$A$4:$C$63,3,FALSE)+VLOOKUP(Calc!BI34,'Fertiliser recommendations'!$A$4:$D$63,4,FALSE),
IF(Calc!BG34="10-25% OM",VLOOKUP(Calc!BI34,'Fertiliser recommendations'!$A$4:$C$63,3,FALSE)+VLOOKUP(Calc!BI34,'Fertiliser recommendations'!$A$4:$E$63,5,FALSE),
IF(Calc!BG34="&gt;25% OM",VLOOKUP(Calc!BI34,'Fertiliser recommendations'!$A$4:$C$63,3,FALSE)+VLOOKUP(Calc!BI34,'Fertiliser recommendations'!$A$4:$F$63,6,FALSE),
""))))))</f>
        <v/>
      </c>
      <c r="E36" s="91" t="str">
        <f t="shared" ca="1" si="0"/>
        <v/>
      </c>
      <c r="F36" s="9" t="str">
        <f ca="1">IF(B36="","",
IF(OR(C36="data missing",D36="soil texture missing"),"data missing",
IF(Calc!BF34=0,"n/a",
IF(C36&lt;0.1*D36,"no benefit",
IF(C36&lt;0.3*D36,"limited benefit",
IF(C36&gt;250,"exceeds limit",
IF(OR(AND(D36=0,C36&gt;75),C36&gt;1.25*D36),"excessive",
IF(D36=0, "no requirement",
"benefit"))))))))</f>
        <v/>
      </c>
      <c r="H36" s="91" t="str">
        <f ca="1">IF(B36="","",
IF(AND('Field information 2'!$O$5="", 'Field information 2'!$Q$5=""),
   IF('Waste results'!$S$17&lt;&gt;"data missing", Calc!BC34*'Waste results'!$S$17, "data missing"),
IF('Field information 2'!$Q$5="",
   IF(Calc!BD34=0,
     IF('Waste results'!$S$17&lt;&gt;"data missing", Calc!BC34*'Waste results'!$S$17, "data missing"),
   IF(Calc!BC34=0,
     IF('Waste results'!$S$53&lt;&gt;"data missing", Calc!BD34*'Waste results'!$S$53, "data missing"),
   IF(OR('Waste results'!$S$17&lt;&gt;"data missing", 'Waste results'!$S$53&lt;&gt;"data missing"), Calc!BC34*'Waste results'!$S$17+ Calc!BD34*'Waste results'!$S$53, "data missing"))),
IF(AND('Field information 2'!$M$5&lt;&gt;"", 'Field information 2'!$O$5&lt;&gt;"", 'Field information 2'!$Q$5&lt;&gt;""),
   IF(AND(Calc!BD34=0,Calc!BE34=0),
     IF('Waste results'!$S$17&lt;&gt;"data missing", Calc!BC34*'Waste results'!$S$17, "data missing"),
   IF(AND(Calc!BC34=0,Calc!BE34=0),
     IF('Waste results'!$S$53&lt;&gt;"data missing", Calc!BD34*'Waste results'!$S$53, "data missing"),
   IF(AND(Calc!BC34=0,Calc!BD34=0),
     IF('Waste results'!$S$89&lt;&gt;"data missing", Calc!BE34*'Waste results'!$S$89, "data missing"),
   IF(Calc!BE34=0,
     IF(OR('Waste results'!$S$17&lt;&gt;"data missing", 'Waste results'!$S$53&lt;&gt;"data missing"), Calc!BC34*'Waste results'!$S$17+ Calc!BD34*'Waste results'!$S$53, "data missing"),
   IF(Calc!BD34=0,
     IF(OR('Waste results'!$S$17&lt;&gt;"data missing", 'Waste results'!$S$89&lt;&gt;"data missing"), Calc!BC34*'Waste results'!$S$17+ Calc!BE34*'Waste results'!$S$89, "data missing"),
   IF(Calc!BC34=0,
     IF(OR('Waste results'!$S$53&lt;&gt;"data missing", 'Waste results'!$S$89&lt;&gt;"data missing"), Calc!BD34*'Waste results'!$S$53+Calc!BE34*'Waste results'!$S$89, "data missing"),
   IF(OR('Waste results'!$S$17&lt;&gt;"data missing", 'Waste results'!$S$53&lt;&gt;"data missing", 'Waste results'!$S$89&lt;&gt;"data missing"), Calc!BC34*'Waste results'!$S$17+Calc!BD34*'Waste results'!$S$53+ Calc!BE34*'Waste results'!$S$89, "data missing")))))))))))</f>
        <v/>
      </c>
      <c r="I36" s="195" t="str">
        <f ca="1">IF(B36="","",
IF(OR(ISBLANK('Soil results'!G39), ISBLANK('Soil results'!G$7)),"data missing",
IF(OR(AND('Soil results'!G$7="Olsen (ADAS)",'Soil results'!G39&lt;16),AND('Soil results'!G$7="modified Morgan (SAC)",'Soil results'!G39&lt;4.5)),50,100)))</f>
        <v/>
      </c>
      <c r="J36" s="49" t="str">
        <f ca="1">IF(B36="","",
IF(OR(ISBLANK('Soil results'!G$7),ISBLANK('Soil results'!G39)),"data missing",
IF(OR(AND('Soil results'!G$7="Olsen (ADAS)",'Soil results'!G39&gt;45),AND('Soil results'!G$7="modified Morgan (SAC)",'Soil results'!G39&gt;30)),0,
IF(OR(AND('Soil results'!G$7="Olsen (ADAS)",'Soil results'!G39&gt;=16,'Soil results'!G39&lt;=20),AND('Soil results'!G$7="modified Morgan (SAC)",'Soil results'!G39&gt;=4.5,'Soil results'!G39&lt;=9.4)),VLOOKUP(Calc!BI34,'Fertiliser recommendations'!$A$4:$I$63,9,FALSE),
IF(OR(AND('Soil results'!G$7="Olsen (ADAS)",'Soil results'!G39&lt;10),AND('Soil results'!G$7="modified Morgan (SAC)",'Soil results'!G39&lt;1.8)),VLOOKUP(Calc!BI34,'Fertiliser recommendations'!$A$4:$I$63,9,FALSE)+VLOOKUP(Calc!BI34,'Fertiliser recommendations'!$A$4:$J$63,10,FALSE),
IF(OR(AND('Soil results'!G$7="Olsen (ADAS)",'Soil results'!G39&lt;16),AND('Soil results'!G$7="modified Morgan (SAC)",'Soil results'!G39&lt;4.5)),VLOOKUP(Calc!BI34,'Fertiliser recommendations'!$A$4:$I$63,9,FALSE)+VLOOKUP(Calc!BI34,'Fertiliser recommendations'!$A$4:$K$63,11,FALSE),
IF(OR(AND('Soil results'!G$7="Olsen (ADAS)",'Soil results'!G39&lt;26),AND('Soil results'!G$7="modified Morgan (SAC)",'Soil results'!G39&lt;13.5)),VLOOKUP(Calc!BI34,'Fertiliser recommendations'!$A$4:$I$63,9,FALSE)+VLOOKUP(Calc!BI34,'Fertiliser recommendations'!$A$4:$L$63,12,FALSE),
IF(OR(AND('Soil results'!G$7="Olsen (ADAS)",'Soil results'!G39&lt;=45),AND('Soil results'!G$7="modified Morgan (SAC)",'Soil results'!G39&lt;=30)),VLOOKUP(Calc!BI34,'Fertiliser recommendations'!$A$4:$I$63,9,FALSE)+VLOOKUP(Calc!BI34,'Fertiliser recommendations'!$A$4:$M$63,13,FALSE),
""))))))))</f>
        <v/>
      </c>
      <c r="K36" s="161" t="str">
        <f t="shared" ca="1" si="1"/>
        <v/>
      </c>
      <c r="L36" s="47" t="str">
        <f ca="1">IF(OR(ISBLANK('Soil results'!G$7),ISBLANK('Soil results'!G39),B36="", H36="data missing"),"",
IF('Soil results'!G$7="Olsen (ADAS)",
IF(((H36*Calc!BM34/2.291-(VLOOKUP(Calc!BI34,'Fertiliser recommendations'!$A$4:$I$63,9,FALSE))/2.291)*10/(400/2.291)+'Soil results'!G39)&lt;10,"0 (VL)",
IF(((H36*Calc!BM34/2.291-(VLOOKUP(Calc!BI34,'Fertiliser recommendations'!$A$4:$I$63,9,FALSE))/2.291)*10/(400/2.291)+'Soil results'!G39)&lt;16,"1 (L)",
IF(((H36*Calc!BM34/2.291-(VLOOKUP(Calc!BI34,'Fertiliser recommendations'!$A$4:$I$63,9,FALSE))/2.291)*10/(400/2.291)+'Soil results'!G39)&lt;21,"2 (M-)",
IF(((H36*Calc!BM34/2.291-(VLOOKUP(Calc!BI34,'Fertiliser recommendations'!$A$4:$I$63,9,FALSE))/2.291)*10/(400/2.291)+'Soil results'!G39)&lt;26,"2 (M+)",
IF(((H36*Calc!BM34/2.291-(VLOOKUP(Calc!BI34,'Fertiliser recommendations'!$A$4:$I$63,9,FALSE))/2.291)*10/(400/2.291)+'Soil results'!G39)&lt;45,"3 (H)","&gt;3 (VH)"))))),
IF('Soil results'!G$7="modified Morgan (SAC)",
IF('Soil results'!G39&gt;=6,
IF(((H36*Calc!BM34/2.291-(VLOOKUP(Calc!BI34,'Fertiliser recommendations'!$A$4:$I$63,9,FALSE))/2.291)*5/(147/2.291)+'Soil results'!G39)&lt;9.5,"2 (M-)",
IF(((H36*Calc!BM34/2.291-(VLOOKUP(Calc!BI34,'Fertiliser recommendations'!$A$4:$I$63,9,FALSE))/2.291)*5/(147/2.291)+'Soil results'!G39)&lt;13.5,"2 (M+)",
IF(((H36*Calc!BM34/2.291-(VLOOKUP(Calc!BI34,'Fertiliser recommendations'!$A$4:$I$63,9,FALSE))/2.291)*5/(147/2.291)+'Soil results'!G39)&lt;30,"3 (H)","4 (VH)"))),
IF(((H36*Calc!BM34/2.291-(VLOOKUP(Calc!BI34,'Fertiliser recommendations'!$A$4:$I$63,9,FALSE))/2.291)*5/(346/2.291)+'Soil results'!G39)&lt;1.8,"0 (VL)",
IF(((H36*Calc!BM34/2.291-(VLOOKUP(Calc!BI34,'Fertiliser recommendations'!$A$4:$I$63,9,FALSE))/2.291)*5/(147/2.291)+'Soil results'!G39)&lt;4.5,"1 (L)","2 (M-)"))))))</f>
        <v/>
      </c>
      <c r="M36" s="9" t="str">
        <f ca="1">IF(B36="","",
IF(OR(H36="data missing",I36="data missing",J36="data missing"),"data missing",
IF(Calc!BF34=0,"n/a",
IF(OR(AND('Soil results'!G$7="Olsen (ADAS)",'Soil results'!G39&gt;45),AND('Soil results'!G$7="modified Morgan (SAC)",'Soil results'!G39&gt;30)),
IF(H36&gt;2,"too high, not acceptable","no requirement"),IF(OR(AND('Soil results'!G$7="Olsen (ADAS)",'Soil results'!G39&gt;25),AND('Soil results'!G$7="modified Morgan (SAC)",'Soil results'!G39&gt;13.4)),
IF(H36*(I36/100)&lt;0.1*J36,"no benefit",
IF(H36*(I36/100)&lt;0.3*J36,"limited benefit",
IF(H36*(I36/100)&lt;1.1*J36,"benefit",
IF(H36*(I36/100)&lt;0.7*VLOOKUP(Calc!BI34,'Fertiliser recommendations'!$A$4:$I$63,9,FALSE),"excessive","too high, not acceptable")))),
IF(OR(AND('Soil results'!G$7="Olsen (ADAS)",'Soil results'!G39&gt;20),AND('Soil results'!G$7="modified Morgan (SAC)",'Soil results'!G39&gt;9.4)),
IF(H36*Calc!BM34*(I36/100)&lt;0.1*J36,"no benefit",
IF(H36*Calc!BM34*(I36/100)&lt;0.3*J36,"limited benefit",
IF(H36*Calc!BM34*(I36/100)&lt;1.1*J36,"benefit",
IF(L36="3 (H)","too high, not acceptable","excessive")))),
IF(OR(AND('Soil results'!G$7="Olsen (ADAS)",'Soil results'!G39&gt;15),AND('Soil results'!G$7="modified Morgan (SAC)",'Soil results'!G39&gt;4.4)),
IF(H36*Calc!BM34*(I36/100)&lt;0.1*VLOOKUP(Calc!BI34,'Fertiliser recommendations'!$A$4:$I$63,9,FALSE),"no benefit",
IF(H36*Calc!BM34*(I36/100)&lt;0.3*VLOOKUP(Calc!BI34,'Fertiliser recommendations'!$A$4:$I$63,9,FALSE),"limited benefit",
IF(H36*Calc!BM34*(I36/100)&lt;1.1*VLOOKUP(Calc!BI34,'Fertiliser recommendations'!$A$4:$I$63,9,FALSE),"benefit",
IF(L36="3 (H)", "too high, not acceptable", "excessive")))),
IF(OR(AND('Soil results'!G$7="Olsen (ADAS)",'Soil results'!G39&lt;=15),AND('Soil results'!G$7="modified Morgan (SAC)",'Soil results'!G39&lt;=4.4)),
IF(H36*Calc!BM34*(I36/100)&lt;0.1*VLOOKUP(Calc!BI34,'Fertiliser recommendations'!$A$4:$I$63,9,FALSE),"no benefit",
IF(H36*Calc!BM34*(I36/100)&lt;0.3*VLOOKUP(Calc!BI34,'Fertiliser recommendations'!$A$4:$I$63,9,FALSE),"limited benefit",
IF(H36*Calc!BM34*(I36/100)&lt;1.1*J36,"benefit","excessive")))))))))))</f>
        <v/>
      </c>
      <c r="O36" s="91" t="str">
        <f ca="1">IF(B36="","",
IF(AND('Field information 2'!$O$5="", 'Field information 2'!$Q$5=""),
   IF('Waste results'!$S$19&lt;&gt;"data missing", Calc!BC34*'Waste results'!$S$19, "data missing"),
IF('Field information 2'!$Q$5="",
   IF(Calc!BD34=0,
     IF('Waste results'!$S$19&lt;&gt;"data missing", Calc!BC34*'Waste results'!$S$19, "data missing"),
   IF(Calc!BC34=0,
     IF('Waste results'!$S$55&lt;&gt;"data missing", Calc!BD34*'Waste results'!$S$55, "data missing"),
   IF(OR('Waste results'!$S$19&lt;&gt;"data missing", 'Waste results'!$S$55&lt;&gt;"data missing"), Calc!BC34*'Waste results'!$S$19+ Calc!BD34*'Waste results'!$S$55, "data missing"))),
IF(AND('Field information 2'!$M$5&lt;&gt;"", 'Field information 2'!$O$5&lt;&gt;"", 'Field information 2'!$Q$5&lt;&gt;""),
   IF(AND(Calc!BD34=0,Calc!BE34=0),
     IF('Waste results'!$S$19&lt;&gt;"data missing", Calc!BC34*'Waste results'!$S$19, "data missing"),
   IF(AND(Calc!BC34=0,Calc!BE34=0),
     IF('Waste results'!$S$55&lt;&gt;"data missing", Calc!BD34*'Waste results'!$S$55, "data missing"),
   IF(AND(Calc!BC34=0,Calc!BD34=0),
     IF('Waste results'!$S$91&lt;&gt;"data missing", Calc!BE34*'Waste results'!$S$91, "data missing"),
   IF(Calc!BE34=0,
     IF(OR('Waste results'!$S$19&lt;&gt;"data missing", 'Waste results'!$S$55&lt;&gt;"data missing"), Calc!BC34*'Waste results'!$S$19+ Calc!BD34*'Waste results'!$S$55, "data missing"),
   IF(Calc!BD34=0,
     IF(OR('Waste results'!$S$19&lt;&gt;"data missing", 'Waste results'!$S$91&lt;&gt;"data missing"), Calc!BC34*'Waste results'!$S$19+ Calc!BE34*'Waste results'!$S$91, "data missing"),
   IF(Calc!BC34=0,
     IF(OR('Waste results'!$S$55&lt;&gt;"data missing", 'Waste results'!$S$91&lt;&gt;"data missing"), Calc!BD34*'Waste results'!$S$55+Calc!BE34*'Waste results'!$S$91, "data missing"),
   IF(OR('Waste results'!$S$19&lt;&gt;"data missing", 'Waste results'!$S$55&lt;&gt;"data missing", 'Waste results'!$S$91&lt;&gt;"data missing"), Calc!BC34*'Waste results'!$S$19+Calc!BD34*'Waste results'!$S$55+ Calc!BE34*'Waste results'!$S$91, "data missing")))))))))))</f>
        <v/>
      </c>
      <c r="P36" s="91" t="str">
        <f ca="1">IF(B36="","",
IF(OR(ISBLANK('Soil results'!H$7),ISBLANK('Soil results'!H39)),"data missing",
IF(OR(AND('Soil results'!H$7="ammonium nitrate (ADAS)",'Soil results'!H39&gt;400),AND('Soil results'!H$7="modified Morgan (SAC)",'Soil results'!H39&gt;400)),0,
IF(OR(AND('Soil results'!H$7="ammonium nitrate (ADAS)",'Soil results'!H39&gt;=121,'Soil results'!H39&lt;=180),AND('Soil results'!H$7="modified Morgan (SAC)",'Soil results'!H39&gt;=76,'Soil results'!H39&lt;=140)),VLOOKUP(Calc!BI34,'Fertiliser recommendations'!$A$4:$Z$63,26,FALSE),
IF(OR(AND('Soil results'!H$7="ammonium nitrate (ADAS)",'Soil results'!H39&lt;61),AND('Soil results'!H$7="modified Morgan (SAC)",'Soil results'!H39&lt;40)),VLOOKUP(Calc!BI34,'Fertiliser recommendations'!$A$4:$Z$63,26,FALSE)+VLOOKUP(Calc!BI34,'Fertiliser recommendations'!$A$4:$AA$63,27,FALSE),
IF(OR(AND('Soil results'!H$7="ammonium nitrate (ADAS)",'Soil results'!H39&lt;121),AND('Soil results'!H$7="modified Morgan (SAC)",'Soil results'!H39&lt;76)),VLOOKUP(Calc!BI34,'Fertiliser recommendations'!$A$4:$Z$63,26,FALSE)+VLOOKUP(Calc!BI34,'Fertiliser recommendations'!$A$4:$AB$63,28,FALSE),
IF(OR(AND('Soil results'!H$7="ammonium nitrate (ADAS)",'Soil results'!H39&lt;241),AND('Soil results'!H$7="modified Morgan (SAC)",'Soil results'!H39&lt;201)),VLOOKUP(Calc!BI34,'Fertiliser recommendations'!$A$4:$Z$63,26,FALSE)+VLOOKUP(Calc!BI34,'Fertiliser recommendations'!$A$4:$AC$63,29,FALSE),
IF(OR(AND('Soil results'!H$7="ammonium nitrate (ADAS)",'Soil results'!H39&lt;=400),AND('Soil results'!H$7="modified Morgan (SAC)",'Soil results'!H39&lt;=400)),VLOOKUP(Calc!BI34,'Fertiliser recommendations'!$A$4:$Z$63,26,FALSE)+VLOOKUP(Calc!BI34,'Fertiliser recommendations'!$A$4:$AD$63,30,FALSE),
"??"))))))))</f>
        <v/>
      </c>
      <c r="Q36" s="91" t="str">
        <f t="shared" ca="1" si="2"/>
        <v/>
      </c>
      <c r="R36" s="9" t="str">
        <f ca="1">IF(B36="","",
IF(OR(O36="data missing",P36="data missing"),"data missing",
IF(Calc!BF34=0,"n/a",
IF(P36=0, "no requirement",
IF(O36&lt;0.1*P36,"no benefit",
IF(O36&lt;0.3*P36,"limited benefit",
IF(O36&gt;1.25*P36,"excessive",
"benefit")))))))</f>
        <v/>
      </c>
      <c r="T36" s="91" t="str">
        <f ca="1">IF(B36="","",
IF(AND('Field information 2'!$O$5="", 'Field information 2'!$Q$5=""),
   IF('Waste results'!$S$21&lt;&gt;"data missing", Calc!BC34*'Waste results'!$S$21, "data missing"),
IF('Field information 2'!$Q$5="",
   IF(Calc!BD34=0,
     IF('Waste results'!$S$21&lt;&gt;"data missing", Calc!BC34*'Waste results'!$S$21, "data missing"),
   IF(Calc!BC34=0,
     IF('Waste results'!$S$57&lt;&gt;"data missing", Calc!BD34*'Waste results'!$S$57, "data missing"),
   IF(OR('Waste results'!$S$21&lt;&gt;"data missing", 'Waste results'!$S$57&lt;&gt;"data missing"), Calc!BC34*'Waste results'!$S$21+ Calc!BD34*'Waste results'!$S$57, "data missing"))),
IF(AND('Field information 2'!$M$5&lt;&gt;"", 'Field information 2'!$O$5&lt;&gt;"", 'Field information 2'!$Q$5&lt;&gt;""),
   IF(AND(Calc!BD34=0,Calc!BE34=0),
     IF('Waste results'!$S$21&lt;&gt;"data missing", Calc!BC34*'Waste results'!$S$21, "data missing"),
   IF(AND(Calc!BC34=0,Calc!BE34=0),
     IF('Waste results'!$S$57&lt;&gt;"data missing", Calc!BD34*'Waste results'!$S$57, "data missing"),
   IF(AND(Calc!BC34=0,Calc!BD34=0),
     IF('Waste results'!$S$93&lt;&gt;"data missing", Calc!BE34*'Waste results'!$S$93, "data missing"),
   IF(Calc!BE34=0,
     IF(OR('Waste results'!$S$21&lt;&gt;"data missing", 'Waste results'!$S$57&lt;&gt;"data missing"), Calc!BC34*'Waste results'!$S$21+ Calc!BD34*'Waste results'!$S$57, "data missing"),
   IF(Calc!BD34=0,
     IF(OR('Waste results'!$S$21&lt;&gt;"data missing", 'Waste results'!$S$93&lt;&gt;"data missing"), Calc!BC34*'Waste results'!$S$21+ Calc!BE34*'Waste results'!$S$93, "data missing"),
   IF(Calc!BC34=0,
     IF(OR('Waste results'!$S$57&lt;&gt;"data missing", 'Waste results'!$S$93&lt;&gt;"data missing"), Calc!BD34*'Waste results'!$S$57+Calc!BE34*'Waste results'!$S$93, "data missing"),
   IF(OR('Waste results'!$S$21&lt;&gt;"data missing", 'Waste results'!$S$57&lt;&gt;"data missing", 'Waste results'!$S$93&lt;&gt;"data missing"), Calc!BC34*'Waste results'!$S$21+Calc!BD34*'Waste results'!$S$57+ Calc!BE34*'Waste results'!$S$93, "data missing")))))))))))</f>
        <v/>
      </c>
      <c r="U36" s="7" t="str">
        <f ca="1">IF(B36="","",
IF(OR(ISBLANK('Soil results'!I$7),ISBLANK('Soil results'!I39)),"data missing",
IF(OR(AND('Soil results'!I$7="ammonium nitrate (ADAS)",'Soil results'!I39&gt;51),AND('Soil results'!I$7="modified Morgan (SAC)",'Soil results'!I39&gt;61)),0,
IF(OR(AND('Soil results'!I$7="ammonium nitrate (ADAS)",'Soil results'!I39&lt;25),AND('Soil results'!I$7="modified Morgan (SAC)",'Soil results'!I39&lt;19)),VLOOKUP(Calc!BI34,'Fertiliser recommendations'!$A$4:$AH$63,34,FALSE),
IF(OR(AND('Soil results'!I$7="ammonium nitrate (ADAS)",'Soil results'!I39&lt;=51),AND('Soil results'!I$7="modified Morgan (SAC)",'Soil results'!I39&lt;=61)),VLOOKUP(Calc!BI34,'Fertiliser recommendations'!$A$4:$AI$63,35,FALSE),
"")))))</f>
        <v/>
      </c>
      <c r="V36" s="91" t="str">
        <f t="shared" ca="1" si="3"/>
        <v/>
      </c>
      <c r="W36" s="9" t="str">
        <f ca="1">IF(B36="","",
IF(OR(T36="data missing",U36="data missing"),"data missing",
IF(Calc!BF34=0,"n/a",
IF(U36=0,"no requirement",
IF(T36&lt;0.1*U36,"no benefit",
IF(T36&lt;0.3*U36,"limited benefit",
IF(OR(T36&gt;1.5*U36,AND(Calc!BJ34="g",T36&gt;100)),"excessive",
"benefit")))))))</f>
        <v/>
      </c>
      <c r="Y36" s="91" t="str">
        <f ca="1">IF(B36="","",
IF(AND('Field information 2'!$O$5="", 'Field information 2'!$Q$5=""),
   IF('Waste results'!$P$23&lt;&gt;"", Calc!BC34*'Waste results'!$P$23, "no data"),
IF('Field information 2'!$Q$5="",
   IF(Calc!BD34=0,
     IF('Waste results'!$P$23&lt;&gt;"", Calc!BC34*'Waste results'!$P$23, "no data"),
   IF(Calc!BC34=0,
     IF('Waste results'!$P$59&lt;&gt;"", Calc!BD34*'Waste results'!$P$59, "no data"),
   IF(OR('Waste results'!$P$23&lt;&gt;"", 'Waste results'!$P$59&lt;&gt;""), Calc!BC34*'Waste results'!$P$23+ Calc!BD34*'Waste results'!$P$59, "no data"))),
IF(AND('Field information 2'!$M$5&lt;&gt;"", 'Field information 2'!$O$5&lt;&gt;"", 'Field information 2'!$Q$5&lt;&gt;""),
   IF(AND(Calc!BD34=0,Calc!BE34=0),
     IF('Waste results'!$P$23&lt;&gt;"", Calc!BC34*'Waste results'!$P$23, "no data"),
   IF(AND(Calc!BC34=0,Calc!BE34=0),
     IF('Waste results'!$P$59&lt;&gt;"", Calc!BD34*'Waste results'!$P$59, "no data"),
   IF(AND(Calc!BC34=0,Calc!BD34=0),
     IF('Waste results'!$P$95&lt;&gt;"", Calc!BE34*'Waste results'!$P$95, "no data"),
   IF(Calc!BE34=0,
     IF(OR('Waste results'!$P$23&lt;&gt;"", 'Waste results'!$P$59&lt;&gt;""), Calc!BC34*'Waste results'!$P$23+ Calc!BD34*'Waste results'!$P$59, "no data"),
   IF(Calc!BD34=0,
     IF(OR('Waste results'!$P$23&lt;&gt;"", 'Waste results'!$P$95&lt;&gt;""), Calc!BC34*'Waste results'!$P$23+ Calc!BE34*'Waste results'!$P$95, "no data"),
   IF(Calc!BC34=0,
     IF(OR('Waste results'!$P$59&lt;&gt;"", 'Waste results'!$P$95&lt;&gt;""), Calc!BD34*'Waste results'!$P$59+Calc!BE34*'Waste results'!$P$95, "no data"),
   IF(OR('Waste results'!$P$23&lt;&gt;"", 'Waste results'!$P$59&lt;&gt;"", 'Waste results'!$P$95&lt;&gt;""), Calc!BC34*'Waste results'!$P$23+Calc!BD34*'Waste results'!$P$59+ Calc!BE34*'Waste results'!$P$95, "no data")))))))))))</f>
        <v/>
      </c>
      <c r="Z36" s="7" t="str">
        <f ca="1">IF(OR(ISBLANK('Soil results'!I$7),ISBLANK('Soil results'!I39),'Soil results'!B39=""),"",
VLOOKUP(Calc!BI34,'Fertiliser recommendations'!$A$4:$AM$63,39,FALSE))</f>
        <v/>
      </c>
      <c r="AA36" s="91" t="str">
        <f t="shared" ca="1" si="4"/>
        <v/>
      </c>
      <c r="AB36" s="9" t="str">
        <f t="shared" ca="1" si="5"/>
        <v/>
      </c>
      <c r="AD36" s="48" t="str">
        <f>IF(ISBLANK('Soil results'!F39),"",'Soil results'!F39)</f>
        <v/>
      </c>
      <c r="AE36" s="49" t="str">
        <f ca="1">IF(B36="","",
IF(AND(Calc!BJ34="g", VLOOKUP(LEFT($B36,LEN($B36)-2),'Field information 2'!$B$12:$P$111,9,FALSE)&lt;&gt;"yes"),
 IF(Calc!BG34="10-25% OM", 5.9, IF(Calc!BG34="&gt;25% OM", 5.5, 6.2)),
IF(OR(Calc!BJ34="a", VLOOKUP(LEFT($B36,LEN($B36)-2),'Field information 2'!$B$12:$P$111,9,FALSE)="yes"),
 IF(Calc!BG34="10-25% OM", 6.4, IF(Calc!BG34="&gt;25% OM", 6, 6.7)), "")))</f>
        <v/>
      </c>
      <c r="AF36" s="91" t="str">
        <f ca="1">IF(B36="","",
IF('Waste results'!$Q$33="","no (significant) liming properties",
IF('Waste results'!Q$33&gt;100,"no (significant) liming properties",
IF(AD36="","",
IF(AD36&gt;=AE36,0,ROUNDDOWN((AE36-AD36)*Calc!BK34*'Waste results'!$Q$33+0.2,0))))))</f>
        <v/>
      </c>
      <c r="AG36" s="9" t="str">
        <f ca="1">IF(B36="","",
IF(T36=0,"n/a",
IF(AD36="","data missing",
IF(AND(AD36&lt;5,AF36="no (significant) liming properties"),"no waste application - pH too low",
IF(AND(AD36&gt;5.1,AF36="no (significant) liming properties",Calc!BH34&gt;25, LEFT(Calc!BI34,4)="graz"),"ok",
IF(AND(AD36&lt;=5.2,AF36="no (significant) liming properties"),"liming highly recommended",
IF(AF36=0,"no waste application - liming not required",
IF(AF36&lt;Calc!BC34,"application rate too high - exceeds liming requirement",
"ok"))))))))</f>
        <v/>
      </c>
      <c r="AI36" s="91" t="str">
        <f ca="1">IF(B36="","",
IF(AND('Field information 2'!$O$5="", 'Field information 2'!$Q$5=""),
   IF('Waste results'!$P$10&lt;&gt;"data missing", Calc!BC34*'Waste results'!$P$10, "data missing"),
IF('Field information 2'!$Q$5="",
   IF(Calc!BD34=0,
     IF('Waste results'!$P$10&lt;&gt;"data missing", Calc!BC34*'Waste results'!$P$10, "data missing"),
   IF(Calc!BC34=0,
     IF('Waste results'!$P$45&lt;&gt;"data missing", Calc!BD34*'Waste results'!$P$45, "data missing"),
   IF(OR('Waste results'!$P$10&lt;&gt;"data missing", 'Waste results'!$P$45&lt;&gt;"data missing"), Calc!BC34*'Waste results'!$P$10+ Calc!BD34*'Waste results'!$P$45, "data missing"))),
IF(AND('Field information 2'!$M$5&lt;&gt;"", 'Field information 2'!$O$5&lt;&gt;"", 'Field information 2'!$Q$5&lt;&gt;""),
   IF(AND(Calc!BD34=0,Calc!BE34=0),
     IF('Waste results'!$P$10&lt;&gt;"data missing", Calc!BC34*'Waste results'!$P$10, "data missing"),
   IF(AND(Calc!BC34=0,Calc!BE34=0),
     IF('Waste results'!$P$45&lt;&gt;"data missing", Calc!BD34*'Waste results'!$P$45, "data missing"),
   IF(AND(Calc!BC34=0,Calc!BD34=0),
     IF('Waste results'!$P$82&lt;&gt;"data missing", Calc!BE34*'Waste results'!$P$82, "data missing"),
   IF(Calc!BE34=0,
     IF(OR('Waste results'!$P$10&lt;&gt;"data missing", 'Waste results'!$P$45&lt;&gt;"data missing"), Calc!BC34*'Waste results'!$P$10+ Calc!BD34*'Waste results'!$P$45, "data missing"),
   IF(Calc!BD34=0,
     IF(OR('Waste results'!$P$10&lt;&gt;"data missing", 'Waste results'!$P$82&lt;&gt;"data missing"), Calc!BC34*'Waste results'!$P$10+ Calc!BE34*'Waste results'!$P$82, "data missing"),
   IF(Calc!BC34=0,
     IF(OR('Waste results'!$P$45&lt;&gt;"data missing", 'Waste results'!$P$82&lt;&gt;"data missing"), Calc!BD34*'Waste results'!$P$45+Calc!BE34*'Waste results'!$P$82, "data missing"),
   IF(OR('Waste results'!$P$10&lt;&gt;"data missing", 'Waste results'!$P$45&lt;&gt;"data missing", 'Waste results'!$P$82&lt;&gt;"data missing"), Calc!BC34*'Waste results'!$P$10+Calc!BD34*'Waste results'!$P$45+ Calc!BE34*'Waste results'!$P$82, "data missing")))))))))))</f>
        <v/>
      </c>
      <c r="AJ36" s="237" t="str">
        <f ca="1">IF(B36="","",
IF(AI36="data missing","data missing",
IF(Calc!BF34=0,"n/a",
IF(AND(Calc!BH34&gt;=8,AI36&lt;500),"no benefit",
IF(OR(AND(Calc!BH34&lt;=4,AI36&gt;=500),AND(Calc!BH34&lt;8,AI36&gt;5000)),"benefit",
"limited benefit")))))</f>
        <v/>
      </c>
      <c r="AL36" s="238" t="str">
        <f ca="1">IF(B36="","",
IF(AND('Field information 2'!$O$5="", 'Field information 2'!$Q$5=""),
   IF('Waste results'!$S$25&lt;&gt;"data missing", Calc!BC34*'Waste results'!$S$25, "data missing"),
IF('Field information 2'!$Q$5="",
   IF(Calc!BD34=0,
     IF('Waste results'!$S$25&lt;&gt;"data missing", Calc!BC34*'Waste results'!$S$25, "data missing"),
   IF(Calc!BC34=0,
     IF('Waste results'!$S$61&lt;&gt;"data missing", Calc!BD34*'Waste results'!$S$61, "data missing"),
   IF(OR('Waste results'!$S$25&lt;&gt;"data missing", 'Waste results'!$S$61&lt;&gt;"data missing"), Calc!BC34*'Waste results'!$S$25+ Calc!BD34*'Waste results'!$S$61, "data missing"))),
IF(AND('Field information 2'!$M$5&lt;&gt;"", 'Field information 2'!$O$5&lt;&gt;"", 'Field information 2'!$Q$5&lt;&gt;""),
   IF(AND(Calc!BD34=0,Calc!BE34=0),
     IF('Waste results'!$S$25&lt;&gt;"data missing", Calc!BC34*'Waste results'!$S$25, "data missing"),
   IF(AND(Calc!BC34=0,Calc!BE34=0),
     IF('Waste results'!$S$61&lt;&gt;"data missing", Calc!BD34*'Waste results'!$S$61, "data missing"),
   IF(AND(Calc!BC34=0,Calc!BD34=0),
     IF('Waste results'!$S$97&lt;&gt;"data missing", Calc!BE34*'Waste results'!$S$97, "data missing"),
   IF(Calc!BE34=0,
     IF(OR('Waste results'!$S$25&lt;&gt;"data missing", 'Waste results'!$S$61&lt;&gt;"data missing"), Calc!BC34*'Waste results'!$S$25+ Calc!BD34*'Waste results'!$S$61, "data missing"),
   IF(Calc!BD34=0,
     IF(OR('Waste results'!$S$25&lt;&gt;"data missing", 'Waste results'!$S$97&lt;&gt;"data missing"), Calc!BC34*'Waste results'!$S$25+ Calc!BE34*'Waste results'!$S$97, "data missing"),
   IF(Calc!BC34=0,
     IF(OR('Waste results'!$S$61&lt;&gt;"data missing", 'Waste results'!$S$97&lt;&gt;"data missing"), Calc!BD34*'Waste results'!$S$61+Calc!BE34*'Waste results'!$S$97, "data missing"),
   IF(OR('Waste results'!$S$25&lt;&gt;"data missing", 'Waste results'!$S$61&lt;&gt;"data missing", 'Waste results'!$S$97&lt;&gt;"data missing"), Calc!BC34*'Waste results'!$S$25+Calc!BD34*'Waste results'!$S$61+ Calc!BE34*'Waste results'!$S$97, "data missing")))))))))))</f>
        <v/>
      </c>
      <c r="AM36" s="239" t="str">
        <f ca="1">IF($B36="","",
IF(ISBLANK('Soil results'!K39),"data missing",'Soil results'!K39))</f>
        <v/>
      </c>
      <c r="AN36" s="239" t="str">
        <f t="shared" ca="1" si="6"/>
        <v/>
      </c>
      <c r="AO36" s="9" t="str">
        <f t="shared" ca="1" si="7"/>
        <v/>
      </c>
      <c r="AQ36" s="240" t="str">
        <f ca="1">IF(B36="","",
IF(AND('Field information 2'!$O$5="", 'Field information 2'!$Q$5=""),
   IF('Waste results'!$S$26&lt;&gt;"data missing", Calc!BC34*'Waste results'!$S$26, "data missing"),
IF('Field information 2'!$Q$5="",
   IF(Calc!BD34=0,
     IF('Waste results'!$S$26&lt;&gt;"data missing", Calc!BC34*'Waste results'!$S$26, "data missing"),
   IF(Calc!BC34=0,
     IF('Waste results'!$S$62&lt;&gt;"data missing", Calc!BD34*'Waste results'!$S$62, "data missing"),
   IF(OR('Waste results'!$S$26&lt;&gt;"data missing", 'Waste results'!$S$62&lt;&gt;"data missing"), Calc!BC34*'Waste results'!$S$26+ Calc!BD34*'Waste results'!$S$62, "data missing"))),
IF(AND('Field information 2'!$M$5&lt;&gt;"", 'Field information 2'!$O$5&lt;&gt;"", 'Field information 2'!$Q$5&lt;&gt;""),
   IF(AND(Calc!BD34=0,Calc!BE34=0),
     IF('Waste results'!$S$26&lt;&gt;"data missing", Calc!BC34*'Waste results'!$S$26, "data missing"),
   IF(AND(Calc!BC34=0,Calc!BE34=0),
     IF('Waste results'!$S$62&lt;&gt;"data missing", Calc!BD34*'Waste results'!$S$62, "data missing"),
   IF(AND(Calc!BC34=0,Calc!BD34=0),
     IF('Waste results'!$S$98&lt;&gt;"data missing", Calc!BE34*'Waste results'!$S$98, "data missing"),
   IF(Calc!BE34=0,
     IF(OR('Waste results'!$S$26&lt;&gt;"data missing", 'Waste results'!$S$62&lt;&gt;"data missing"), Calc!BC34*'Waste results'!$S$26+ Calc!BD34*'Waste results'!$S$62, "data missing"),
   IF(Calc!BD34=0,
     IF(OR('Waste results'!$S$26&lt;&gt;"data missing", 'Waste results'!$S$98&lt;&gt;"data missing"), Calc!BC34*'Waste results'!$S$26+ Calc!BE34*'Waste results'!$S$98, "data missing"),
   IF(Calc!BC34=0,
     IF(OR('Waste results'!$S$62&lt;&gt;"data missing", 'Waste results'!$S$98&lt;&gt;"data missing"), Calc!BD34*'Waste results'!$S$62+Calc!BE34*'Waste results'!$S$98, "data missing"),
   IF(OR('Waste results'!$S$26&lt;&gt;"data missing", 'Waste results'!$S$62&lt;&gt;"data missing", 'Waste results'!$S$98&lt;&gt;"data missing"), Calc!BC34*'Waste results'!$S$26+Calc!BD34*'Waste results'!$S$62+ Calc!BE34*'Waste results'!$S$98, "data missing")))))))))))</f>
        <v/>
      </c>
      <c r="AR36" s="241" t="str">
        <f ca="1">IF($B36="","",
IF(ISBLANK('Soil results'!L39),"data missing",'Soil results'!L39))</f>
        <v/>
      </c>
      <c r="AS36" s="241" t="str">
        <f t="shared" ca="1" si="8"/>
        <v/>
      </c>
      <c r="AT36" s="66" t="str">
        <f t="shared" ca="1" si="9"/>
        <v/>
      </c>
      <c r="AV36" s="238" t="str">
        <f ca="1">IF(B36="","",
IF(AND('Field information 2'!$O$5="", 'Field information 2'!$Q$5=""),
   IF('Waste results'!$S$27&lt;&gt;"data missing", Calc!BC34*'Waste results'!$S$27, "data missing"),
IF('Field information 2'!$Q$5="",
   IF(Calc!BD34=0,
     IF('Waste results'!$S$27&lt;&gt;"data missing", Calc!BC34*'Waste results'!$S$27, "data missing"),
   IF(Calc!BC34=0,
     IF('Waste results'!$S$63&lt;&gt;"data missing", Calc!BD34*'Waste results'!$S$63, "data missing"),
   IF(OR('Waste results'!$S$27&lt;&gt;"data missing", 'Waste results'!$S$63&lt;&gt;"data missing"), Calc!BC34*'Waste results'!$S$27+ Calc!BD34*'Waste results'!$S$63, "data missing"))),
IF(AND('Field information 2'!$M$5&lt;&gt;"", 'Field information 2'!$O$5&lt;&gt;"", 'Field information 2'!$Q$5&lt;&gt;""),
   IF(AND(Calc!BD34=0,Calc!BE34=0),
     IF('Waste results'!$S$27&lt;&gt;"data missing", Calc!BC34*'Waste results'!$S$27, "data missing"),
   IF(AND(Calc!BC34=0,Calc!BE34=0),
     IF('Waste results'!$S$63&lt;&gt;"data missing", Calc!BD34*'Waste results'!$S$63, "data missing"),
   IF(AND(Calc!BC34=0,Calc!BD34=0),
     IF('Waste results'!$S$99&lt;&gt;"data missing", Calc!BE34*'Waste results'!$S$99, "data missing"),
   IF(Calc!BE34=0,
     IF(OR('Waste results'!$S$27&lt;&gt;"data missing", 'Waste results'!$S$63&lt;&gt;"data missing"), Calc!BC34*'Waste results'!$S$27+ Calc!BD34*'Waste results'!$S$63, "data missing"),
   IF(Calc!BD34=0,
     IF(OR('Waste results'!$S$27&lt;&gt;"data missing", 'Waste results'!$S$99&lt;&gt;"data missing"), Calc!BC34*'Waste results'!$S$27+ Calc!BE34*'Waste results'!$S$99, "data missing"),
   IF(Calc!BC34=0,
     IF(OR('Waste results'!$S$63&lt;&gt;"data missing", 'Waste results'!$S$99&lt;&gt;"data missing"), Calc!BD34*'Waste results'!$S$63+Calc!BE34*'Waste results'!$S$99, "data missing"),
   IF(OR('Waste results'!$S$27&lt;&gt;"data missing", 'Waste results'!$S$63&lt;&gt;"data missing", 'Waste results'!$S$99&lt;&gt;"data missing"), Calc!BC34*'Waste results'!$S$27+Calc!BD34*'Waste results'!$S$63+ Calc!BE34*'Waste results'!$S$99, "data missing")))))))))))</f>
        <v/>
      </c>
      <c r="AW36" s="239" t="str">
        <f ca="1">IF($B36="","",
IF(ISBLANK('Soil results'!M39),"data missing",'Soil results'!M39))</f>
        <v/>
      </c>
      <c r="AX36" s="239" t="str">
        <f t="shared" ca="1" si="10"/>
        <v/>
      </c>
      <c r="AY36" s="9" t="str">
        <f ca="1">IF(B36="","",
IF(AV36=0,"n/a",
IF(OR(AV36="data missing",AW36="data missing"),"data missing",
IF(AV36&gt;7.5,"application rate too high - permissible rate exceeds limit",
IF('Soil results'!$F39&lt;=5.5,
  IF(AW36&gt;80,"no application - soil conc. already above limit",
  IF(AX36&gt;80,"application rate too high - soil conc. will exceed limit",
  IF(AW36&gt;80*0.9,"soil conc. is at or above 90% of the limit",
  IF(10*AV36*1000/3000+AW36&gt;80,"soil limit likely to be exceeded in 10yrs",
  IF(50*AV36*1000/3000+AW36&gt;80,"soil limit likely to be exceeded in 50yrs","ok"))))),
IF('Soil results'!$F39&lt;=6,
  IF(AW36&gt;100,"no application - soil conc. already above limit",
  IF(AX36&gt;100,"application rate too high - soil conc. will exceed limit",
  IF(AW36&gt;100*0.9,"soil conc. is at or above 90% of the limit",
  IF(10*AV36*1000/3000+AW36&gt;100,"soil limit likely to be exceeded in 10yrs",
  IF(50*AV36*1000/3000+AW36&gt;100,"soil limit likely to be exceeded in 50yrs","ok"))))),
IF('Soil results'!$F39&lt;=7,
  IF(AW36&gt;135,"no application - soil conc. already above limit",
  IF(AX36&gt;135,"application rate too high - soil conc. will exceed limit",
  IF(AW36&gt;135*0.9,"soil conc. is at or above 90% of the limit",
  IF(10*AV36*1000/3000+AW36&gt;135,"soil limit likely to be exceeded in 10yrs",
  IF(50*AV36*1000/3000+AW36&gt;135,"soil limit likely to be exceeded in 50yrs","ok"))))),
IF('Soil results'!$F39&gt;7,
  IF(AW36&gt;200,"no application - soil conc. already above limit",
  IF(AX36&gt;200,"application too high - soil conc. will exceed limit",
  IF(AW36&gt;200*0.9,"soil conc. is at or above 90% of the limit",
  IF(10*AV36*1000/3000+AW36&gt;200,"soil limit likely to be exceeded in 10yrs",
  IF(50*AV36*1000/3000+AW36&gt;200,"soil limit likely to be exceeded in 50yrs","ok")))))
))))))))</f>
        <v/>
      </c>
      <c r="BA36" s="238" t="str">
        <f ca="1">IF(B36="","",
IF(AND('Field information 2'!$O$5="", 'Field information 2'!$Q$5=""),
   IF('Waste results'!$S$28&lt;&gt;"data missing", Calc!BC34*'Waste results'!$S$28, "data missing"),
IF('Field information 2'!$Q$5="",
   IF(Calc!BD34=0,
     IF('Waste results'!$S$28&lt;&gt;"data missing", Calc!BC34*'Waste results'!$S$28, "data missing"),
   IF(Calc!BC34=0,
     IF('Waste results'!$S$64&lt;&gt;"data missing", Calc!BD34*'Waste results'!$S$64, "data missing"),
   IF(OR('Waste results'!$S$28&lt;&gt;"data missing", 'Waste results'!$S$64&lt;&gt;"data missing"), Calc!BC34*'Waste results'!$S$28+ Calc!BD34*'Waste results'!$S$64, "data missing"))),
IF(AND('Field information 2'!$M$5&lt;&gt;"", 'Field information 2'!$O$5&lt;&gt;"", 'Field information 2'!$Q$5&lt;&gt;""),
   IF(AND(Calc!BD34=0,Calc!BE34=0),
     IF('Waste results'!$S$28&lt;&gt;"data missing", Calc!BC34*'Waste results'!$S$28, "data missing"),
   IF(AND(Calc!BC34=0,Calc!BE34=0),
     IF('Waste results'!$S$64&lt;&gt;"data missing", Calc!BD34*'Waste results'!$S$64, "data missing"),
   IF(AND(Calc!BC34=0,Calc!BD34=0),
     IF('Waste results'!$S$100&lt;&gt;"data missing", Calc!BE34*'Waste results'!$S$100, "data missing"),
   IF(Calc!BE34=0,
     IF(OR('Waste results'!$S$28&lt;&gt;"data missing", 'Waste results'!$S$64&lt;&gt;"data missing"), Calc!BC34*'Waste results'!$S$28+ Calc!BD34*'Waste results'!$S$64, "data missing"),
   IF(Calc!BD34=0,
     IF(OR('Waste results'!$S$28&lt;&gt;"data missing", 'Waste results'!$S$100&lt;&gt;"data missing"), Calc!BC34*'Waste results'!$S$28+ Calc!BE34*'Waste results'!$S$100, "data missing"),
   IF(Calc!BC34=0,
     IF(OR('Waste results'!$S$64&lt;&gt;"data missing", 'Waste results'!$S$100&lt;&gt;"data missing"), Calc!BD34*'Waste results'!$S$64+Calc!BE34*'Waste results'!$S$100, "data missing"),
   IF(OR('Waste results'!$S$28&lt;&gt;"data missing", 'Waste results'!$S$64&lt;&gt;"data missing", 'Waste results'!$S$100&lt;&gt;"data missing"), Calc!BC34*'Waste results'!$S$28+Calc!BD34*'Waste results'!$S$64+ Calc!BE34*'Waste results'!$S$100, "data missing")))))))))))</f>
        <v/>
      </c>
      <c r="BB36" s="239" t="str">
        <f ca="1">IF($B36="","",
IF(ISBLANK('Soil results'!N39),"data missing",'Soil results'!N39))</f>
        <v/>
      </c>
      <c r="BC36" s="239" t="str">
        <f t="shared" ca="1" si="11"/>
        <v/>
      </c>
      <c r="BD36" s="9" t="str">
        <f t="shared" ca="1" si="12"/>
        <v/>
      </c>
      <c r="BF36" s="238" t="str">
        <f ca="1">IF(B36="","",
IF(AND('Field information 2'!$O$5="", 'Field information 2'!$Q$5=""),
   IF('Waste results'!$S$29&lt;&gt;"data missing", Calc!BC34*'Waste results'!$S$29, "data missing"),
IF('Field information 2'!$Q$5="",
   IF(Calc!BD34=0,
     IF('Waste results'!$S$29&lt;&gt;"data missing", Calc!BC34*'Waste results'!$S$29, "data missing"),
   IF(Calc!BC34=0,
     IF('Waste results'!$S$65&lt;&gt;"data missing", Calc!BD34*'Waste results'!$S$65, "data missing"),
   IF(OR('Waste results'!$S$29&lt;&gt;"data missing", 'Waste results'!$S$65&lt;&gt;"data missing"), Calc!BC34*'Waste results'!$S$29+ Calc!BD34*'Waste results'!$S$65, "data missing"))),
IF(AND('Field information 2'!$M$5&lt;&gt;"", 'Field information 2'!$O$5&lt;&gt;"", 'Field information 2'!$Q$5&lt;&gt;""),
   IF(AND(Calc!BD34=0,Calc!BE34=0),
     IF('Waste results'!$S$29&lt;&gt;"data missing", Calc!BC34*'Waste results'!$S$29, "data missing"),
   IF(AND(Calc!BC34=0,Calc!BE34=0),
     IF('Waste results'!$S$65&lt;&gt;"data missing", Calc!BD34*'Waste results'!$S$65, "data missing"),
   IF(AND(Calc!BC34=0,Calc!BD34=0),
     IF('Waste results'!$S$101&lt;&gt;"data missing", Calc!BE34*'Waste results'!$S$101, "data missing"),
   IF(Calc!BE34=0,
     IF(OR('Waste results'!$S$29&lt;&gt;"data missing", 'Waste results'!$S$65&lt;&gt;"data missing"), Calc!BC34*'Waste results'!$S$29+ Calc!BD34*'Waste results'!$S$65, "data missing"),
   IF(Calc!BD34=0,
     IF(OR('Waste results'!$S$29&lt;&gt;"data missing", 'Waste results'!$S$101&lt;&gt;"data missing"), Calc!BC34*'Waste results'!$S$29+ Calc!BE34*'Waste results'!$S$101, "data missing"),
   IF(Calc!BC34=0,
     IF(OR('Waste results'!$S$65&lt;&gt;"data missing", 'Waste results'!$S$101&lt;&gt;"data missing"), Calc!BD34*'Waste results'!$S$65+Calc!BE34*'Waste results'!$S$101, "data missing"),
   IF(OR('Waste results'!$S$29&lt;&gt;"data missing", 'Waste results'!$S$65&lt;&gt;"data missing", 'Waste results'!$S$101&lt;&gt;"data missing"), Calc!BC34*'Waste results'!$S$29+Calc!BD34*'Waste results'!$S$65+ Calc!BE34*'Waste results'!$S$101, "data missing")))))))))))</f>
        <v/>
      </c>
      <c r="BG36" s="239" t="str">
        <f ca="1">IF($B36="","",
IF(ISBLANK('Soil results'!O39),"data missing",'Soil results'!O39))</f>
        <v/>
      </c>
      <c r="BH36" s="239" t="str">
        <f t="shared" ca="1" si="13"/>
        <v/>
      </c>
      <c r="BI36" s="9" t="str">
        <f ca="1">IF(B36="","",
IF(BF36=0,"n/a",
IF(OR(BF36="data missing",BG36="data missing"),"data missing",
IF(BF36&gt;3,"application rate too high - permissible rate exceeds limit",
IF('Soil results'!F39&lt;=5.5,
  IF(BG36&gt;50,"no application - soil conc. already above limit",
  IF(BH36&gt;50,"application rate too high - soil conc. will exceed limit",
  IF(BG36&gt;50*0.9,"soil conc. is at or above 90% of the limit",
  IF(10*BF36*1000/3000+BG36&gt;50,"soil limit likely to be exceeded in 10yrs",
  IF(50*BF36*1000/3000+BG36&gt;50,"soil limit likely to be exceeded in 50yrs","ok"))))),
IF('Soil results'!F39&lt;=6,
  IF(BG36&gt;60,"no application - soil conc. already above limit",
  IF(BH36&gt;60,"application rate too high - soil conc. will exceed limit",
  IF(BG36&gt;60*0.9,"soil conc. is at or above 90% of the limit",
  IF(10*BF36*1000/3000+BG36&gt;60,"soil limit likely to be exceeded in 10yrs",
  IF(50*BF36*1000/3000+BG36&gt;60,"soil limit likely to be exceeded in 50yrs","ok"))))),
IF('Soil results'!F39&lt;=7,
  IF(BG36&gt;75,"no application - soil conc. already above limit",
  IF(BH36&gt;75,"application rate too high - soil conc. will exceed limit",
  IF(BG36&gt;75*0.9,"soil conc. is at or above 90% of the limit",
  IF(10*BF36*1000/3000+BG36&gt;75,"soil limit likely to be exceeded in 10yrs",
  IF(50*BF36*1000/3000+BG36&gt;75,"soil limit likely to be exceeded in 50yrs","ok"))))),
IF('Soil results'!F39&gt;7,
  IF(BG36&gt;100,"no application - soil conc. already above limit",
  IF(BH36&gt;100,"application rate too high - soil conc. will exceed limit",
  IF(BG36&gt;100*0.9,"soil conc. is at or above 90% of the limit",
  IF(10*BF36*1000/3000+BG36&gt;100,"soil limit likely to be exceeded in 10yrs",
  IF(50*BF36*1000/3000+BG36&gt;100,"soil limit likely to beexceeded in 50yrs","ok")))))
))))))))</f>
        <v/>
      </c>
      <c r="BK36" s="240" t="str">
        <f ca="1">IF(B36="","",
IF(AND('Field information 2'!$O$5="", 'Field information 2'!$Q$5=""),
   IF('Waste results'!$S$30&lt;&gt;"data missing", Calc!BC34*'Waste results'!$S$30, "data missing"),
IF('Field information 2'!$Q$5="",
   IF(Calc!BD34=0,
     IF('Waste results'!$S$30&lt;&gt;"data missing", Calc!BC34*'Waste results'!$S$30, "data missing"),
   IF(Calc!BC34=0,
     IF('Waste results'!$S$66&lt;&gt;"data missing", Calc!BD34*'Waste results'!$S$66, "data missing"),
   IF(OR('Waste results'!$S$30&lt;&gt;"data missing", 'Waste results'!$S$66&lt;&gt;"data missing"), Calc!BC34*'Waste results'!$S$30+ Calc!BD34*'Waste results'!$S$66, "data missing"))),
IF(AND('Field information 2'!$M$5&lt;&gt;"", 'Field information 2'!$O$5&lt;&gt;"", 'Field information 2'!$Q$5&lt;&gt;""),
   IF(AND(Calc!BD34=0,Calc!BE34=0),
     IF('Waste results'!$S$30&lt;&gt;"data missing", Calc!BC34*'Waste results'!$S$30, "data missing"),
   IF(AND(Calc!BC34=0,Calc!BE34=0),
     IF('Waste results'!$S$66&lt;&gt;"data missing", Calc!BD34*'Waste results'!$S$66, "data missing"),
   IF(AND(Calc!BC34=0,Calc!BD34=0),
     IF('Waste results'!$S$102&lt;&gt;"data missing", Calc!BE34*'Waste results'!$S$102, "data missing"),
   IF(Calc!BE34=0,
     IF(OR('Waste results'!$S$30&lt;&gt;"data missing", 'Waste results'!$S$66&lt;&gt;"data missing"), Calc!BC34*'Waste results'!$S$30+ Calc!BD34*'Waste results'!$S$66, "data missing"),
   IF(Calc!BD34=0,
     IF(OR('Waste results'!$S$30&lt;&gt;"data missing", 'Waste results'!$S$102&lt;&gt;"data missing"), Calc!BC34*'Waste results'!$S$30+ Calc!BE34*'Waste results'!$S$102, "data missing"),
   IF(Calc!BC34=0,
     IF(OR('Waste results'!$S$66&lt;&gt;"data missing", 'Waste results'!$S$102&lt;&gt;"data missing"), Calc!BD34*'Waste results'!$S$66+Calc!BE34*'Waste results'!$S$102, "data missing"),
   IF(OR('Waste results'!$S$30&lt;&gt;"data missing", 'Waste results'!$S$66&lt;&gt;"data missing", 'Waste results'!$S$102&lt;&gt;"data missing"), Calc!BC34*'Waste results'!$S$30+Calc!BD34*'Waste results'!$S$66+ Calc!BE34*'Waste results'!$S$102, "data missing")))))))))))</f>
        <v/>
      </c>
      <c r="BL36" s="241" t="str">
        <f ca="1">IF($B36="","",
IF(ISBLANK('Soil results'!P39),"data missing",'Soil results'!P39))</f>
        <v/>
      </c>
      <c r="BM36" s="241" t="str">
        <f t="shared" ca="1" si="14"/>
        <v/>
      </c>
      <c r="BN36" s="66" t="str">
        <f t="shared" ca="1" si="15"/>
        <v/>
      </c>
      <c r="BP36" s="238" t="str">
        <f ca="1">IF(B36="","",
IF(AND('Field information 2'!$O$5="", 'Field information 2'!$Q$5=""),
   IF('Waste results'!$S$31&lt;&gt;"data missing", Calc!BC34*'Waste results'!$S$31, "data missing"),
IF('Field information 2'!$Q$5="",
   IF(Calc!BD34=0,
     IF('Waste results'!$S$31&lt;&gt;"data missing", Calc!BC34*'Waste results'!$S$31, "data missing"),
   IF(Calc!BC34=0,
     IF('Waste results'!$S$67&lt;&gt;"data missing", Calc!BD34*'Waste results'!$S$67, "data missing"),
   IF(OR('Waste results'!$S$31&lt;&gt;"data missing", 'Waste results'!$S$67&lt;&gt;"data missing"), Calc!BC34*'Waste results'!$S$31+ Calc!BD34*'Waste results'!$S$67, "data missing"))),
IF(AND('Field information 2'!$M$5&lt;&gt;"", 'Field information 2'!$O$5&lt;&gt;"", 'Field information 2'!$Q$5&lt;&gt;""),
   IF(AND(Calc!BD34=0,Calc!BE34=0),
     IF('Waste results'!$S$31&lt;&gt;"data missing", Calc!BC34*'Waste results'!$S$31, "data missing"),
   IF(AND(Calc!BC34=0,Calc!BE34=0),
     IF('Waste results'!$S$67&lt;&gt;"data missing", Calc!BD34*'Waste results'!$S$67, "data missing"),
   IF(AND(Calc!BC34=0,Calc!BD34=0),
     IF('Waste results'!$S$103&lt;&gt;"data missing", Calc!BE34*'Waste results'!$S$103, "data missing"),
   IF(Calc!BE34=0,
     IF(OR('Waste results'!$S$31&lt;&gt;"data missing", 'Waste results'!$S$67&lt;&gt;"data missing"), Calc!BC34*'Waste results'!$S$31+ Calc!BD34*'Waste results'!$S$67, "data missing"),
   IF(Calc!BD34=0,
     IF(OR('Waste results'!$S$31&lt;&gt;"data missing", 'Waste results'!$S$103&lt;&gt;"data missing"), Calc!BC34*'Waste results'!$S$31+ Calc!BE34*'Waste results'!$S$103, "data missing"),
   IF(Calc!BC34=0,
     IF(OR('Waste results'!$S$67&lt;&gt;"data missing", 'Waste results'!$S$103&lt;&gt;"data missing"), Calc!BD34*'Waste results'!$S$67+Calc!BE34*'Waste results'!$S$103, "data missing"),
   IF(OR('Waste results'!$S$31&lt;&gt;"data missing", 'Waste results'!$S$67&lt;&gt;"data missing", 'Waste results'!$S$103&lt;&gt;"data missing"), Calc!BC34*'Waste results'!$S$31+Calc!BD34*'Waste results'!$S$67+ Calc!BE34*'Waste results'!$S$103, "data missing")))))))))))</f>
        <v/>
      </c>
      <c r="BQ36" s="239" t="str">
        <f ca="1">IF($B36="","",
IF(ISBLANK('Soil results'!Q39),"data missing",'Soil results'!Q39))</f>
        <v/>
      </c>
      <c r="BR36" s="239" t="str">
        <f t="shared" ca="1" si="16"/>
        <v/>
      </c>
      <c r="BS36" s="9" t="str">
        <f ca="1">IF(B36="","",
IF(BP36=0,"n/a",
IF(OR(BP36="data missing",BQ36=""),"data missing",
IF(BP36&gt;15,"application rate too high - permissible rate exceeds limit",
IF('Soil results'!F39&lt;=5.5,
  IF(BQ36&gt;200,"no application - soil conc. already above limit",
  IF(BR36&gt;200,"application rate too high - soil conc. will exceed limit",
  IF(BQ36&gt;200*0.9,"soil conc. is at or above 90% of the limit",
  IF(10*BP36*1000/3000+BQ36&gt;200,"soil limit likely to be exceeded in 10yrs",
  IF(50*BP36*1000/3000+BQ36&gt;200,"soil limit likely to be exceeded in 50yrs","ok"))))),
IF('Soil results'!F39&lt;=6,
  IF(BQ36&gt;250,"no application - soil conc. already above limit",
  IF(BR36&gt;250,"application rate too high - soil conc. will exceed limit",
  IF(BQ36&gt;250*0.9,"soil conc. is at or above 90% of the limit",
  IF(10*BP36*1000/3000+BQ36&gt;250,"soil limit likely to be exceeded in 10yrs",
  IF(50*BP36*1000/3000+BQ36&gt;250,"soil limit likely to be exceeded in 50yrs","ok"))))),
IF('Soil results'!F39&lt;=7,
  IF(BQ36&gt;300,"no application - soil conc. already above limit",
  IF(BR36&gt;300,"application rate too high - soil conc. will exceed limit",
  IF(BQ36&gt;300*0.9,"soil conc. is at or above 90% of the limit",
  IF(10*BP36*1000/3000+BQ36&gt;300,"soil limit likey to be exceeded in 10yrs",
  IF(50*BP36*1000/3000+BQ36&gt;300,"soil limit likely to be exceeded in 50yrs","ok"))))),
IF('Soil results'!F39&gt;7,
  IF(BQ36&gt;450,"no application - soil conc. already above limit",
  IF(BR36&gt;450,"application rate too high - soil conc. will exceed limit",
  IF(AW36&gt;450*0.9,"soil conc. is at or above 90% of the limit",
  IF(10*BP36*1000/3000+BQ36&gt;450,"soil limit likely to be exceeded in 10yrs",
  IF(50*BP36*1000/3000+BQ36&gt;450,"soil limit likely to be exceeded in 50yrs","ok")))))
))))))))</f>
        <v/>
      </c>
    </row>
    <row r="37" spans="2:71" s="9" customFormat="1" x14ac:dyDescent="0.35">
      <c r="B37" s="236" t="str">
        <f ca="1">'Soil results'!B40</f>
        <v/>
      </c>
      <c r="C37" s="91" t="str">
        <f ca="1">IF(B37="","",
IF(AND('Field information 2'!$O$5="", 'Field information 2'!$Q$5=""),
   IF('Waste results'!$S$12&lt;&gt;"data missing", Calc!BC35*'Waste results'!$S$12, "data missing"),
IF('Field information 2'!$Q$5="",
   IF(Calc!BD35=0,
     IF('Waste results'!$S$12&lt;&gt;"data missing", Calc!BC35*'Waste results'!$S$12, "data missing"),
   IF(Calc!BC35=0,
     IF('Waste results'!$S$48&lt;&gt;"data missing", Calc!BD35*'Waste results'!$S$48, "data missing"),
   IF(OR('Waste results'!$S$12&lt;&gt;"data missing", 'Waste results'!$S$48&lt;&gt;"data missing"), Calc!BC35*'Waste results'!$S$12+ Calc!BD35*'Waste results'!$S$48, "data missing"))),
IF(AND('Field information 2'!$M$5&lt;&gt;"", 'Field information 2'!$O$5&lt;&gt;"", 'Field information 2'!$Q$5&lt;&gt;""),
   IF(AND(Calc!BD35=0,Calc!BE35=0),
     IF('Waste results'!$S$12&lt;&gt;"data missing", Calc!BC35*'Waste results'!$S$12, "data missing"),
   IF(AND(Calc!BC35=0,Calc!BE35=0),
     IF('Waste results'!$S$48&lt;&gt;"data missing", Calc!BD35*'Waste results'!$S$48, "data missing"),
   IF(AND(Calc!BC35=0,Calc!BD35=0),
     IF('Waste results'!$S$84&lt;&gt;"data missing", Calc!BE35*'Waste results'!$S$84, "data missing"),
   IF(Calc!BE35=0,
     IF(OR('Waste results'!$S$12&lt;&gt;"data missing", 'Waste results'!$S$48&lt;&gt;"data missing"), Calc!BC35*'Waste results'!$S$12+ Calc!BD35*'Waste results'!$S$48, "data missing"),
   IF(Calc!BD35=0,
     IF(OR('Waste results'!$S$12&lt;&gt;"data missing", 'Waste results'!$S$84&lt;&gt;"data missing"), Calc!BC35*'Waste results'!$S$12+ Calc!BE35*'Waste results'!$S$84, "data missing"),
   IF(Calc!BC35=0,
     IF(OR('Waste results'!$S$48&lt;&gt;"data missing", 'Waste results'!$S$84&lt;&gt;"data missing"), Calc!BD35*'Waste results'!$S$48+Calc!BE35*'Waste results'!$S$84, "data missing"),
   IF(OR('Waste results'!$S$12&lt;&gt;"data missing", 'Waste results'!$S$48&lt;&gt;"data missing", 'Waste results'!$S$84&lt;&gt;"data missing"), Calc!BC35*'Waste results'!$S$12+Calc!BD35*'Waste results'!$S$48+ Calc!BE35*'Waste results'!$S$84, "data missing")))))))))))</f>
        <v/>
      </c>
      <c r="D37" s="161" t="str">
        <f ca="1">IF(B37="","",
IF(Calc!BG35="","soil texture missing",
IF(OR(Calc!BG35="SL; SZL; ZL",Calc!BG35="SCL; CL; ZCL; SC; ZC; C"),VLOOKUP(Calc!BI35,'Fertiliser recommendations'!$A$4:$C$63,3,FALSE),
IF(Calc!BG35="S; LS",VLOOKUP(Calc!BI35,'Fertiliser recommendations'!$A$4:$C$63,3,FALSE)+VLOOKUP(Calc!BI35,'Fertiliser recommendations'!$A$4:$D$63,4,FALSE),
IF(Calc!BG35="10-25% OM",VLOOKUP(Calc!BI35,'Fertiliser recommendations'!$A$4:$C$63,3,FALSE)+VLOOKUP(Calc!BI35,'Fertiliser recommendations'!$A$4:$E$63,5,FALSE),
IF(Calc!BG35="&gt;25% OM",VLOOKUP(Calc!BI35,'Fertiliser recommendations'!$A$4:$C$63,3,FALSE)+VLOOKUP(Calc!BI35,'Fertiliser recommendations'!$A$4:$F$63,6,FALSE),
""))))))</f>
        <v/>
      </c>
      <c r="E37" s="91" t="str">
        <f t="shared" ca="1" si="0"/>
        <v/>
      </c>
      <c r="F37" s="9" t="str">
        <f ca="1">IF(B37="","",
IF(OR(C37="data missing",D37="soil texture missing"),"data missing",
IF(Calc!BF35=0,"n/a",
IF(C37&lt;0.1*D37,"no benefit",
IF(C37&lt;0.3*D37,"limited benefit",
IF(C37&gt;250,"exceeds limit",
IF(OR(AND(D37=0,C37&gt;75),C37&gt;1.25*D37),"excessive",
IF(D37=0, "no requirement",
"benefit"))))))))</f>
        <v/>
      </c>
      <c r="H37" s="91" t="str">
        <f ca="1">IF(B37="","",
IF(AND('Field information 2'!$O$5="", 'Field information 2'!$Q$5=""),
   IF('Waste results'!$S$17&lt;&gt;"data missing", Calc!BC35*'Waste results'!$S$17, "data missing"),
IF('Field information 2'!$Q$5="",
   IF(Calc!BD35=0,
     IF('Waste results'!$S$17&lt;&gt;"data missing", Calc!BC35*'Waste results'!$S$17, "data missing"),
   IF(Calc!BC35=0,
     IF('Waste results'!$S$53&lt;&gt;"data missing", Calc!BD35*'Waste results'!$S$53, "data missing"),
   IF(OR('Waste results'!$S$17&lt;&gt;"data missing", 'Waste results'!$S$53&lt;&gt;"data missing"), Calc!BC35*'Waste results'!$S$17+ Calc!BD35*'Waste results'!$S$53, "data missing"))),
IF(AND('Field information 2'!$M$5&lt;&gt;"", 'Field information 2'!$O$5&lt;&gt;"", 'Field information 2'!$Q$5&lt;&gt;""),
   IF(AND(Calc!BD35=0,Calc!BE35=0),
     IF('Waste results'!$S$17&lt;&gt;"data missing", Calc!BC35*'Waste results'!$S$17, "data missing"),
   IF(AND(Calc!BC35=0,Calc!BE35=0),
     IF('Waste results'!$S$53&lt;&gt;"data missing", Calc!BD35*'Waste results'!$S$53, "data missing"),
   IF(AND(Calc!BC35=0,Calc!BD35=0),
     IF('Waste results'!$S$89&lt;&gt;"data missing", Calc!BE35*'Waste results'!$S$89, "data missing"),
   IF(Calc!BE35=0,
     IF(OR('Waste results'!$S$17&lt;&gt;"data missing", 'Waste results'!$S$53&lt;&gt;"data missing"), Calc!BC35*'Waste results'!$S$17+ Calc!BD35*'Waste results'!$S$53, "data missing"),
   IF(Calc!BD35=0,
     IF(OR('Waste results'!$S$17&lt;&gt;"data missing", 'Waste results'!$S$89&lt;&gt;"data missing"), Calc!BC35*'Waste results'!$S$17+ Calc!BE35*'Waste results'!$S$89, "data missing"),
   IF(Calc!BC35=0,
     IF(OR('Waste results'!$S$53&lt;&gt;"data missing", 'Waste results'!$S$89&lt;&gt;"data missing"), Calc!BD35*'Waste results'!$S$53+Calc!BE35*'Waste results'!$S$89, "data missing"),
   IF(OR('Waste results'!$S$17&lt;&gt;"data missing", 'Waste results'!$S$53&lt;&gt;"data missing", 'Waste results'!$S$89&lt;&gt;"data missing"), Calc!BC35*'Waste results'!$S$17+Calc!BD35*'Waste results'!$S$53+ Calc!BE35*'Waste results'!$S$89, "data missing")))))))))))</f>
        <v/>
      </c>
      <c r="I37" s="195" t="str">
        <f ca="1">IF(B37="","",
IF(OR(ISBLANK('Soil results'!G40), ISBLANK('Soil results'!G$7)),"data missing",
IF(OR(AND('Soil results'!G$7="Olsen (ADAS)",'Soil results'!G40&lt;16),AND('Soil results'!G$7="modified Morgan (SAC)",'Soil results'!G40&lt;4.5)),50,100)))</f>
        <v/>
      </c>
      <c r="J37" s="49" t="str">
        <f ca="1">IF(B37="","",
IF(OR(ISBLANK('Soil results'!G$7),ISBLANK('Soil results'!G40)),"data missing",
IF(OR(AND('Soil results'!G$7="Olsen (ADAS)",'Soil results'!G40&gt;45),AND('Soil results'!G$7="modified Morgan (SAC)",'Soil results'!G40&gt;30)),0,
IF(OR(AND('Soil results'!G$7="Olsen (ADAS)",'Soil results'!G40&gt;=16,'Soil results'!G40&lt;=20),AND('Soil results'!G$7="modified Morgan (SAC)",'Soil results'!G40&gt;=4.5,'Soil results'!G40&lt;=9.4)),VLOOKUP(Calc!BI35,'Fertiliser recommendations'!$A$4:$I$63,9,FALSE),
IF(OR(AND('Soil results'!G$7="Olsen (ADAS)",'Soil results'!G40&lt;10),AND('Soil results'!G$7="modified Morgan (SAC)",'Soil results'!G40&lt;1.8)),VLOOKUP(Calc!BI35,'Fertiliser recommendations'!$A$4:$I$63,9,FALSE)+VLOOKUP(Calc!BI35,'Fertiliser recommendations'!$A$4:$J$63,10,FALSE),
IF(OR(AND('Soil results'!G$7="Olsen (ADAS)",'Soil results'!G40&lt;16),AND('Soil results'!G$7="modified Morgan (SAC)",'Soil results'!G40&lt;4.5)),VLOOKUP(Calc!BI35,'Fertiliser recommendations'!$A$4:$I$63,9,FALSE)+VLOOKUP(Calc!BI35,'Fertiliser recommendations'!$A$4:$K$63,11,FALSE),
IF(OR(AND('Soil results'!G$7="Olsen (ADAS)",'Soil results'!G40&lt;26),AND('Soil results'!G$7="modified Morgan (SAC)",'Soil results'!G40&lt;13.5)),VLOOKUP(Calc!BI35,'Fertiliser recommendations'!$A$4:$I$63,9,FALSE)+VLOOKUP(Calc!BI35,'Fertiliser recommendations'!$A$4:$L$63,12,FALSE),
IF(OR(AND('Soil results'!G$7="Olsen (ADAS)",'Soil results'!G40&lt;=45),AND('Soil results'!G$7="modified Morgan (SAC)",'Soil results'!G40&lt;=30)),VLOOKUP(Calc!BI35,'Fertiliser recommendations'!$A$4:$I$63,9,FALSE)+VLOOKUP(Calc!BI35,'Fertiliser recommendations'!$A$4:$M$63,13,FALSE),
""))))))))</f>
        <v/>
      </c>
      <c r="K37" s="161" t="str">
        <f t="shared" ca="1" si="1"/>
        <v/>
      </c>
      <c r="L37" s="47" t="str">
        <f ca="1">IF(OR(ISBLANK('Soil results'!G$7),ISBLANK('Soil results'!G40),B37="", H37="data missing"),"",
IF('Soil results'!G$7="Olsen (ADAS)",
IF(((H37*Calc!BM35/2.291-(VLOOKUP(Calc!BI35,'Fertiliser recommendations'!$A$4:$I$63,9,FALSE))/2.291)*10/(400/2.291)+'Soil results'!G40)&lt;10,"0 (VL)",
IF(((H37*Calc!BM35/2.291-(VLOOKUP(Calc!BI35,'Fertiliser recommendations'!$A$4:$I$63,9,FALSE))/2.291)*10/(400/2.291)+'Soil results'!G40)&lt;16,"1 (L)",
IF(((H37*Calc!BM35/2.291-(VLOOKUP(Calc!BI35,'Fertiliser recommendations'!$A$4:$I$63,9,FALSE))/2.291)*10/(400/2.291)+'Soil results'!G40)&lt;21,"2 (M-)",
IF(((H37*Calc!BM35/2.291-(VLOOKUP(Calc!BI35,'Fertiliser recommendations'!$A$4:$I$63,9,FALSE))/2.291)*10/(400/2.291)+'Soil results'!G40)&lt;26,"2 (M+)",
IF(((H37*Calc!BM35/2.291-(VLOOKUP(Calc!BI35,'Fertiliser recommendations'!$A$4:$I$63,9,FALSE))/2.291)*10/(400/2.291)+'Soil results'!G40)&lt;45,"3 (H)","&gt;3 (VH)"))))),
IF('Soil results'!G$7="modified Morgan (SAC)",
IF('Soil results'!G40&gt;=6,
IF(((H37*Calc!BM35/2.291-(VLOOKUP(Calc!BI35,'Fertiliser recommendations'!$A$4:$I$63,9,FALSE))/2.291)*5/(147/2.291)+'Soil results'!G40)&lt;9.5,"2 (M-)",
IF(((H37*Calc!BM35/2.291-(VLOOKUP(Calc!BI35,'Fertiliser recommendations'!$A$4:$I$63,9,FALSE))/2.291)*5/(147/2.291)+'Soil results'!G40)&lt;13.5,"2 (M+)",
IF(((H37*Calc!BM35/2.291-(VLOOKUP(Calc!BI35,'Fertiliser recommendations'!$A$4:$I$63,9,FALSE))/2.291)*5/(147/2.291)+'Soil results'!G40)&lt;30,"3 (H)","4 (VH)"))),
IF(((H37*Calc!BM35/2.291-(VLOOKUP(Calc!BI35,'Fertiliser recommendations'!$A$4:$I$63,9,FALSE))/2.291)*5/(346/2.291)+'Soil results'!G40)&lt;1.8,"0 (VL)",
IF(((H37*Calc!BM35/2.291-(VLOOKUP(Calc!BI35,'Fertiliser recommendations'!$A$4:$I$63,9,FALSE))/2.291)*5/(147/2.291)+'Soil results'!G40)&lt;4.5,"1 (L)","2 (M-)"))))))</f>
        <v/>
      </c>
      <c r="M37" s="9" t="str">
        <f ca="1">IF(B37="","",
IF(OR(H37="data missing",I37="data missing",J37="data missing"),"data missing",
IF(Calc!BF35=0,"n/a",
IF(OR(AND('Soil results'!G$7="Olsen (ADAS)",'Soil results'!G40&gt;45),AND('Soil results'!G$7="modified Morgan (SAC)",'Soil results'!G40&gt;30)),
IF(H37&gt;2,"too high, not acceptable","no requirement"),IF(OR(AND('Soil results'!G$7="Olsen (ADAS)",'Soil results'!G40&gt;25),AND('Soil results'!G$7="modified Morgan (SAC)",'Soil results'!G40&gt;13.4)),
IF(H37*(I37/100)&lt;0.1*J37,"no benefit",
IF(H37*(I37/100)&lt;0.3*J37,"limited benefit",
IF(H37*(I37/100)&lt;1.1*J37,"benefit",
IF(H37*(I37/100)&lt;0.7*VLOOKUP(Calc!BI35,'Fertiliser recommendations'!$A$4:$I$63,9,FALSE),"excessive","too high, not acceptable")))),
IF(OR(AND('Soil results'!G$7="Olsen (ADAS)",'Soil results'!G40&gt;20),AND('Soil results'!G$7="modified Morgan (SAC)",'Soil results'!G40&gt;9.4)),
IF(H37*Calc!BM35*(I37/100)&lt;0.1*J37,"no benefit",
IF(H37*Calc!BM35*(I37/100)&lt;0.3*J37,"limited benefit",
IF(H37*Calc!BM35*(I37/100)&lt;1.1*J37,"benefit",
IF(L37="3 (H)","too high, not acceptable","excessive")))),
IF(OR(AND('Soil results'!G$7="Olsen (ADAS)",'Soil results'!G40&gt;15),AND('Soil results'!G$7="modified Morgan (SAC)",'Soil results'!G40&gt;4.4)),
IF(H37*Calc!BM35*(I37/100)&lt;0.1*VLOOKUP(Calc!BI35,'Fertiliser recommendations'!$A$4:$I$63,9,FALSE),"no benefit",
IF(H37*Calc!BM35*(I37/100)&lt;0.3*VLOOKUP(Calc!BI35,'Fertiliser recommendations'!$A$4:$I$63,9,FALSE),"limited benefit",
IF(H37*Calc!BM35*(I37/100)&lt;1.1*VLOOKUP(Calc!BI35,'Fertiliser recommendations'!$A$4:$I$63,9,FALSE),"benefit",
IF(L37="3 (H)", "too high, not acceptable", "excessive")))),
IF(OR(AND('Soil results'!G$7="Olsen (ADAS)",'Soil results'!G40&lt;=15),AND('Soil results'!G$7="modified Morgan (SAC)",'Soil results'!G40&lt;=4.4)),
IF(H37*Calc!BM35*(I37/100)&lt;0.1*VLOOKUP(Calc!BI35,'Fertiliser recommendations'!$A$4:$I$63,9,FALSE),"no benefit",
IF(H37*Calc!BM35*(I37/100)&lt;0.3*VLOOKUP(Calc!BI35,'Fertiliser recommendations'!$A$4:$I$63,9,FALSE),"limited benefit",
IF(H37*Calc!BM35*(I37/100)&lt;1.1*J37,"benefit","excessive")))))))))))</f>
        <v/>
      </c>
      <c r="O37" s="91" t="str">
        <f ca="1">IF(B37="","",
IF(AND('Field information 2'!$O$5="", 'Field information 2'!$Q$5=""),
   IF('Waste results'!$S$19&lt;&gt;"data missing", Calc!BC35*'Waste results'!$S$19, "data missing"),
IF('Field information 2'!$Q$5="",
   IF(Calc!BD35=0,
     IF('Waste results'!$S$19&lt;&gt;"data missing", Calc!BC35*'Waste results'!$S$19, "data missing"),
   IF(Calc!BC35=0,
     IF('Waste results'!$S$55&lt;&gt;"data missing", Calc!BD35*'Waste results'!$S$55, "data missing"),
   IF(OR('Waste results'!$S$19&lt;&gt;"data missing", 'Waste results'!$S$55&lt;&gt;"data missing"), Calc!BC35*'Waste results'!$S$19+ Calc!BD35*'Waste results'!$S$55, "data missing"))),
IF(AND('Field information 2'!$M$5&lt;&gt;"", 'Field information 2'!$O$5&lt;&gt;"", 'Field information 2'!$Q$5&lt;&gt;""),
   IF(AND(Calc!BD35=0,Calc!BE35=0),
     IF('Waste results'!$S$19&lt;&gt;"data missing", Calc!BC35*'Waste results'!$S$19, "data missing"),
   IF(AND(Calc!BC35=0,Calc!BE35=0),
     IF('Waste results'!$S$55&lt;&gt;"data missing", Calc!BD35*'Waste results'!$S$55, "data missing"),
   IF(AND(Calc!BC35=0,Calc!BD35=0),
     IF('Waste results'!$S$91&lt;&gt;"data missing", Calc!BE35*'Waste results'!$S$91, "data missing"),
   IF(Calc!BE35=0,
     IF(OR('Waste results'!$S$19&lt;&gt;"data missing", 'Waste results'!$S$55&lt;&gt;"data missing"), Calc!BC35*'Waste results'!$S$19+ Calc!BD35*'Waste results'!$S$55, "data missing"),
   IF(Calc!BD35=0,
     IF(OR('Waste results'!$S$19&lt;&gt;"data missing", 'Waste results'!$S$91&lt;&gt;"data missing"), Calc!BC35*'Waste results'!$S$19+ Calc!BE35*'Waste results'!$S$91, "data missing"),
   IF(Calc!BC35=0,
     IF(OR('Waste results'!$S$55&lt;&gt;"data missing", 'Waste results'!$S$91&lt;&gt;"data missing"), Calc!BD35*'Waste results'!$S$55+Calc!BE35*'Waste results'!$S$91, "data missing"),
   IF(OR('Waste results'!$S$19&lt;&gt;"data missing", 'Waste results'!$S$55&lt;&gt;"data missing", 'Waste results'!$S$91&lt;&gt;"data missing"), Calc!BC35*'Waste results'!$S$19+Calc!BD35*'Waste results'!$S$55+ Calc!BE35*'Waste results'!$S$91, "data missing")))))))))))</f>
        <v/>
      </c>
      <c r="P37" s="91" t="str">
        <f ca="1">IF(B37="","",
IF(OR(ISBLANK('Soil results'!H$7),ISBLANK('Soil results'!H40)),"data missing",
IF(OR(AND('Soil results'!H$7="ammonium nitrate (ADAS)",'Soil results'!H40&gt;400),AND('Soil results'!H$7="modified Morgan (SAC)",'Soil results'!H40&gt;400)),0,
IF(OR(AND('Soil results'!H$7="ammonium nitrate (ADAS)",'Soil results'!H40&gt;=121,'Soil results'!H40&lt;=180),AND('Soil results'!H$7="modified Morgan (SAC)",'Soil results'!H40&gt;=76,'Soil results'!H40&lt;=140)),VLOOKUP(Calc!BI35,'Fertiliser recommendations'!$A$4:$Z$63,26,FALSE),
IF(OR(AND('Soil results'!H$7="ammonium nitrate (ADAS)",'Soil results'!H40&lt;61),AND('Soil results'!H$7="modified Morgan (SAC)",'Soil results'!H40&lt;40)),VLOOKUP(Calc!BI35,'Fertiliser recommendations'!$A$4:$Z$63,26,FALSE)+VLOOKUP(Calc!BI35,'Fertiliser recommendations'!$A$4:$AA$63,27,FALSE),
IF(OR(AND('Soil results'!H$7="ammonium nitrate (ADAS)",'Soil results'!H40&lt;121),AND('Soil results'!H$7="modified Morgan (SAC)",'Soil results'!H40&lt;76)),VLOOKUP(Calc!BI35,'Fertiliser recommendations'!$A$4:$Z$63,26,FALSE)+VLOOKUP(Calc!BI35,'Fertiliser recommendations'!$A$4:$AB$63,28,FALSE),
IF(OR(AND('Soil results'!H$7="ammonium nitrate (ADAS)",'Soil results'!H40&lt;241),AND('Soil results'!H$7="modified Morgan (SAC)",'Soil results'!H40&lt;201)),VLOOKUP(Calc!BI35,'Fertiliser recommendations'!$A$4:$Z$63,26,FALSE)+VLOOKUP(Calc!BI35,'Fertiliser recommendations'!$A$4:$AC$63,29,FALSE),
IF(OR(AND('Soil results'!H$7="ammonium nitrate (ADAS)",'Soil results'!H40&lt;=400),AND('Soil results'!H$7="modified Morgan (SAC)",'Soil results'!H40&lt;=400)),VLOOKUP(Calc!BI35,'Fertiliser recommendations'!$A$4:$Z$63,26,FALSE)+VLOOKUP(Calc!BI35,'Fertiliser recommendations'!$A$4:$AD$63,30,FALSE),
"??"))))))))</f>
        <v/>
      </c>
      <c r="Q37" s="91" t="str">
        <f t="shared" ca="1" si="2"/>
        <v/>
      </c>
      <c r="R37" s="9" t="str">
        <f ca="1">IF(B37="","",
IF(OR(O37="data missing",P37="data missing"),"data missing",
IF(Calc!BF35=0,"n/a",
IF(P37=0, "no requirement",
IF(O37&lt;0.1*P37,"no benefit",
IF(O37&lt;0.3*P37,"limited benefit",
IF(O37&gt;1.25*P37,"excessive",
"benefit")))))))</f>
        <v/>
      </c>
      <c r="T37" s="91" t="str">
        <f ca="1">IF(B37="","",
IF(AND('Field information 2'!$O$5="", 'Field information 2'!$Q$5=""),
   IF('Waste results'!$S$21&lt;&gt;"data missing", Calc!BC35*'Waste results'!$S$21, "data missing"),
IF('Field information 2'!$Q$5="",
   IF(Calc!BD35=0,
     IF('Waste results'!$S$21&lt;&gt;"data missing", Calc!BC35*'Waste results'!$S$21, "data missing"),
   IF(Calc!BC35=0,
     IF('Waste results'!$S$57&lt;&gt;"data missing", Calc!BD35*'Waste results'!$S$57, "data missing"),
   IF(OR('Waste results'!$S$21&lt;&gt;"data missing", 'Waste results'!$S$57&lt;&gt;"data missing"), Calc!BC35*'Waste results'!$S$21+ Calc!BD35*'Waste results'!$S$57, "data missing"))),
IF(AND('Field information 2'!$M$5&lt;&gt;"", 'Field information 2'!$O$5&lt;&gt;"", 'Field information 2'!$Q$5&lt;&gt;""),
   IF(AND(Calc!BD35=0,Calc!BE35=0),
     IF('Waste results'!$S$21&lt;&gt;"data missing", Calc!BC35*'Waste results'!$S$21, "data missing"),
   IF(AND(Calc!BC35=0,Calc!BE35=0),
     IF('Waste results'!$S$57&lt;&gt;"data missing", Calc!BD35*'Waste results'!$S$57, "data missing"),
   IF(AND(Calc!BC35=0,Calc!BD35=0),
     IF('Waste results'!$S$93&lt;&gt;"data missing", Calc!BE35*'Waste results'!$S$93, "data missing"),
   IF(Calc!BE35=0,
     IF(OR('Waste results'!$S$21&lt;&gt;"data missing", 'Waste results'!$S$57&lt;&gt;"data missing"), Calc!BC35*'Waste results'!$S$21+ Calc!BD35*'Waste results'!$S$57, "data missing"),
   IF(Calc!BD35=0,
     IF(OR('Waste results'!$S$21&lt;&gt;"data missing", 'Waste results'!$S$93&lt;&gt;"data missing"), Calc!BC35*'Waste results'!$S$21+ Calc!BE35*'Waste results'!$S$93, "data missing"),
   IF(Calc!BC35=0,
     IF(OR('Waste results'!$S$57&lt;&gt;"data missing", 'Waste results'!$S$93&lt;&gt;"data missing"), Calc!BD35*'Waste results'!$S$57+Calc!BE35*'Waste results'!$S$93, "data missing"),
   IF(OR('Waste results'!$S$21&lt;&gt;"data missing", 'Waste results'!$S$57&lt;&gt;"data missing", 'Waste results'!$S$93&lt;&gt;"data missing"), Calc!BC35*'Waste results'!$S$21+Calc!BD35*'Waste results'!$S$57+ Calc!BE35*'Waste results'!$S$93, "data missing")))))))))))</f>
        <v/>
      </c>
      <c r="U37" s="7" t="str">
        <f ca="1">IF(B37="","",
IF(OR(ISBLANK('Soil results'!I$7),ISBLANK('Soil results'!I40)),"data missing",
IF(OR(AND('Soil results'!I$7="ammonium nitrate (ADAS)",'Soil results'!I40&gt;51),AND('Soil results'!I$7="modified Morgan (SAC)",'Soil results'!I40&gt;61)),0,
IF(OR(AND('Soil results'!I$7="ammonium nitrate (ADAS)",'Soil results'!I40&lt;25),AND('Soil results'!I$7="modified Morgan (SAC)",'Soil results'!I40&lt;19)),VLOOKUP(Calc!BI35,'Fertiliser recommendations'!$A$4:$AH$63,34,FALSE),
IF(OR(AND('Soil results'!I$7="ammonium nitrate (ADAS)",'Soil results'!I40&lt;=51),AND('Soil results'!I$7="modified Morgan (SAC)",'Soil results'!I40&lt;=61)),VLOOKUP(Calc!BI35,'Fertiliser recommendations'!$A$4:$AI$63,35,FALSE),
"")))))</f>
        <v/>
      </c>
      <c r="V37" s="91" t="str">
        <f t="shared" ca="1" si="3"/>
        <v/>
      </c>
      <c r="W37" s="9" t="str">
        <f ca="1">IF(B37="","",
IF(OR(T37="data missing",U37="data missing"),"data missing",
IF(Calc!BF35=0,"n/a",
IF(U37=0,"no requirement",
IF(T37&lt;0.1*U37,"no benefit",
IF(T37&lt;0.3*U37,"limited benefit",
IF(OR(T37&gt;1.5*U37,AND(Calc!BJ35="g",T37&gt;100)),"excessive",
"benefit")))))))</f>
        <v/>
      </c>
      <c r="Y37" s="91" t="str">
        <f ca="1">IF(B37="","",
IF(AND('Field information 2'!$O$5="", 'Field information 2'!$Q$5=""),
   IF('Waste results'!$P$23&lt;&gt;"", Calc!BC35*'Waste results'!$P$23, "no data"),
IF('Field information 2'!$Q$5="",
   IF(Calc!BD35=0,
     IF('Waste results'!$P$23&lt;&gt;"", Calc!BC35*'Waste results'!$P$23, "no data"),
   IF(Calc!BC35=0,
     IF('Waste results'!$P$59&lt;&gt;"", Calc!BD35*'Waste results'!$P$59, "no data"),
   IF(OR('Waste results'!$P$23&lt;&gt;"", 'Waste results'!$P$59&lt;&gt;""), Calc!BC35*'Waste results'!$P$23+ Calc!BD35*'Waste results'!$P$59, "no data"))),
IF(AND('Field information 2'!$M$5&lt;&gt;"", 'Field information 2'!$O$5&lt;&gt;"", 'Field information 2'!$Q$5&lt;&gt;""),
   IF(AND(Calc!BD35=0,Calc!BE35=0),
     IF('Waste results'!$P$23&lt;&gt;"", Calc!BC35*'Waste results'!$P$23, "no data"),
   IF(AND(Calc!BC35=0,Calc!BE35=0),
     IF('Waste results'!$P$59&lt;&gt;"", Calc!BD35*'Waste results'!$P$59, "no data"),
   IF(AND(Calc!BC35=0,Calc!BD35=0),
     IF('Waste results'!$P$95&lt;&gt;"", Calc!BE35*'Waste results'!$P$95, "no data"),
   IF(Calc!BE35=0,
     IF(OR('Waste results'!$P$23&lt;&gt;"", 'Waste results'!$P$59&lt;&gt;""), Calc!BC35*'Waste results'!$P$23+ Calc!BD35*'Waste results'!$P$59, "no data"),
   IF(Calc!BD35=0,
     IF(OR('Waste results'!$P$23&lt;&gt;"", 'Waste results'!$P$95&lt;&gt;""), Calc!BC35*'Waste results'!$P$23+ Calc!BE35*'Waste results'!$P$95, "no data"),
   IF(Calc!BC35=0,
     IF(OR('Waste results'!$P$59&lt;&gt;"", 'Waste results'!$P$95&lt;&gt;""), Calc!BD35*'Waste results'!$P$59+Calc!BE35*'Waste results'!$P$95, "no data"),
   IF(OR('Waste results'!$P$23&lt;&gt;"", 'Waste results'!$P$59&lt;&gt;"", 'Waste results'!$P$95&lt;&gt;""), Calc!BC35*'Waste results'!$P$23+Calc!BD35*'Waste results'!$P$59+ Calc!BE35*'Waste results'!$P$95, "no data")))))))))))</f>
        <v/>
      </c>
      <c r="Z37" s="7" t="str">
        <f ca="1">IF(OR(ISBLANK('Soil results'!I$7),ISBLANK('Soil results'!I40),'Soil results'!B40=""),"",
VLOOKUP(Calc!BI35,'Fertiliser recommendations'!$A$4:$AM$63,39,FALSE))</f>
        <v/>
      </c>
      <c r="AA37" s="91" t="str">
        <f t="shared" ca="1" si="4"/>
        <v/>
      </c>
      <c r="AB37" s="9" t="str">
        <f t="shared" ca="1" si="5"/>
        <v/>
      </c>
      <c r="AD37" s="48" t="str">
        <f>IF(ISBLANK('Soil results'!F40),"",'Soil results'!F40)</f>
        <v/>
      </c>
      <c r="AE37" s="49" t="str">
        <f ca="1">IF(B37="","",
IF(AND(Calc!BJ35="g", VLOOKUP(LEFT($B37,LEN($B37)-2),'Field information 2'!$B$12:$P$111,9,FALSE)&lt;&gt;"yes"),
 IF(Calc!BG35="10-25% OM", 5.9, IF(Calc!BG35="&gt;25% OM", 5.5, 6.2)),
IF(OR(Calc!BJ35="a", VLOOKUP(LEFT($B37,LEN($B37)-2),'Field information 2'!$B$12:$P$111,9,FALSE)="yes"),
 IF(Calc!BG35="10-25% OM", 6.4, IF(Calc!BG35="&gt;25% OM", 6, 6.7)), "")))</f>
        <v/>
      </c>
      <c r="AF37" s="91" t="str">
        <f ca="1">IF(B37="","",
IF('Waste results'!$Q$33="","no (significant) liming properties",
IF('Waste results'!Q$33&gt;100,"no (significant) liming properties",
IF(AD37="","",
IF(AD37&gt;=AE37,0,ROUNDDOWN((AE37-AD37)*Calc!BK35*'Waste results'!$Q$33+0.2,0))))))</f>
        <v/>
      </c>
      <c r="AG37" s="9" t="str">
        <f ca="1">IF(B37="","",
IF(T37=0,"n/a",
IF(AD37="","data missing",
IF(AND(AD37&lt;5,AF37="no (significant) liming properties"),"no waste application - pH too low",
IF(AND(AD37&gt;5.1,AF37="no (significant) liming properties",Calc!BH35&gt;25, LEFT(Calc!BI35,4)="graz"),"ok",
IF(AND(AD37&lt;=5.2,AF37="no (significant) liming properties"),"liming highly recommended",
IF(AF37=0,"no waste application - liming not required",
IF(AF37&lt;Calc!BC35,"application rate too high - exceeds liming requirement",
"ok"))))))))</f>
        <v/>
      </c>
      <c r="AI37" s="91" t="str">
        <f ca="1">IF(B37="","",
IF(AND('Field information 2'!$O$5="", 'Field information 2'!$Q$5=""),
   IF('Waste results'!$P$10&lt;&gt;"data missing", Calc!BC35*'Waste results'!$P$10, "data missing"),
IF('Field information 2'!$Q$5="",
   IF(Calc!BD35=0,
     IF('Waste results'!$P$10&lt;&gt;"data missing", Calc!BC35*'Waste results'!$P$10, "data missing"),
   IF(Calc!BC35=0,
     IF('Waste results'!$P$45&lt;&gt;"data missing", Calc!BD35*'Waste results'!$P$45, "data missing"),
   IF(OR('Waste results'!$P$10&lt;&gt;"data missing", 'Waste results'!$P$45&lt;&gt;"data missing"), Calc!BC35*'Waste results'!$P$10+ Calc!BD35*'Waste results'!$P$45, "data missing"))),
IF(AND('Field information 2'!$M$5&lt;&gt;"", 'Field information 2'!$O$5&lt;&gt;"", 'Field information 2'!$Q$5&lt;&gt;""),
   IF(AND(Calc!BD35=0,Calc!BE35=0),
     IF('Waste results'!$P$10&lt;&gt;"data missing", Calc!BC35*'Waste results'!$P$10, "data missing"),
   IF(AND(Calc!BC35=0,Calc!BE35=0),
     IF('Waste results'!$P$45&lt;&gt;"data missing", Calc!BD35*'Waste results'!$P$45, "data missing"),
   IF(AND(Calc!BC35=0,Calc!BD35=0),
     IF('Waste results'!$P$82&lt;&gt;"data missing", Calc!BE35*'Waste results'!$P$82, "data missing"),
   IF(Calc!BE35=0,
     IF(OR('Waste results'!$P$10&lt;&gt;"data missing", 'Waste results'!$P$45&lt;&gt;"data missing"), Calc!BC35*'Waste results'!$P$10+ Calc!BD35*'Waste results'!$P$45, "data missing"),
   IF(Calc!BD35=0,
     IF(OR('Waste results'!$P$10&lt;&gt;"data missing", 'Waste results'!$P$82&lt;&gt;"data missing"), Calc!BC35*'Waste results'!$P$10+ Calc!BE35*'Waste results'!$P$82, "data missing"),
   IF(Calc!BC35=0,
     IF(OR('Waste results'!$P$45&lt;&gt;"data missing", 'Waste results'!$P$82&lt;&gt;"data missing"), Calc!BD35*'Waste results'!$P$45+Calc!BE35*'Waste results'!$P$82, "data missing"),
   IF(OR('Waste results'!$P$10&lt;&gt;"data missing", 'Waste results'!$P$45&lt;&gt;"data missing", 'Waste results'!$P$82&lt;&gt;"data missing"), Calc!BC35*'Waste results'!$P$10+Calc!BD35*'Waste results'!$P$45+ Calc!BE35*'Waste results'!$P$82, "data missing")))))))))))</f>
        <v/>
      </c>
      <c r="AJ37" s="237" t="str">
        <f ca="1">IF(B37="","",
IF(AI37="data missing","data missing",
IF(Calc!BF35=0,"n/a",
IF(AND(Calc!BH35&gt;=8,AI37&lt;500),"no benefit",
IF(OR(AND(Calc!BH35&lt;=4,AI37&gt;=500),AND(Calc!BH35&lt;8,AI37&gt;5000)),"benefit",
"limited benefit")))))</f>
        <v/>
      </c>
      <c r="AL37" s="238" t="str">
        <f ca="1">IF(B37="","",
IF(AND('Field information 2'!$O$5="", 'Field information 2'!$Q$5=""),
   IF('Waste results'!$S$25&lt;&gt;"data missing", Calc!BC35*'Waste results'!$S$25, "data missing"),
IF('Field information 2'!$Q$5="",
   IF(Calc!BD35=0,
     IF('Waste results'!$S$25&lt;&gt;"data missing", Calc!BC35*'Waste results'!$S$25, "data missing"),
   IF(Calc!BC35=0,
     IF('Waste results'!$S$61&lt;&gt;"data missing", Calc!BD35*'Waste results'!$S$61, "data missing"),
   IF(OR('Waste results'!$S$25&lt;&gt;"data missing", 'Waste results'!$S$61&lt;&gt;"data missing"), Calc!BC35*'Waste results'!$S$25+ Calc!BD35*'Waste results'!$S$61, "data missing"))),
IF(AND('Field information 2'!$M$5&lt;&gt;"", 'Field information 2'!$O$5&lt;&gt;"", 'Field information 2'!$Q$5&lt;&gt;""),
   IF(AND(Calc!BD35=0,Calc!BE35=0),
     IF('Waste results'!$S$25&lt;&gt;"data missing", Calc!BC35*'Waste results'!$S$25, "data missing"),
   IF(AND(Calc!BC35=0,Calc!BE35=0),
     IF('Waste results'!$S$61&lt;&gt;"data missing", Calc!BD35*'Waste results'!$S$61, "data missing"),
   IF(AND(Calc!BC35=0,Calc!BD35=0),
     IF('Waste results'!$S$97&lt;&gt;"data missing", Calc!BE35*'Waste results'!$S$97, "data missing"),
   IF(Calc!BE35=0,
     IF(OR('Waste results'!$S$25&lt;&gt;"data missing", 'Waste results'!$S$61&lt;&gt;"data missing"), Calc!BC35*'Waste results'!$S$25+ Calc!BD35*'Waste results'!$S$61, "data missing"),
   IF(Calc!BD35=0,
     IF(OR('Waste results'!$S$25&lt;&gt;"data missing", 'Waste results'!$S$97&lt;&gt;"data missing"), Calc!BC35*'Waste results'!$S$25+ Calc!BE35*'Waste results'!$S$97, "data missing"),
   IF(Calc!BC35=0,
     IF(OR('Waste results'!$S$61&lt;&gt;"data missing", 'Waste results'!$S$97&lt;&gt;"data missing"), Calc!BD35*'Waste results'!$S$61+Calc!BE35*'Waste results'!$S$97, "data missing"),
   IF(OR('Waste results'!$S$25&lt;&gt;"data missing", 'Waste results'!$S$61&lt;&gt;"data missing", 'Waste results'!$S$97&lt;&gt;"data missing"), Calc!BC35*'Waste results'!$S$25+Calc!BD35*'Waste results'!$S$61+ Calc!BE35*'Waste results'!$S$97, "data missing")))))))))))</f>
        <v/>
      </c>
      <c r="AM37" s="239" t="str">
        <f ca="1">IF($B37="","",
IF(ISBLANK('Soil results'!K40),"data missing",'Soil results'!K40))</f>
        <v/>
      </c>
      <c r="AN37" s="239" t="str">
        <f t="shared" ca="1" si="6"/>
        <v/>
      </c>
      <c r="AO37" s="9" t="str">
        <f t="shared" ca="1" si="7"/>
        <v/>
      </c>
      <c r="AQ37" s="240" t="str">
        <f ca="1">IF(B37="","",
IF(AND('Field information 2'!$O$5="", 'Field information 2'!$Q$5=""),
   IF('Waste results'!$S$26&lt;&gt;"data missing", Calc!BC35*'Waste results'!$S$26, "data missing"),
IF('Field information 2'!$Q$5="",
   IF(Calc!BD35=0,
     IF('Waste results'!$S$26&lt;&gt;"data missing", Calc!BC35*'Waste results'!$S$26, "data missing"),
   IF(Calc!BC35=0,
     IF('Waste results'!$S$62&lt;&gt;"data missing", Calc!BD35*'Waste results'!$S$62, "data missing"),
   IF(OR('Waste results'!$S$26&lt;&gt;"data missing", 'Waste results'!$S$62&lt;&gt;"data missing"), Calc!BC35*'Waste results'!$S$26+ Calc!BD35*'Waste results'!$S$62, "data missing"))),
IF(AND('Field information 2'!$M$5&lt;&gt;"", 'Field information 2'!$O$5&lt;&gt;"", 'Field information 2'!$Q$5&lt;&gt;""),
   IF(AND(Calc!BD35=0,Calc!BE35=0),
     IF('Waste results'!$S$26&lt;&gt;"data missing", Calc!BC35*'Waste results'!$S$26, "data missing"),
   IF(AND(Calc!BC35=0,Calc!BE35=0),
     IF('Waste results'!$S$62&lt;&gt;"data missing", Calc!BD35*'Waste results'!$S$62, "data missing"),
   IF(AND(Calc!BC35=0,Calc!BD35=0),
     IF('Waste results'!$S$98&lt;&gt;"data missing", Calc!BE35*'Waste results'!$S$98, "data missing"),
   IF(Calc!BE35=0,
     IF(OR('Waste results'!$S$26&lt;&gt;"data missing", 'Waste results'!$S$62&lt;&gt;"data missing"), Calc!BC35*'Waste results'!$S$26+ Calc!BD35*'Waste results'!$S$62, "data missing"),
   IF(Calc!BD35=0,
     IF(OR('Waste results'!$S$26&lt;&gt;"data missing", 'Waste results'!$S$98&lt;&gt;"data missing"), Calc!BC35*'Waste results'!$S$26+ Calc!BE35*'Waste results'!$S$98, "data missing"),
   IF(Calc!BC35=0,
     IF(OR('Waste results'!$S$62&lt;&gt;"data missing", 'Waste results'!$S$98&lt;&gt;"data missing"), Calc!BD35*'Waste results'!$S$62+Calc!BE35*'Waste results'!$S$98, "data missing"),
   IF(OR('Waste results'!$S$26&lt;&gt;"data missing", 'Waste results'!$S$62&lt;&gt;"data missing", 'Waste results'!$S$98&lt;&gt;"data missing"), Calc!BC35*'Waste results'!$S$26+Calc!BD35*'Waste results'!$S$62+ Calc!BE35*'Waste results'!$S$98, "data missing")))))))))))</f>
        <v/>
      </c>
      <c r="AR37" s="241" t="str">
        <f ca="1">IF($B37="","",
IF(ISBLANK('Soil results'!L40),"data missing",'Soil results'!L40))</f>
        <v/>
      </c>
      <c r="AS37" s="241" t="str">
        <f t="shared" ca="1" si="8"/>
        <v/>
      </c>
      <c r="AT37" s="66" t="str">
        <f t="shared" ca="1" si="9"/>
        <v/>
      </c>
      <c r="AV37" s="238" t="str">
        <f ca="1">IF(B37="","",
IF(AND('Field information 2'!$O$5="", 'Field information 2'!$Q$5=""),
   IF('Waste results'!$S$27&lt;&gt;"data missing", Calc!BC35*'Waste results'!$S$27, "data missing"),
IF('Field information 2'!$Q$5="",
   IF(Calc!BD35=0,
     IF('Waste results'!$S$27&lt;&gt;"data missing", Calc!BC35*'Waste results'!$S$27, "data missing"),
   IF(Calc!BC35=0,
     IF('Waste results'!$S$63&lt;&gt;"data missing", Calc!BD35*'Waste results'!$S$63, "data missing"),
   IF(OR('Waste results'!$S$27&lt;&gt;"data missing", 'Waste results'!$S$63&lt;&gt;"data missing"), Calc!BC35*'Waste results'!$S$27+ Calc!BD35*'Waste results'!$S$63, "data missing"))),
IF(AND('Field information 2'!$M$5&lt;&gt;"", 'Field information 2'!$O$5&lt;&gt;"", 'Field information 2'!$Q$5&lt;&gt;""),
   IF(AND(Calc!BD35=0,Calc!BE35=0),
     IF('Waste results'!$S$27&lt;&gt;"data missing", Calc!BC35*'Waste results'!$S$27, "data missing"),
   IF(AND(Calc!BC35=0,Calc!BE35=0),
     IF('Waste results'!$S$63&lt;&gt;"data missing", Calc!BD35*'Waste results'!$S$63, "data missing"),
   IF(AND(Calc!BC35=0,Calc!BD35=0),
     IF('Waste results'!$S$99&lt;&gt;"data missing", Calc!BE35*'Waste results'!$S$99, "data missing"),
   IF(Calc!BE35=0,
     IF(OR('Waste results'!$S$27&lt;&gt;"data missing", 'Waste results'!$S$63&lt;&gt;"data missing"), Calc!BC35*'Waste results'!$S$27+ Calc!BD35*'Waste results'!$S$63, "data missing"),
   IF(Calc!BD35=0,
     IF(OR('Waste results'!$S$27&lt;&gt;"data missing", 'Waste results'!$S$99&lt;&gt;"data missing"), Calc!BC35*'Waste results'!$S$27+ Calc!BE35*'Waste results'!$S$99, "data missing"),
   IF(Calc!BC35=0,
     IF(OR('Waste results'!$S$63&lt;&gt;"data missing", 'Waste results'!$S$99&lt;&gt;"data missing"), Calc!BD35*'Waste results'!$S$63+Calc!BE35*'Waste results'!$S$99, "data missing"),
   IF(OR('Waste results'!$S$27&lt;&gt;"data missing", 'Waste results'!$S$63&lt;&gt;"data missing", 'Waste results'!$S$99&lt;&gt;"data missing"), Calc!BC35*'Waste results'!$S$27+Calc!BD35*'Waste results'!$S$63+ Calc!BE35*'Waste results'!$S$99, "data missing")))))))))))</f>
        <v/>
      </c>
      <c r="AW37" s="239" t="str">
        <f ca="1">IF($B37="","",
IF(ISBLANK('Soil results'!M40),"data missing",'Soil results'!M40))</f>
        <v/>
      </c>
      <c r="AX37" s="239" t="str">
        <f t="shared" ca="1" si="10"/>
        <v/>
      </c>
      <c r="AY37" s="9" t="str">
        <f ca="1">IF(B37="","",
IF(AV37=0,"n/a",
IF(OR(AV37="data missing",AW37="data missing"),"data missing",
IF(AV37&gt;7.5,"application rate too high - permissible rate exceeds limit",
IF('Soil results'!$F40&lt;=5.5,
  IF(AW37&gt;80,"no application - soil conc. already above limit",
  IF(AX37&gt;80,"application rate too high - soil conc. will exceed limit",
  IF(AW37&gt;80*0.9,"soil conc. is at or above 90% of the limit",
  IF(10*AV37*1000/3000+AW37&gt;80,"soil limit likely to be exceeded in 10yrs",
  IF(50*AV37*1000/3000+AW37&gt;80,"soil limit likely to be exceeded in 50yrs","ok"))))),
IF('Soil results'!$F40&lt;=6,
  IF(AW37&gt;100,"no application - soil conc. already above limit",
  IF(AX37&gt;100,"application rate too high - soil conc. will exceed limit",
  IF(AW37&gt;100*0.9,"soil conc. is at or above 90% of the limit",
  IF(10*AV37*1000/3000+AW37&gt;100,"soil limit likely to be exceeded in 10yrs",
  IF(50*AV37*1000/3000+AW37&gt;100,"soil limit likely to be exceeded in 50yrs","ok"))))),
IF('Soil results'!$F40&lt;=7,
  IF(AW37&gt;135,"no application - soil conc. already above limit",
  IF(AX37&gt;135,"application rate too high - soil conc. will exceed limit",
  IF(AW37&gt;135*0.9,"soil conc. is at or above 90% of the limit",
  IF(10*AV37*1000/3000+AW37&gt;135,"soil limit likely to be exceeded in 10yrs",
  IF(50*AV37*1000/3000+AW37&gt;135,"soil limit likely to be exceeded in 50yrs","ok"))))),
IF('Soil results'!$F40&gt;7,
  IF(AW37&gt;200,"no application - soil conc. already above limit",
  IF(AX37&gt;200,"application too high - soil conc. will exceed limit",
  IF(AW37&gt;200*0.9,"soil conc. is at or above 90% of the limit",
  IF(10*AV37*1000/3000+AW37&gt;200,"soil limit likely to be exceeded in 10yrs",
  IF(50*AV37*1000/3000+AW37&gt;200,"soil limit likely to be exceeded in 50yrs","ok")))))
))))))))</f>
        <v/>
      </c>
      <c r="BA37" s="238" t="str">
        <f ca="1">IF(B37="","",
IF(AND('Field information 2'!$O$5="", 'Field information 2'!$Q$5=""),
   IF('Waste results'!$S$28&lt;&gt;"data missing", Calc!BC35*'Waste results'!$S$28, "data missing"),
IF('Field information 2'!$Q$5="",
   IF(Calc!BD35=0,
     IF('Waste results'!$S$28&lt;&gt;"data missing", Calc!BC35*'Waste results'!$S$28, "data missing"),
   IF(Calc!BC35=0,
     IF('Waste results'!$S$64&lt;&gt;"data missing", Calc!BD35*'Waste results'!$S$64, "data missing"),
   IF(OR('Waste results'!$S$28&lt;&gt;"data missing", 'Waste results'!$S$64&lt;&gt;"data missing"), Calc!BC35*'Waste results'!$S$28+ Calc!BD35*'Waste results'!$S$64, "data missing"))),
IF(AND('Field information 2'!$M$5&lt;&gt;"", 'Field information 2'!$O$5&lt;&gt;"", 'Field information 2'!$Q$5&lt;&gt;""),
   IF(AND(Calc!BD35=0,Calc!BE35=0),
     IF('Waste results'!$S$28&lt;&gt;"data missing", Calc!BC35*'Waste results'!$S$28, "data missing"),
   IF(AND(Calc!BC35=0,Calc!BE35=0),
     IF('Waste results'!$S$64&lt;&gt;"data missing", Calc!BD35*'Waste results'!$S$64, "data missing"),
   IF(AND(Calc!BC35=0,Calc!BD35=0),
     IF('Waste results'!$S$100&lt;&gt;"data missing", Calc!BE35*'Waste results'!$S$100, "data missing"),
   IF(Calc!BE35=0,
     IF(OR('Waste results'!$S$28&lt;&gt;"data missing", 'Waste results'!$S$64&lt;&gt;"data missing"), Calc!BC35*'Waste results'!$S$28+ Calc!BD35*'Waste results'!$S$64, "data missing"),
   IF(Calc!BD35=0,
     IF(OR('Waste results'!$S$28&lt;&gt;"data missing", 'Waste results'!$S$100&lt;&gt;"data missing"), Calc!BC35*'Waste results'!$S$28+ Calc!BE35*'Waste results'!$S$100, "data missing"),
   IF(Calc!BC35=0,
     IF(OR('Waste results'!$S$64&lt;&gt;"data missing", 'Waste results'!$S$100&lt;&gt;"data missing"), Calc!BD35*'Waste results'!$S$64+Calc!BE35*'Waste results'!$S$100, "data missing"),
   IF(OR('Waste results'!$S$28&lt;&gt;"data missing", 'Waste results'!$S$64&lt;&gt;"data missing", 'Waste results'!$S$100&lt;&gt;"data missing"), Calc!BC35*'Waste results'!$S$28+Calc!BD35*'Waste results'!$S$64+ Calc!BE35*'Waste results'!$S$100, "data missing")))))))))))</f>
        <v/>
      </c>
      <c r="BB37" s="239" t="str">
        <f ca="1">IF($B37="","",
IF(ISBLANK('Soil results'!N40),"data missing",'Soil results'!N40))</f>
        <v/>
      </c>
      <c r="BC37" s="239" t="str">
        <f t="shared" ca="1" si="11"/>
        <v/>
      </c>
      <c r="BD37" s="9" t="str">
        <f t="shared" ca="1" si="12"/>
        <v/>
      </c>
      <c r="BF37" s="238" t="str">
        <f ca="1">IF(B37="","",
IF(AND('Field information 2'!$O$5="", 'Field information 2'!$Q$5=""),
   IF('Waste results'!$S$29&lt;&gt;"data missing", Calc!BC35*'Waste results'!$S$29, "data missing"),
IF('Field information 2'!$Q$5="",
   IF(Calc!BD35=0,
     IF('Waste results'!$S$29&lt;&gt;"data missing", Calc!BC35*'Waste results'!$S$29, "data missing"),
   IF(Calc!BC35=0,
     IF('Waste results'!$S$65&lt;&gt;"data missing", Calc!BD35*'Waste results'!$S$65, "data missing"),
   IF(OR('Waste results'!$S$29&lt;&gt;"data missing", 'Waste results'!$S$65&lt;&gt;"data missing"), Calc!BC35*'Waste results'!$S$29+ Calc!BD35*'Waste results'!$S$65, "data missing"))),
IF(AND('Field information 2'!$M$5&lt;&gt;"", 'Field information 2'!$O$5&lt;&gt;"", 'Field information 2'!$Q$5&lt;&gt;""),
   IF(AND(Calc!BD35=0,Calc!BE35=0),
     IF('Waste results'!$S$29&lt;&gt;"data missing", Calc!BC35*'Waste results'!$S$29, "data missing"),
   IF(AND(Calc!BC35=0,Calc!BE35=0),
     IF('Waste results'!$S$65&lt;&gt;"data missing", Calc!BD35*'Waste results'!$S$65, "data missing"),
   IF(AND(Calc!BC35=0,Calc!BD35=0),
     IF('Waste results'!$S$101&lt;&gt;"data missing", Calc!BE35*'Waste results'!$S$101, "data missing"),
   IF(Calc!BE35=0,
     IF(OR('Waste results'!$S$29&lt;&gt;"data missing", 'Waste results'!$S$65&lt;&gt;"data missing"), Calc!BC35*'Waste results'!$S$29+ Calc!BD35*'Waste results'!$S$65, "data missing"),
   IF(Calc!BD35=0,
     IF(OR('Waste results'!$S$29&lt;&gt;"data missing", 'Waste results'!$S$101&lt;&gt;"data missing"), Calc!BC35*'Waste results'!$S$29+ Calc!BE35*'Waste results'!$S$101, "data missing"),
   IF(Calc!BC35=0,
     IF(OR('Waste results'!$S$65&lt;&gt;"data missing", 'Waste results'!$S$101&lt;&gt;"data missing"), Calc!BD35*'Waste results'!$S$65+Calc!BE35*'Waste results'!$S$101, "data missing"),
   IF(OR('Waste results'!$S$29&lt;&gt;"data missing", 'Waste results'!$S$65&lt;&gt;"data missing", 'Waste results'!$S$101&lt;&gt;"data missing"), Calc!BC35*'Waste results'!$S$29+Calc!BD35*'Waste results'!$S$65+ Calc!BE35*'Waste results'!$S$101, "data missing")))))))))))</f>
        <v/>
      </c>
      <c r="BG37" s="239" t="str">
        <f ca="1">IF($B37="","",
IF(ISBLANK('Soil results'!O40),"data missing",'Soil results'!O40))</f>
        <v/>
      </c>
      <c r="BH37" s="239" t="str">
        <f t="shared" ca="1" si="13"/>
        <v/>
      </c>
      <c r="BI37" s="9" t="str">
        <f ca="1">IF(B37="","",
IF(BF37=0,"n/a",
IF(OR(BF37="data missing",BG37="data missing"),"data missing",
IF(BF37&gt;3,"application rate too high - permissible rate exceeds limit",
IF('Soil results'!F40&lt;=5.5,
  IF(BG37&gt;50,"no application - soil conc. already above limit",
  IF(BH37&gt;50,"application rate too high - soil conc. will exceed limit",
  IF(BG37&gt;50*0.9,"soil conc. is at or above 90% of the limit",
  IF(10*BF37*1000/3000+BG37&gt;50,"soil limit likely to be exceeded in 10yrs",
  IF(50*BF37*1000/3000+BG37&gt;50,"soil limit likely to be exceeded in 50yrs","ok"))))),
IF('Soil results'!F40&lt;=6,
  IF(BG37&gt;60,"no application - soil conc. already above limit",
  IF(BH37&gt;60,"application rate too high - soil conc. will exceed limit",
  IF(BG37&gt;60*0.9,"soil conc. is at or above 90% of the limit",
  IF(10*BF37*1000/3000+BG37&gt;60,"soil limit likely to be exceeded in 10yrs",
  IF(50*BF37*1000/3000+BG37&gt;60,"soil limit likely to be exceeded in 50yrs","ok"))))),
IF('Soil results'!F40&lt;=7,
  IF(BG37&gt;75,"no application - soil conc. already above limit",
  IF(BH37&gt;75,"application rate too high - soil conc. will exceed limit",
  IF(BG37&gt;75*0.9,"soil conc. is at or above 90% of the limit",
  IF(10*BF37*1000/3000+BG37&gt;75,"soil limit likely to be exceeded in 10yrs",
  IF(50*BF37*1000/3000+BG37&gt;75,"soil limit likely to be exceeded in 50yrs","ok"))))),
IF('Soil results'!F40&gt;7,
  IF(BG37&gt;100,"no application - soil conc. already above limit",
  IF(BH37&gt;100,"application rate too high - soil conc. will exceed limit",
  IF(BG37&gt;100*0.9,"soil conc. is at or above 90% of the limit",
  IF(10*BF37*1000/3000+BG37&gt;100,"soil limit likely to be exceeded in 10yrs",
  IF(50*BF37*1000/3000+BG37&gt;100,"soil limit likely to beexceeded in 50yrs","ok")))))
))))))))</f>
        <v/>
      </c>
      <c r="BK37" s="240" t="str">
        <f ca="1">IF(B37="","",
IF(AND('Field information 2'!$O$5="", 'Field information 2'!$Q$5=""),
   IF('Waste results'!$S$30&lt;&gt;"data missing", Calc!BC35*'Waste results'!$S$30, "data missing"),
IF('Field information 2'!$Q$5="",
   IF(Calc!BD35=0,
     IF('Waste results'!$S$30&lt;&gt;"data missing", Calc!BC35*'Waste results'!$S$30, "data missing"),
   IF(Calc!BC35=0,
     IF('Waste results'!$S$66&lt;&gt;"data missing", Calc!BD35*'Waste results'!$S$66, "data missing"),
   IF(OR('Waste results'!$S$30&lt;&gt;"data missing", 'Waste results'!$S$66&lt;&gt;"data missing"), Calc!BC35*'Waste results'!$S$30+ Calc!BD35*'Waste results'!$S$66, "data missing"))),
IF(AND('Field information 2'!$M$5&lt;&gt;"", 'Field information 2'!$O$5&lt;&gt;"", 'Field information 2'!$Q$5&lt;&gt;""),
   IF(AND(Calc!BD35=0,Calc!BE35=0),
     IF('Waste results'!$S$30&lt;&gt;"data missing", Calc!BC35*'Waste results'!$S$30, "data missing"),
   IF(AND(Calc!BC35=0,Calc!BE35=0),
     IF('Waste results'!$S$66&lt;&gt;"data missing", Calc!BD35*'Waste results'!$S$66, "data missing"),
   IF(AND(Calc!BC35=0,Calc!BD35=0),
     IF('Waste results'!$S$102&lt;&gt;"data missing", Calc!BE35*'Waste results'!$S$102, "data missing"),
   IF(Calc!BE35=0,
     IF(OR('Waste results'!$S$30&lt;&gt;"data missing", 'Waste results'!$S$66&lt;&gt;"data missing"), Calc!BC35*'Waste results'!$S$30+ Calc!BD35*'Waste results'!$S$66, "data missing"),
   IF(Calc!BD35=0,
     IF(OR('Waste results'!$S$30&lt;&gt;"data missing", 'Waste results'!$S$102&lt;&gt;"data missing"), Calc!BC35*'Waste results'!$S$30+ Calc!BE35*'Waste results'!$S$102, "data missing"),
   IF(Calc!BC35=0,
     IF(OR('Waste results'!$S$66&lt;&gt;"data missing", 'Waste results'!$S$102&lt;&gt;"data missing"), Calc!BD35*'Waste results'!$S$66+Calc!BE35*'Waste results'!$S$102, "data missing"),
   IF(OR('Waste results'!$S$30&lt;&gt;"data missing", 'Waste results'!$S$66&lt;&gt;"data missing", 'Waste results'!$S$102&lt;&gt;"data missing"), Calc!BC35*'Waste results'!$S$30+Calc!BD35*'Waste results'!$S$66+ Calc!BE35*'Waste results'!$S$102, "data missing")))))))))))</f>
        <v/>
      </c>
      <c r="BL37" s="241" t="str">
        <f ca="1">IF($B37="","",
IF(ISBLANK('Soil results'!P40),"data missing",'Soil results'!P40))</f>
        <v/>
      </c>
      <c r="BM37" s="241" t="str">
        <f t="shared" ca="1" si="14"/>
        <v/>
      </c>
      <c r="BN37" s="66" t="str">
        <f t="shared" ca="1" si="15"/>
        <v/>
      </c>
      <c r="BP37" s="238" t="str">
        <f ca="1">IF(B37="","",
IF(AND('Field information 2'!$O$5="", 'Field information 2'!$Q$5=""),
   IF('Waste results'!$S$31&lt;&gt;"data missing", Calc!BC35*'Waste results'!$S$31, "data missing"),
IF('Field information 2'!$Q$5="",
   IF(Calc!BD35=0,
     IF('Waste results'!$S$31&lt;&gt;"data missing", Calc!BC35*'Waste results'!$S$31, "data missing"),
   IF(Calc!BC35=0,
     IF('Waste results'!$S$67&lt;&gt;"data missing", Calc!BD35*'Waste results'!$S$67, "data missing"),
   IF(OR('Waste results'!$S$31&lt;&gt;"data missing", 'Waste results'!$S$67&lt;&gt;"data missing"), Calc!BC35*'Waste results'!$S$31+ Calc!BD35*'Waste results'!$S$67, "data missing"))),
IF(AND('Field information 2'!$M$5&lt;&gt;"", 'Field information 2'!$O$5&lt;&gt;"", 'Field information 2'!$Q$5&lt;&gt;""),
   IF(AND(Calc!BD35=0,Calc!BE35=0),
     IF('Waste results'!$S$31&lt;&gt;"data missing", Calc!BC35*'Waste results'!$S$31, "data missing"),
   IF(AND(Calc!BC35=0,Calc!BE35=0),
     IF('Waste results'!$S$67&lt;&gt;"data missing", Calc!BD35*'Waste results'!$S$67, "data missing"),
   IF(AND(Calc!BC35=0,Calc!BD35=0),
     IF('Waste results'!$S$103&lt;&gt;"data missing", Calc!BE35*'Waste results'!$S$103, "data missing"),
   IF(Calc!BE35=0,
     IF(OR('Waste results'!$S$31&lt;&gt;"data missing", 'Waste results'!$S$67&lt;&gt;"data missing"), Calc!BC35*'Waste results'!$S$31+ Calc!BD35*'Waste results'!$S$67, "data missing"),
   IF(Calc!BD35=0,
     IF(OR('Waste results'!$S$31&lt;&gt;"data missing", 'Waste results'!$S$103&lt;&gt;"data missing"), Calc!BC35*'Waste results'!$S$31+ Calc!BE35*'Waste results'!$S$103, "data missing"),
   IF(Calc!BC35=0,
     IF(OR('Waste results'!$S$67&lt;&gt;"data missing", 'Waste results'!$S$103&lt;&gt;"data missing"), Calc!BD35*'Waste results'!$S$67+Calc!BE35*'Waste results'!$S$103, "data missing"),
   IF(OR('Waste results'!$S$31&lt;&gt;"data missing", 'Waste results'!$S$67&lt;&gt;"data missing", 'Waste results'!$S$103&lt;&gt;"data missing"), Calc!BC35*'Waste results'!$S$31+Calc!BD35*'Waste results'!$S$67+ Calc!BE35*'Waste results'!$S$103, "data missing")))))))))))</f>
        <v/>
      </c>
      <c r="BQ37" s="239" t="str">
        <f ca="1">IF($B37="","",
IF(ISBLANK('Soil results'!Q40),"data missing",'Soil results'!Q40))</f>
        <v/>
      </c>
      <c r="BR37" s="239" t="str">
        <f t="shared" ca="1" si="16"/>
        <v/>
      </c>
      <c r="BS37" s="9" t="str">
        <f ca="1">IF(B37="","",
IF(BP37=0,"n/a",
IF(OR(BP37="data missing",BQ37=""),"data missing",
IF(BP37&gt;15,"application rate too high - permissible rate exceeds limit",
IF('Soil results'!F40&lt;=5.5,
  IF(BQ37&gt;200,"no application - soil conc. already above limit",
  IF(BR37&gt;200,"application rate too high - soil conc. will exceed limit",
  IF(BQ37&gt;200*0.9,"soil conc. is at or above 90% of the limit",
  IF(10*BP37*1000/3000+BQ37&gt;200,"soil limit likely to be exceeded in 10yrs",
  IF(50*BP37*1000/3000+BQ37&gt;200,"soil limit likely to be exceeded in 50yrs","ok"))))),
IF('Soil results'!F40&lt;=6,
  IF(BQ37&gt;250,"no application - soil conc. already above limit",
  IF(BR37&gt;250,"application rate too high - soil conc. will exceed limit",
  IF(BQ37&gt;250*0.9,"soil conc. is at or above 90% of the limit",
  IF(10*BP37*1000/3000+BQ37&gt;250,"soil limit likely to be exceeded in 10yrs",
  IF(50*BP37*1000/3000+BQ37&gt;250,"soil limit likely to be exceeded in 50yrs","ok"))))),
IF('Soil results'!F40&lt;=7,
  IF(BQ37&gt;300,"no application - soil conc. already above limit",
  IF(BR37&gt;300,"application rate too high - soil conc. will exceed limit",
  IF(BQ37&gt;300*0.9,"soil conc. is at or above 90% of the limit",
  IF(10*BP37*1000/3000+BQ37&gt;300,"soil limit likey to be exceeded in 10yrs",
  IF(50*BP37*1000/3000+BQ37&gt;300,"soil limit likely to be exceeded in 50yrs","ok"))))),
IF('Soil results'!F40&gt;7,
  IF(BQ37&gt;450,"no application - soil conc. already above limit",
  IF(BR37&gt;450,"application rate too high - soil conc. will exceed limit",
  IF(AW37&gt;450*0.9,"soil conc. is at or above 90% of the limit",
  IF(10*BP37*1000/3000+BQ37&gt;450,"soil limit likely to be exceeded in 10yrs",
  IF(50*BP37*1000/3000+BQ37&gt;450,"soil limit likely to be exceeded in 50yrs","ok")))))
))))))))</f>
        <v/>
      </c>
    </row>
    <row r="38" spans="2:71" s="9" customFormat="1" x14ac:dyDescent="0.35">
      <c r="B38" s="236" t="str">
        <f ca="1">'Soil results'!B41</f>
        <v/>
      </c>
      <c r="C38" s="91" t="str">
        <f ca="1">IF(B38="","",
IF(AND('Field information 2'!$O$5="", 'Field information 2'!$Q$5=""),
   IF('Waste results'!$S$12&lt;&gt;"data missing", Calc!BC36*'Waste results'!$S$12, "data missing"),
IF('Field information 2'!$Q$5="",
   IF(Calc!BD36=0,
     IF('Waste results'!$S$12&lt;&gt;"data missing", Calc!BC36*'Waste results'!$S$12, "data missing"),
   IF(Calc!BC36=0,
     IF('Waste results'!$S$48&lt;&gt;"data missing", Calc!BD36*'Waste results'!$S$48, "data missing"),
   IF(OR('Waste results'!$S$12&lt;&gt;"data missing", 'Waste results'!$S$48&lt;&gt;"data missing"), Calc!BC36*'Waste results'!$S$12+ Calc!BD36*'Waste results'!$S$48, "data missing"))),
IF(AND('Field information 2'!$M$5&lt;&gt;"", 'Field information 2'!$O$5&lt;&gt;"", 'Field information 2'!$Q$5&lt;&gt;""),
   IF(AND(Calc!BD36=0,Calc!BE36=0),
     IF('Waste results'!$S$12&lt;&gt;"data missing", Calc!BC36*'Waste results'!$S$12, "data missing"),
   IF(AND(Calc!BC36=0,Calc!BE36=0),
     IF('Waste results'!$S$48&lt;&gt;"data missing", Calc!BD36*'Waste results'!$S$48, "data missing"),
   IF(AND(Calc!BC36=0,Calc!BD36=0),
     IF('Waste results'!$S$84&lt;&gt;"data missing", Calc!BE36*'Waste results'!$S$84, "data missing"),
   IF(Calc!BE36=0,
     IF(OR('Waste results'!$S$12&lt;&gt;"data missing", 'Waste results'!$S$48&lt;&gt;"data missing"), Calc!BC36*'Waste results'!$S$12+ Calc!BD36*'Waste results'!$S$48, "data missing"),
   IF(Calc!BD36=0,
     IF(OR('Waste results'!$S$12&lt;&gt;"data missing", 'Waste results'!$S$84&lt;&gt;"data missing"), Calc!BC36*'Waste results'!$S$12+ Calc!BE36*'Waste results'!$S$84, "data missing"),
   IF(Calc!BC36=0,
     IF(OR('Waste results'!$S$48&lt;&gt;"data missing", 'Waste results'!$S$84&lt;&gt;"data missing"), Calc!BD36*'Waste results'!$S$48+Calc!BE36*'Waste results'!$S$84, "data missing"),
   IF(OR('Waste results'!$S$12&lt;&gt;"data missing", 'Waste results'!$S$48&lt;&gt;"data missing", 'Waste results'!$S$84&lt;&gt;"data missing"), Calc!BC36*'Waste results'!$S$12+Calc!BD36*'Waste results'!$S$48+ Calc!BE36*'Waste results'!$S$84, "data missing")))))))))))</f>
        <v/>
      </c>
      <c r="D38" s="161" t="str">
        <f ca="1">IF(B38="","",
IF(Calc!BG36="","soil texture missing",
IF(OR(Calc!BG36="SL; SZL; ZL",Calc!BG36="SCL; CL; ZCL; SC; ZC; C"),VLOOKUP(Calc!BI36,'Fertiliser recommendations'!$A$4:$C$63,3,FALSE),
IF(Calc!BG36="S; LS",VLOOKUP(Calc!BI36,'Fertiliser recommendations'!$A$4:$C$63,3,FALSE)+VLOOKUP(Calc!BI36,'Fertiliser recommendations'!$A$4:$D$63,4,FALSE),
IF(Calc!BG36="10-25% OM",VLOOKUP(Calc!BI36,'Fertiliser recommendations'!$A$4:$C$63,3,FALSE)+VLOOKUP(Calc!BI36,'Fertiliser recommendations'!$A$4:$E$63,5,FALSE),
IF(Calc!BG36="&gt;25% OM",VLOOKUP(Calc!BI36,'Fertiliser recommendations'!$A$4:$C$63,3,FALSE)+VLOOKUP(Calc!BI36,'Fertiliser recommendations'!$A$4:$F$63,6,FALSE),
""))))))</f>
        <v/>
      </c>
      <c r="E38" s="91" t="str">
        <f t="shared" ca="1" si="0"/>
        <v/>
      </c>
      <c r="F38" s="9" t="str">
        <f ca="1">IF(B38="","",
IF(OR(C38="data missing",D38="soil texture missing"),"data missing",
IF(Calc!BF36=0,"n/a",
IF(C38&lt;0.1*D38,"no benefit",
IF(C38&lt;0.3*D38,"limited benefit",
IF(C38&gt;250,"exceeds limit",
IF(OR(AND(D38=0,C38&gt;75),C38&gt;1.25*D38),"excessive",
IF(D38=0, "no requirement",
"benefit"))))))))</f>
        <v/>
      </c>
      <c r="H38" s="91" t="str">
        <f ca="1">IF(B38="","",
IF(AND('Field information 2'!$O$5="", 'Field information 2'!$Q$5=""),
   IF('Waste results'!$S$17&lt;&gt;"data missing", Calc!BC36*'Waste results'!$S$17, "data missing"),
IF('Field information 2'!$Q$5="",
   IF(Calc!BD36=0,
     IF('Waste results'!$S$17&lt;&gt;"data missing", Calc!BC36*'Waste results'!$S$17, "data missing"),
   IF(Calc!BC36=0,
     IF('Waste results'!$S$53&lt;&gt;"data missing", Calc!BD36*'Waste results'!$S$53, "data missing"),
   IF(OR('Waste results'!$S$17&lt;&gt;"data missing", 'Waste results'!$S$53&lt;&gt;"data missing"), Calc!BC36*'Waste results'!$S$17+ Calc!BD36*'Waste results'!$S$53, "data missing"))),
IF(AND('Field information 2'!$M$5&lt;&gt;"", 'Field information 2'!$O$5&lt;&gt;"", 'Field information 2'!$Q$5&lt;&gt;""),
   IF(AND(Calc!BD36=0,Calc!BE36=0),
     IF('Waste results'!$S$17&lt;&gt;"data missing", Calc!BC36*'Waste results'!$S$17, "data missing"),
   IF(AND(Calc!BC36=0,Calc!BE36=0),
     IF('Waste results'!$S$53&lt;&gt;"data missing", Calc!BD36*'Waste results'!$S$53, "data missing"),
   IF(AND(Calc!BC36=0,Calc!BD36=0),
     IF('Waste results'!$S$89&lt;&gt;"data missing", Calc!BE36*'Waste results'!$S$89, "data missing"),
   IF(Calc!BE36=0,
     IF(OR('Waste results'!$S$17&lt;&gt;"data missing", 'Waste results'!$S$53&lt;&gt;"data missing"), Calc!BC36*'Waste results'!$S$17+ Calc!BD36*'Waste results'!$S$53, "data missing"),
   IF(Calc!BD36=0,
     IF(OR('Waste results'!$S$17&lt;&gt;"data missing", 'Waste results'!$S$89&lt;&gt;"data missing"), Calc!BC36*'Waste results'!$S$17+ Calc!BE36*'Waste results'!$S$89, "data missing"),
   IF(Calc!BC36=0,
     IF(OR('Waste results'!$S$53&lt;&gt;"data missing", 'Waste results'!$S$89&lt;&gt;"data missing"), Calc!BD36*'Waste results'!$S$53+Calc!BE36*'Waste results'!$S$89, "data missing"),
   IF(OR('Waste results'!$S$17&lt;&gt;"data missing", 'Waste results'!$S$53&lt;&gt;"data missing", 'Waste results'!$S$89&lt;&gt;"data missing"), Calc!BC36*'Waste results'!$S$17+Calc!BD36*'Waste results'!$S$53+ Calc!BE36*'Waste results'!$S$89, "data missing")))))))))))</f>
        <v/>
      </c>
      <c r="I38" s="195" t="str">
        <f ca="1">IF(B38="","",
IF(OR(ISBLANK('Soil results'!G41), ISBLANK('Soil results'!G$7)),"data missing",
IF(OR(AND('Soil results'!G$7="Olsen (ADAS)",'Soil results'!G41&lt;16),AND('Soil results'!G$7="modified Morgan (SAC)",'Soil results'!G41&lt;4.5)),50,100)))</f>
        <v/>
      </c>
      <c r="J38" s="49" t="str">
        <f ca="1">IF(B38="","",
IF(OR(ISBLANK('Soil results'!G$7),ISBLANK('Soil results'!G41)),"data missing",
IF(OR(AND('Soil results'!G$7="Olsen (ADAS)",'Soil results'!G41&gt;45),AND('Soil results'!G$7="modified Morgan (SAC)",'Soil results'!G41&gt;30)),0,
IF(OR(AND('Soil results'!G$7="Olsen (ADAS)",'Soil results'!G41&gt;=16,'Soil results'!G41&lt;=20),AND('Soil results'!G$7="modified Morgan (SAC)",'Soil results'!G41&gt;=4.5,'Soil results'!G41&lt;=9.4)),VLOOKUP(Calc!BI36,'Fertiliser recommendations'!$A$4:$I$63,9,FALSE),
IF(OR(AND('Soil results'!G$7="Olsen (ADAS)",'Soil results'!G41&lt;10),AND('Soil results'!G$7="modified Morgan (SAC)",'Soil results'!G41&lt;1.8)),VLOOKUP(Calc!BI36,'Fertiliser recommendations'!$A$4:$I$63,9,FALSE)+VLOOKUP(Calc!BI36,'Fertiliser recommendations'!$A$4:$J$63,10,FALSE),
IF(OR(AND('Soil results'!G$7="Olsen (ADAS)",'Soil results'!G41&lt;16),AND('Soil results'!G$7="modified Morgan (SAC)",'Soil results'!G41&lt;4.5)),VLOOKUP(Calc!BI36,'Fertiliser recommendations'!$A$4:$I$63,9,FALSE)+VLOOKUP(Calc!BI36,'Fertiliser recommendations'!$A$4:$K$63,11,FALSE),
IF(OR(AND('Soil results'!G$7="Olsen (ADAS)",'Soil results'!G41&lt;26),AND('Soil results'!G$7="modified Morgan (SAC)",'Soil results'!G41&lt;13.5)),VLOOKUP(Calc!BI36,'Fertiliser recommendations'!$A$4:$I$63,9,FALSE)+VLOOKUP(Calc!BI36,'Fertiliser recommendations'!$A$4:$L$63,12,FALSE),
IF(OR(AND('Soil results'!G$7="Olsen (ADAS)",'Soil results'!G41&lt;=45),AND('Soil results'!G$7="modified Morgan (SAC)",'Soil results'!G41&lt;=30)),VLOOKUP(Calc!BI36,'Fertiliser recommendations'!$A$4:$I$63,9,FALSE)+VLOOKUP(Calc!BI36,'Fertiliser recommendations'!$A$4:$M$63,13,FALSE),
""))))))))</f>
        <v/>
      </c>
      <c r="K38" s="161" t="str">
        <f t="shared" ca="1" si="1"/>
        <v/>
      </c>
      <c r="L38" s="47" t="str">
        <f ca="1">IF(OR(ISBLANK('Soil results'!G$7),ISBLANK('Soil results'!G41),B38="", H38="data missing"),"",
IF('Soil results'!G$7="Olsen (ADAS)",
IF(((H38*Calc!BM36/2.291-(VLOOKUP(Calc!BI36,'Fertiliser recommendations'!$A$4:$I$63,9,FALSE))/2.291)*10/(400/2.291)+'Soil results'!G41)&lt;10,"0 (VL)",
IF(((H38*Calc!BM36/2.291-(VLOOKUP(Calc!BI36,'Fertiliser recommendations'!$A$4:$I$63,9,FALSE))/2.291)*10/(400/2.291)+'Soil results'!G41)&lt;16,"1 (L)",
IF(((H38*Calc!BM36/2.291-(VLOOKUP(Calc!BI36,'Fertiliser recommendations'!$A$4:$I$63,9,FALSE))/2.291)*10/(400/2.291)+'Soil results'!G41)&lt;21,"2 (M-)",
IF(((H38*Calc!BM36/2.291-(VLOOKUP(Calc!BI36,'Fertiliser recommendations'!$A$4:$I$63,9,FALSE))/2.291)*10/(400/2.291)+'Soil results'!G41)&lt;26,"2 (M+)",
IF(((H38*Calc!BM36/2.291-(VLOOKUP(Calc!BI36,'Fertiliser recommendations'!$A$4:$I$63,9,FALSE))/2.291)*10/(400/2.291)+'Soil results'!G41)&lt;45,"3 (H)","&gt;3 (VH)"))))),
IF('Soil results'!G$7="modified Morgan (SAC)",
IF('Soil results'!G41&gt;=6,
IF(((H38*Calc!BM36/2.291-(VLOOKUP(Calc!BI36,'Fertiliser recommendations'!$A$4:$I$63,9,FALSE))/2.291)*5/(147/2.291)+'Soil results'!G41)&lt;9.5,"2 (M-)",
IF(((H38*Calc!BM36/2.291-(VLOOKUP(Calc!BI36,'Fertiliser recommendations'!$A$4:$I$63,9,FALSE))/2.291)*5/(147/2.291)+'Soil results'!G41)&lt;13.5,"2 (M+)",
IF(((H38*Calc!BM36/2.291-(VLOOKUP(Calc!BI36,'Fertiliser recommendations'!$A$4:$I$63,9,FALSE))/2.291)*5/(147/2.291)+'Soil results'!G41)&lt;30,"3 (H)","4 (VH)"))),
IF(((H38*Calc!BM36/2.291-(VLOOKUP(Calc!BI36,'Fertiliser recommendations'!$A$4:$I$63,9,FALSE))/2.291)*5/(346/2.291)+'Soil results'!G41)&lt;1.8,"0 (VL)",
IF(((H38*Calc!BM36/2.291-(VLOOKUP(Calc!BI36,'Fertiliser recommendations'!$A$4:$I$63,9,FALSE))/2.291)*5/(147/2.291)+'Soil results'!G41)&lt;4.5,"1 (L)","2 (M-)"))))))</f>
        <v/>
      </c>
      <c r="M38" s="9" t="str">
        <f ca="1">IF(B38="","",
IF(OR(H38="data missing",I38="data missing",J38="data missing"),"data missing",
IF(Calc!BF36=0,"n/a",
IF(OR(AND('Soil results'!G$7="Olsen (ADAS)",'Soil results'!G41&gt;45),AND('Soil results'!G$7="modified Morgan (SAC)",'Soil results'!G41&gt;30)),
IF(H38&gt;2,"too high, not acceptable","no requirement"),IF(OR(AND('Soil results'!G$7="Olsen (ADAS)",'Soil results'!G41&gt;25),AND('Soil results'!G$7="modified Morgan (SAC)",'Soil results'!G41&gt;13.4)),
IF(H38*(I38/100)&lt;0.1*J38,"no benefit",
IF(H38*(I38/100)&lt;0.3*J38,"limited benefit",
IF(H38*(I38/100)&lt;1.1*J38,"benefit",
IF(H38*(I38/100)&lt;0.7*VLOOKUP(Calc!BI36,'Fertiliser recommendations'!$A$4:$I$63,9,FALSE),"excessive","too high, not acceptable")))),
IF(OR(AND('Soil results'!G$7="Olsen (ADAS)",'Soil results'!G41&gt;20),AND('Soil results'!G$7="modified Morgan (SAC)",'Soil results'!G41&gt;9.4)),
IF(H38*Calc!BM36*(I38/100)&lt;0.1*J38,"no benefit",
IF(H38*Calc!BM36*(I38/100)&lt;0.3*J38,"limited benefit",
IF(H38*Calc!BM36*(I38/100)&lt;1.1*J38,"benefit",
IF(L38="3 (H)","too high, not acceptable","excessive")))),
IF(OR(AND('Soil results'!G$7="Olsen (ADAS)",'Soil results'!G41&gt;15),AND('Soil results'!G$7="modified Morgan (SAC)",'Soil results'!G41&gt;4.4)),
IF(H38*Calc!BM36*(I38/100)&lt;0.1*VLOOKUP(Calc!BI36,'Fertiliser recommendations'!$A$4:$I$63,9,FALSE),"no benefit",
IF(H38*Calc!BM36*(I38/100)&lt;0.3*VLOOKUP(Calc!BI36,'Fertiliser recommendations'!$A$4:$I$63,9,FALSE),"limited benefit",
IF(H38*Calc!BM36*(I38/100)&lt;1.1*VLOOKUP(Calc!BI36,'Fertiliser recommendations'!$A$4:$I$63,9,FALSE),"benefit",
IF(L38="3 (H)", "too high, not acceptable", "excessive")))),
IF(OR(AND('Soil results'!G$7="Olsen (ADAS)",'Soil results'!G41&lt;=15),AND('Soil results'!G$7="modified Morgan (SAC)",'Soil results'!G41&lt;=4.4)),
IF(H38*Calc!BM36*(I38/100)&lt;0.1*VLOOKUP(Calc!BI36,'Fertiliser recommendations'!$A$4:$I$63,9,FALSE),"no benefit",
IF(H38*Calc!BM36*(I38/100)&lt;0.3*VLOOKUP(Calc!BI36,'Fertiliser recommendations'!$A$4:$I$63,9,FALSE),"limited benefit",
IF(H38*Calc!BM36*(I38/100)&lt;1.1*J38,"benefit","excessive")))))))))))</f>
        <v/>
      </c>
      <c r="O38" s="91" t="str">
        <f ca="1">IF(B38="","",
IF(AND('Field information 2'!$O$5="", 'Field information 2'!$Q$5=""),
   IF('Waste results'!$S$19&lt;&gt;"data missing", Calc!BC36*'Waste results'!$S$19, "data missing"),
IF('Field information 2'!$Q$5="",
   IF(Calc!BD36=0,
     IF('Waste results'!$S$19&lt;&gt;"data missing", Calc!BC36*'Waste results'!$S$19, "data missing"),
   IF(Calc!BC36=0,
     IF('Waste results'!$S$55&lt;&gt;"data missing", Calc!BD36*'Waste results'!$S$55, "data missing"),
   IF(OR('Waste results'!$S$19&lt;&gt;"data missing", 'Waste results'!$S$55&lt;&gt;"data missing"), Calc!BC36*'Waste results'!$S$19+ Calc!BD36*'Waste results'!$S$55, "data missing"))),
IF(AND('Field information 2'!$M$5&lt;&gt;"", 'Field information 2'!$O$5&lt;&gt;"", 'Field information 2'!$Q$5&lt;&gt;""),
   IF(AND(Calc!BD36=0,Calc!BE36=0),
     IF('Waste results'!$S$19&lt;&gt;"data missing", Calc!BC36*'Waste results'!$S$19, "data missing"),
   IF(AND(Calc!BC36=0,Calc!BE36=0),
     IF('Waste results'!$S$55&lt;&gt;"data missing", Calc!BD36*'Waste results'!$S$55, "data missing"),
   IF(AND(Calc!BC36=0,Calc!BD36=0),
     IF('Waste results'!$S$91&lt;&gt;"data missing", Calc!BE36*'Waste results'!$S$91, "data missing"),
   IF(Calc!BE36=0,
     IF(OR('Waste results'!$S$19&lt;&gt;"data missing", 'Waste results'!$S$55&lt;&gt;"data missing"), Calc!BC36*'Waste results'!$S$19+ Calc!BD36*'Waste results'!$S$55, "data missing"),
   IF(Calc!BD36=0,
     IF(OR('Waste results'!$S$19&lt;&gt;"data missing", 'Waste results'!$S$91&lt;&gt;"data missing"), Calc!BC36*'Waste results'!$S$19+ Calc!BE36*'Waste results'!$S$91, "data missing"),
   IF(Calc!BC36=0,
     IF(OR('Waste results'!$S$55&lt;&gt;"data missing", 'Waste results'!$S$91&lt;&gt;"data missing"), Calc!BD36*'Waste results'!$S$55+Calc!BE36*'Waste results'!$S$91, "data missing"),
   IF(OR('Waste results'!$S$19&lt;&gt;"data missing", 'Waste results'!$S$55&lt;&gt;"data missing", 'Waste results'!$S$91&lt;&gt;"data missing"), Calc!BC36*'Waste results'!$S$19+Calc!BD36*'Waste results'!$S$55+ Calc!BE36*'Waste results'!$S$91, "data missing")))))))))))</f>
        <v/>
      </c>
      <c r="P38" s="91" t="str">
        <f ca="1">IF(B38="","",
IF(OR(ISBLANK('Soil results'!H$7),ISBLANK('Soil results'!H41)),"data missing",
IF(OR(AND('Soil results'!H$7="ammonium nitrate (ADAS)",'Soil results'!H41&gt;400),AND('Soil results'!H$7="modified Morgan (SAC)",'Soil results'!H41&gt;400)),0,
IF(OR(AND('Soil results'!H$7="ammonium nitrate (ADAS)",'Soil results'!H41&gt;=121,'Soil results'!H41&lt;=180),AND('Soil results'!H$7="modified Morgan (SAC)",'Soil results'!H41&gt;=76,'Soil results'!H41&lt;=140)),VLOOKUP(Calc!BI36,'Fertiliser recommendations'!$A$4:$Z$63,26,FALSE),
IF(OR(AND('Soil results'!H$7="ammonium nitrate (ADAS)",'Soil results'!H41&lt;61),AND('Soil results'!H$7="modified Morgan (SAC)",'Soil results'!H41&lt;40)),VLOOKUP(Calc!BI36,'Fertiliser recommendations'!$A$4:$Z$63,26,FALSE)+VLOOKUP(Calc!BI36,'Fertiliser recommendations'!$A$4:$AA$63,27,FALSE),
IF(OR(AND('Soil results'!H$7="ammonium nitrate (ADAS)",'Soil results'!H41&lt;121),AND('Soil results'!H$7="modified Morgan (SAC)",'Soil results'!H41&lt;76)),VLOOKUP(Calc!BI36,'Fertiliser recommendations'!$A$4:$Z$63,26,FALSE)+VLOOKUP(Calc!BI36,'Fertiliser recommendations'!$A$4:$AB$63,28,FALSE),
IF(OR(AND('Soil results'!H$7="ammonium nitrate (ADAS)",'Soil results'!H41&lt;241),AND('Soil results'!H$7="modified Morgan (SAC)",'Soil results'!H41&lt;201)),VLOOKUP(Calc!BI36,'Fertiliser recommendations'!$A$4:$Z$63,26,FALSE)+VLOOKUP(Calc!BI36,'Fertiliser recommendations'!$A$4:$AC$63,29,FALSE),
IF(OR(AND('Soil results'!H$7="ammonium nitrate (ADAS)",'Soil results'!H41&lt;=400),AND('Soil results'!H$7="modified Morgan (SAC)",'Soil results'!H41&lt;=400)),VLOOKUP(Calc!BI36,'Fertiliser recommendations'!$A$4:$Z$63,26,FALSE)+VLOOKUP(Calc!BI36,'Fertiliser recommendations'!$A$4:$AD$63,30,FALSE),
"??"))))))))</f>
        <v/>
      </c>
      <c r="Q38" s="91" t="str">
        <f t="shared" ca="1" si="2"/>
        <v/>
      </c>
      <c r="R38" s="9" t="str">
        <f ca="1">IF(B38="","",
IF(OR(O38="data missing",P38="data missing"),"data missing",
IF(Calc!BF36=0,"n/a",
IF(P38=0, "no requirement",
IF(O38&lt;0.1*P38,"no benefit",
IF(O38&lt;0.3*P38,"limited benefit",
IF(O38&gt;1.25*P38,"excessive",
"benefit")))))))</f>
        <v/>
      </c>
      <c r="T38" s="91" t="str">
        <f ca="1">IF(B38="","",
IF(AND('Field information 2'!$O$5="", 'Field information 2'!$Q$5=""),
   IF('Waste results'!$S$21&lt;&gt;"data missing", Calc!BC36*'Waste results'!$S$21, "data missing"),
IF('Field information 2'!$Q$5="",
   IF(Calc!BD36=0,
     IF('Waste results'!$S$21&lt;&gt;"data missing", Calc!BC36*'Waste results'!$S$21, "data missing"),
   IF(Calc!BC36=0,
     IF('Waste results'!$S$57&lt;&gt;"data missing", Calc!BD36*'Waste results'!$S$57, "data missing"),
   IF(OR('Waste results'!$S$21&lt;&gt;"data missing", 'Waste results'!$S$57&lt;&gt;"data missing"), Calc!BC36*'Waste results'!$S$21+ Calc!BD36*'Waste results'!$S$57, "data missing"))),
IF(AND('Field information 2'!$M$5&lt;&gt;"", 'Field information 2'!$O$5&lt;&gt;"", 'Field information 2'!$Q$5&lt;&gt;""),
   IF(AND(Calc!BD36=0,Calc!BE36=0),
     IF('Waste results'!$S$21&lt;&gt;"data missing", Calc!BC36*'Waste results'!$S$21, "data missing"),
   IF(AND(Calc!BC36=0,Calc!BE36=0),
     IF('Waste results'!$S$57&lt;&gt;"data missing", Calc!BD36*'Waste results'!$S$57, "data missing"),
   IF(AND(Calc!BC36=0,Calc!BD36=0),
     IF('Waste results'!$S$93&lt;&gt;"data missing", Calc!BE36*'Waste results'!$S$93, "data missing"),
   IF(Calc!BE36=0,
     IF(OR('Waste results'!$S$21&lt;&gt;"data missing", 'Waste results'!$S$57&lt;&gt;"data missing"), Calc!BC36*'Waste results'!$S$21+ Calc!BD36*'Waste results'!$S$57, "data missing"),
   IF(Calc!BD36=0,
     IF(OR('Waste results'!$S$21&lt;&gt;"data missing", 'Waste results'!$S$93&lt;&gt;"data missing"), Calc!BC36*'Waste results'!$S$21+ Calc!BE36*'Waste results'!$S$93, "data missing"),
   IF(Calc!BC36=0,
     IF(OR('Waste results'!$S$57&lt;&gt;"data missing", 'Waste results'!$S$93&lt;&gt;"data missing"), Calc!BD36*'Waste results'!$S$57+Calc!BE36*'Waste results'!$S$93, "data missing"),
   IF(OR('Waste results'!$S$21&lt;&gt;"data missing", 'Waste results'!$S$57&lt;&gt;"data missing", 'Waste results'!$S$93&lt;&gt;"data missing"), Calc!BC36*'Waste results'!$S$21+Calc!BD36*'Waste results'!$S$57+ Calc!BE36*'Waste results'!$S$93, "data missing")))))))))))</f>
        <v/>
      </c>
      <c r="U38" s="7" t="str">
        <f ca="1">IF(B38="","",
IF(OR(ISBLANK('Soil results'!I$7),ISBLANK('Soil results'!I41)),"data missing",
IF(OR(AND('Soil results'!I$7="ammonium nitrate (ADAS)",'Soil results'!I41&gt;51),AND('Soil results'!I$7="modified Morgan (SAC)",'Soil results'!I41&gt;61)),0,
IF(OR(AND('Soil results'!I$7="ammonium nitrate (ADAS)",'Soil results'!I41&lt;25),AND('Soil results'!I$7="modified Morgan (SAC)",'Soil results'!I41&lt;19)),VLOOKUP(Calc!BI36,'Fertiliser recommendations'!$A$4:$AH$63,34,FALSE),
IF(OR(AND('Soil results'!I$7="ammonium nitrate (ADAS)",'Soil results'!I41&lt;=51),AND('Soil results'!I$7="modified Morgan (SAC)",'Soil results'!I41&lt;=61)),VLOOKUP(Calc!BI36,'Fertiliser recommendations'!$A$4:$AI$63,35,FALSE),
"")))))</f>
        <v/>
      </c>
      <c r="V38" s="91" t="str">
        <f t="shared" ca="1" si="3"/>
        <v/>
      </c>
      <c r="W38" s="9" t="str">
        <f ca="1">IF(B38="","",
IF(OR(T38="data missing",U38="data missing"),"data missing",
IF(Calc!BF36=0,"n/a",
IF(U38=0,"no requirement",
IF(T38&lt;0.1*U38,"no benefit",
IF(T38&lt;0.3*U38,"limited benefit",
IF(OR(T38&gt;1.5*U38,AND(Calc!BJ36="g",T38&gt;100)),"excessive",
"benefit")))))))</f>
        <v/>
      </c>
      <c r="Y38" s="91" t="str">
        <f ca="1">IF(B38="","",
IF(AND('Field information 2'!$O$5="", 'Field information 2'!$Q$5=""),
   IF('Waste results'!$P$23&lt;&gt;"", Calc!BC36*'Waste results'!$P$23, "no data"),
IF('Field information 2'!$Q$5="",
   IF(Calc!BD36=0,
     IF('Waste results'!$P$23&lt;&gt;"", Calc!BC36*'Waste results'!$P$23, "no data"),
   IF(Calc!BC36=0,
     IF('Waste results'!$P$59&lt;&gt;"", Calc!BD36*'Waste results'!$P$59, "no data"),
   IF(OR('Waste results'!$P$23&lt;&gt;"", 'Waste results'!$P$59&lt;&gt;""), Calc!BC36*'Waste results'!$P$23+ Calc!BD36*'Waste results'!$P$59, "no data"))),
IF(AND('Field information 2'!$M$5&lt;&gt;"", 'Field information 2'!$O$5&lt;&gt;"", 'Field information 2'!$Q$5&lt;&gt;""),
   IF(AND(Calc!BD36=0,Calc!BE36=0),
     IF('Waste results'!$P$23&lt;&gt;"", Calc!BC36*'Waste results'!$P$23, "no data"),
   IF(AND(Calc!BC36=0,Calc!BE36=0),
     IF('Waste results'!$P$59&lt;&gt;"", Calc!BD36*'Waste results'!$P$59, "no data"),
   IF(AND(Calc!BC36=0,Calc!BD36=0),
     IF('Waste results'!$P$95&lt;&gt;"", Calc!BE36*'Waste results'!$P$95, "no data"),
   IF(Calc!BE36=0,
     IF(OR('Waste results'!$P$23&lt;&gt;"", 'Waste results'!$P$59&lt;&gt;""), Calc!BC36*'Waste results'!$P$23+ Calc!BD36*'Waste results'!$P$59, "no data"),
   IF(Calc!BD36=0,
     IF(OR('Waste results'!$P$23&lt;&gt;"", 'Waste results'!$P$95&lt;&gt;""), Calc!BC36*'Waste results'!$P$23+ Calc!BE36*'Waste results'!$P$95, "no data"),
   IF(Calc!BC36=0,
     IF(OR('Waste results'!$P$59&lt;&gt;"", 'Waste results'!$P$95&lt;&gt;""), Calc!BD36*'Waste results'!$P$59+Calc!BE36*'Waste results'!$P$95, "no data"),
   IF(OR('Waste results'!$P$23&lt;&gt;"", 'Waste results'!$P$59&lt;&gt;"", 'Waste results'!$P$95&lt;&gt;""), Calc!BC36*'Waste results'!$P$23+Calc!BD36*'Waste results'!$P$59+ Calc!BE36*'Waste results'!$P$95, "no data")))))))))))</f>
        <v/>
      </c>
      <c r="Z38" s="7" t="str">
        <f ca="1">IF(OR(ISBLANK('Soil results'!I$7),ISBLANK('Soil results'!I41),'Soil results'!B41=""),"",
VLOOKUP(Calc!BI36,'Fertiliser recommendations'!$A$4:$AM$63,39,FALSE))</f>
        <v/>
      </c>
      <c r="AA38" s="91" t="str">
        <f t="shared" ca="1" si="4"/>
        <v/>
      </c>
      <c r="AB38" s="9" t="str">
        <f t="shared" ca="1" si="5"/>
        <v/>
      </c>
      <c r="AD38" s="48" t="str">
        <f>IF(ISBLANK('Soil results'!F41),"",'Soil results'!F41)</f>
        <v/>
      </c>
      <c r="AE38" s="49" t="str">
        <f ca="1">IF(B38="","",
IF(AND(Calc!BJ36="g", VLOOKUP(LEFT($B38,LEN($B38)-2),'Field information 2'!$B$12:$P$111,9,FALSE)&lt;&gt;"yes"),
 IF(Calc!BG36="10-25% OM", 5.9, IF(Calc!BG36="&gt;25% OM", 5.5, 6.2)),
IF(OR(Calc!BJ36="a", VLOOKUP(LEFT($B38,LEN($B38)-2),'Field information 2'!$B$12:$P$111,9,FALSE)="yes"),
 IF(Calc!BG36="10-25% OM", 6.4, IF(Calc!BG36="&gt;25% OM", 6, 6.7)), "")))</f>
        <v/>
      </c>
      <c r="AF38" s="91" t="str">
        <f ca="1">IF(B38="","",
IF('Waste results'!$Q$33="","no (significant) liming properties",
IF('Waste results'!Q$33&gt;100,"no (significant) liming properties",
IF(AD38="","",
IF(AD38&gt;=AE38,0,ROUNDDOWN((AE38-AD38)*Calc!BK36*'Waste results'!$Q$33+0.2,0))))))</f>
        <v/>
      </c>
      <c r="AG38" s="9" t="str">
        <f ca="1">IF(B38="","",
IF(T38=0,"n/a",
IF(AD38="","data missing",
IF(AND(AD38&lt;5,AF38="no (significant) liming properties"),"no waste application - pH too low",
IF(AND(AD38&gt;5.1,AF38="no (significant) liming properties",Calc!BH36&gt;25, LEFT(Calc!BI36,4)="graz"),"ok",
IF(AND(AD38&lt;=5.2,AF38="no (significant) liming properties"),"liming highly recommended",
IF(AF38=0,"no waste application - liming not required",
IF(AF38&lt;Calc!BC36,"application rate too high - exceeds liming requirement",
"ok"))))))))</f>
        <v/>
      </c>
      <c r="AI38" s="91" t="str">
        <f ca="1">IF(B38="","",
IF(AND('Field information 2'!$O$5="", 'Field information 2'!$Q$5=""),
   IF('Waste results'!$P$10&lt;&gt;"data missing", Calc!BC36*'Waste results'!$P$10, "data missing"),
IF('Field information 2'!$Q$5="",
   IF(Calc!BD36=0,
     IF('Waste results'!$P$10&lt;&gt;"data missing", Calc!BC36*'Waste results'!$P$10, "data missing"),
   IF(Calc!BC36=0,
     IF('Waste results'!$P$45&lt;&gt;"data missing", Calc!BD36*'Waste results'!$P$45, "data missing"),
   IF(OR('Waste results'!$P$10&lt;&gt;"data missing", 'Waste results'!$P$45&lt;&gt;"data missing"), Calc!BC36*'Waste results'!$P$10+ Calc!BD36*'Waste results'!$P$45, "data missing"))),
IF(AND('Field information 2'!$M$5&lt;&gt;"", 'Field information 2'!$O$5&lt;&gt;"", 'Field information 2'!$Q$5&lt;&gt;""),
   IF(AND(Calc!BD36=0,Calc!BE36=0),
     IF('Waste results'!$P$10&lt;&gt;"data missing", Calc!BC36*'Waste results'!$P$10, "data missing"),
   IF(AND(Calc!BC36=0,Calc!BE36=0),
     IF('Waste results'!$P$45&lt;&gt;"data missing", Calc!BD36*'Waste results'!$P$45, "data missing"),
   IF(AND(Calc!BC36=0,Calc!BD36=0),
     IF('Waste results'!$P$82&lt;&gt;"data missing", Calc!BE36*'Waste results'!$P$82, "data missing"),
   IF(Calc!BE36=0,
     IF(OR('Waste results'!$P$10&lt;&gt;"data missing", 'Waste results'!$P$45&lt;&gt;"data missing"), Calc!BC36*'Waste results'!$P$10+ Calc!BD36*'Waste results'!$P$45, "data missing"),
   IF(Calc!BD36=0,
     IF(OR('Waste results'!$P$10&lt;&gt;"data missing", 'Waste results'!$P$82&lt;&gt;"data missing"), Calc!BC36*'Waste results'!$P$10+ Calc!BE36*'Waste results'!$P$82, "data missing"),
   IF(Calc!BC36=0,
     IF(OR('Waste results'!$P$45&lt;&gt;"data missing", 'Waste results'!$P$82&lt;&gt;"data missing"), Calc!BD36*'Waste results'!$P$45+Calc!BE36*'Waste results'!$P$82, "data missing"),
   IF(OR('Waste results'!$P$10&lt;&gt;"data missing", 'Waste results'!$P$45&lt;&gt;"data missing", 'Waste results'!$P$82&lt;&gt;"data missing"), Calc!BC36*'Waste results'!$P$10+Calc!BD36*'Waste results'!$P$45+ Calc!BE36*'Waste results'!$P$82, "data missing")))))))))))</f>
        <v/>
      </c>
      <c r="AJ38" s="237" t="str">
        <f ca="1">IF(B38="","",
IF(AI38="data missing","data missing",
IF(Calc!BF36=0,"n/a",
IF(AND(Calc!BH36&gt;=8,AI38&lt;500),"no benefit",
IF(OR(AND(Calc!BH36&lt;=4,AI38&gt;=500),AND(Calc!BH36&lt;8,AI38&gt;5000)),"benefit",
"limited benefit")))))</f>
        <v/>
      </c>
      <c r="AL38" s="238" t="str">
        <f ca="1">IF(B38="","",
IF(AND('Field information 2'!$O$5="", 'Field information 2'!$Q$5=""),
   IF('Waste results'!$S$25&lt;&gt;"data missing", Calc!BC36*'Waste results'!$S$25, "data missing"),
IF('Field information 2'!$Q$5="",
   IF(Calc!BD36=0,
     IF('Waste results'!$S$25&lt;&gt;"data missing", Calc!BC36*'Waste results'!$S$25, "data missing"),
   IF(Calc!BC36=0,
     IF('Waste results'!$S$61&lt;&gt;"data missing", Calc!BD36*'Waste results'!$S$61, "data missing"),
   IF(OR('Waste results'!$S$25&lt;&gt;"data missing", 'Waste results'!$S$61&lt;&gt;"data missing"), Calc!BC36*'Waste results'!$S$25+ Calc!BD36*'Waste results'!$S$61, "data missing"))),
IF(AND('Field information 2'!$M$5&lt;&gt;"", 'Field information 2'!$O$5&lt;&gt;"", 'Field information 2'!$Q$5&lt;&gt;""),
   IF(AND(Calc!BD36=0,Calc!BE36=0),
     IF('Waste results'!$S$25&lt;&gt;"data missing", Calc!BC36*'Waste results'!$S$25, "data missing"),
   IF(AND(Calc!BC36=0,Calc!BE36=0),
     IF('Waste results'!$S$61&lt;&gt;"data missing", Calc!BD36*'Waste results'!$S$61, "data missing"),
   IF(AND(Calc!BC36=0,Calc!BD36=0),
     IF('Waste results'!$S$97&lt;&gt;"data missing", Calc!BE36*'Waste results'!$S$97, "data missing"),
   IF(Calc!BE36=0,
     IF(OR('Waste results'!$S$25&lt;&gt;"data missing", 'Waste results'!$S$61&lt;&gt;"data missing"), Calc!BC36*'Waste results'!$S$25+ Calc!BD36*'Waste results'!$S$61, "data missing"),
   IF(Calc!BD36=0,
     IF(OR('Waste results'!$S$25&lt;&gt;"data missing", 'Waste results'!$S$97&lt;&gt;"data missing"), Calc!BC36*'Waste results'!$S$25+ Calc!BE36*'Waste results'!$S$97, "data missing"),
   IF(Calc!BC36=0,
     IF(OR('Waste results'!$S$61&lt;&gt;"data missing", 'Waste results'!$S$97&lt;&gt;"data missing"), Calc!BD36*'Waste results'!$S$61+Calc!BE36*'Waste results'!$S$97, "data missing"),
   IF(OR('Waste results'!$S$25&lt;&gt;"data missing", 'Waste results'!$S$61&lt;&gt;"data missing", 'Waste results'!$S$97&lt;&gt;"data missing"), Calc!BC36*'Waste results'!$S$25+Calc!BD36*'Waste results'!$S$61+ Calc!BE36*'Waste results'!$S$97, "data missing")))))))))))</f>
        <v/>
      </c>
      <c r="AM38" s="239" t="str">
        <f ca="1">IF($B38="","",
IF(ISBLANK('Soil results'!K41),"data missing",'Soil results'!K41))</f>
        <v/>
      </c>
      <c r="AN38" s="239" t="str">
        <f t="shared" ca="1" si="6"/>
        <v/>
      </c>
      <c r="AO38" s="9" t="str">
        <f t="shared" ca="1" si="7"/>
        <v/>
      </c>
      <c r="AQ38" s="240" t="str">
        <f ca="1">IF(B38="","",
IF(AND('Field information 2'!$O$5="", 'Field information 2'!$Q$5=""),
   IF('Waste results'!$S$26&lt;&gt;"data missing", Calc!BC36*'Waste results'!$S$26, "data missing"),
IF('Field information 2'!$Q$5="",
   IF(Calc!BD36=0,
     IF('Waste results'!$S$26&lt;&gt;"data missing", Calc!BC36*'Waste results'!$S$26, "data missing"),
   IF(Calc!BC36=0,
     IF('Waste results'!$S$62&lt;&gt;"data missing", Calc!BD36*'Waste results'!$S$62, "data missing"),
   IF(OR('Waste results'!$S$26&lt;&gt;"data missing", 'Waste results'!$S$62&lt;&gt;"data missing"), Calc!BC36*'Waste results'!$S$26+ Calc!BD36*'Waste results'!$S$62, "data missing"))),
IF(AND('Field information 2'!$M$5&lt;&gt;"", 'Field information 2'!$O$5&lt;&gt;"", 'Field information 2'!$Q$5&lt;&gt;""),
   IF(AND(Calc!BD36=0,Calc!BE36=0),
     IF('Waste results'!$S$26&lt;&gt;"data missing", Calc!BC36*'Waste results'!$S$26, "data missing"),
   IF(AND(Calc!BC36=0,Calc!BE36=0),
     IF('Waste results'!$S$62&lt;&gt;"data missing", Calc!BD36*'Waste results'!$S$62, "data missing"),
   IF(AND(Calc!BC36=0,Calc!BD36=0),
     IF('Waste results'!$S$98&lt;&gt;"data missing", Calc!BE36*'Waste results'!$S$98, "data missing"),
   IF(Calc!BE36=0,
     IF(OR('Waste results'!$S$26&lt;&gt;"data missing", 'Waste results'!$S$62&lt;&gt;"data missing"), Calc!BC36*'Waste results'!$S$26+ Calc!BD36*'Waste results'!$S$62, "data missing"),
   IF(Calc!BD36=0,
     IF(OR('Waste results'!$S$26&lt;&gt;"data missing", 'Waste results'!$S$98&lt;&gt;"data missing"), Calc!BC36*'Waste results'!$S$26+ Calc!BE36*'Waste results'!$S$98, "data missing"),
   IF(Calc!BC36=0,
     IF(OR('Waste results'!$S$62&lt;&gt;"data missing", 'Waste results'!$S$98&lt;&gt;"data missing"), Calc!BD36*'Waste results'!$S$62+Calc!BE36*'Waste results'!$S$98, "data missing"),
   IF(OR('Waste results'!$S$26&lt;&gt;"data missing", 'Waste results'!$S$62&lt;&gt;"data missing", 'Waste results'!$S$98&lt;&gt;"data missing"), Calc!BC36*'Waste results'!$S$26+Calc!BD36*'Waste results'!$S$62+ Calc!BE36*'Waste results'!$S$98, "data missing")))))))))))</f>
        <v/>
      </c>
      <c r="AR38" s="241" t="str">
        <f ca="1">IF($B38="","",
IF(ISBLANK('Soil results'!L41),"data missing",'Soil results'!L41))</f>
        <v/>
      </c>
      <c r="AS38" s="241" t="str">
        <f t="shared" ca="1" si="8"/>
        <v/>
      </c>
      <c r="AT38" s="66" t="str">
        <f t="shared" ca="1" si="9"/>
        <v/>
      </c>
      <c r="AV38" s="238" t="str">
        <f ca="1">IF(B38="","",
IF(AND('Field information 2'!$O$5="", 'Field information 2'!$Q$5=""),
   IF('Waste results'!$S$27&lt;&gt;"data missing", Calc!BC36*'Waste results'!$S$27, "data missing"),
IF('Field information 2'!$Q$5="",
   IF(Calc!BD36=0,
     IF('Waste results'!$S$27&lt;&gt;"data missing", Calc!BC36*'Waste results'!$S$27, "data missing"),
   IF(Calc!BC36=0,
     IF('Waste results'!$S$63&lt;&gt;"data missing", Calc!BD36*'Waste results'!$S$63, "data missing"),
   IF(OR('Waste results'!$S$27&lt;&gt;"data missing", 'Waste results'!$S$63&lt;&gt;"data missing"), Calc!BC36*'Waste results'!$S$27+ Calc!BD36*'Waste results'!$S$63, "data missing"))),
IF(AND('Field information 2'!$M$5&lt;&gt;"", 'Field information 2'!$O$5&lt;&gt;"", 'Field information 2'!$Q$5&lt;&gt;""),
   IF(AND(Calc!BD36=0,Calc!BE36=0),
     IF('Waste results'!$S$27&lt;&gt;"data missing", Calc!BC36*'Waste results'!$S$27, "data missing"),
   IF(AND(Calc!BC36=0,Calc!BE36=0),
     IF('Waste results'!$S$63&lt;&gt;"data missing", Calc!BD36*'Waste results'!$S$63, "data missing"),
   IF(AND(Calc!BC36=0,Calc!BD36=0),
     IF('Waste results'!$S$99&lt;&gt;"data missing", Calc!BE36*'Waste results'!$S$99, "data missing"),
   IF(Calc!BE36=0,
     IF(OR('Waste results'!$S$27&lt;&gt;"data missing", 'Waste results'!$S$63&lt;&gt;"data missing"), Calc!BC36*'Waste results'!$S$27+ Calc!BD36*'Waste results'!$S$63, "data missing"),
   IF(Calc!BD36=0,
     IF(OR('Waste results'!$S$27&lt;&gt;"data missing", 'Waste results'!$S$99&lt;&gt;"data missing"), Calc!BC36*'Waste results'!$S$27+ Calc!BE36*'Waste results'!$S$99, "data missing"),
   IF(Calc!BC36=0,
     IF(OR('Waste results'!$S$63&lt;&gt;"data missing", 'Waste results'!$S$99&lt;&gt;"data missing"), Calc!BD36*'Waste results'!$S$63+Calc!BE36*'Waste results'!$S$99, "data missing"),
   IF(OR('Waste results'!$S$27&lt;&gt;"data missing", 'Waste results'!$S$63&lt;&gt;"data missing", 'Waste results'!$S$99&lt;&gt;"data missing"), Calc!BC36*'Waste results'!$S$27+Calc!BD36*'Waste results'!$S$63+ Calc!BE36*'Waste results'!$S$99, "data missing")))))))))))</f>
        <v/>
      </c>
      <c r="AW38" s="239" t="str">
        <f ca="1">IF($B38="","",
IF(ISBLANK('Soil results'!M41),"data missing",'Soil results'!M41))</f>
        <v/>
      </c>
      <c r="AX38" s="239" t="str">
        <f t="shared" ca="1" si="10"/>
        <v/>
      </c>
      <c r="AY38" s="9" t="str">
        <f ca="1">IF(B38="","",
IF(AV38=0,"n/a",
IF(OR(AV38="data missing",AW38="data missing"),"data missing",
IF(AV38&gt;7.5,"application rate too high - permissible rate exceeds limit",
IF('Soil results'!$F41&lt;=5.5,
  IF(AW38&gt;80,"no application - soil conc. already above limit",
  IF(AX38&gt;80,"application rate too high - soil conc. will exceed limit",
  IF(AW38&gt;80*0.9,"soil conc. is at or above 90% of the limit",
  IF(10*AV38*1000/3000+AW38&gt;80,"soil limit likely to be exceeded in 10yrs",
  IF(50*AV38*1000/3000+AW38&gt;80,"soil limit likely to be exceeded in 50yrs","ok"))))),
IF('Soil results'!$F41&lt;=6,
  IF(AW38&gt;100,"no application - soil conc. already above limit",
  IF(AX38&gt;100,"application rate too high - soil conc. will exceed limit",
  IF(AW38&gt;100*0.9,"soil conc. is at or above 90% of the limit",
  IF(10*AV38*1000/3000+AW38&gt;100,"soil limit likely to be exceeded in 10yrs",
  IF(50*AV38*1000/3000+AW38&gt;100,"soil limit likely to be exceeded in 50yrs","ok"))))),
IF('Soil results'!$F41&lt;=7,
  IF(AW38&gt;135,"no application - soil conc. already above limit",
  IF(AX38&gt;135,"application rate too high - soil conc. will exceed limit",
  IF(AW38&gt;135*0.9,"soil conc. is at or above 90% of the limit",
  IF(10*AV38*1000/3000+AW38&gt;135,"soil limit likely to be exceeded in 10yrs",
  IF(50*AV38*1000/3000+AW38&gt;135,"soil limit likely to be exceeded in 50yrs","ok"))))),
IF('Soil results'!$F41&gt;7,
  IF(AW38&gt;200,"no application - soil conc. already above limit",
  IF(AX38&gt;200,"application too high - soil conc. will exceed limit",
  IF(AW38&gt;200*0.9,"soil conc. is at or above 90% of the limit",
  IF(10*AV38*1000/3000+AW38&gt;200,"soil limit likely to be exceeded in 10yrs",
  IF(50*AV38*1000/3000+AW38&gt;200,"soil limit likely to be exceeded in 50yrs","ok")))))
))))))))</f>
        <v/>
      </c>
      <c r="BA38" s="238" t="str">
        <f ca="1">IF(B38="","",
IF(AND('Field information 2'!$O$5="", 'Field information 2'!$Q$5=""),
   IF('Waste results'!$S$28&lt;&gt;"data missing", Calc!BC36*'Waste results'!$S$28, "data missing"),
IF('Field information 2'!$Q$5="",
   IF(Calc!BD36=0,
     IF('Waste results'!$S$28&lt;&gt;"data missing", Calc!BC36*'Waste results'!$S$28, "data missing"),
   IF(Calc!BC36=0,
     IF('Waste results'!$S$64&lt;&gt;"data missing", Calc!BD36*'Waste results'!$S$64, "data missing"),
   IF(OR('Waste results'!$S$28&lt;&gt;"data missing", 'Waste results'!$S$64&lt;&gt;"data missing"), Calc!BC36*'Waste results'!$S$28+ Calc!BD36*'Waste results'!$S$64, "data missing"))),
IF(AND('Field information 2'!$M$5&lt;&gt;"", 'Field information 2'!$O$5&lt;&gt;"", 'Field information 2'!$Q$5&lt;&gt;""),
   IF(AND(Calc!BD36=0,Calc!BE36=0),
     IF('Waste results'!$S$28&lt;&gt;"data missing", Calc!BC36*'Waste results'!$S$28, "data missing"),
   IF(AND(Calc!BC36=0,Calc!BE36=0),
     IF('Waste results'!$S$64&lt;&gt;"data missing", Calc!BD36*'Waste results'!$S$64, "data missing"),
   IF(AND(Calc!BC36=0,Calc!BD36=0),
     IF('Waste results'!$S$100&lt;&gt;"data missing", Calc!BE36*'Waste results'!$S$100, "data missing"),
   IF(Calc!BE36=0,
     IF(OR('Waste results'!$S$28&lt;&gt;"data missing", 'Waste results'!$S$64&lt;&gt;"data missing"), Calc!BC36*'Waste results'!$S$28+ Calc!BD36*'Waste results'!$S$64, "data missing"),
   IF(Calc!BD36=0,
     IF(OR('Waste results'!$S$28&lt;&gt;"data missing", 'Waste results'!$S$100&lt;&gt;"data missing"), Calc!BC36*'Waste results'!$S$28+ Calc!BE36*'Waste results'!$S$100, "data missing"),
   IF(Calc!BC36=0,
     IF(OR('Waste results'!$S$64&lt;&gt;"data missing", 'Waste results'!$S$100&lt;&gt;"data missing"), Calc!BD36*'Waste results'!$S$64+Calc!BE36*'Waste results'!$S$100, "data missing"),
   IF(OR('Waste results'!$S$28&lt;&gt;"data missing", 'Waste results'!$S$64&lt;&gt;"data missing", 'Waste results'!$S$100&lt;&gt;"data missing"), Calc!BC36*'Waste results'!$S$28+Calc!BD36*'Waste results'!$S$64+ Calc!BE36*'Waste results'!$S$100, "data missing")))))))))))</f>
        <v/>
      </c>
      <c r="BB38" s="239" t="str">
        <f ca="1">IF($B38="","",
IF(ISBLANK('Soil results'!N41),"data missing",'Soil results'!N41))</f>
        <v/>
      </c>
      <c r="BC38" s="239" t="str">
        <f t="shared" ca="1" si="11"/>
        <v/>
      </c>
      <c r="BD38" s="9" t="str">
        <f t="shared" ca="1" si="12"/>
        <v/>
      </c>
      <c r="BF38" s="238" t="str">
        <f ca="1">IF(B38="","",
IF(AND('Field information 2'!$O$5="", 'Field information 2'!$Q$5=""),
   IF('Waste results'!$S$29&lt;&gt;"data missing", Calc!BC36*'Waste results'!$S$29, "data missing"),
IF('Field information 2'!$Q$5="",
   IF(Calc!BD36=0,
     IF('Waste results'!$S$29&lt;&gt;"data missing", Calc!BC36*'Waste results'!$S$29, "data missing"),
   IF(Calc!BC36=0,
     IF('Waste results'!$S$65&lt;&gt;"data missing", Calc!BD36*'Waste results'!$S$65, "data missing"),
   IF(OR('Waste results'!$S$29&lt;&gt;"data missing", 'Waste results'!$S$65&lt;&gt;"data missing"), Calc!BC36*'Waste results'!$S$29+ Calc!BD36*'Waste results'!$S$65, "data missing"))),
IF(AND('Field information 2'!$M$5&lt;&gt;"", 'Field information 2'!$O$5&lt;&gt;"", 'Field information 2'!$Q$5&lt;&gt;""),
   IF(AND(Calc!BD36=0,Calc!BE36=0),
     IF('Waste results'!$S$29&lt;&gt;"data missing", Calc!BC36*'Waste results'!$S$29, "data missing"),
   IF(AND(Calc!BC36=0,Calc!BE36=0),
     IF('Waste results'!$S$65&lt;&gt;"data missing", Calc!BD36*'Waste results'!$S$65, "data missing"),
   IF(AND(Calc!BC36=0,Calc!BD36=0),
     IF('Waste results'!$S$101&lt;&gt;"data missing", Calc!BE36*'Waste results'!$S$101, "data missing"),
   IF(Calc!BE36=0,
     IF(OR('Waste results'!$S$29&lt;&gt;"data missing", 'Waste results'!$S$65&lt;&gt;"data missing"), Calc!BC36*'Waste results'!$S$29+ Calc!BD36*'Waste results'!$S$65, "data missing"),
   IF(Calc!BD36=0,
     IF(OR('Waste results'!$S$29&lt;&gt;"data missing", 'Waste results'!$S$101&lt;&gt;"data missing"), Calc!BC36*'Waste results'!$S$29+ Calc!BE36*'Waste results'!$S$101, "data missing"),
   IF(Calc!BC36=0,
     IF(OR('Waste results'!$S$65&lt;&gt;"data missing", 'Waste results'!$S$101&lt;&gt;"data missing"), Calc!BD36*'Waste results'!$S$65+Calc!BE36*'Waste results'!$S$101, "data missing"),
   IF(OR('Waste results'!$S$29&lt;&gt;"data missing", 'Waste results'!$S$65&lt;&gt;"data missing", 'Waste results'!$S$101&lt;&gt;"data missing"), Calc!BC36*'Waste results'!$S$29+Calc!BD36*'Waste results'!$S$65+ Calc!BE36*'Waste results'!$S$101, "data missing")))))))))))</f>
        <v/>
      </c>
      <c r="BG38" s="239" t="str">
        <f ca="1">IF($B38="","",
IF(ISBLANK('Soil results'!O41),"data missing",'Soil results'!O41))</f>
        <v/>
      </c>
      <c r="BH38" s="239" t="str">
        <f t="shared" ca="1" si="13"/>
        <v/>
      </c>
      <c r="BI38" s="9" t="str">
        <f ca="1">IF(B38="","",
IF(BF38=0,"n/a",
IF(OR(BF38="data missing",BG38="data missing"),"data missing",
IF(BF38&gt;3,"application rate too high - permissible rate exceeds limit",
IF('Soil results'!F41&lt;=5.5,
  IF(BG38&gt;50,"no application - soil conc. already above limit",
  IF(BH38&gt;50,"application rate too high - soil conc. will exceed limit",
  IF(BG38&gt;50*0.9,"soil conc. is at or above 90% of the limit",
  IF(10*BF38*1000/3000+BG38&gt;50,"soil limit likely to be exceeded in 10yrs",
  IF(50*BF38*1000/3000+BG38&gt;50,"soil limit likely to be exceeded in 50yrs","ok"))))),
IF('Soil results'!F41&lt;=6,
  IF(BG38&gt;60,"no application - soil conc. already above limit",
  IF(BH38&gt;60,"application rate too high - soil conc. will exceed limit",
  IF(BG38&gt;60*0.9,"soil conc. is at or above 90% of the limit",
  IF(10*BF38*1000/3000+BG38&gt;60,"soil limit likely to be exceeded in 10yrs",
  IF(50*BF38*1000/3000+BG38&gt;60,"soil limit likely to be exceeded in 50yrs","ok"))))),
IF('Soil results'!F41&lt;=7,
  IF(BG38&gt;75,"no application - soil conc. already above limit",
  IF(BH38&gt;75,"application rate too high - soil conc. will exceed limit",
  IF(BG38&gt;75*0.9,"soil conc. is at or above 90% of the limit",
  IF(10*BF38*1000/3000+BG38&gt;75,"soil limit likely to be exceeded in 10yrs",
  IF(50*BF38*1000/3000+BG38&gt;75,"soil limit likely to be exceeded in 50yrs","ok"))))),
IF('Soil results'!F41&gt;7,
  IF(BG38&gt;100,"no application - soil conc. already above limit",
  IF(BH38&gt;100,"application rate too high - soil conc. will exceed limit",
  IF(BG38&gt;100*0.9,"soil conc. is at or above 90% of the limit",
  IF(10*BF38*1000/3000+BG38&gt;100,"soil limit likely to be exceeded in 10yrs",
  IF(50*BF38*1000/3000+BG38&gt;100,"soil limit likely to beexceeded in 50yrs","ok")))))
))))))))</f>
        <v/>
      </c>
      <c r="BK38" s="240" t="str">
        <f ca="1">IF(B38="","",
IF(AND('Field information 2'!$O$5="", 'Field information 2'!$Q$5=""),
   IF('Waste results'!$S$30&lt;&gt;"data missing", Calc!BC36*'Waste results'!$S$30, "data missing"),
IF('Field information 2'!$Q$5="",
   IF(Calc!BD36=0,
     IF('Waste results'!$S$30&lt;&gt;"data missing", Calc!BC36*'Waste results'!$S$30, "data missing"),
   IF(Calc!BC36=0,
     IF('Waste results'!$S$66&lt;&gt;"data missing", Calc!BD36*'Waste results'!$S$66, "data missing"),
   IF(OR('Waste results'!$S$30&lt;&gt;"data missing", 'Waste results'!$S$66&lt;&gt;"data missing"), Calc!BC36*'Waste results'!$S$30+ Calc!BD36*'Waste results'!$S$66, "data missing"))),
IF(AND('Field information 2'!$M$5&lt;&gt;"", 'Field information 2'!$O$5&lt;&gt;"", 'Field information 2'!$Q$5&lt;&gt;""),
   IF(AND(Calc!BD36=0,Calc!BE36=0),
     IF('Waste results'!$S$30&lt;&gt;"data missing", Calc!BC36*'Waste results'!$S$30, "data missing"),
   IF(AND(Calc!BC36=0,Calc!BE36=0),
     IF('Waste results'!$S$66&lt;&gt;"data missing", Calc!BD36*'Waste results'!$S$66, "data missing"),
   IF(AND(Calc!BC36=0,Calc!BD36=0),
     IF('Waste results'!$S$102&lt;&gt;"data missing", Calc!BE36*'Waste results'!$S$102, "data missing"),
   IF(Calc!BE36=0,
     IF(OR('Waste results'!$S$30&lt;&gt;"data missing", 'Waste results'!$S$66&lt;&gt;"data missing"), Calc!BC36*'Waste results'!$S$30+ Calc!BD36*'Waste results'!$S$66, "data missing"),
   IF(Calc!BD36=0,
     IF(OR('Waste results'!$S$30&lt;&gt;"data missing", 'Waste results'!$S$102&lt;&gt;"data missing"), Calc!BC36*'Waste results'!$S$30+ Calc!BE36*'Waste results'!$S$102, "data missing"),
   IF(Calc!BC36=0,
     IF(OR('Waste results'!$S$66&lt;&gt;"data missing", 'Waste results'!$S$102&lt;&gt;"data missing"), Calc!BD36*'Waste results'!$S$66+Calc!BE36*'Waste results'!$S$102, "data missing"),
   IF(OR('Waste results'!$S$30&lt;&gt;"data missing", 'Waste results'!$S$66&lt;&gt;"data missing", 'Waste results'!$S$102&lt;&gt;"data missing"), Calc!BC36*'Waste results'!$S$30+Calc!BD36*'Waste results'!$S$66+ Calc!BE36*'Waste results'!$S$102, "data missing")))))))))))</f>
        <v/>
      </c>
      <c r="BL38" s="241" t="str">
        <f ca="1">IF($B38="","",
IF(ISBLANK('Soil results'!P41),"data missing",'Soil results'!P41))</f>
        <v/>
      </c>
      <c r="BM38" s="241" t="str">
        <f t="shared" ca="1" si="14"/>
        <v/>
      </c>
      <c r="BN38" s="66" t="str">
        <f t="shared" ca="1" si="15"/>
        <v/>
      </c>
      <c r="BP38" s="238" t="str">
        <f ca="1">IF(B38="","",
IF(AND('Field information 2'!$O$5="", 'Field information 2'!$Q$5=""),
   IF('Waste results'!$S$31&lt;&gt;"data missing", Calc!BC36*'Waste results'!$S$31, "data missing"),
IF('Field information 2'!$Q$5="",
   IF(Calc!BD36=0,
     IF('Waste results'!$S$31&lt;&gt;"data missing", Calc!BC36*'Waste results'!$S$31, "data missing"),
   IF(Calc!BC36=0,
     IF('Waste results'!$S$67&lt;&gt;"data missing", Calc!BD36*'Waste results'!$S$67, "data missing"),
   IF(OR('Waste results'!$S$31&lt;&gt;"data missing", 'Waste results'!$S$67&lt;&gt;"data missing"), Calc!BC36*'Waste results'!$S$31+ Calc!BD36*'Waste results'!$S$67, "data missing"))),
IF(AND('Field information 2'!$M$5&lt;&gt;"", 'Field information 2'!$O$5&lt;&gt;"", 'Field information 2'!$Q$5&lt;&gt;""),
   IF(AND(Calc!BD36=0,Calc!BE36=0),
     IF('Waste results'!$S$31&lt;&gt;"data missing", Calc!BC36*'Waste results'!$S$31, "data missing"),
   IF(AND(Calc!BC36=0,Calc!BE36=0),
     IF('Waste results'!$S$67&lt;&gt;"data missing", Calc!BD36*'Waste results'!$S$67, "data missing"),
   IF(AND(Calc!BC36=0,Calc!BD36=0),
     IF('Waste results'!$S$103&lt;&gt;"data missing", Calc!BE36*'Waste results'!$S$103, "data missing"),
   IF(Calc!BE36=0,
     IF(OR('Waste results'!$S$31&lt;&gt;"data missing", 'Waste results'!$S$67&lt;&gt;"data missing"), Calc!BC36*'Waste results'!$S$31+ Calc!BD36*'Waste results'!$S$67, "data missing"),
   IF(Calc!BD36=0,
     IF(OR('Waste results'!$S$31&lt;&gt;"data missing", 'Waste results'!$S$103&lt;&gt;"data missing"), Calc!BC36*'Waste results'!$S$31+ Calc!BE36*'Waste results'!$S$103, "data missing"),
   IF(Calc!BC36=0,
     IF(OR('Waste results'!$S$67&lt;&gt;"data missing", 'Waste results'!$S$103&lt;&gt;"data missing"), Calc!BD36*'Waste results'!$S$67+Calc!BE36*'Waste results'!$S$103, "data missing"),
   IF(OR('Waste results'!$S$31&lt;&gt;"data missing", 'Waste results'!$S$67&lt;&gt;"data missing", 'Waste results'!$S$103&lt;&gt;"data missing"), Calc!BC36*'Waste results'!$S$31+Calc!BD36*'Waste results'!$S$67+ Calc!BE36*'Waste results'!$S$103, "data missing")))))))))))</f>
        <v/>
      </c>
      <c r="BQ38" s="239" t="str">
        <f ca="1">IF($B38="","",
IF(ISBLANK('Soil results'!Q41),"data missing",'Soil results'!Q41))</f>
        <v/>
      </c>
      <c r="BR38" s="239" t="str">
        <f t="shared" ca="1" si="16"/>
        <v/>
      </c>
      <c r="BS38" s="9" t="str">
        <f ca="1">IF(B38="","",
IF(BP38=0,"n/a",
IF(OR(BP38="data missing",BQ38=""),"data missing",
IF(BP38&gt;15,"application rate too high - permissible rate exceeds limit",
IF('Soil results'!F41&lt;=5.5,
  IF(BQ38&gt;200,"no application - soil conc. already above limit",
  IF(BR38&gt;200,"application rate too high - soil conc. will exceed limit",
  IF(BQ38&gt;200*0.9,"soil conc. is at or above 90% of the limit",
  IF(10*BP38*1000/3000+BQ38&gt;200,"soil limit likely to be exceeded in 10yrs",
  IF(50*BP38*1000/3000+BQ38&gt;200,"soil limit likely to be exceeded in 50yrs","ok"))))),
IF('Soil results'!F41&lt;=6,
  IF(BQ38&gt;250,"no application - soil conc. already above limit",
  IF(BR38&gt;250,"application rate too high - soil conc. will exceed limit",
  IF(BQ38&gt;250*0.9,"soil conc. is at or above 90% of the limit",
  IF(10*BP38*1000/3000+BQ38&gt;250,"soil limit likely to be exceeded in 10yrs",
  IF(50*BP38*1000/3000+BQ38&gt;250,"soil limit likely to be exceeded in 50yrs","ok"))))),
IF('Soil results'!F41&lt;=7,
  IF(BQ38&gt;300,"no application - soil conc. already above limit",
  IF(BR38&gt;300,"application rate too high - soil conc. will exceed limit",
  IF(BQ38&gt;300*0.9,"soil conc. is at or above 90% of the limit",
  IF(10*BP38*1000/3000+BQ38&gt;300,"soil limit likey to be exceeded in 10yrs",
  IF(50*BP38*1000/3000+BQ38&gt;300,"soil limit likely to be exceeded in 50yrs","ok"))))),
IF('Soil results'!F41&gt;7,
  IF(BQ38&gt;450,"no application - soil conc. already above limit",
  IF(BR38&gt;450,"application rate too high - soil conc. will exceed limit",
  IF(AW38&gt;450*0.9,"soil conc. is at or above 90% of the limit",
  IF(10*BP38*1000/3000+BQ38&gt;450,"soil limit likely to be exceeded in 10yrs",
  IF(50*BP38*1000/3000+BQ38&gt;450,"soil limit likely to be exceeded in 50yrs","ok")))))
))))))))</f>
        <v/>
      </c>
    </row>
    <row r="39" spans="2:71" s="9" customFormat="1" x14ac:dyDescent="0.35">
      <c r="B39" s="236" t="str">
        <f ca="1">'Soil results'!B42</f>
        <v/>
      </c>
      <c r="C39" s="91" t="str">
        <f ca="1">IF(B39="","",
IF(AND('Field information 2'!$O$5="", 'Field information 2'!$Q$5=""),
   IF('Waste results'!$S$12&lt;&gt;"data missing", Calc!BC37*'Waste results'!$S$12, "data missing"),
IF('Field information 2'!$Q$5="",
   IF(Calc!BD37=0,
     IF('Waste results'!$S$12&lt;&gt;"data missing", Calc!BC37*'Waste results'!$S$12, "data missing"),
   IF(Calc!BC37=0,
     IF('Waste results'!$S$48&lt;&gt;"data missing", Calc!BD37*'Waste results'!$S$48, "data missing"),
   IF(OR('Waste results'!$S$12&lt;&gt;"data missing", 'Waste results'!$S$48&lt;&gt;"data missing"), Calc!BC37*'Waste results'!$S$12+ Calc!BD37*'Waste results'!$S$48, "data missing"))),
IF(AND('Field information 2'!$M$5&lt;&gt;"", 'Field information 2'!$O$5&lt;&gt;"", 'Field information 2'!$Q$5&lt;&gt;""),
   IF(AND(Calc!BD37=0,Calc!BE37=0),
     IF('Waste results'!$S$12&lt;&gt;"data missing", Calc!BC37*'Waste results'!$S$12, "data missing"),
   IF(AND(Calc!BC37=0,Calc!BE37=0),
     IF('Waste results'!$S$48&lt;&gt;"data missing", Calc!BD37*'Waste results'!$S$48, "data missing"),
   IF(AND(Calc!BC37=0,Calc!BD37=0),
     IF('Waste results'!$S$84&lt;&gt;"data missing", Calc!BE37*'Waste results'!$S$84, "data missing"),
   IF(Calc!BE37=0,
     IF(OR('Waste results'!$S$12&lt;&gt;"data missing", 'Waste results'!$S$48&lt;&gt;"data missing"), Calc!BC37*'Waste results'!$S$12+ Calc!BD37*'Waste results'!$S$48, "data missing"),
   IF(Calc!BD37=0,
     IF(OR('Waste results'!$S$12&lt;&gt;"data missing", 'Waste results'!$S$84&lt;&gt;"data missing"), Calc!BC37*'Waste results'!$S$12+ Calc!BE37*'Waste results'!$S$84, "data missing"),
   IF(Calc!BC37=0,
     IF(OR('Waste results'!$S$48&lt;&gt;"data missing", 'Waste results'!$S$84&lt;&gt;"data missing"), Calc!BD37*'Waste results'!$S$48+Calc!BE37*'Waste results'!$S$84, "data missing"),
   IF(OR('Waste results'!$S$12&lt;&gt;"data missing", 'Waste results'!$S$48&lt;&gt;"data missing", 'Waste results'!$S$84&lt;&gt;"data missing"), Calc!BC37*'Waste results'!$S$12+Calc!BD37*'Waste results'!$S$48+ Calc!BE37*'Waste results'!$S$84, "data missing")))))))))))</f>
        <v/>
      </c>
      <c r="D39" s="161" t="str">
        <f ca="1">IF(B39="","",
IF(Calc!BG37="","soil texture missing",
IF(OR(Calc!BG37="SL; SZL; ZL",Calc!BG37="SCL; CL; ZCL; SC; ZC; C"),VLOOKUP(Calc!BI37,'Fertiliser recommendations'!$A$4:$C$63,3,FALSE),
IF(Calc!BG37="S; LS",VLOOKUP(Calc!BI37,'Fertiliser recommendations'!$A$4:$C$63,3,FALSE)+VLOOKUP(Calc!BI37,'Fertiliser recommendations'!$A$4:$D$63,4,FALSE),
IF(Calc!BG37="10-25% OM",VLOOKUP(Calc!BI37,'Fertiliser recommendations'!$A$4:$C$63,3,FALSE)+VLOOKUP(Calc!BI37,'Fertiliser recommendations'!$A$4:$E$63,5,FALSE),
IF(Calc!BG37="&gt;25% OM",VLOOKUP(Calc!BI37,'Fertiliser recommendations'!$A$4:$C$63,3,FALSE)+VLOOKUP(Calc!BI37,'Fertiliser recommendations'!$A$4:$F$63,6,FALSE),
""))))))</f>
        <v/>
      </c>
      <c r="E39" s="91" t="str">
        <f t="shared" ca="1" si="0"/>
        <v/>
      </c>
      <c r="F39" s="9" t="str">
        <f ca="1">IF(B39="","",
IF(OR(C39="data missing",D39="soil texture missing"),"data missing",
IF(Calc!BF37=0,"n/a",
IF(C39&lt;0.1*D39,"no benefit",
IF(C39&lt;0.3*D39,"limited benefit",
IF(C39&gt;250,"exceeds limit",
IF(OR(AND(D39=0,C39&gt;75),C39&gt;1.25*D39),"excessive",
IF(D39=0, "no requirement",
"benefit"))))))))</f>
        <v/>
      </c>
      <c r="H39" s="91" t="str">
        <f ca="1">IF(B39="","",
IF(AND('Field information 2'!$O$5="", 'Field information 2'!$Q$5=""),
   IF('Waste results'!$S$17&lt;&gt;"data missing", Calc!BC37*'Waste results'!$S$17, "data missing"),
IF('Field information 2'!$Q$5="",
   IF(Calc!BD37=0,
     IF('Waste results'!$S$17&lt;&gt;"data missing", Calc!BC37*'Waste results'!$S$17, "data missing"),
   IF(Calc!BC37=0,
     IF('Waste results'!$S$53&lt;&gt;"data missing", Calc!BD37*'Waste results'!$S$53, "data missing"),
   IF(OR('Waste results'!$S$17&lt;&gt;"data missing", 'Waste results'!$S$53&lt;&gt;"data missing"), Calc!BC37*'Waste results'!$S$17+ Calc!BD37*'Waste results'!$S$53, "data missing"))),
IF(AND('Field information 2'!$M$5&lt;&gt;"", 'Field information 2'!$O$5&lt;&gt;"", 'Field information 2'!$Q$5&lt;&gt;""),
   IF(AND(Calc!BD37=0,Calc!BE37=0),
     IF('Waste results'!$S$17&lt;&gt;"data missing", Calc!BC37*'Waste results'!$S$17, "data missing"),
   IF(AND(Calc!BC37=0,Calc!BE37=0),
     IF('Waste results'!$S$53&lt;&gt;"data missing", Calc!BD37*'Waste results'!$S$53, "data missing"),
   IF(AND(Calc!BC37=0,Calc!BD37=0),
     IF('Waste results'!$S$89&lt;&gt;"data missing", Calc!BE37*'Waste results'!$S$89, "data missing"),
   IF(Calc!BE37=0,
     IF(OR('Waste results'!$S$17&lt;&gt;"data missing", 'Waste results'!$S$53&lt;&gt;"data missing"), Calc!BC37*'Waste results'!$S$17+ Calc!BD37*'Waste results'!$S$53, "data missing"),
   IF(Calc!BD37=0,
     IF(OR('Waste results'!$S$17&lt;&gt;"data missing", 'Waste results'!$S$89&lt;&gt;"data missing"), Calc!BC37*'Waste results'!$S$17+ Calc!BE37*'Waste results'!$S$89, "data missing"),
   IF(Calc!BC37=0,
     IF(OR('Waste results'!$S$53&lt;&gt;"data missing", 'Waste results'!$S$89&lt;&gt;"data missing"), Calc!BD37*'Waste results'!$S$53+Calc!BE37*'Waste results'!$S$89, "data missing"),
   IF(OR('Waste results'!$S$17&lt;&gt;"data missing", 'Waste results'!$S$53&lt;&gt;"data missing", 'Waste results'!$S$89&lt;&gt;"data missing"), Calc!BC37*'Waste results'!$S$17+Calc!BD37*'Waste results'!$S$53+ Calc!BE37*'Waste results'!$S$89, "data missing")))))))))))</f>
        <v/>
      </c>
      <c r="I39" s="195" t="str">
        <f ca="1">IF(B39="","",
IF(OR(ISBLANK('Soil results'!G42), ISBLANK('Soil results'!G$7)),"data missing",
IF(OR(AND('Soil results'!G$7="Olsen (ADAS)",'Soil results'!G42&lt;16),AND('Soil results'!G$7="modified Morgan (SAC)",'Soil results'!G42&lt;4.5)),50,100)))</f>
        <v/>
      </c>
      <c r="J39" s="49" t="str">
        <f ca="1">IF(B39="","",
IF(OR(ISBLANK('Soil results'!G$7),ISBLANK('Soil results'!G42)),"data missing",
IF(OR(AND('Soil results'!G$7="Olsen (ADAS)",'Soil results'!G42&gt;45),AND('Soil results'!G$7="modified Morgan (SAC)",'Soil results'!G42&gt;30)),0,
IF(OR(AND('Soil results'!G$7="Olsen (ADAS)",'Soil results'!G42&gt;=16,'Soil results'!G42&lt;=20),AND('Soil results'!G$7="modified Morgan (SAC)",'Soil results'!G42&gt;=4.5,'Soil results'!G42&lt;=9.4)),VLOOKUP(Calc!BI37,'Fertiliser recommendations'!$A$4:$I$63,9,FALSE),
IF(OR(AND('Soil results'!G$7="Olsen (ADAS)",'Soil results'!G42&lt;10),AND('Soil results'!G$7="modified Morgan (SAC)",'Soil results'!G42&lt;1.8)),VLOOKUP(Calc!BI37,'Fertiliser recommendations'!$A$4:$I$63,9,FALSE)+VLOOKUP(Calc!BI37,'Fertiliser recommendations'!$A$4:$J$63,10,FALSE),
IF(OR(AND('Soil results'!G$7="Olsen (ADAS)",'Soil results'!G42&lt;16),AND('Soil results'!G$7="modified Morgan (SAC)",'Soil results'!G42&lt;4.5)),VLOOKUP(Calc!BI37,'Fertiliser recommendations'!$A$4:$I$63,9,FALSE)+VLOOKUP(Calc!BI37,'Fertiliser recommendations'!$A$4:$K$63,11,FALSE),
IF(OR(AND('Soil results'!G$7="Olsen (ADAS)",'Soil results'!G42&lt;26),AND('Soil results'!G$7="modified Morgan (SAC)",'Soil results'!G42&lt;13.5)),VLOOKUP(Calc!BI37,'Fertiliser recommendations'!$A$4:$I$63,9,FALSE)+VLOOKUP(Calc!BI37,'Fertiliser recommendations'!$A$4:$L$63,12,FALSE),
IF(OR(AND('Soil results'!G$7="Olsen (ADAS)",'Soil results'!G42&lt;=45),AND('Soil results'!G$7="modified Morgan (SAC)",'Soil results'!G42&lt;=30)),VLOOKUP(Calc!BI37,'Fertiliser recommendations'!$A$4:$I$63,9,FALSE)+VLOOKUP(Calc!BI37,'Fertiliser recommendations'!$A$4:$M$63,13,FALSE),
""))))))))</f>
        <v/>
      </c>
      <c r="K39" s="161" t="str">
        <f t="shared" ca="1" si="1"/>
        <v/>
      </c>
      <c r="L39" s="47" t="str">
        <f ca="1">IF(OR(ISBLANK('Soil results'!G$7),ISBLANK('Soil results'!G42),B39="", H39="data missing"),"",
IF('Soil results'!G$7="Olsen (ADAS)",
IF(((H39*Calc!BM37/2.291-(VLOOKUP(Calc!BI37,'Fertiliser recommendations'!$A$4:$I$63,9,FALSE))/2.291)*10/(400/2.291)+'Soil results'!G42)&lt;10,"0 (VL)",
IF(((H39*Calc!BM37/2.291-(VLOOKUP(Calc!BI37,'Fertiliser recommendations'!$A$4:$I$63,9,FALSE))/2.291)*10/(400/2.291)+'Soil results'!G42)&lt;16,"1 (L)",
IF(((H39*Calc!BM37/2.291-(VLOOKUP(Calc!BI37,'Fertiliser recommendations'!$A$4:$I$63,9,FALSE))/2.291)*10/(400/2.291)+'Soil results'!G42)&lt;21,"2 (M-)",
IF(((H39*Calc!BM37/2.291-(VLOOKUP(Calc!BI37,'Fertiliser recommendations'!$A$4:$I$63,9,FALSE))/2.291)*10/(400/2.291)+'Soil results'!G42)&lt;26,"2 (M+)",
IF(((H39*Calc!BM37/2.291-(VLOOKUP(Calc!BI37,'Fertiliser recommendations'!$A$4:$I$63,9,FALSE))/2.291)*10/(400/2.291)+'Soil results'!G42)&lt;45,"3 (H)","&gt;3 (VH)"))))),
IF('Soil results'!G$7="modified Morgan (SAC)",
IF('Soil results'!G42&gt;=6,
IF(((H39*Calc!BM37/2.291-(VLOOKUP(Calc!BI37,'Fertiliser recommendations'!$A$4:$I$63,9,FALSE))/2.291)*5/(147/2.291)+'Soil results'!G42)&lt;9.5,"2 (M-)",
IF(((H39*Calc!BM37/2.291-(VLOOKUP(Calc!BI37,'Fertiliser recommendations'!$A$4:$I$63,9,FALSE))/2.291)*5/(147/2.291)+'Soil results'!G42)&lt;13.5,"2 (M+)",
IF(((H39*Calc!BM37/2.291-(VLOOKUP(Calc!BI37,'Fertiliser recommendations'!$A$4:$I$63,9,FALSE))/2.291)*5/(147/2.291)+'Soil results'!G42)&lt;30,"3 (H)","4 (VH)"))),
IF(((H39*Calc!BM37/2.291-(VLOOKUP(Calc!BI37,'Fertiliser recommendations'!$A$4:$I$63,9,FALSE))/2.291)*5/(346/2.291)+'Soil results'!G42)&lt;1.8,"0 (VL)",
IF(((H39*Calc!BM37/2.291-(VLOOKUP(Calc!BI37,'Fertiliser recommendations'!$A$4:$I$63,9,FALSE))/2.291)*5/(147/2.291)+'Soil results'!G42)&lt;4.5,"1 (L)","2 (M-)"))))))</f>
        <v/>
      </c>
      <c r="M39" s="9" t="str">
        <f ca="1">IF(B39="","",
IF(OR(H39="data missing",I39="data missing",J39="data missing"),"data missing",
IF(Calc!BF37=0,"n/a",
IF(OR(AND('Soil results'!G$7="Olsen (ADAS)",'Soil results'!G42&gt;45),AND('Soil results'!G$7="modified Morgan (SAC)",'Soil results'!G42&gt;30)),
IF(H39&gt;2,"too high, not acceptable","no requirement"),IF(OR(AND('Soil results'!G$7="Olsen (ADAS)",'Soil results'!G42&gt;25),AND('Soil results'!G$7="modified Morgan (SAC)",'Soil results'!G42&gt;13.4)),
IF(H39*(I39/100)&lt;0.1*J39,"no benefit",
IF(H39*(I39/100)&lt;0.3*J39,"limited benefit",
IF(H39*(I39/100)&lt;1.1*J39,"benefit",
IF(H39*(I39/100)&lt;0.7*VLOOKUP(Calc!BI37,'Fertiliser recommendations'!$A$4:$I$63,9,FALSE),"excessive","too high, not acceptable")))),
IF(OR(AND('Soil results'!G$7="Olsen (ADAS)",'Soil results'!G42&gt;20),AND('Soil results'!G$7="modified Morgan (SAC)",'Soil results'!G42&gt;9.4)),
IF(H39*Calc!BM37*(I39/100)&lt;0.1*J39,"no benefit",
IF(H39*Calc!BM37*(I39/100)&lt;0.3*J39,"limited benefit",
IF(H39*Calc!BM37*(I39/100)&lt;1.1*J39,"benefit",
IF(L39="3 (H)","too high, not acceptable","excessive")))),
IF(OR(AND('Soil results'!G$7="Olsen (ADAS)",'Soil results'!G42&gt;15),AND('Soil results'!G$7="modified Morgan (SAC)",'Soil results'!G42&gt;4.4)),
IF(H39*Calc!BM37*(I39/100)&lt;0.1*VLOOKUP(Calc!BI37,'Fertiliser recommendations'!$A$4:$I$63,9,FALSE),"no benefit",
IF(H39*Calc!BM37*(I39/100)&lt;0.3*VLOOKUP(Calc!BI37,'Fertiliser recommendations'!$A$4:$I$63,9,FALSE),"limited benefit",
IF(H39*Calc!BM37*(I39/100)&lt;1.1*VLOOKUP(Calc!BI37,'Fertiliser recommendations'!$A$4:$I$63,9,FALSE),"benefit",
IF(L39="3 (H)", "too high, not acceptable", "excessive")))),
IF(OR(AND('Soil results'!G$7="Olsen (ADAS)",'Soil results'!G42&lt;=15),AND('Soil results'!G$7="modified Morgan (SAC)",'Soil results'!G42&lt;=4.4)),
IF(H39*Calc!BM37*(I39/100)&lt;0.1*VLOOKUP(Calc!BI37,'Fertiliser recommendations'!$A$4:$I$63,9,FALSE),"no benefit",
IF(H39*Calc!BM37*(I39/100)&lt;0.3*VLOOKUP(Calc!BI37,'Fertiliser recommendations'!$A$4:$I$63,9,FALSE),"limited benefit",
IF(H39*Calc!BM37*(I39/100)&lt;1.1*J39,"benefit","excessive")))))))))))</f>
        <v/>
      </c>
      <c r="O39" s="91" t="str">
        <f ca="1">IF(B39="","",
IF(AND('Field information 2'!$O$5="", 'Field information 2'!$Q$5=""),
   IF('Waste results'!$S$19&lt;&gt;"data missing", Calc!BC37*'Waste results'!$S$19, "data missing"),
IF('Field information 2'!$Q$5="",
   IF(Calc!BD37=0,
     IF('Waste results'!$S$19&lt;&gt;"data missing", Calc!BC37*'Waste results'!$S$19, "data missing"),
   IF(Calc!BC37=0,
     IF('Waste results'!$S$55&lt;&gt;"data missing", Calc!BD37*'Waste results'!$S$55, "data missing"),
   IF(OR('Waste results'!$S$19&lt;&gt;"data missing", 'Waste results'!$S$55&lt;&gt;"data missing"), Calc!BC37*'Waste results'!$S$19+ Calc!BD37*'Waste results'!$S$55, "data missing"))),
IF(AND('Field information 2'!$M$5&lt;&gt;"", 'Field information 2'!$O$5&lt;&gt;"", 'Field information 2'!$Q$5&lt;&gt;""),
   IF(AND(Calc!BD37=0,Calc!BE37=0),
     IF('Waste results'!$S$19&lt;&gt;"data missing", Calc!BC37*'Waste results'!$S$19, "data missing"),
   IF(AND(Calc!BC37=0,Calc!BE37=0),
     IF('Waste results'!$S$55&lt;&gt;"data missing", Calc!BD37*'Waste results'!$S$55, "data missing"),
   IF(AND(Calc!BC37=0,Calc!BD37=0),
     IF('Waste results'!$S$91&lt;&gt;"data missing", Calc!BE37*'Waste results'!$S$91, "data missing"),
   IF(Calc!BE37=0,
     IF(OR('Waste results'!$S$19&lt;&gt;"data missing", 'Waste results'!$S$55&lt;&gt;"data missing"), Calc!BC37*'Waste results'!$S$19+ Calc!BD37*'Waste results'!$S$55, "data missing"),
   IF(Calc!BD37=0,
     IF(OR('Waste results'!$S$19&lt;&gt;"data missing", 'Waste results'!$S$91&lt;&gt;"data missing"), Calc!BC37*'Waste results'!$S$19+ Calc!BE37*'Waste results'!$S$91, "data missing"),
   IF(Calc!BC37=0,
     IF(OR('Waste results'!$S$55&lt;&gt;"data missing", 'Waste results'!$S$91&lt;&gt;"data missing"), Calc!BD37*'Waste results'!$S$55+Calc!BE37*'Waste results'!$S$91, "data missing"),
   IF(OR('Waste results'!$S$19&lt;&gt;"data missing", 'Waste results'!$S$55&lt;&gt;"data missing", 'Waste results'!$S$91&lt;&gt;"data missing"), Calc!BC37*'Waste results'!$S$19+Calc!BD37*'Waste results'!$S$55+ Calc!BE37*'Waste results'!$S$91, "data missing")))))))))))</f>
        <v/>
      </c>
      <c r="P39" s="91" t="str">
        <f ca="1">IF(B39="","",
IF(OR(ISBLANK('Soil results'!H$7),ISBLANK('Soil results'!H42)),"data missing",
IF(OR(AND('Soil results'!H$7="ammonium nitrate (ADAS)",'Soil results'!H42&gt;400),AND('Soil results'!H$7="modified Morgan (SAC)",'Soil results'!H42&gt;400)),0,
IF(OR(AND('Soil results'!H$7="ammonium nitrate (ADAS)",'Soil results'!H42&gt;=121,'Soil results'!H42&lt;=180),AND('Soil results'!H$7="modified Morgan (SAC)",'Soil results'!H42&gt;=76,'Soil results'!H42&lt;=140)),VLOOKUP(Calc!BI37,'Fertiliser recommendations'!$A$4:$Z$63,26,FALSE),
IF(OR(AND('Soil results'!H$7="ammonium nitrate (ADAS)",'Soil results'!H42&lt;61),AND('Soil results'!H$7="modified Morgan (SAC)",'Soil results'!H42&lt;40)),VLOOKUP(Calc!BI37,'Fertiliser recommendations'!$A$4:$Z$63,26,FALSE)+VLOOKUP(Calc!BI37,'Fertiliser recommendations'!$A$4:$AA$63,27,FALSE),
IF(OR(AND('Soil results'!H$7="ammonium nitrate (ADAS)",'Soil results'!H42&lt;121),AND('Soil results'!H$7="modified Morgan (SAC)",'Soil results'!H42&lt;76)),VLOOKUP(Calc!BI37,'Fertiliser recommendations'!$A$4:$Z$63,26,FALSE)+VLOOKUP(Calc!BI37,'Fertiliser recommendations'!$A$4:$AB$63,28,FALSE),
IF(OR(AND('Soil results'!H$7="ammonium nitrate (ADAS)",'Soil results'!H42&lt;241),AND('Soil results'!H$7="modified Morgan (SAC)",'Soil results'!H42&lt;201)),VLOOKUP(Calc!BI37,'Fertiliser recommendations'!$A$4:$Z$63,26,FALSE)+VLOOKUP(Calc!BI37,'Fertiliser recommendations'!$A$4:$AC$63,29,FALSE),
IF(OR(AND('Soil results'!H$7="ammonium nitrate (ADAS)",'Soil results'!H42&lt;=400),AND('Soil results'!H$7="modified Morgan (SAC)",'Soil results'!H42&lt;=400)),VLOOKUP(Calc!BI37,'Fertiliser recommendations'!$A$4:$Z$63,26,FALSE)+VLOOKUP(Calc!BI37,'Fertiliser recommendations'!$A$4:$AD$63,30,FALSE),
"??"))))))))</f>
        <v/>
      </c>
      <c r="Q39" s="91" t="str">
        <f t="shared" ca="1" si="2"/>
        <v/>
      </c>
      <c r="R39" s="9" t="str">
        <f ca="1">IF(B39="","",
IF(OR(O39="data missing",P39="data missing"),"data missing",
IF(Calc!BF37=0,"n/a",
IF(P39=0, "no requirement",
IF(O39&lt;0.1*P39,"no benefit",
IF(O39&lt;0.3*P39,"limited benefit",
IF(O39&gt;1.25*P39,"excessive",
"benefit")))))))</f>
        <v/>
      </c>
      <c r="T39" s="91" t="str">
        <f ca="1">IF(B39="","",
IF(AND('Field information 2'!$O$5="", 'Field information 2'!$Q$5=""),
   IF('Waste results'!$S$21&lt;&gt;"data missing", Calc!BC37*'Waste results'!$S$21, "data missing"),
IF('Field information 2'!$Q$5="",
   IF(Calc!BD37=0,
     IF('Waste results'!$S$21&lt;&gt;"data missing", Calc!BC37*'Waste results'!$S$21, "data missing"),
   IF(Calc!BC37=0,
     IF('Waste results'!$S$57&lt;&gt;"data missing", Calc!BD37*'Waste results'!$S$57, "data missing"),
   IF(OR('Waste results'!$S$21&lt;&gt;"data missing", 'Waste results'!$S$57&lt;&gt;"data missing"), Calc!BC37*'Waste results'!$S$21+ Calc!BD37*'Waste results'!$S$57, "data missing"))),
IF(AND('Field information 2'!$M$5&lt;&gt;"", 'Field information 2'!$O$5&lt;&gt;"", 'Field information 2'!$Q$5&lt;&gt;""),
   IF(AND(Calc!BD37=0,Calc!BE37=0),
     IF('Waste results'!$S$21&lt;&gt;"data missing", Calc!BC37*'Waste results'!$S$21, "data missing"),
   IF(AND(Calc!BC37=0,Calc!BE37=0),
     IF('Waste results'!$S$57&lt;&gt;"data missing", Calc!BD37*'Waste results'!$S$57, "data missing"),
   IF(AND(Calc!BC37=0,Calc!BD37=0),
     IF('Waste results'!$S$93&lt;&gt;"data missing", Calc!BE37*'Waste results'!$S$93, "data missing"),
   IF(Calc!BE37=0,
     IF(OR('Waste results'!$S$21&lt;&gt;"data missing", 'Waste results'!$S$57&lt;&gt;"data missing"), Calc!BC37*'Waste results'!$S$21+ Calc!BD37*'Waste results'!$S$57, "data missing"),
   IF(Calc!BD37=0,
     IF(OR('Waste results'!$S$21&lt;&gt;"data missing", 'Waste results'!$S$93&lt;&gt;"data missing"), Calc!BC37*'Waste results'!$S$21+ Calc!BE37*'Waste results'!$S$93, "data missing"),
   IF(Calc!BC37=0,
     IF(OR('Waste results'!$S$57&lt;&gt;"data missing", 'Waste results'!$S$93&lt;&gt;"data missing"), Calc!BD37*'Waste results'!$S$57+Calc!BE37*'Waste results'!$S$93, "data missing"),
   IF(OR('Waste results'!$S$21&lt;&gt;"data missing", 'Waste results'!$S$57&lt;&gt;"data missing", 'Waste results'!$S$93&lt;&gt;"data missing"), Calc!BC37*'Waste results'!$S$21+Calc!BD37*'Waste results'!$S$57+ Calc!BE37*'Waste results'!$S$93, "data missing")))))))))))</f>
        <v/>
      </c>
      <c r="U39" s="7" t="str">
        <f ca="1">IF(B39="","",
IF(OR(ISBLANK('Soil results'!I$7),ISBLANK('Soil results'!I42)),"data missing",
IF(OR(AND('Soil results'!I$7="ammonium nitrate (ADAS)",'Soil results'!I42&gt;51),AND('Soil results'!I$7="modified Morgan (SAC)",'Soil results'!I42&gt;61)),0,
IF(OR(AND('Soil results'!I$7="ammonium nitrate (ADAS)",'Soil results'!I42&lt;25),AND('Soil results'!I$7="modified Morgan (SAC)",'Soil results'!I42&lt;19)),VLOOKUP(Calc!BI37,'Fertiliser recommendations'!$A$4:$AH$63,34,FALSE),
IF(OR(AND('Soil results'!I$7="ammonium nitrate (ADAS)",'Soil results'!I42&lt;=51),AND('Soil results'!I$7="modified Morgan (SAC)",'Soil results'!I42&lt;=61)),VLOOKUP(Calc!BI37,'Fertiliser recommendations'!$A$4:$AI$63,35,FALSE),
"")))))</f>
        <v/>
      </c>
      <c r="V39" s="91" t="str">
        <f t="shared" ca="1" si="3"/>
        <v/>
      </c>
      <c r="W39" s="9" t="str">
        <f ca="1">IF(B39="","",
IF(OR(T39="data missing",U39="data missing"),"data missing",
IF(Calc!BF37=0,"n/a",
IF(U39=0,"no requirement",
IF(T39&lt;0.1*U39,"no benefit",
IF(T39&lt;0.3*U39,"limited benefit",
IF(OR(T39&gt;1.5*U39,AND(Calc!BJ37="g",T39&gt;100)),"excessive",
"benefit")))))))</f>
        <v/>
      </c>
      <c r="Y39" s="91" t="str">
        <f ca="1">IF(B39="","",
IF(AND('Field information 2'!$O$5="", 'Field information 2'!$Q$5=""),
   IF('Waste results'!$P$23&lt;&gt;"", Calc!BC37*'Waste results'!$P$23, "no data"),
IF('Field information 2'!$Q$5="",
   IF(Calc!BD37=0,
     IF('Waste results'!$P$23&lt;&gt;"", Calc!BC37*'Waste results'!$P$23, "no data"),
   IF(Calc!BC37=0,
     IF('Waste results'!$P$59&lt;&gt;"", Calc!BD37*'Waste results'!$P$59, "no data"),
   IF(OR('Waste results'!$P$23&lt;&gt;"", 'Waste results'!$P$59&lt;&gt;""), Calc!BC37*'Waste results'!$P$23+ Calc!BD37*'Waste results'!$P$59, "no data"))),
IF(AND('Field information 2'!$M$5&lt;&gt;"", 'Field information 2'!$O$5&lt;&gt;"", 'Field information 2'!$Q$5&lt;&gt;""),
   IF(AND(Calc!BD37=0,Calc!BE37=0),
     IF('Waste results'!$P$23&lt;&gt;"", Calc!BC37*'Waste results'!$P$23, "no data"),
   IF(AND(Calc!BC37=0,Calc!BE37=0),
     IF('Waste results'!$P$59&lt;&gt;"", Calc!BD37*'Waste results'!$P$59, "no data"),
   IF(AND(Calc!BC37=0,Calc!BD37=0),
     IF('Waste results'!$P$95&lt;&gt;"", Calc!BE37*'Waste results'!$P$95, "no data"),
   IF(Calc!BE37=0,
     IF(OR('Waste results'!$P$23&lt;&gt;"", 'Waste results'!$P$59&lt;&gt;""), Calc!BC37*'Waste results'!$P$23+ Calc!BD37*'Waste results'!$P$59, "no data"),
   IF(Calc!BD37=0,
     IF(OR('Waste results'!$P$23&lt;&gt;"", 'Waste results'!$P$95&lt;&gt;""), Calc!BC37*'Waste results'!$P$23+ Calc!BE37*'Waste results'!$P$95, "no data"),
   IF(Calc!BC37=0,
     IF(OR('Waste results'!$P$59&lt;&gt;"", 'Waste results'!$P$95&lt;&gt;""), Calc!BD37*'Waste results'!$P$59+Calc!BE37*'Waste results'!$P$95, "no data"),
   IF(OR('Waste results'!$P$23&lt;&gt;"", 'Waste results'!$P$59&lt;&gt;"", 'Waste results'!$P$95&lt;&gt;""), Calc!BC37*'Waste results'!$P$23+Calc!BD37*'Waste results'!$P$59+ Calc!BE37*'Waste results'!$P$95, "no data")))))))))))</f>
        <v/>
      </c>
      <c r="Z39" s="7" t="str">
        <f ca="1">IF(OR(ISBLANK('Soil results'!I$7),ISBLANK('Soil results'!I42),'Soil results'!B42=""),"",
VLOOKUP(Calc!BI37,'Fertiliser recommendations'!$A$4:$AM$63,39,FALSE))</f>
        <v/>
      </c>
      <c r="AA39" s="91" t="str">
        <f t="shared" ca="1" si="4"/>
        <v/>
      </c>
      <c r="AB39" s="9" t="str">
        <f t="shared" ca="1" si="5"/>
        <v/>
      </c>
      <c r="AD39" s="48" t="str">
        <f>IF(ISBLANK('Soil results'!F42),"",'Soil results'!F42)</f>
        <v/>
      </c>
      <c r="AE39" s="49" t="str">
        <f ca="1">IF(B39="","",
IF(AND(Calc!BJ37="g", VLOOKUP(LEFT($B39,LEN($B39)-2),'Field information 2'!$B$12:$P$111,9,FALSE)&lt;&gt;"yes"),
 IF(Calc!BG37="10-25% OM", 5.9, IF(Calc!BG37="&gt;25% OM", 5.5, 6.2)),
IF(OR(Calc!BJ37="a", VLOOKUP(LEFT($B39,LEN($B39)-2),'Field information 2'!$B$12:$P$111,9,FALSE)="yes"),
 IF(Calc!BG37="10-25% OM", 6.4, IF(Calc!BG37="&gt;25% OM", 6, 6.7)), "")))</f>
        <v/>
      </c>
      <c r="AF39" s="91" t="str">
        <f ca="1">IF(B39="","",
IF('Waste results'!$Q$33="","no (significant) liming properties",
IF('Waste results'!Q$33&gt;100,"no (significant) liming properties",
IF(AD39="","",
IF(AD39&gt;=AE39,0,ROUNDDOWN((AE39-AD39)*Calc!BK37*'Waste results'!$Q$33+0.2,0))))))</f>
        <v/>
      </c>
      <c r="AG39" s="9" t="str">
        <f ca="1">IF(B39="","",
IF(T39=0,"n/a",
IF(AD39="","data missing",
IF(AND(AD39&lt;5,AF39="no (significant) liming properties"),"no waste application - pH too low",
IF(AND(AD39&gt;5.1,AF39="no (significant) liming properties",Calc!BH37&gt;25, LEFT(Calc!BI37,4)="graz"),"ok",
IF(AND(AD39&lt;=5.2,AF39="no (significant) liming properties"),"liming highly recommended",
IF(AF39=0,"no waste application - liming not required",
IF(AF39&lt;Calc!BC37,"application rate too high - exceeds liming requirement",
"ok"))))))))</f>
        <v/>
      </c>
      <c r="AI39" s="91" t="str">
        <f ca="1">IF(B39="","",
IF(AND('Field information 2'!$O$5="", 'Field information 2'!$Q$5=""),
   IF('Waste results'!$P$10&lt;&gt;"data missing", Calc!BC37*'Waste results'!$P$10, "data missing"),
IF('Field information 2'!$Q$5="",
   IF(Calc!BD37=0,
     IF('Waste results'!$P$10&lt;&gt;"data missing", Calc!BC37*'Waste results'!$P$10, "data missing"),
   IF(Calc!BC37=0,
     IF('Waste results'!$P$45&lt;&gt;"data missing", Calc!BD37*'Waste results'!$P$45, "data missing"),
   IF(OR('Waste results'!$P$10&lt;&gt;"data missing", 'Waste results'!$P$45&lt;&gt;"data missing"), Calc!BC37*'Waste results'!$P$10+ Calc!BD37*'Waste results'!$P$45, "data missing"))),
IF(AND('Field information 2'!$M$5&lt;&gt;"", 'Field information 2'!$O$5&lt;&gt;"", 'Field information 2'!$Q$5&lt;&gt;""),
   IF(AND(Calc!BD37=0,Calc!BE37=0),
     IF('Waste results'!$P$10&lt;&gt;"data missing", Calc!BC37*'Waste results'!$P$10, "data missing"),
   IF(AND(Calc!BC37=0,Calc!BE37=0),
     IF('Waste results'!$P$45&lt;&gt;"data missing", Calc!BD37*'Waste results'!$P$45, "data missing"),
   IF(AND(Calc!BC37=0,Calc!BD37=0),
     IF('Waste results'!$P$82&lt;&gt;"data missing", Calc!BE37*'Waste results'!$P$82, "data missing"),
   IF(Calc!BE37=0,
     IF(OR('Waste results'!$P$10&lt;&gt;"data missing", 'Waste results'!$P$45&lt;&gt;"data missing"), Calc!BC37*'Waste results'!$P$10+ Calc!BD37*'Waste results'!$P$45, "data missing"),
   IF(Calc!BD37=0,
     IF(OR('Waste results'!$P$10&lt;&gt;"data missing", 'Waste results'!$P$82&lt;&gt;"data missing"), Calc!BC37*'Waste results'!$P$10+ Calc!BE37*'Waste results'!$P$82, "data missing"),
   IF(Calc!BC37=0,
     IF(OR('Waste results'!$P$45&lt;&gt;"data missing", 'Waste results'!$P$82&lt;&gt;"data missing"), Calc!BD37*'Waste results'!$P$45+Calc!BE37*'Waste results'!$P$82, "data missing"),
   IF(OR('Waste results'!$P$10&lt;&gt;"data missing", 'Waste results'!$P$45&lt;&gt;"data missing", 'Waste results'!$P$82&lt;&gt;"data missing"), Calc!BC37*'Waste results'!$P$10+Calc!BD37*'Waste results'!$P$45+ Calc!BE37*'Waste results'!$P$82, "data missing")))))))))))</f>
        <v/>
      </c>
      <c r="AJ39" s="237" t="str">
        <f ca="1">IF(B39="","",
IF(AI39="data missing","data missing",
IF(Calc!BF37=0,"n/a",
IF(AND(Calc!BH37&gt;=8,AI39&lt;500),"no benefit",
IF(OR(AND(Calc!BH37&lt;=4,AI39&gt;=500),AND(Calc!BH37&lt;8,AI39&gt;5000)),"benefit",
"limited benefit")))))</f>
        <v/>
      </c>
      <c r="AL39" s="238" t="str">
        <f ca="1">IF(B39="","",
IF(AND('Field information 2'!$O$5="", 'Field information 2'!$Q$5=""),
   IF('Waste results'!$S$25&lt;&gt;"data missing", Calc!BC37*'Waste results'!$S$25, "data missing"),
IF('Field information 2'!$Q$5="",
   IF(Calc!BD37=0,
     IF('Waste results'!$S$25&lt;&gt;"data missing", Calc!BC37*'Waste results'!$S$25, "data missing"),
   IF(Calc!BC37=0,
     IF('Waste results'!$S$61&lt;&gt;"data missing", Calc!BD37*'Waste results'!$S$61, "data missing"),
   IF(OR('Waste results'!$S$25&lt;&gt;"data missing", 'Waste results'!$S$61&lt;&gt;"data missing"), Calc!BC37*'Waste results'!$S$25+ Calc!BD37*'Waste results'!$S$61, "data missing"))),
IF(AND('Field information 2'!$M$5&lt;&gt;"", 'Field information 2'!$O$5&lt;&gt;"", 'Field information 2'!$Q$5&lt;&gt;""),
   IF(AND(Calc!BD37=0,Calc!BE37=0),
     IF('Waste results'!$S$25&lt;&gt;"data missing", Calc!BC37*'Waste results'!$S$25, "data missing"),
   IF(AND(Calc!BC37=0,Calc!BE37=0),
     IF('Waste results'!$S$61&lt;&gt;"data missing", Calc!BD37*'Waste results'!$S$61, "data missing"),
   IF(AND(Calc!BC37=0,Calc!BD37=0),
     IF('Waste results'!$S$97&lt;&gt;"data missing", Calc!BE37*'Waste results'!$S$97, "data missing"),
   IF(Calc!BE37=0,
     IF(OR('Waste results'!$S$25&lt;&gt;"data missing", 'Waste results'!$S$61&lt;&gt;"data missing"), Calc!BC37*'Waste results'!$S$25+ Calc!BD37*'Waste results'!$S$61, "data missing"),
   IF(Calc!BD37=0,
     IF(OR('Waste results'!$S$25&lt;&gt;"data missing", 'Waste results'!$S$97&lt;&gt;"data missing"), Calc!BC37*'Waste results'!$S$25+ Calc!BE37*'Waste results'!$S$97, "data missing"),
   IF(Calc!BC37=0,
     IF(OR('Waste results'!$S$61&lt;&gt;"data missing", 'Waste results'!$S$97&lt;&gt;"data missing"), Calc!BD37*'Waste results'!$S$61+Calc!BE37*'Waste results'!$S$97, "data missing"),
   IF(OR('Waste results'!$S$25&lt;&gt;"data missing", 'Waste results'!$S$61&lt;&gt;"data missing", 'Waste results'!$S$97&lt;&gt;"data missing"), Calc!BC37*'Waste results'!$S$25+Calc!BD37*'Waste results'!$S$61+ Calc!BE37*'Waste results'!$S$97, "data missing")))))))))))</f>
        <v/>
      </c>
      <c r="AM39" s="239" t="str">
        <f ca="1">IF($B39="","",
IF(ISBLANK('Soil results'!K42),"data missing",'Soil results'!K42))</f>
        <v/>
      </c>
      <c r="AN39" s="239" t="str">
        <f t="shared" ca="1" si="6"/>
        <v/>
      </c>
      <c r="AO39" s="9" t="str">
        <f t="shared" ca="1" si="7"/>
        <v/>
      </c>
      <c r="AQ39" s="240" t="str">
        <f ca="1">IF(B39="","",
IF(AND('Field information 2'!$O$5="", 'Field information 2'!$Q$5=""),
   IF('Waste results'!$S$26&lt;&gt;"data missing", Calc!BC37*'Waste results'!$S$26, "data missing"),
IF('Field information 2'!$Q$5="",
   IF(Calc!BD37=0,
     IF('Waste results'!$S$26&lt;&gt;"data missing", Calc!BC37*'Waste results'!$S$26, "data missing"),
   IF(Calc!BC37=0,
     IF('Waste results'!$S$62&lt;&gt;"data missing", Calc!BD37*'Waste results'!$S$62, "data missing"),
   IF(OR('Waste results'!$S$26&lt;&gt;"data missing", 'Waste results'!$S$62&lt;&gt;"data missing"), Calc!BC37*'Waste results'!$S$26+ Calc!BD37*'Waste results'!$S$62, "data missing"))),
IF(AND('Field information 2'!$M$5&lt;&gt;"", 'Field information 2'!$O$5&lt;&gt;"", 'Field information 2'!$Q$5&lt;&gt;""),
   IF(AND(Calc!BD37=0,Calc!BE37=0),
     IF('Waste results'!$S$26&lt;&gt;"data missing", Calc!BC37*'Waste results'!$S$26, "data missing"),
   IF(AND(Calc!BC37=0,Calc!BE37=0),
     IF('Waste results'!$S$62&lt;&gt;"data missing", Calc!BD37*'Waste results'!$S$62, "data missing"),
   IF(AND(Calc!BC37=0,Calc!BD37=0),
     IF('Waste results'!$S$98&lt;&gt;"data missing", Calc!BE37*'Waste results'!$S$98, "data missing"),
   IF(Calc!BE37=0,
     IF(OR('Waste results'!$S$26&lt;&gt;"data missing", 'Waste results'!$S$62&lt;&gt;"data missing"), Calc!BC37*'Waste results'!$S$26+ Calc!BD37*'Waste results'!$S$62, "data missing"),
   IF(Calc!BD37=0,
     IF(OR('Waste results'!$S$26&lt;&gt;"data missing", 'Waste results'!$S$98&lt;&gt;"data missing"), Calc!BC37*'Waste results'!$S$26+ Calc!BE37*'Waste results'!$S$98, "data missing"),
   IF(Calc!BC37=0,
     IF(OR('Waste results'!$S$62&lt;&gt;"data missing", 'Waste results'!$S$98&lt;&gt;"data missing"), Calc!BD37*'Waste results'!$S$62+Calc!BE37*'Waste results'!$S$98, "data missing"),
   IF(OR('Waste results'!$S$26&lt;&gt;"data missing", 'Waste results'!$S$62&lt;&gt;"data missing", 'Waste results'!$S$98&lt;&gt;"data missing"), Calc!BC37*'Waste results'!$S$26+Calc!BD37*'Waste results'!$S$62+ Calc!BE37*'Waste results'!$S$98, "data missing")))))))))))</f>
        <v/>
      </c>
      <c r="AR39" s="241" t="str">
        <f ca="1">IF($B39="","",
IF(ISBLANK('Soil results'!L42),"data missing",'Soil results'!L42))</f>
        <v/>
      </c>
      <c r="AS39" s="241" t="str">
        <f t="shared" ca="1" si="8"/>
        <v/>
      </c>
      <c r="AT39" s="66" t="str">
        <f t="shared" ca="1" si="9"/>
        <v/>
      </c>
      <c r="AV39" s="238" t="str">
        <f ca="1">IF(B39="","",
IF(AND('Field information 2'!$O$5="", 'Field information 2'!$Q$5=""),
   IF('Waste results'!$S$27&lt;&gt;"data missing", Calc!BC37*'Waste results'!$S$27, "data missing"),
IF('Field information 2'!$Q$5="",
   IF(Calc!BD37=0,
     IF('Waste results'!$S$27&lt;&gt;"data missing", Calc!BC37*'Waste results'!$S$27, "data missing"),
   IF(Calc!BC37=0,
     IF('Waste results'!$S$63&lt;&gt;"data missing", Calc!BD37*'Waste results'!$S$63, "data missing"),
   IF(OR('Waste results'!$S$27&lt;&gt;"data missing", 'Waste results'!$S$63&lt;&gt;"data missing"), Calc!BC37*'Waste results'!$S$27+ Calc!BD37*'Waste results'!$S$63, "data missing"))),
IF(AND('Field information 2'!$M$5&lt;&gt;"", 'Field information 2'!$O$5&lt;&gt;"", 'Field information 2'!$Q$5&lt;&gt;""),
   IF(AND(Calc!BD37=0,Calc!BE37=0),
     IF('Waste results'!$S$27&lt;&gt;"data missing", Calc!BC37*'Waste results'!$S$27, "data missing"),
   IF(AND(Calc!BC37=0,Calc!BE37=0),
     IF('Waste results'!$S$63&lt;&gt;"data missing", Calc!BD37*'Waste results'!$S$63, "data missing"),
   IF(AND(Calc!BC37=0,Calc!BD37=0),
     IF('Waste results'!$S$99&lt;&gt;"data missing", Calc!BE37*'Waste results'!$S$99, "data missing"),
   IF(Calc!BE37=0,
     IF(OR('Waste results'!$S$27&lt;&gt;"data missing", 'Waste results'!$S$63&lt;&gt;"data missing"), Calc!BC37*'Waste results'!$S$27+ Calc!BD37*'Waste results'!$S$63, "data missing"),
   IF(Calc!BD37=0,
     IF(OR('Waste results'!$S$27&lt;&gt;"data missing", 'Waste results'!$S$99&lt;&gt;"data missing"), Calc!BC37*'Waste results'!$S$27+ Calc!BE37*'Waste results'!$S$99, "data missing"),
   IF(Calc!BC37=0,
     IF(OR('Waste results'!$S$63&lt;&gt;"data missing", 'Waste results'!$S$99&lt;&gt;"data missing"), Calc!BD37*'Waste results'!$S$63+Calc!BE37*'Waste results'!$S$99, "data missing"),
   IF(OR('Waste results'!$S$27&lt;&gt;"data missing", 'Waste results'!$S$63&lt;&gt;"data missing", 'Waste results'!$S$99&lt;&gt;"data missing"), Calc!BC37*'Waste results'!$S$27+Calc!BD37*'Waste results'!$S$63+ Calc!BE37*'Waste results'!$S$99, "data missing")))))))))))</f>
        <v/>
      </c>
      <c r="AW39" s="239" t="str">
        <f ca="1">IF($B39="","",
IF(ISBLANK('Soil results'!M42),"data missing",'Soil results'!M42))</f>
        <v/>
      </c>
      <c r="AX39" s="239" t="str">
        <f t="shared" ca="1" si="10"/>
        <v/>
      </c>
      <c r="AY39" s="9" t="str">
        <f ca="1">IF(B39="","",
IF(AV39=0,"n/a",
IF(OR(AV39="data missing",AW39="data missing"),"data missing",
IF(AV39&gt;7.5,"application rate too high - permissible rate exceeds limit",
IF('Soil results'!$F42&lt;=5.5,
  IF(AW39&gt;80,"no application - soil conc. already above limit",
  IF(AX39&gt;80,"application rate too high - soil conc. will exceed limit",
  IF(AW39&gt;80*0.9,"soil conc. is at or above 90% of the limit",
  IF(10*AV39*1000/3000+AW39&gt;80,"soil limit likely to be exceeded in 10yrs",
  IF(50*AV39*1000/3000+AW39&gt;80,"soil limit likely to be exceeded in 50yrs","ok"))))),
IF('Soil results'!$F42&lt;=6,
  IF(AW39&gt;100,"no application - soil conc. already above limit",
  IF(AX39&gt;100,"application rate too high - soil conc. will exceed limit",
  IF(AW39&gt;100*0.9,"soil conc. is at or above 90% of the limit",
  IF(10*AV39*1000/3000+AW39&gt;100,"soil limit likely to be exceeded in 10yrs",
  IF(50*AV39*1000/3000+AW39&gt;100,"soil limit likely to be exceeded in 50yrs","ok"))))),
IF('Soil results'!$F42&lt;=7,
  IF(AW39&gt;135,"no application - soil conc. already above limit",
  IF(AX39&gt;135,"application rate too high - soil conc. will exceed limit",
  IF(AW39&gt;135*0.9,"soil conc. is at or above 90% of the limit",
  IF(10*AV39*1000/3000+AW39&gt;135,"soil limit likely to be exceeded in 10yrs",
  IF(50*AV39*1000/3000+AW39&gt;135,"soil limit likely to be exceeded in 50yrs","ok"))))),
IF('Soil results'!$F42&gt;7,
  IF(AW39&gt;200,"no application - soil conc. already above limit",
  IF(AX39&gt;200,"application too high - soil conc. will exceed limit",
  IF(AW39&gt;200*0.9,"soil conc. is at or above 90% of the limit",
  IF(10*AV39*1000/3000+AW39&gt;200,"soil limit likely to be exceeded in 10yrs",
  IF(50*AV39*1000/3000+AW39&gt;200,"soil limit likely to be exceeded in 50yrs","ok")))))
))))))))</f>
        <v/>
      </c>
      <c r="BA39" s="238" t="str">
        <f ca="1">IF(B39="","",
IF(AND('Field information 2'!$O$5="", 'Field information 2'!$Q$5=""),
   IF('Waste results'!$S$28&lt;&gt;"data missing", Calc!BC37*'Waste results'!$S$28, "data missing"),
IF('Field information 2'!$Q$5="",
   IF(Calc!BD37=0,
     IF('Waste results'!$S$28&lt;&gt;"data missing", Calc!BC37*'Waste results'!$S$28, "data missing"),
   IF(Calc!BC37=0,
     IF('Waste results'!$S$64&lt;&gt;"data missing", Calc!BD37*'Waste results'!$S$64, "data missing"),
   IF(OR('Waste results'!$S$28&lt;&gt;"data missing", 'Waste results'!$S$64&lt;&gt;"data missing"), Calc!BC37*'Waste results'!$S$28+ Calc!BD37*'Waste results'!$S$64, "data missing"))),
IF(AND('Field information 2'!$M$5&lt;&gt;"", 'Field information 2'!$O$5&lt;&gt;"", 'Field information 2'!$Q$5&lt;&gt;""),
   IF(AND(Calc!BD37=0,Calc!BE37=0),
     IF('Waste results'!$S$28&lt;&gt;"data missing", Calc!BC37*'Waste results'!$S$28, "data missing"),
   IF(AND(Calc!BC37=0,Calc!BE37=0),
     IF('Waste results'!$S$64&lt;&gt;"data missing", Calc!BD37*'Waste results'!$S$64, "data missing"),
   IF(AND(Calc!BC37=0,Calc!BD37=0),
     IF('Waste results'!$S$100&lt;&gt;"data missing", Calc!BE37*'Waste results'!$S$100, "data missing"),
   IF(Calc!BE37=0,
     IF(OR('Waste results'!$S$28&lt;&gt;"data missing", 'Waste results'!$S$64&lt;&gt;"data missing"), Calc!BC37*'Waste results'!$S$28+ Calc!BD37*'Waste results'!$S$64, "data missing"),
   IF(Calc!BD37=0,
     IF(OR('Waste results'!$S$28&lt;&gt;"data missing", 'Waste results'!$S$100&lt;&gt;"data missing"), Calc!BC37*'Waste results'!$S$28+ Calc!BE37*'Waste results'!$S$100, "data missing"),
   IF(Calc!BC37=0,
     IF(OR('Waste results'!$S$64&lt;&gt;"data missing", 'Waste results'!$S$100&lt;&gt;"data missing"), Calc!BD37*'Waste results'!$S$64+Calc!BE37*'Waste results'!$S$100, "data missing"),
   IF(OR('Waste results'!$S$28&lt;&gt;"data missing", 'Waste results'!$S$64&lt;&gt;"data missing", 'Waste results'!$S$100&lt;&gt;"data missing"), Calc!BC37*'Waste results'!$S$28+Calc!BD37*'Waste results'!$S$64+ Calc!BE37*'Waste results'!$S$100, "data missing")))))))))))</f>
        <v/>
      </c>
      <c r="BB39" s="239" t="str">
        <f ca="1">IF($B39="","",
IF(ISBLANK('Soil results'!N42),"data missing",'Soil results'!N42))</f>
        <v/>
      </c>
      <c r="BC39" s="239" t="str">
        <f t="shared" ca="1" si="11"/>
        <v/>
      </c>
      <c r="BD39" s="9" t="str">
        <f t="shared" ca="1" si="12"/>
        <v/>
      </c>
      <c r="BF39" s="238" t="str">
        <f ca="1">IF(B39="","",
IF(AND('Field information 2'!$O$5="", 'Field information 2'!$Q$5=""),
   IF('Waste results'!$S$29&lt;&gt;"data missing", Calc!BC37*'Waste results'!$S$29, "data missing"),
IF('Field information 2'!$Q$5="",
   IF(Calc!BD37=0,
     IF('Waste results'!$S$29&lt;&gt;"data missing", Calc!BC37*'Waste results'!$S$29, "data missing"),
   IF(Calc!BC37=0,
     IF('Waste results'!$S$65&lt;&gt;"data missing", Calc!BD37*'Waste results'!$S$65, "data missing"),
   IF(OR('Waste results'!$S$29&lt;&gt;"data missing", 'Waste results'!$S$65&lt;&gt;"data missing"), Calc!BC37*'Waste results'!$S$29+ Calc!BD37*'Waste results'!$S$65, "data missing"))),
IF(AND('Field information 2'!$M$5&lt;&gt;"", 'Field information 2'!$O$5&lt;&gt;"", 'Field information 2'!$Q$5&lt;&gt;""),
   IF(AND(Calc!BD37=0,Calc!BE37=0),
     IF('Waste results'!$S$29&lt;&gt;"data missing", Calc!BC37*'Waste results'!$S$29, "data missing"),
   IF(AND(Calc!BC37=0,Calc!BE37=0),
     IF('Waste results'!$S$65&lt;&gt;"data missing", Calc!BD37*'Waste results'!$S$65, "data missing"),
   IF(AND(Calc!BC37=0,Calc!BD37=0),
     IF('Waste results'!$S$101&lt;&gt;"data missing", Calc!BE37*'Waste results'!$S$101, "data missing"),
   IF(Calc!BE37=0,
     IF(OR('Waste results'!$S$29&lt;&gt;"data missing", 'Waste results'!$S$65&lt;&gt;"data missing"), Calc!BC37*'Waste results'!$S$29+ Calc!BD37*'Waste results'!$S$65, "data missing"),
   IF(Calc!BD37=0,
     IF(OR('Waste results'!$S$29&lt;&gt;"data missing", 'Waste results'!$S$101&lt;&gt;"data missing"), Calc!BC37*'Waste results'!$S$29+ Calc!BE37*'Waste results'!$S$101, "data missing"),
   IF(Calc!BC37=0,
     IF(OR('Waste results'!$S$65&lt;&gt;"data missing", 'Waste results'!$S$101&lt;&gt;"data missing"), Calc!BD37*'Waste results'!$S$65+Calc!BE37*'Waste results'!$S$101, "data missing"),
   IF(OR('Waste results'!$S$29&lt;&gt;"data missing", 'Waste results'!$S$65&lt;&gt;"data missing", 'Waste results'!$S$101&lt;&gt;"data missing"), Calc!BC37*'Waste results'!$S$29+Calc!BD37*'Waste results'!$S$65+ Calc!BE37*'Waste results'!$S$101, "data missing")))))))))))</f>
        <v/>
      </c>
      <c r="BG39" s="239" t="str">
        <f ca="1">IF($B39="","",
IF(ISBLANK('Soil results'!O42),"data missing",'Soil results'!O42))</f>
        <v/>
      </c>
      <c r="BH39" s="239" t="str">
        <f t="shared" ca="1" si="13"/>
        <v/>
      </c>
      <c r="BI39" s="9" t="str">
        <f ca="1">IF(B39="","",
IF(BF39=0,"n/a",
IF(OR(BF39="data missing",BG39="data missing"),"data missing",
IF(BF39&gt;3,"application rate too high - permissible rate exceeds limit",
IF('Soil results'!F42&lt;=5.5,
  IF(BG39&gt;50,"no application - soil conc. already above limit",
  IF(BH39&gt;50,"application rate too high - soil conc. will exceed limit",
  IF(BG39&gt;50*0.9,"soil conc. is at or above 90% of the limit",
  IF(10*BF39*1000/3000+BG39&gt;50,"soil limit likely to be exceeded in 10yrs",
  IF(50*BF39*1000/3000+BG39&gt;50,"soil limit likely to be exceeded in 50yrs","ok"))))),
IF('Soil results'!F42&lt;=6,
  IF(BG39&gt;60,"no application - soil conc. already above limit",
  IF(BH39&gt;60,"application rate too high - soil conc. will exceed limit",
  IF(BG39&gt;60*0.9,"soil conc. is at or above 90% of the limit",
  IF(10*BF39*1000/3000+BG39&gt;60,"soil limit likely to be exceeded in 10yrs",
  IF(50*BF39*1000/3000+BG39&gt;60,"soil limit likely to be exceeded in 50yrs","ok"))))),
IF('Soil results'!F42&lt;=7,
  IF(BG39&gt;75,"no application - soil conc. already above limit",
  IF(BH39&gt;75,"application rate too high - soil conc. will exceed limit",
  IF(BG39&gt;75*0.9,"soil conc. is at or above 90% of the limit",
  IF(10*BF39*1000/3000+BG39&gt;75,"soil limit likely to be exceeded in 10yrs",
  IF(50*BF39*1000/3000+BG39&gt;75,"soil limit likely to be exceeded in 50yrs","ok"))))),
IF('Soil results'!F42&gt;7,
  IF(BG39&gt;100,"no application - soil conc. already above limit",
  IF(BH39&gt;100,"application rate too high - soil conc. will exceed limit",
  IF(BG39&gt;100*0.9,"soil conc. is at or above 90% of the limit",
  IF(10*BF39*1000/3000+BG39&gt;100,"soil limit likely to be exceeded in 10yrs",
  IF(50*BF39*1000/3000+BG39&gt;100,"soil limit likely to beexceeded in 50yrs","ok")))))
))))))))</f>
        <v/>
      </c>
      <c r="BK39" s="240" t="str">
        <f ca="1">IF(B39="","",
IF(AND('Field information 2'!$O$5="", 'Field information 2'!$Q$5=""),
   IF('Waste results'!$S$30&lt;&gt;"data missing", Calc!BC37*'Waste results'!$S$30, "data missing"),
IF('Field information 2'!$Q$5="",
   IF(Calc!BD37=0,
     IF('Waste results'!$S$30&lt;&gt;"data missing", Calc!BC37*'Waste results'!$S$30, "data missing"),
   IF(Calc!BC37=0,
     IF('Waste results'!$S$66&lt;&gt;"data missing", Calc!BD37*'Waste results'!$S$66, "data missing"),
   IF(OR('Waste results'!$S$30&lt;&gt;"data missing", 'Waste results'!$S$66&lt;&gt;"data missing"), Calc!BC37*'Waste results'!$S$30+ Calc!BD37*'Waste results'!$S$66, "data missing"))),
IF(AND('Field information 2'!$M$5&lt;&gt;"", 'Field information 2'!$O$5&lt;&gt;"", 'Field information 2'!$Q$5&lt;&gt;""),
   IF(AND(Calc!BD37=0,Calc!BE37=0),
     IF('Waste results'!$S$30&lt;&gt;"data missing", Calc!BC37*'Waste results'!$S$30, "data missing"),
   IF(AND(Calc!BC37=0,Calc!BE37=0),
     IF('Waste results'!$S$66&lt;&gt;"data missing", Calc!BD37*'Waste results'!$S$66, "data missing"),
   IF(AND(Calc!BC37=0,Calc!BD37=0),
     IF('Waste results'!$S$102&lt;&gt;"data missing", Calc!BE37*'Waste results'!$S$102, "data missing"),
   IF(Calc!BE37=0,
     IF(OR('Waste results'!$S$30&lt;&gt;"data missing", 'Waste results'!$S$66&lt;&gt;"data missing"), Calc!BC37*'Waste results'!$S$30+ Calc!BD37*'Waste results'!$S$66, "data missing"),
   IF(Calc!BD37=0,
     IF(OR('Waste results'!$S$30&lt;&gt;"data missing", 'Waste results'!$S$102&lt;&gt;"data missing"), Calc!BC37*'Waste results'!$S$30+ Calc!BE37*'Waste results'!$S$102, "data missing"),
   IF(Calc!BC37=0,
     IF(OR('Waste results'!$S$66&lt;&gt;"data missing", 'Waste results'!$S$102&lt;&gt;"data missing"), Calc!BD37*'Waste results'!$S$66+Calc!BE37*'Waste results'!$S$102, "data missing"),
   IF(OR('Waste results'!$S$30&lt;&gt;"data missing", 'Waste results'!$S$66&lt;&gt;"data missing", 'Waste results'!$S$102&lt;&gt;"data missing"), Calc!BC37*'Waste results'!$S$30+Calc!BD37*'Waste results'!$S$66+ Calc!BE37*'Waste results'!$S$102, "data missing")))))))))))</f>
        <v/>
      </c>
      <c r="BL39" s="241" t="str">
        <f ca="1">IF($B39="","",
IF(ISBLANK('Soil results'!P42),"data missing",'Soil results'!P42))</f>
        <v/>
      </c>
      <c r="BM39" s="241" t="str">
        <f t="shared" ca="1" si="14"/>
        <v/>
      </c>
      <c r="BN39" s="66" t="str">
        <f t="shared" ca="1" si="15"/>
        <v/>
      </c>
      <c r="BP39" s="238" t="str">
        <f ca="1">IF(B39="","",
IF(AND('Field information 2'!$O$5="", 'Field information 2'!$Q$5=""),
   IF('Waste results'!$S$31&lt;&gt;"data missing", Calc!BC37*'Waste results'!$S$31, "data missing"),
IF('Field information 2'!$Q$5="",
   IF(Calc!BD37=0,
     IF('Waste results'!$S$31&lt;&gt;"data missing", Calc!BC37*'Waste results'!$S$31, "data missing"),
   IF(Calc!BC37=0,
     IF('Waste results'!$S$67&lt;&gt;"data missing", Calc!BD37*'Waste results'!$S$67, "data missing"),
   IF(OR('Waste results'!$S$31&lt;&gt;"data missing", 'Waste results'!$S$67&lt;&gt;"data missing"), Calc!BC37*'Waste results'!$S$31+ Calc!BD37*'Waste results'!$S$67, "data missing"))),
IF(AND('Field information 2'!$M$5&lt;&gt;"", 'Field information 2'!$O$5&lt;&gt;"", 'Field information 2'!$Q$5&lt;&gt;""),
   IF(AND(Calc!BD37=0,Calc!BE37=0),
     IF('Waste results'!$S$31&lt;&gt;"data missing", Calc!BC37*'Waste results'!$S$31, "data missing"),
   IF(AND(Calc!BC37=0,Calc!BE37=0),
     IF('Waste results'!$S$67&lt;&gt;"data missing", Calc!BD37*'Waste results'!$S$67, "data missing"),
   IF(AND(Calc!BC37=0,Calc!BD37=0),
     IF('Waste results'!$S$103&lt;&gt;"data missing", Calc!BE37*'Waste results'!$S$103, "data missing"),
   IF(Calc!BE37=0,
     IF(OR('Waste results'!$S$31&lt;&gt;"data missing", 'Waste results'!$S$67&lt;&gt;"data missing"), Calc!BC37*'Waste results'!$S$31+ Calc!BD37*'Waste results'!$S$67, "data missing"),
   IF(Calc!BD37=0,
     IF(OR('Waste results'!$S$31&lt;&gt;"data missing", 'Waste results'!$S$103&lt;&gt;"data missing"), Calc!BC37*'Waste results'!$S$31+ Calc!BE37*'Waste results'!$S$103, "data missing"),
   IF(Calc!BC37=0,
     IF(OR('Waste results'!$S$67&lt;&gt;"data missing", 'Waste results'!$S$103&lt;&gt;"data missing"), Calc!BD37*'Waste results'!$S$67+Calc!BE37*'Waste results'!$S$103, "data missing"),
   IF(OR('Waste results'!$S$31&lt;&gt;"data missing", 'Waste results'!$S$67&lt;&gt;"data missing", 'Waste results'!$S$103&lt;&gt;"data missing"), Calc!BC37*'Waste results'!$S$31+Calc!BD37*'Waste results'!$S$67+ Calc!BE37*'Waste results'!$S$103, "data missing")))))))))))</f>
        <v/>
      </c>
      <c r="BQ39" s="239" t="str">
        <f ca="1">IF($B39="","",
IF(ISBLANK('Soil results'!Q42),"data missing",'Soil results'!Q42))</f>
        <v/>
      </c>
      <c r="BR39" s="239" t="str">
        <f t="shared" ca="1" si="16"/>
        <v/>
      </c>
      <c r="BS39" s="9" t="str">
        <f ca="1">IF(B39="","",
IF(BP39=0,"n/a",
IF(OR(BP39="data missing",BQ39=""),"data missing",
IF(BP39&gt;15,"application rate too high - permissible rate exceeds limit",
IF('Soil results'!F42&lt;=5.5,
  IF(BQ39&gt;200,"no application - soil conc. already above limit",
  IF(BR39&gt;200,"application rate too high - soil conc. will exceed limit",
  IF(BQ39&gt;200*0.9,"soil conc. is at or above 90% of the limit",
  IF(10*BP39*1000/3000+BQ39&gt;200,"soil limit likely to be exceeded in 10yrs",
  IF(50*BP39*1000/3000+BQ39&gt;200,"soil limit likely to be exceeded in 50yrs","ok"))))),
IF('Soil results'!F42&lt;=6,
  IF(BQ39&gt;250,"no application - soil conc. already above limit",
  IF(BR39&gt;250,"application rate too high - soil conc. will exceed limit",
  IF(BQ39&gt;250*0.9,"soil conc. is at or above 90% of the limit",
  IF(10*BP39*1000/3000+BQ39&gt;250,"soil limit likely to be exceeded in 10yrs",
  IF(50*BP39*1000/3000+BQ39&gt;250,"soil limit likely to be exceeded in 50yrs","ok"))))),
IF('Soil results'!F42&lt;=7,
  IF(BQ39&gt;300,"no application - soil conc. already above limit",
  IF(BR39&gt;300,"application rate too high - soil conc. will exceed limit",
  IF(BQ39&gt;300*0.9,"soil conc. is at or above 90% of the limit",
  IF(10*BP39*1000/3000+BQ39&gt;300,"soil limit likey to be exceeded in 10yrs",
  IF(50*BP39*1000/3000+BQ39&gt;300,"soil limit likely to be exceeded in 50yrs","ok"))))),
IF('Soil results'!F42&gt;7,
  IF(BQ39&gt;450,"no application - soil conc. already above limit",
  IF(BR39&gt;450,"application rate too high - soil conc. will exceed limit",
  IF(AW39&gt;450*0.9,"soil conc. is at or above 90% of the limit",
  IF(10*BP39*1000/3000+BQ39&gt;450,"soil limit likely to be exceeded in 10yrs",
  IF(50*BP39*1000/3000+BQ39&gt;450,"soil limit likely to be exceeded in 50yrs","ok")))))
))))))))</f>
        <v/>
      </c>
    </row>
    <row r="40" spans="2:71" s="9" customFormat="1" ht="15" x14ac:dyDescent="0.25">
      <c r="B40" s="236" t="str">
        <f ca="1">'Soil results'!B43</f>
        <v/>
      </c>
      <c r="C40" s="91" t="str">
        <f ca="1">IF(B40="","",
IF(AND('Field information 2'!$O$5="", 'Field information 2'!$Q$5=""),
   IF('Waste results'!$S$12&lt;&gt;"data missing", Calc!BC38*'Waste results'!$S$12, "data missing"),
IF('Field information 2'!$Q$5="",
   IF(Calc!BD38=0,
     IF('Waste results'!$S$12&lt;&gt;"data missing", Calc!BC38*'Waste results'!$S$12, "data missing"),
   IF(Calc!BC38=0,
     IF('Waste results'!$S$48&lt;&gt;"data missing", Calc!BD38*'Waste results'!$S$48, "data missing"),
   IF(OR('Waste results'!$S$12&lt;&gt;"data missing", 'Waste results'!$S$48&lt;&gt;"data missing"), Calc!BC38*'Waste results'!$S$12+ Calc!BD38*'Waste results'!$S$48, "data missing"))),
IF(AND('Field information 2'!$M$5&lt;&gt;"", 'Field information 2'!$O$5&lt;&gt;"", 'Field information 2'!$Q$5&lt;&gt;""),
   IF(AND(Calc!BD38=0,Calc!BE38=0),
     IF('Waste results'!$S$12&lt;&gt;"data missing", Calc!BC38*'Waste results'!$S$12, "data missing"),
   IF(AND(Calc!BC38=0,Calc!BE38=0),
     IF('Waste results'!$S$48&lt;&gt;"data missing", Calc!BD38*'Waste results'!$S$48, "data missing"),
   IF(AND(Calc!BC38=0,Calc!BD38=0),
     IF('Waste results'!$S$84&lt;&gt;"data missing", Calc!BE38*'Waste results'!$S$84, "data missing"),
   IF(Calc!BE38=0,
     IF(OR('Waste results'!$S$12&lt;&gt;"data missing", 'Waste results'!$S$48&lt;&gt;"data missing"), Calc!BC38*'Waste results'!$S$12+ Calc!BD38*'Waste results'!$S$48, "data missing"),
   IF(Calc!BD38=0,
     IF(OR('Waste results'!$S$12&lt;&gt;"data missing", 'Waste results'!$S$84&lt;&gt;"data missing"), Calc!BC38*'Waste results'!$S$12+ Calc!BE38*'Waste results'!$S$84, "data missing"),
   IF(Calc!BC38=0,
     IF(OR('Waste results'!$S$48&lt;&gt;"data missing", 'Waste results'!$S$84&lt;&gt;"data missing"), Calc!BD38*'Waste results'!$S$48+Calc!BE38*'Waste results'!$S$84, "data missing"),
   IF(OR('Waste results'!$S$12&lt;&gt;"data missing", 'Waste results'!$S$48&lt;&gt;"data missing", 'Waste results'!$S$84&lt;&gt;"data missing"), Calc!BC38*'Waste results'!$S$12+Calc!BD38*'Waste results'!$S$48+ Calc!BE38*'Waste results'!$S$84, "data missing")))))))))))</f>
        <v/>
      </c>
      <c r="D40" s="161" t="str">
        <f ca="1">IF(B40="","",
IF(Calc!BG38="","soil texture missing",
IF(OR(Calc!BG38="SL; SZL; ZL",Calc!BG38="SCL; CL; ZCL; SC; ZC; C"),VLOOKUP(Calc!BI38,'Fertiliser recommendations'!$A$4:$C$63,3,FALSE),
IF(Calc!BG38="S; LS",VLOOKUP(Calc!BI38,'Fertiliser recommendations'!$A$4:$C$63,3,FALSE)+VLOOKUP(Calc!BI38,'Fertiliser recommendations'!$A$4:$D$63,4,FALSE),
IF(Calc!BG38="10-25% OM",VLOOKUP(Calc!BI38,'Fertiliser recommendations'!$A$4:$C$63,3,FALSE)+VLOOKUP(Calc!BI38,'Fertiliser recommendations'!$A$4:$E$63,5,FALSE),
IF(Calc!BG38="&gt;25% OM",VLOOKUP(Calc!BI38,'Fertiliser recommendations'!$A$4:$C$63,3,FALSE)+VLOOKUP(Calc!BI38,'Fertiliser recommendations'!$A$4:$F$63,6,FALSE),
""))))))</f>
        <v/>
      </c>
      <c r="E40" s="91" t="str">
        <f t="shared" ca="1" si="0"/>
        <v/>
      </c>
      <c r="F40" s="9" t="str">
        <f ca="1">IF(B40="","",
IF(OR(C40="data missing",D40="soil texture missing"),"data missing",
IF(Calc!BF38=0,"n/a",
IF(C40&lt;0.1*D40,"no benefit",
IF(C40&lt;0.3*D40,"limited benefit",
IF(C40&gt;250,"exceeds limit",
IF(OR(AND(D40=0,C40&gt;75),C40&gt;1.25*D40),"excessive",
IF(D40=0, "no requirement",
"benefit"))))))))</f>
        <v/>
      </c>
      <c r="H40" s="91" t="str">
        <f ca="1">IF(B40="","",
IF(AND('Field information 2'!$O$5="", 'Field information 2'!$Q$5=""),
   IF('Waste results'!$S$17&lt;&gt;"data missing", Calc!BC38*'Waste results'!$S$17, "data missing"),
IF('Field information 2'!$Q$5="",
   IF(Calc!BD38=0,
     IF('Waste results'!$S$17&lt;&gt;"data missing", Calc!BC38*'Waste results'!$S$17, "data missing"),
   IF(Calc!BC38=0,
     IF('Waste results'!$S$53&lt;&gt;"data missing", Calc!BD38*'Waste results'!$S$53, "data missing"),
   IF(OR('Waste results'!$S$17&lt;&gt;"data missing", 'Waste results'!$S$53&lt;&gt;"data missing"), Calc!BC38*'Waste results'!$S$17+ Calc!BD38*'Waste results'!$S$53, "data missing"))),
IF(AND('Field information 2'!$M$5&lt;&gt;"", 'Field information 2'!$O$5&lt;&gt;"", 'Field information 2'!$Q$5&lt;&gt;""),
   IF(AND(Calc!BD38=0,Calc!BE38=0),
     IF('Waste results'!$S$17&lt;&gt;"data missing", Calc!BC38*'Waste results'!$S$17, "data missing"),
   IF(AND(Calc!BC38=0,Calc!BE38=0),
     IF('Waste results'!$S$53&lt;&gt;"data missing", Calc!BD38*'Waste results'!$S$53, "data missing"),
   IF(AND(Calc!BC38=0,Calc!BD38=0),
     IF('Waste results'!$S$89&lt;&gt;"data missing", Calc!BE38*'Waste results'!$S$89, "data missing"),
   IF(Calc!BE38=0,
     IF(OR('Waste results'!$S$17&lt;&gt;"data missing", 'Waste results'!$S$53&lt;&gt;"data missing"), Calc!BC38*'Waste results'!$S$17+ Calc!BD38*'Waste results'!$S$53, "data missing"),
   IF(Calc!BD38=0,
     IF(OR('Waste results'!$S$17&lt;&gt;"data missing", 'Waste results'!$S$89&lt;&gt;"data missing"), Calc!BC38*'Waste results'!$S$17+ Calc!BE38*'Waste results'!$S$89, "data missing"),
   IF(Calc!BC38=0,
     IF(OR('Waste results'!$S$53&lt;&gt;"data missing", 'Waste results'!$S$89&lt;&gt;"data missing"), Calc!BD38*'Waste results'!$S$53+Calc!BE38*'Waste results'!$S$89, "data missing"),
   IF(OR('Waste results'!$S$17&lt;&gt;"data missing", 'Waste results'!$S$53&lt;&gt;"data missing", 'Waste results'!$S$89&lt;&gt;"data missing"), Calc!BC38*'Waste results'!$S$17+Calc!BD38*'Waste results'!$S$53+ Calc!BE38*'Waste results'!$S$89, "data missing")))))))))))</f>
        <v/>
      </c>
      <c r="I40" s="195" t="str">
        <f ca="1">IF(B40="","",
IF(OR(ISBLANK('Soil results'!G43), ISBLANK('Soil results'!G$7)),"data missing",
IF(OR(AND('Soil results'!G$7="Olsen (ADAS)",'Soil results'!G43&lt;16),AND('Soil results'!G$7="modified Morgan (SAC)",'Soil results'!G43&lt;4.5)),50,100)))</f>
        <v/>
      </c>
      <c r="J40" s="49" t="str">
        <f ca="1">IF(B40="","",
IF(OR(ISBLANK('Soil results'!G$7),ISBLANK('Soil results'!G43)),"data missing",
IF(OR(AND('Soil results'!G$7="Olsen (ADAS)",'Soil results'!G43&gt;45),AND('Soil results'!G$7="modified Morgan (SAC)",'Soil results'!G43&gt;30)),0,
IF(OR(AND('Soil results'!G$7="Olsen (ADAS)",'Soil results'!G43&gt;=16,'Soil results'!G43&lt;=20),AND('Soil results'!G$7="modified Morgan (SAC)",'Soil results'!G43&gt;=4.5,'Soil results'!G43&lt;=9.4)),VLOOKUP(Calc!BI38,'Fertiliser recommendations'!$A$4:$I$63,9,FALSE),
IF(OR(AND('Soil results'!G$7="Olsen (ADAS)",'Soil results'!G43&lt;10),AND('Soil results'!G$7="modified Morgan (SAC)",'Soil results'!G43&lt;1.8)),VLOOKUP(Calc!BI38,'Fertiliser recommendations'!$A$4:$I$63,9,FALSE)+VLOOKUP(Calc!BI38,'Fertiliser recommendations'!$A$4:$J$63,10,FALSE),
IF(OR(AND('Soil results'!G$7="Olsen (ADAS)",'Soil results'!G43&lt;16),AND('Soil results'!G$7="modified Morgan (SAC)",'Soil results'!G43&lt;4.5)),VLOOKUP(Calc!BI38,'Fertiliser recommendations'!$A$4:$I$63,9,FALSE)+VLOOKUP(Calc!BI38,'Fertiliser recommendations'!$A$4:$K$63,11,FALSE),
IF(OR(AND('Soil results'!G$7="Olsen (ADAS)",'Soil results'!G43&lt;26),AND('Soil results'!G$7="modified Morgan (SAC)",'Soil results'!G43&lt;13.5)),VLOOKUP(Calc!BI38,'Fertiliser recommendations'!$A$4:$I$63,9,FALSE)+VLOOKUP(Calc!BI38,'Fertiliser recommendations'!$A$4:$L$63,12,FALSE),
IF(OR(AND('Soil results'!G$7="Olsen (ADAS)",'Soil results'!G43&lt;=45),AND('Soil results'!G$7="modified Morgan (SAC)",'Soil results'!G43&lt;=30)),VLOOKUP(Calc!BI38,'Fertiliser recommendations'!$A$4:$I$63,9,FALSE)+VLOOKUP(Calc!BI38,'Fertiliser recommendations'!$A$4:$M$63,13,FALSE),
""))))))))</f>
        <v/>
      </c>
      <c r="K40" s="161" t="str">
        <f t="shared" ca="1" si="1"/>
        <v/>
      </c>
      <c r="L40" s="47" t="str">
        <f ca="1">IF(OR(ISBLANK('Soil results'!G$7),ISBLANK('Soil results'!G43),B40="", H40="data missing"),"",
IF('Soil results'!G$7="Olsen (ADAS)",
IF(((H40*Calc!BM38/2.291-(VLOOKUP(Calc!BI38,'Fertiliser recommendations'!$A$4:$I$63,9,FALSE))/2.291)*10/(400/2.291)+'Soil results'!G43)&lt;10,"0 (VL)",
IF(((H40*Calc!BM38/2.291-(VLOOKUP(Calc!BI38,'Fertiliser recommendations'!$A$4:$I$63,9,FALSE))/2.291)*10/(400/2.291)+'Soil results'!G43)&lt;16,"1 (L)",
IF(((H40*Calc!BM38/2.291-(VLOOKUP(Calc!BI38,'Fertiliser recommendations'!$A$4:$I$63,9,FALSE))/2.291)*10/(400/2.291)+'Soil results'!G43)&lt;21,"2 (M-)",
IF(((H40*Calc!BM38/2.291-(VLOOKUP(Calc!BI38,'Fertiliser recommendations'!$A$4:$I$63,9,FALSE))/2.291)*10/(400/2.291)+'Soil results'!G43)&lt;26,"2 (M+)",
IF(((H40*Calc!BM38/2.291-(VLOOKUP(Calc!BI38,'Fertiliser recommendations'!$A$4:$I$63,9,FALSE))/2.291)*10/(400/2.291)+'Soil results'!G43)&lt;45,"3 (H)","&gt;3 (VH)"))))),
IF('Soil results'!G$7="modified Morgan (SAC)",
IF('Soil results'!G43&gt;=6,
IF(((H40*Calc!BM38/2.291-(VLOOKUP(Calc!BI38,'Fertiliser recommendations'!$A$4:$I$63,9,FALSE))/2.291)*5/(147/2.291)+'Soil results'!G43)&lt;9.5,"2 (M-)",
IF(((H40*Calc!BM38/2.291-(VLOOKUP(Calc!BI38,'Fertiliser recommendations'!$A$4:$I$63,9,FALSE))/2.291)*5/(147/2.291)+'Soil results'!G43)&lt;13.5,"2 (M+)",
IF(((H40*Calc!BM38/2.291-(VLOOKUP(Calc!BI38,'Fertiliser recommendations'!$A$4:$I$63,9,FALSE))/2.291)*5/(147/2.291)+'Soil results'!G43)&lt;30,"3 (H)","4 (VH)"))),
IF(((H40*Calc!BM38/2.291-(VLOOKUP(Calc!BI38,'Fertiliser recommendations'!$A$4:$I$63,9,FALSE))/2.291)*5/(346/2.291)+'Soil results'!G43)&lt;1.8,"0 (VL)",
IF(((H40*Calc!BM38/2.291-(VLOOKUP(Calc!BI38,'Fertiliser recommendations'!$A$4:$I$63,9,FALSE))/2.291)*5/(147/2.291)+'Soil results'!G43)&lt;4.5,"1 (L)","2 (M-)"))))))</f>
        <v/>
      </c>
      <c r="M40" s="9" t="str">
        <f ca="1">IF(B40="","",
IF(OR(H40="data missing",I40="data missing",J40="data missing"),"data missing",
IF(Calc!BF38=0,"n/a",
IF(OR(AND('Soil results'!G$7="Olsen (ADAS)",'Soil results'!G43&gt;45),AND('Soil results'!G$7="modified Morgan (SAC)",'Soil results'!G43&gt;30)),
IF(H40&gt;2,"too high, not acceptable","no requirement"),IF(OR(AND('Soil results'!G$7="Olsen (ADAS)",'Soil results'!G43&gt;25),AND('Soil results'!G$7="modified Morgan (SAC)",'Soil results'!G43&gt;13.4)),
IF(H40*(I40/100)&lt;0.1*J40,"no benefit",
IF(H40*(I40/100)&lt;0.3*J40,"limited benefit",
IF(H40*(I40/100)&lt;1.1*J40,"benefit",
IF(H40*(I40/100)&lt;0.7*VLOOKUP(Calc!BI38,'Fertiliser recommendations'!$A$4:$I$63,9,FALSE),"excessive","too high, not acceptable")))),
IF(OR(AND('Soil results'!G$7="Olsen (ADAS)",'Soil results'!G43&gt;20),AND('Soil results'!G$7="modified Morgan (SAC)",'Soil results'!G43&gt;9.4)),
IF(H40*Calc!BM38*(I40/100)&lt;0.1*J40,"no benefit",
IF(H40*Calc!BM38*(I40/100)&lt;0.3*J40,"limited benefit",
IF(H40*Calc!BM38*(I40/100)&lt;1.1*J40,"benefit",
IF(L40="3 (H)","too high, not acceptable","excessive")))),
IF(OR(AND('Soil results'!G$7="Olsen (ADAS)",'Soil results'!G43&gt;15),AND('Soil results'!G$7="modified Morgan (SAC)",'Soil results'!G43&gt;4.4)),
IF(H40*Calc!BM38*(I40/100)&lt;0.1*VLOOKUP(Calc!BI38,'Fertiliser recommendations'!$A$4:$I$63,9,FALSE),"no benefit",
IF(H40*Calc!BM38*(I40/100)&lt;0.3*VLOOKUP(Calc!BI38,'Fertiliser recommendations'!$A$4:$I$63,9,FALSE),"limited benefit",
IF(H40*Calc!BM38*(I40/100)&lt;1.1*VLOOKUP(Calc!BI38,'Fertiliser recommendations'!$A$4:$I$63,9,FALSE),"benefit",
IF(L40="3 (H)", "too high, not acceptable", "excessive")))),
IF(OR(AND('Soil results'!G$7="Olsen (ADAS)",'Soil results'!G43&lt;=15),AND('Soil results'!G$7="modified Morgan (SAC)",'Soil results'!G43&lt;=4.4)),
IF(H40*Calc!BM38*(I40/100)&lt;0.1*VLOOKUP(Calc!BI38,'Fertiliser recommendations'!$A$4:$I$63,9,FALSE),"no benefit",
IF(H40*Calc!BM38*(I40/100)&lt;0.3*VLOOKUP(Calc!BI38,'Fertiliser recommendations'!$A$4:$I$63,9,FALSE),"limited benefit",
IF(H40*Calc!BM38*(I40/100)&lt;1.1*J40,"benefit","excessive")))))))))))</f>
        <v/>
      </c>
      <c r="O40" s="91" t="str">
        <f ca="1">IF(B40="","",
IF(AND('Field information 2'!$O$5="", 'Field information 2'!$Q$5=""),
   IF('Waste results'!$S$19&lt;&gt;"data missing", Calc!BC38*'Waste results'!$S$19, "data missing"),
IF('Field information 2'!$Q$5="",
   IF(Calc!BD38=0,
     IF('Waste results'!$S$19&lt;&gt;"data missing", Calc!BC38*'Waste results'!$S$19, "data missing"),
   IF(Calc!BC38=0,
     IF('Waste results'!$S$55&lt;&gt;"data missing", Calc!BD38*'Waste results'!$S$55, "data missing"),
   IF(OR('Waste results'!$S$19&lt;&gt;"data missing", 'Waste results'!$S$55&lt;&gt;"data missing"), Calc!BC38*'Waste results'!$S$19+ Calc!BD38*'Waste results'!$S$55, "data missing"))),
IF(AND('Field information 2'!$M$5&lt;&gt;"", 'Field information 2'!$O$5&lt;&gt;"", 'Field information 2'!$Q$5&lt;&gt;""),
   IF(AND(Calc!BD38=0,Calc!BE38=0),
     IF('Waste results'!$S$19&lt;&gt;"data missing", Calc!BC38*'Waste results'!$S$19, "data missing"),
   IF(AND(Calc!BC38=0,Calc!BE38=0),
     IF('Waste results'!$S$55&lt;&gt;"data missing", Calc!BD38*'Waste results'!$S$55, "data missing"),
   IF(AND(Calc!BC38=0,Calc!BD38=0),
     IF('Waste results'!$S$91&lt;&gt;"data missing", Calc!BE38*'Waste results'!$S$91, "data missing"),
   IF(Calc!BE38=0,
     IF(OR('Waste results'!$S$19&lt;&gt;"data missing", 'Waste results'!$S$55&lt;&gt;"data missing"), Calc!BC38*'Waste results'!$S$19+ Calc!BD38*'Waste results'!$S$55, "data missing"),
   IF(Calc!BD38=0,
     IF(OR('Waste results'!$S$19&lt;&gt;"data missing", 'Waste results'!$S$91&lt;&gt;"data missing"), Calc!BC38*'Waste results'!$S$19+ Calc!BE38*'Waste results'!$S$91, "data missing"),
   IF(Calc!BC38=0,
     IF(OR('Waste results'!$S$55&lt;&gt;"data missing", 'Waste results'!$S$91&lt;&gt;"data missing"), Calc!BD38*'Waste results'!$S$55+Calc!BE38*'Waste results'!$S$91, "data missing"),
   IF(OR('Waste results'!$S$19&lt;&gt;"data missing", 'Waste results'!$S$55&lt;&gt;"data missing", 'Waste results'!$S$91&lt;&gt;"data missing"), Calc!BC38*'Waste results'!$S$19+Calc!BD38*'Waste results'!$S$55+ Calc!BE38*'Waste results'!$S$91, "data missing")))))))))))</f>
        <v/>
      </c>
      <c r="P40" s="91" t="str">
        <f ca="1">IF(B40="","",
IF(OR(ISBLANK('Soil results'!H$7),ISBLANK('Soil results'!H43)),"data missing",
IF(OR(AND('Soil results'!H$7="ammonium nitrate (ADAS)",'Soil results'!H43&gt;400),AND('Soil results'!H$7="modified Morgan (SAC)",'Soil results'!H43&gt;400)),0,
IF(OR(AND('Soil results'!H$7="ammonium nitrate (ADAS)",'Soil results'!H43&gt;=121,'Soil results'!H43&lt;=180),AND('Soil results'!H$7="modified Morgan (SAC)",'Soil results'!H43&gt;=76,'Soil results'!H43&lt;=140)),VLOOKUP(Calc!BI38,'Fertiliser recommendations'!$A$4:$Z$63,26,FALSE),
IF(OR(AND('Soil results'!H$7="ammonium nitrate (ADAS)",'Soil results'!H43&lt;61),AND('Soil results'!H$7="modified Morgan (SAC)",'Soil results'!H43&lt;40)),VLOOKUP(Calc!BI38,'Fertiliser recommendations'!$A$4:$Z$63,26,FALSE)+VLOOKUP(Calc!BI38,'Fertiliser recommendations'!$A$4:$AA$63,27,FALSE),
IF(OR(AND('Soil results'!H$7="ammonium nitrate (ADAS)",'Soil results'!H43&lt;121),AND('Soil results'!H$7="modified Morgan (SAC)",'Soil results'!H43&lt;76)),VLOOKUP(Calc!BI38,'Fertiliser recommendations'!$A$4:$Z$63,26,FALSE)+VLOOKUP(Calc!BI38,'Fertiliser recommendations'!$A$4:$AB$63,28,FALSE),
IF(OR(AND('Soil results'!H$7="ammonium nitrate (ADAS)",'Soil results'!H43&lt;241),AND('Soil results'!H$7="modified Morgan (SAC)",'Soil results'!H43&lt;201)),VLOOKUP(Calc!BI38,'Fertiliser recommendations'!$A$4:$Z$63,26,FALSE)+VLOOKUP(Calc!BI38,'Fertiliser recommendations'!$A$4:$AC$63,29,FALSE),
IF(OR(AND('Soil results'!H$7="ammonium nitrate (ADAS)",'Soil results'!H43&lt;=400),AND('Soil results'!H$7="modified Morgan (SAC)",'Soil results'!H43&lt;=400)),VLOOKUP(Calc!BI38,'Fertiliser recommendations'!$A$4:$Z$63,26,FALSE)+VLOOKUP(Calc!BI38,'Fertiliser recommendations'!$A$4:$AD$63,30,FALSE),
"??"))))))))</f>
        <v/>
      </c>
      <c r="Q40" s="91" t="str">
        <f t="shared" ca="1" si="2"/>
        <v/>
      </c>
      <c r="R40" s="9" t="str">
        <f ca="1">IF(B40="","",
IF(OR(O40="data missing",P40="data missing"),"data missing",
IF(Calc!BF38=0,"n/a",
IF(P40=0, "no requirement",
IF(O40&lt;0.1*P40,"no benefit",
IF(O40&lt;0.3*P40,"limited benefit",
IF(O40&gt;1.25*P40,"excessive",
"benefit")))))))</f>
        <v/>
      </c>
      <c r="T40" s="91" t="str">
        <f ca="1">IF(B40="","",
IF(AND('Field information 2'!$O$5="", 'Field information 2'!$Q$5=""),
   IF('Waste results'!$S$21&lt;&gt;"data missing", Calc!BC38*'Waste results'!$S$21, "data missing"),
IF('Field information 2'!$Q$5="",
   IF(Calc!BD38=0,
     IF('Waste results'!$S$21&lt;&gt;"data missing", Calc!BC38*'Waste results'!$S$21, "data missing"),
   IF(Calc!BC38=0,
     IF('Waste results'!$S$57&lt;&gt;"data missing", Calc!BD38*'Waste results'!$S$57, "data missing"),
   IF(OR('Waste results'!$S$21&lt;&gt;"data missing", 'Waste results'!$S$57&lt;&gt;"data missing"), Calc!BC38*'Waste results'!$S$21+ Calc!BD38*'Waste results'!$S$57, "data missing"))),
IF(AND('Field information 2'!$M$5&lt;&gt;"", 'Field information 2'!$O$5&lt;&gt;"", 'Field information 2'!$Q$5&lt;&gt;""),
   IF(AND(Calc!BD38=0,Calc!BE38=0),
     IF('Waste results'!$S$21&lt;&gt;"data missing", Calc!BC38*'Waste results'!$S$21, "data missing"),
   IF(AND(Calc!BC38=0,Calc!BE38=0),
     IF('Waste results'!$S$57&lt;&gt;"data missing", Calc!BD38*'Waste results'!$S$57, "data missing"),
   IF(AND(Calc!BC38=0,Calc!BD38=0),
     IF('Waste results'!$S$93&lt;&gt;"data missing", Calc!BE38*'Waste results'!$S$93, "data missing"),
   IF(Calc!BE38=0,
     IF(OR('Waste results'!$S$21&lt;&gt;"data missing", 'Waste results'!$S$57&lt;&gt;"data missing"), Calc!BC38*'Waste results'!$S$21+ Calc!BD38*'Waste results'!$S$57, "data missing"),
   IF(Calc!BD38=0,
     IF(OR('Waste results'!$S$21&lt;&gt;"data missing", 'Waste results'!$S$93&lt;&gt;"data missing"), Calc!BC38*'Waste results'!$S$21+ Calc!BE38*'Waste results'!$S$93, "data missing"),
   IF(Calc!BC38=0,
     IF(OR('Waste results'!$S$57&lt;&gt;"data missing", 'Waste results'!$S$93&lt;&gt;"data missing"), Calc!BD38*'Waste results'!$S$57+Calc!BE38*'Waste results'!$S$93, "data missing"),
   IF(OR('Waste results'!$S$21&lt;&gt;"data missing", 'Waste results'!$S$57&lt;&gt;"data missing", 'Waste results'!$S$93&lt;&gt;"data missing"), Calc!BC38*'Waste results'!$S$21+Calc!BD38*'Waste results'!$S$57+ Calc!BE38*'Waste results'!$S$93, "data missing")))))))))))</f>
        <v/>
      </c>
      <c r="U40" s="7" t="str">
        <f ca="1">IF(B40="","",
IF(OR(ISBLANK('Soil results'!I$7),ISBLANK('Soil results'!I43)),"data missing",
IF(OR(AND('Soil results'!I$7="ammonium nitrate (ADAS)",'Soil results'!I43&gt;51),AND('Soil results'!I$7="modified Morgan (SAC)",'Soil results'!I43&gt;61)),0,
IF(OR(AND('Soil results'!I$7="ammonium nitrate (ADAS)",'Soil results'!I43&lt;25),AND('Soil results'!I$7="modified Morgan (SAC)",'Soil results'!I43&lt;19)),VLOOKUP(Calc!BI38,'Fertiliser recommendations'!$A$4:$AH$63,34,FALSE),
IF(OR(AND('Soil results'!I$7="ammonium nitrate (ADAS)",'Soil results'!I43&lt;=51),AND('Soil results'!I$7="modified Morgan (SAC)",'Soil results'!I43&lt;=61)),VLOOKUP(Calc!BI38,'Fertiliser recommendations'!$A$4:$AI$63,35,FALSE),
"")))))</f>
        <v/>
      </c>
      <c r="V40" s="91" t="str">
        <f t="shared" ca="1" si="3"/>
        <v/>
      </c>
      <c r="W40" s="9" t="str">
        <f ca="1">IF(B40="","",
IF(OR(T40="data missing",U40="data missing"),"data missing",
IF(Calc!BF38=0,"n/a",
IF(U40=0,"no requirement",
IF(T40&lt;0.1*U40,"no benefit",
IF(T40&lt;0.3*U40,"limited benefit",
IF(OR(T40&gt;1.5*U40,AND(Calc!BJ38="g",T40&gt;100)),"excessive",
"benefit")))))))</f>
        <v/>
      </c>
      <c r="Y40" s="91" t="str">
        <f ca="1">IF(B40="","",
IF(AND('Field information 2'!$O$5="", 'Field information 2'!$Q$5=""),
   IF('Waste results'!$P$23&lt;&gt;"", Calc!BC38*'Waste results'!$P$23, "no data"),
IF('Field information 2'!$Q$5="",
   IF(Calc!BD38=0,
     IF('Waste results'!$P$23&lt;&gt;"", Calc!BC38*'Waste results'!$P$23, "no data"),
   IF(Calc!BC38=0,
     IF('Waste results'!$P$59&lt;&gt;"", Calc!BD38*'Waste results'!$P$59, "no data"),
   IF(OR('Waste results'!$P$23&lt;&gt;"", 'Waste results'!$P$59&lt;&gt;""), Calc!BC38*'Waste results'!$P$23+ Calc!BD38*'Waste results'!$P$59, "no data"))),
IF(AND('Field information 2'!$M$5&lt;&gt;"", 'Field information 2'!$O$5&lt;&gt;"", 'Field information 2'!$Q$5&lt;&gt;""),
   IF(AND(Calc!BD38=0,Calc!BE38=0),
     IF('Waste results'!$P$23&lt;&gt;"", Calc!BC38*'Waste results'!$P$23, "no data"),
   IF(AND(Calc!BC38=0,Calc!BE38=0),
     IF('Waste results'!$P$59&lt;&gt;"", Calc!BD38*'Waste results'!$P$59, "no data"),
   IF(AND(Calc!BC38=0,Calc!BD38=0),
     IF('Waste results'!$P$95&lt;&gt;"", Calc!BE38*'Waste results'!$P$95, "no data"),
   IF(Calc!BE38=0,
     IF(OR('Waste results'!$P$23&lt;&gt;"", 'Waste results'!$P$59&lt;&gt;""), Calc!BC38*'Waste results'!$P$23+ Calc!BD38*'Waste results'!$P$59, "no data"),
   IF(Calc!BD38=0,
     IF(OR('Waste results'!$P$23&lt;&gt;"", 'Waste results'!$P$95&lt;&gt;""), Calc!BC38*'Waste results'!$P$23+ Calc!BE38*'Waste results'!$P$95, "no data"),
   IF(Calc!BC38=0,
     IF(OR('Waste results'!$P$59&lt;&gt;"", 'Waste results'!$P$95&lt;&gt;""), Calc!BD38*'Waste results'!$P$59+Calc!BE38*'Waste results'!$P$95, "no data"),
   IF(OR('Waste results'!$P$23&lt;&gt;"", 'Waste results'!$P$59&lt;&gt;"", 'Waste results'!$P$95&lt;&gt;""), Calc!BC38*'Waste results'!$P$23+Calc!BD38*'Waste results'!$P$59+ Calc!BE38*'Waste results'!$P$95, "no data")))))))))))</f>
        <v/>
      </c>
      <c r="Z40" s="7" t="str">
        <f ca="1">IF(OR(ISBLANK('Soil results'!I$7),ISBLANK('Soil results'!I43),'Soil results'!B43=""),"",
VLOOKUP(Calc!BI38,'Fertiliser recommendations'!$A$4:$AM$63,39,FALSE))</f>
        <v/>
      </c>
      <c r="AA40" s="91" t="str">
        <f t="shared" ca="1" si="4"/>
        <v/>
      </c>
      <c r="AB40" s="9" t="str">
        <f t="shared" ca="1" si="5"/>
        <v/>
      </c>
      <c r="AD40" s="48" t="str">
        <f>IF(ISBLANK('Soil results'!F43),"",'Soil results'!F43)</f>
        <v/>
      </c>
      <c r="AE40" s="49" t="str">
        <f ca="1">IF(B40="","",
IF(AND(Calc!BJ38="g", VLOOKUP(LEFT($B40,LEN($B40)-2),'Field information 2'!$B$12:$P$111,9,FALSE)&lt;&gt;"yes"),
 IF(Calc!BG38="10-25% OM", 5.9, IF(Calc!BG38="&gt;25% OM", 5.5, 6.2)),
IF(OR(Calc!BJ38="a", VLOOKUP(LEFT($B40,LEN($B40)-2),'Field information 2'!$B$12:$P$111,9,FALSE)="yes"),
 IF(Calc!BG38="10-25% OM", 6.4, IF(Calc!BG38="&gt;25% OM", 6, 6.7)), "")))</f>
        <v/>
      </c>
      <c r="AF40" s="91" t="str">
        <f ca="1">IF(B40="","",
IF('Waste results'!$Q$33="","no (significant) liming properties",
IF('Waste results'!Q$33&gt;100,"no (significant) liming properties",
IF(AD40="","",
IF(AD40&gt;=AE40,0,ROUNDDOWN((AE40-AD40)*Calc!BK38*'Waste results'!$Q$33+0.2,0))))))</f>
        <v/>
      </c>
      <c r="AG40" s="9" t="str">
        <f ca="1">IF(B40="","",
IF(T40=0,"n/a",
IF(AD40="","data missing",
IF(AND(AD40&lt;5,AF40="no (significant) liming properties"),"no waste application - pH too low",
IF(AND(AD40&gt;5.1,AF40="no (significant) liming properties",Calc!BH38&gt;25, LEFT(Calc!BI38,4)="graz"),"ok",
IF(AND(AD40&lt;=5.2,AF40="no (significant) liming properties"),"liming highly recommended",
IF(AF40=0,"no waste application - liming not required",
IF(AF40&lt;Calc!BC38,"application rate too high - exceeds liming requirement",
"ok"))))))))</f>
        <v/>
      </c>
      <c r="AI40" s="91" t="str">
        <f ca="1">IF(B40="","",
IF(AND('Field information 2'!$O$5="", 'Field information 2'!$Q$5=""),
   IF('Waste results'!$P$10&lt;&gt;"data missing", Calc!BC38*'Waste results'!$P$10, "data missing"),
IF('Field information 2'!$Q$5="",
   IF(Calc!BD38=0,
     IF('Waste results'!$P$10&lt;&gt;"data missing", Calc!BC38*'Waste results'!$P$10, "data missing"),
   IF(Calc!BC38=0,
     IF('Waste results'!$P$45&lt;&gt;"data missing", Calc!BD38*'Waste results'!$P$45, "data missing"),
   IF(OR('Waste results'!$P$10&lt;&gt;"data missing", 'Waste results'!$P$45&lt;&gt;"data missing"), Calc!BC38*'Waste results'!$P$10+ Calc!BD38*'Waste results'!$P$45, "data missing"))),
IF(AND('Field information 2'!$M$5&lt;&gt;"", 'Field information 2'!$O$5&lt;&gt;"", 'Field information 2'!$Q$5&lt;&gt;""),
   IF(AND(Calc!BD38=0,Calc!BE38=0),
     IF('Waste results'!$P$10&lt;&gt;"data missing", Calc!BC38*'Waste results'!$P$10, "data missing"),
   IF(AND(Calc!BC38=0,Calc!BE38=0),
     IF('Waste results'!$P$45&lt;&gt;"data missing", Calc!BD38*'Waste results'!$P$45, "data missing"),
   IF(AND(Calc!BC38=0,Calc!BD38=0),
     IF('Waste results'!$P$82&lt;&gt;"data missing", Calc!BE38*'Waste results'!$P$82, "data missing"),
   IF(Calc!BE38=0,
     IF(OR('Waste results'!$P$10&lt;&gt;"data missing", 'Waste results'!$P$45&lt;&gt;"data missing"), Calc!BC38*'Waste results'!$P$10+ Calc!BD38*'Waste results'!$P$45, "data missing"),
   IF(Calc!BD38=0,
     IF(OR('Waste results'!$P$10&lt;&gt;"data missing", 'Waste results'!$P$82&lt;&gt;"data missing"), Calc!BC38*'Waste results'!$P$10+ Calc!BE38*'Waste results'!$P$82, "data missing"),
   IF(Calc!BC38=0,
     IF(OR('Waste results'!$P$45&lt;&gt;"data missing", 'Waste results'!$P$82&lt;&gt;"data missing"), Calc!BD38*'Waste results'!$P$45+Calc!BE38*'Waste results'!$P$82, "data missing"),
   IF(OR('Waste results'!$P$10&lt;&gt;"data missing", 'Waste results'!$P$45&lt;&gt;"data missing", 'Waste results'!$P$82&lt;&gt;"data missing"), Calc!BC38*'Waste results'!$P$10+Calc!BD38*'Waste results'!$P$45+ Calc!BE38*'Waste results'!$P$82, "data missing")))))))))))</f>
        <v/>
      </c>
      <c r="AJ40" s="237" t="str">
        <f ca="1">IF(B40="","",
IF(AI40="data missing","data missing",
IF(Calc!BF38=0,"n/a",
IF(AND(Calc!BH38&gt;=8,AI40&lt;500),"no benefit",
IF(OR(AND(Calc!BH38&lt;=4,AI40&gt;=500),AND(Calc!BH38&lt;8,AI40&gt;5000)),"benefit",
"limited benefit")))))</f>
        <v/>
      </c>
      <c r="AL40" s="238" t="str">
        <f ca="1">IF(B40="","",
IF(AND('Field information 2'!$O$5="", 'Field information 2'!$Q$5=""),
   IF('Waste results'!$S$25&lt;&gt;"data missing", Calc!BC38*'Waste results'!$S$25, "data missing"),
IF('Field information 2'!$Q$5="",
   IF(Calc!BD38=0,
     IF('Waste results'!$S$25&lt;&gt;"data missing", Calc!BC38*'Waste results'!$S$25, "data missing"),
   IF(Calc!BC38=0,
     IF('Waste results'!$S$61&lt;&gt;"data missing", Calc!BD38*'Waste results'!$S$61, "data missing"),
   IF(OR('Waste results'!$S$25&lt;&gt;"data missing", 'Waste results'!$S$61&lt;&gt;"data missing"), Calc!BC38*'Waste results'!$S$25+ Calc!BD38*'Waste results'!$S$61, "data missing"))),
IF(AND('Field information 2'!$M$5&lt;&gt;"", 'Field information 2'!$O$5&lt;&gt;"", 'Field information 2'!$Q$5&lt;&gt;""),
   IF(AND(Calc!BD38=0,Calc!BE38=0),
     IF('Waste results'!$S$25&lt;&gt;"data missing", Calc!BC38*'Waste results'!$S$25, "data missing"),
   IF(AND(Calc!BC38=0,Calc!BE38=0),
     IF('Waste results'!$S$61&lt;&gt;"data missing", Calc!BD38*'Waste results'!$S$61, "data missing"),
   IF(AND(Calc!BC38=0,Calc!BD38=0),
     IF('Waste results'!$S$97&lt;&gt;"data missing", Calc!BE38*'Waste results'!$S$97, "data missing"),
   IF(Calc!BE38=0,
     IF(OR('Waste results'!$S$25&lt;&gt;"data missing", 'Waste results'!$S$61&lt;&gt;"data missing"), Calc!BC38*'Waste results'!$S$25+ Calc!BD38*'Waste results'!$S$61, "data missing"),
   IF(Calc!BD38=0,
     IF(OR('Waste results'!$S$25&lt;&gt;"data missing", 'Waste results'!$S$97&lt;&gt;"data missing"), Calc!BC38*'Waste results'!$S$25+ Calc!BE38*'Waste results'!$S$97, "data missing"),
   IF(Calc!BC38=0,
     IF(OR('Waste results'!$S$61&lt;&gt;"data missing", 'Waste results'!$S$97&lt;&gt;"data missing"), Calc!BD38*'Waste results'!$S$61+Calc!BE38*'Waste results'!$S$97, "data missing"),
   IF(OR('Waste results'!$S$25&lt;&gt;"data missing", 'Waste results'!$S$61&lt;&gt;"data missing", 'Waste results'!$S$97&lt;&gt;"data missing"), Calc!BC38*'Waste results'!$S$25+Calc!BD38*'Waste results'!$S$61+ Calc!BE38*'Waste results'!$S$97, "data missing")))))))))))</f>
        <v/>
      </c>
      <c r="AM40" s="239" t="str">
        <f ca="1">IF($B40="","",
IF(ISBLANK('Soil results'!K43),"data missing",'Soil results'!K43))</f>
        <v/>
      </c>
      <c r="AN40" s="239" t="str">
        <f t="shared" ca="1" si="6"/>
        <v/>
      </c>
      <c r="AO40" s="9" t="str">
        <f t="shared" ca="1" si="7"/>
        <v/>
      </c>
      <c r="AQ40" s="240" t="str">
        <f ca="1">IF(B40="","",
IF(AND('Field information 2'!$O$5="", 'Field information 2'!$Q$5=""),
   IF('Waste results'!$S$26&lt;&gt;"data missing", Calc!BC38*'Waste results'!$S$26, "data missing"),
IF('Field information 2'!$Q$5="",
   IF(Calc!BD38=0,
     IF('Waste results'!$S$26&lt;&gt;"data missing", Calc!BC38*'Waste results'!$S$26, "data missing"),
   IF(Calc!BC38=0,
     IF('Waste results'!$S$62&lt;&gt;"data missing", Calc!BD38*'Waste results'!$S$62, "data missing"),
   IF(OR('Waste results'!$S$26&lt;&gt;"data missing", 'Waste results'!$S$62&lt;&gt;"data missing"), Calc!BC38*'Waste results'!$S$26+ Calc!BD38*'Waste results'!$S$62, "data missing"))),
IF(AND('Field information 2'!$M$5&lt;&gt;"", 'Field information 2'!$O$5&lt;&gt;"", 'Field information 2'!$Q$5&lt;&gt;""),
   IF(AND(Calc!BD38=0,Calc!BE38=0),
     IF('Waste results'!$S$26&lt;&gt;"data missing", Calc!BC38*'Waste results'!$S$26, "data missing"),
   IF(AND(Calc!BC38=0,Calc!BE38=0),
     IF('Waste results'!$S$62&lt;&gt;"data missing", Calc!BD38*'Waste results'!$S$62, "data missing"),
   IF(AND(Calc!BC38=0,Calc!BD38=0),
     IF('Waste results'!$S$98&lt;&gt;"data missing", Calc!BE38*'Waste results'!$S$98, "data missing"),
   IF(Calc!BE38=0,
     IF(OR('Waste results'!$S$26&lt;&gt;"data missing", 'Waste results'!$S$62&lt;&gt;"data missing"), Calc!BC38*'Waste results'!$S$26+ Calc!BD38*'Waste results'!$S$62, "data missing"),
   IF(Calc!BD38=0,
     IF(OR('Waste results'!$S$26&lt;&gt;"data missing", 'Waste results'!$S$98&lt;&gt;"data missing"), Calc!BC38*'Waste results'!$S$26+ Calc!BE38*'Waste results'!$S$98, "data missing"),
   IF(Calc!BC38=0,
     IF(OR('Waste results'!$S$62&lt;&gt;"data missing", 'Waste results'!$S$98&lt;&gt;"data missing"), Calc!BD38*'Waste results'!$S$62+Calc!BE38*'Waste results'!$S$98, "data missing"),
   IF(OR('Waste results'!$S$26&lt;&gt;"data missing", 'Waste results'!$S$62&lt;&gt;"data missing", 'Waste results'!$S$98&lt;&gt;"data missing"), Calc!BC38*'Waste results'!$S$26+Calc!BD38*'Waste results'!$S$62+ Calc!BE38*'Waste results'!$S$98, "data missing")))))))))))</f>
        <v/>
      </c>
      <c r="AR40" s="241" t="str">
        <f ca="1">IF($B40="","",
IF(ISBLANK('Soil results'!L43),"data missing",'Soil results'!L43))</f>
        <v/>
      </c>
      <c r="AS40" s="241" t="str">
        <f t="shared" ca="1" si="8"/>
        <v/>
      </c>
      <c r="AT40" s="66" t="str">
        <f t="shared" ca="1" si="9"/>
        <v/>
      </c>
      <c r="AV40" s="238" t="str">
        <f ca="1">IF(B40="","",
IF(AND('Field information 2'!$O$5="", 'Field information 2'!$Q$5=""),
   IF('Waste results'!$S$27&lt;&gt;"data missing", Calc!BC38*'Waste results'!$S$27, "data missing"),
IF('Field information 2'!$Q$5="",
   IF(Calc!BD38=0,
     IF('Waste results'!$S$27&lt;&gt;"data missing", Calc!BC38*'Waste results'!$S$27, "data missing"),
   IF(Calc!BC38=0,
     IF('Waste results'!$S$63&lt;&gt;"data missing", Calc!BD38*'Waste results'!$S$63, "data missing"),
   IF(OR('Waste results'!$S$27&lt;&gt;"data missing", 'Waste results'!$S$63&lt;&gt;"data missing"), Calc!BC38*'Waste results'!$S$27+ Calc!BD38*'Waste results'!$S$63, "data missing"))),
IF(AND('Field information 2'!$M$5&lt;&gt;"", 'Field information 2'!$O$5&lt;&gt;"", 'Field information 2'!$Q$5&lt;&gt;""),
   IF(AND(Calc!BD38=0,Calc!BE38=0),
     IF('Waste results'!$S$27&lt;&gt;"data missing", Calc!BC38*'Waste results'!$S$27, "data missing"),
   IF(AND(Calc!BC38=0,Calc!BE38=0),
     IF('Waste results'!$S$63&lt;&gt;"data missing", Calc!BD38*'Waste results'!$S$63, "data missing"),
   IF(AND(Calc!BC38=0,Calc!BD38=0),
     IF('Waste results'!$S$99&lt;&gt;"data missing", Calc!BE38*'Waste results'!$S$99, "data missing"),
   IF(Calc!BE38=0,
     IF(OR('Waste results'!$S$27&lt;&gt;"data missing", 'Waste results'!$S$63&lt;&gt;"data missing"), Calc!BC38*'Waste results'!$S$27+ Calc!BD38*'Waste results'!$S$63, "data missing"),
   IF(Calc!BD38=0,
     IF(OR('Waste results'!$S$27&lt;&gt;"data missing", 'Waste results'!$S$99&lt;&gt;"data missing"), Calc!BC38*'Waste results'!$S$27+ Calc!BE38*'Waste results'!$S$99, "data missing"),
   IF(Calc!BC38=0,
     IF(OR('Waste results'!$S$63&lt;&gt;"data missing", 'Waste results'!$S$99&lt;&gt;"data missing"), Calc!BD38*'Waste results'!$S$63+Calc!BE38*'Waste results'!$S$99, "data missing"),
   IF(OR('Waste results'!$S$27&lt;&gt;"data missing", 'Waste results'!$S$63&lt;&gt;"data missing", 'Waste results'!$S$99&lt;&gt;"data missing"), Calc!BC38*'Waste results'!$S$27+Calc!BD38*'Waste results'!$S$63+ Calc!BE38*'Waste results'!$S$99, "data missing")))))))))))</f>
        <v/>
      </c>
      <c r="AW40" s="239" t="str">
        <f ca="1">IF($B40="","",
IF(ISBLANK('Soil results'!M43),"data missing",'Soil results'!M43))</f>
        <v/>
      </c>
      <c r="AX40" s="239" t="str">
        <f t="shared" ca="1" si="10"/>
        <v/>
      </c>
      <c r="AY40" s="9" t="str">
        <f ca="1">IF(B40="","",
IF(AV40=0,"n/a",
IF(OR(AV40="data missing",AW40="data missing"),"data missing",
IF(AV40&gt;7.5,"application rate too high - permissible rate exceeds limit",
IF('Soil results'!$F43&lt;=5.5,
  IF(AW40&gt;80,"no application - soil conc. already above limit",
  IF(AX40&gt;80,"application rate too high - soil conc. will exceed limit",
  IF(AW40&gt;80*0.9,"soil conc. is at or above 90% of the limit",
  IF(10*AV40*1000/3000+AW40&gt;80,"soil limit likely to be exceeded in 10yrs",
  IF(50*AV40*1000/3000+AW40&gt;80,"soil limit likely to be exceeded in 50yrs","ok"))))),
IF('Soil results'!$F43&lt;=6,
  IF(AW40&gt;100,"no application - soil conc. already above limit",
  IF(AX40&gt;100,"application rate too high - soil conc. will exceed limit",
  IF(AW40&gt;100*0.9,"soil conc. is at or above 90% of the limit",
  IF(10*AV40*1000/3000+AW40&gt;100,"soil limit likely to be exceeded in 10yrs",
  IF(50*AV40*1000/3000+AW40&gt;100,"soil limit likely to be exceeded in 50yrs","ok"))))),
IF('Soil results'!$F43&lt;=7,
  IF(AW40&gt;135,"no application - soil conc. already above limit",
  IF(AX40&gt;135,"application rate too high - soil conc. will exceed limit",
  IF(AW40&gt;135*0.9,"soil conc. is at or above 90% of the limit",
  IF(10*AV40*1000/3000+AW40&gt;135,"soil limit likely to be exceeded in 10yrs",
  IF(50*AV40*1000/3000+AW40&gt;135,"soil limit likely to be exceeded in 50yrs","ok"))))),
IF('Soil results'!$F43&gt;7,
  IF(AW40&gt;200,"no application - soil conc. already above limit",
  IF(AX40&gt;200,"application too high - soil conc. will exceed limit",
  IF(AW40&gt;200*0.9,"soil conc. is at or above 90% of the limit",
  IF(10*AV40*1000/3000+AW40&gt;200,"soil limit likely to be exceeded in 10yrs",
  IF(50*AV40*1000/3000+AW40&gt;200,"soil limit likely to be exceeded in 50yrs","ok")))))
))))))))</f>
        <v/>
      </c>
      <c r="BA40" s="238" t="str">
        <f ca="1">IF(B40="","",
IF(AND('Field information 2'!$O$5="", 'Field information 2'!$Q$5=""),
   IF('Waste results'!$S$28&lt;&gt;"data missing", Calc!BC38*'Waste results'!$S$28, "data missing"),
IF('Field information 2'!$Q$5="",
   IF(Calc!BD38=0,
     IF('Waste results'!$S$28&lt;&gt;"data missing", Calc!BC38*'Waste results'!$S$28, "data missing"),
   IF(Calc!BC38=0,
     IF('Waste results'!$S$64&lt;&gt;"data missing", Calc!BD38*'Waste results'!$S$64, "data missing"),
   IF(OR('Waste results'!$S$28&lt;&gt;"data missing", 'Waste results'!$S$64&lt;&gt;"data missing"), Calc!BC38*'Waste results'!$S$28+ Calc!BD38*'Waste results'!$S$64, "data missing"))),
IF(AND('Field information 2'!$M$5&lt;&gt;"", 'Field information 2'!$O$5&lt;&gt;"", 'Field information 2'!$Q$5&lt;&gt;""),
   IF(AND(Calc!BD38=0,Calc!BE38=0),
     IF('Waste results'!$S$28&lt;&gt;"data missing", Calc!BC38*'Waste results'!$S$28, "data missing"),
   IF(AND(Calc!BC38=0,Calc!BE38=0),
     IF('Waste results'!$S$64&lt;&gt;"data missing", Calc!BD38*'Waste results'!$S$64, "data missing"),
   IF(AND(Calc!BC38=0,Calc!BD38=0),
     IF('Waste results'!$S$100&lt;&gt;"data missing", Calc!BE38*'Waste results'!$S$100, "data missing"),
   IF(Calc!BE38=0,
     IF(OR('Waste results'!$S$28&lt;&gt;"data missing", 'Waste results'!$S$64&lt;&gt;"data missing"), Calc!BC38*'Waste results'!$S$28+ Calc!BD38*'Waste results'!$S$64, "data missing"),
   IF(Calc!BD38=0,
     IF(OR('Waste results'!$S$28&lt;&gt;"data missing", 'Waste results'!$S$100&lt;&gt;"data missing"), Calc!BC38*'Waste results'!$S$28+ Calc!BE38*'Waste results'!$S$100, "data missing"),
   IF(Calc!BC38=0,
     IF(OR('Waste results'!$S$64&lt;&gt;"data missing", 'Waste results'!$S$100&lt;&gt;"data missing"), Calc!BD38*'Waste results'!$S$64+Calc!BE38*'Waste results'!$S$100, "data missing"),
   IF(OR('Waste results'!$S$28&lt;&gt;"data missing", 'Waste results'!$S$64&lt;&gt;"data missing", 'Waste results'!$S$100&lt;&gt;"data missing"), Calc!BC38*'Waste results'!$S$28+Calc!BD38*'Waste results'!$S$64+ Calc!BE38*'Waste results'!$S$100, "data missing")))))))))))</f>
        <v/>
      </c>
      <c r="BB40" s="239" t="str">
        <f ca="1">IF($B40="","",
IF(ISBLANK('Soil results'!N43),"data missing",'Soil results'!N43))</f>
        <v/>
      </c>
      <c r="BC40" s="239" t="str">
        <f t="shared" ca="1" si="11"/>
        <v/>
      </c>
      <c r="BD40" s="9" t="str">
        <f t="shared" ca="1" si="12"/>
        <v/>
      </c>
      <c r="BF40" s="238" t="str">
        <f ca="1">IF(B40="","",
IF(AND('Field information 2'!$O$5="", 'Field information 2'!$Q$5=""),
   IF('Waste results'!$S$29&lt;&gt;"data missing", Calc!BC38*'Waste results'!$S$29, "data missing"),
IF('Field information 2'!$Q$5="",
   IF(Calc!BD38=0,
     IF('Waste results'!$S$29&lt;&gt;"data missing", Calc!BC38*'Waste results'!$S$29, "data missing"),
   IF(Calc!BC38=0,
     IF('Waste results'!$S$65&lt;&gt;"data missing", Calc!BD38*'Waste results'!$S$65, "data missing"),
   IF(OR('Waste results'!$S$29&lt;&gt;"data missing", 'Waste results'!$S$65&lt;&gt;"data missing"), Calc!BC38*'Waste results'!$S$29+ Calc!BD38*'Waste results'!$S$65, "data missing"))),
IF(AND('Field information 2'!$M$5&lt;&gt;"", 'Field information 2'!$O$5&lt;&gt;"", 'Field information 2'!$Q$5&lt;&gt;""),
   IF(AND(Calc!BD38=0,Calc!BE38=0),
     IF('Waste results'!$S$29&lt;&gt;"data missing", Calc!BC38*'Waste results'!$S$29, "data missing"),
   IF(AND(Calc!BC38=0,Calc!BE38=0),
     IF('Waste results'!$S$65&lt;&gt;"data missing", Calc!BD38*'Waste results'!$S$65, "data missing"),
   IF(AND(Calc!BC38=0,Calc!BD38=0),
     IF('Waste results'!$S$101&lt;&gt;"data missing", Calc!BE38*'Waste results'!$S$101, "data missing"),
   IF(Calc!BE38=0,
     IF(OR('Waste results'!$S$29&lt;&gt;"data missing", 'Waste results'!$S$65&lt;&gt;"data missing"), Calc!BC38*'Waste results'!$S$29+ Calc!BD38*'Waste results'!$S$65, "data missing"),
   IF(Calc!BD38=0,
     IF(OR('Waste results'!$S$29&lt;&gt;"data missing", 'Waste results'!$S$101&lt;&gt;"data missing"), Calc!BC38*'Waste results'!$S$29+ Calc!BE38*'Waste results'!$S$101, "data missing"),
   IF(Calc!BC38=0,
     IF(OR('Waste results'!$S$65&lt;&gt;"data missing", 'Waste results'!$S$101&lt;&gt;"data missing"), Calc!BD38*'Waste results'!$S$65+Calc!BE38*'Waste results'!$S$101, "data missing"),
   IF(OR('Waste results'!$S$29&lt;&gt;"data missing", 'Waste results'!$S$65&lt;&gt;"data missing", 'Waste results'!$S$101&lt;&gt;"data missing"), Calc!BC38*'Waste results'!$S$29+Calc!BD38*'Waste results'!$S$65+ Calc!BE38*'Waste results'!$S$101, "data missing")))))))))))</f>
        <v/>
      </c>
      <c r="BG40" s="239" t="str">
        <f ca="1">IF($B40="","",
IF(ISBLANK('Soil results'!O43),"data missing",'Soil results'!O43))</f>
        <v/>
      </c>
      <c r="BH40" s="239" t="str">
        <f t="shared" ca="1" si="13"/>
        <v/>
      </c>
      <c r="BI40" s="9" t="str">
        <f ca="1">IF(B40="","",
IF(BF40=0,"n/a",
IF(OR(BF40="data missing",BG40="data missing"),"data missing",
IF(BF40&gt;3,"application rate too high - permissible rate exceeds limit",
IF('Soil results'!F43&lt;=5.5,
  IF(BG40&gt;50,"no application - soil conc. already above limit",
  IF(BH40&gt;50,"application rate too high - soil conc. will exceed limit",
  IF(BG40&gt;50*0.9,"soil conc. is at or above 90% of the limit",
  IF(10*BF40*1000/3000+BG40&gt;50,"soil limit likely to be exceeded in 10yrs",
  IF(50*BF40*1000/3000+BG40&gt;50,"soil limit likely to be exceeded in 50yrs","ok"))))),
IF('Soil results'!F43&lt;=6,
  IF(BG40&gt;60,"no application - soil conc. already above limit",
  IF(BH40&gt;60,"application rate too high - soil conc. will exceed limit",
  IF(BG40&gt;60*0.9,"soil conc. is at or above 90% of the limit",
  IF(10*BF40*1000/3000+BG40&gt;60,"soil limit likely to be exceeded in 10yrs",
  IF(50*BF40*1000/3000+BG40&gt;60,"soil limit likely to be exceeded in 50yrs","ok"))))),
IF('Soil results'!F43&lt;=7,
  IF(BG40&gt;75,"no application - soil conc. already above limit",
  IF(BH40&gt;75,"application rate too high - soil conc. will exceed limit",
  IF(BG40&gt;75*0.9,"soil conc. is at or above 90% of the limit",
  IF(10*BF40*1000/3000+BG40&gt;75,"soil limit likely to be exceeded in 10yrs",
  IF(50*BF40*1000/3000+BG40&gt;75,"soil limit likely to be exceeded in 50yrs","ok"))))),
IF('Soil results'!F43&gt;7,
  IF(BG40&gt;100,"no application - soil conc. already above limit",
  IF(BH40&gt;100,"application rate too high - soil conc. will exceed limit",
  IF(BG40&gt;100*0.9,"soil conc. is at or above 90% of the limit",
  IF(10*BF40*1000/3000+BG40&gt;100,"soil limit likely to be exceeded in 10yrs",
  IF(50*BF40*1000/3000+BG40&gt;100,"soil limit likely to beexceeded in 50yrs","ok")))))
))))))))</f>
        <v/>
      </c>
      <c r="BK40" s="240" t="str">
        <f ca="1">IF(B40="","",
IF(AND('Field information 2'!$O$5="", 'Field information 2'!$Q$5=""),
   IF('Waste results'!$S$30&lt;&gt;"data missing", Calc!BC38*'Waste results'!$S$30, "data missing"),
IF('Field information 2'!$Q$5="",
   IF(Calc!BD38=0,
     IF('Waste results'!$S$30&lt;&gt;"data missing", Calc!BC38*'Waste results'!$S$30, "data missing"),
   IF(Calc!BC38=0,
     IF('Waste results'!$S$66&lt;&gt;"data missing", Calc!BD38*'Waste results'!$S$66, "data missing"),
   IF(OR('Waste results'!$S$30&lt;&gt;"data missing", 'Waste results'!$S$66&lt;&gt;"data missing"), Calc!BC38*'Waste results'!$S$30+ Calc!BD38*'Waste results'!$S$66, "data missing"))),
IF(AND('Field information 2'!$M$5&lt;&gt;"", 'Field information 2'!$O$5&lt;&gt;"", 'Field information 2'!$Q$5&lt;&gt;""),
   IF(AND(Calc!BD38=0,Calc!BE38=0),
     IF('Waste results'!$S$30&lt;&gt;"data missing", Calc!BC38*'Waste results'!$S$30, "data missing"),
   IF(AND(Calc!BC38=0,Calc!BE38=0),
     IF('Waste results'!$S$66&lt;&gt;"data missing", Calc!BD38*'Waste results'!$S$66, "data missing"),
   IF(AND(Calc!BC38=0,Calc!BD38=0),
     IF('Waste results'!$S$102&lt;&gt;"data missing", Calc!BE38*'Waste results'!$S$102, "data missing"),
   IF(Calc!BE38=0,
     IF(OR('Waste results'!$S$30&lt;&gt;"data missing", 'Waste results'!$S$66&lt;&gt;"data missing"), Calc!BC38*'Waste results'!$S$30+ Calc!BD38*'Waste results'!$S$66, "data missing"),
   IF(Calc!BD38=0,
     IF(OR('Waste results'!$S$30&lt;&gt;"data missing", 'Waste results'!$S$102&lt;&gt;"data missing"), Calc!BC38*'Waste results'!$S$30+ Calc!BE38*'Waste results'!$S$102, "data missing"),
   IF(Calc!BC38=0,
     IF(OR('Waste results'!$S$66&lt;&gt;"data missing", 'Waste results'!$S$102&lt;&gt;"data missing"), Calc!BD38*'Waste results'!$S$66+Calc!BE38*'Waste results'!$S$102, "data missing"),
   IF(OR('Waste results'!$S$30&lt;&gt;"data missing", 'Waste results'!$S$66&lt;&gt;"data missing", 'Waste results'!$S$102&lt;&gt;"data missing"), Calc!BC38*'Waste results'!$S$30+Calc!BD38*'Waste results'!$S$66+ Calc!BE38*'Waste results'!$S$102, "data missing")))))))))))</f>
        <v/>
      </c>
      <c r="BL40" s="241" t="str">
        <f ca="1">IF($B40="","",
IF(ISBLANK('Soil results'!P43),"data missing",'Soil results'!P43))</f>
        <v/>
      </c>
      <c r="BM40" s="241" t="str">
        <f t="shared" ca="1" si="14"/>
        <v/>
      </c>
      <c r="BN40" s="66" t="str">
        <f t="shared" ca="1" si="15"/>
        <v/>
      </c>
      <c r="BP40" s="238" t="str">
        <f ca="1">IF(B40="","",
IF(AND('Field information 2'!$O$5="", 'Field information 2'!$Q$5=""),
   IF('Waste results'!$S$31&lt;&gt;"data missing", Calc!BC38*'Waste results'!$S$31, "data missing"),
IF('Field information 2'!$Q$5="",
   IF(Calc!BD38=0,
     IF('Waste results'!$S$31&lt;&gt;"data missing", Calc!BC38*'Waste results'!$S$31, "data missing"),
   IF(Calc!BC38=0,
     IF('Waste results'!$S$67&lt;&gt;"data missing", Calc!BD38*'Waste results'!$S$67, "data missing"),
   IF(OR('Waste results'!$S$31&lt;&gt;"data missing", 'Waste results'!$S$67&lt;&gt;"data missing"), Calc!BC38*'Waste results'!$S$31+ Calc!BD38*'Waste results'!$S$67, "data missing"))),
IF(AND('Field information 2'!$M$5&lt;&gt;"", 'Field information 2'!$O$5&lt;&gt;"", 'Field information 2'!$Q$5&lt;&gt;""),
   IF(AND(Calc!BD38=0,Calc!BE38=0),
     IF('Waste results'!$S$31&lt;&gt;"data missing", Calc!BC38*'Waste results'!$S$31, "data missing"),
   IF(AND(Calc!BC38=0,Calc!BE38=0),
     IF('Waste results'!$S$67&lt;&gt;"data missing", Calc!BD38*'Waste results'!$S$67, "data missing"),
   IF(AND(Calc!BC38=0,Calc!BD38=0),
     IF('Waste results'!$S$103&lt;&gt;"data missing", Calc!BE38*'Waste results'!$S$103, "data missing"),
   IF(Calc!BE38=0,
     IF(OR('Waste results'!$S$31&lt;&gt;"data missing", 'Waste results'!$S$67&lt;&gt;"data missing"), Calc!BC38*'Waste results'!$S$31+ Calc!BD38*'Waste results'!$S$67, "data missing"),
   IF(Calc!BD38=0,
     IF(OR('Waste results'!$S$31&lt;&gt;"data missing", 'Waste results'!$S$103&lt;&gt;"data missing"), Calc!BC38*'Waste results'!$S$31+ Calc!BE38*'Waste results'!$S$103, "data missing"),
   IF(Calc!BC38=0,
     IF(OR('Waste results'!$S$67&lt;&gt;"data missing", 'Waste results'!$S$103&lt;&gt;"data missing"), Calc!BD38*'Waste results'!$S$67+Calc!BE38*'Waste results'!$S$103, "data missing"),
   IF(OR('Waste results'!$S$31&lt;&gt;"data missing", 'Waste results'!$S$67&lt;&gt;"data missing", 'Waste results'!$S$103&lt;&gt;"data missing"), Calc!BC38*'Waste results'!$S$31+Calc!BD38*'Waste results'!$S$67+ Calc!BE38*'Waste results'!$S$103, "data missing")))))))))))</f>
        <v/>
      </c>
      <c r="BQ40" s="239" t="str">
        <f ca="1">IF($B40="","",
IF(ISBLANK('Soil results'!Q43),"data missing",'Soil results'!Q43))</f>
        <v/>
      </c>
      <c r="BR40" s="239" t="str">
        <f t="shared" ca="1" si="16"/>
        <v/>
      </c>
      <c r="BS40" s="9" t="str">
        <f ca="1">IF(B40="","",
IF(BP40=0,"n/a",
IF(OR(BP40="data missing",BQ40=""),"data missing",
IF(BP40&gt;15,"application rate too high - permissible rate exceeds limit",
IF('Soil results'!F43&lt;=5.5,
  IF(BQ40&gt;200,"no application - soil conc. already above limit",
  IF(BR40&gt;200,"application rate too high - soil conc. will exceed limit",
  IF(BQ40&gt;200*0.9,"soil conc. is at or above 90% of the limit",
  IF(10*BP40*1000/3000+BQ40&gt;200,"soil limit likely to be exceeded in 10yrs",
  IF(50*BP40*1000/3000+BQ40&gt;200,"soil limit likely to be exceeded in 50yrs","ok"))))),
IF('Soil results'!F43&lt;=6,
  IF(BQ40&gt;250,"no application - soil conc. already above limit",
  IF(BR40&gt;250,"application rate too high - soil conc. will exceed limit",
  IF(BQ40&gt;250*0.9,"soil conc. is at or above 90% of the limit",
  IF(10*BP40*1000/3000+BQ40&gt;250,"soil limit likely to be exceeded in 10yrs",
  IF(50*BP40*1000/3000+BQ40&gt;250,"soil limit likely to be exceeded in 50yrs","ok"))))),
IF('Soil results'!F43&lt;=7,
  IF(BQ40&gt;300,"no application - soil conc. already above limit",
  IF(BR40&gt;300,"application rate too high - soil conc. will exceed limit",
  IF(BQ40&gt;300*0.9,"soil conc. is at or above 90% of the limit",
  IF(10*BP40*1000/3000+BQ40&gt;300,"soil limit likey to be exceeded in 10yrs",
  IF(50*BP40*1000/3000+BQ40&gt;300,"soil limit likely to be exceeded in 50yrs","ok"))))),
IF('Soil results'!F43&gt;7,
  IF(BQ40&gt;450,"no application - soil conc. already above limit",
  IF(BR40&gt;450,"application rate too high - soil conc. will exceed limit",
  IF(AW40&gt;450*0.9,"soil conc. is at or above 90% of the limit",
  IF(10*BP40*1000/3000+BQ40&gt;450,"soil limit likely to be exceeded in 10yrs",
  IF(50*BP40*1000/3000+BQ40&gt;450,"soil limit likely to be exceeded in 50yrs","ok")))))
))))))))</f>
        <v/>
      </c>
    </row>
    <row r="41" spans="2:71" s="9" customFormat="1" ht="15" x14ac:dyDescent="0.25">
      <c r="B41" s="236" t="str">
        <f ca="1">'Soil results'!B44</f>
        <v/>
      </c>
      <c r="C41" s="91" t="str">
        <f ca="1">IF(B41="","",
IF(AND('Field information 2'!$O$5="", 'Field information 2'!$Q$5=""),
   IF('Waste results'!$S$12&lt;&gt;"data missing", Calc!BC39*'Waste results'!$S$12, "data missing"),
IF('Field information 2'!$Q$5="",
   IF(Calc!BD39=0,
     IF('Waste results'!$S$12&lt;&gt;"data missing", Calc!BC39*'Waste results'!$S$12, "data missing"),
   IF(Calc!BC39=0,
     IF('Waste results'!$S$48&lt;&gt;"data missing", Calc!BD39*'Waste results'!$S$48, "data missing"),
   IF(OR('Waste results'!$S$12&lt;&gt;"data missing", 'Waste results'!$S$48&lt;&gt;"data missing"), Calc!BC39*'Waste results'!$S$12+ Calc!BD39*'Waste results'!$S$48, "data missing"))),
IF(AND('Field information 2'!$M$5&lt;&gt;"", 'Field information 2'!$O$5&lt;&gt;"", 'Field information 2'!$Q$5&lt;&gt;""),
   IF(AND(Calc!BD39=0,Calc!BE39=0),
     IF('Waste results'!$S$12&lt;&gt;"data missing", Calc!BC39*'Waste results'!$S$12, "data missing"),
   IF(AND(Calc!BC39=0,Calc!BE39=0),
     IF('Waste results'!$S$48&lt;&gt;"data missing", Calc!BD39*'Waste results'!$S$48, "data missing"),
   IF(AND(Calc!BC39=0,Calc!BD39=0),
     IF('Waste results'!$S$84&lt;&gt;"data missing", Calc!BE39*'Waste results'!$S$84, "data missing"),
   IF(Calc!BE39=0,
     IF(OR('Waste results'!$S$12&lt;&gt;"data missing", 'Waste results'!$S$48&lt;&gt;"data missing"), Calc!BC39*'Waste results'!$S$12+ Calc!BD39*'Waste results'!$S$48, "data missing"),
   IF(Calc!BD39=0,
     IF(OR('Waste results'!$S$12&lt;&gt;"data missing", 'Waste results'!$S$84&lt;&gt;"data missing"), Calc!BC39*'Waste results'!$S$12+ Calc!BE39*'Waste results'!$S$84, "data missing"),
   IF(Calc!BC39=0,
     IF(OR('Waste results'!$S$48&lt;&gt;"data missing", 'Waste results'!$S$84&lt;&gt;"data missing"), Calc!BD39*'Waste results'!$S$48+Calc!BE39*'Waste results'!$S$84, "data missing"),
   IF(OR('Waste results'!$S$12&lt;&gt;"data missing", 'Waste results'!$S$48&lt;&gt;"data missing", 'Waste results'!$S$84&lt;&gt;"data missing"), Calc!BC39*'Waste results'!$S$12+Calc!BD39*'Waste results'!$S$48+ Calc!BE39*'Waste results'!$S$84, "data missing")))))))))))</f>
        <v/>
      </c>
      <c r="D41" s="161" t="str">
        <f ca="1">IF(B41="","",
IF(Calc!BG39="","soil texture missing",
IF(OR(Calc!BG39="SL; SZL; ZL",Calc!BG39="SCL; CL; ZCL; SC; ZC; C"),VLOOKUP(Calc!BI39,'Fertiliser recommendations'!$A$4:$C$63,3,FALSE),
IF(Calc!BG39="S; LS",VLOOKUP(Calc!BI39,'Fertiliser recommendations'!$A$4:$C$63,3,FALSE)+VLOOKUP(Calc!BI39,'Fertiliser recommendations'!$A$4:$D$63,4,FALSE),
IF(Calc!BG39="10-25% OM",VLOOKUP(Calc!BI39,'Fertiliser recommendations'!$A$4:$C$63,3,FALSE)+VLOOKUP(Calc!BI39,'Fertiliser recommendations'!$A$4:$E$63,5,FALSE),
IF(Calc!BG39="&gt;25% OM",VLOOKUP(Calc!BI39,'Fertiliser recommendations'!$A$4:$C$63,3,FALSE)+VLOOKUP(Calc!BI39,'Fertiliser recommendations'!$A$4:$F$63,6,FALSE),
""))))))</f>
        <v/>
      </c>
      <c r="E41" s="91" t="str">
        <f t="shared" ca="1" si="0"/>
        <v/>
      </c>
      <c r="F41" s="9" t="str">
        <f ca="1">IF(B41="","",
IF(OR(C41="data missing",D41="soil texture missing"),"data missing",
IF(Calc!BF39=0,"n/a",
IF(C41&lt;0.1*D41,"no benefit",
IF(C41&lt;0.3*D41,"limited benefit",
IF(C41&gt;250,"exceeds limit",
IF(OR(AND(D41=0,C41&gt;75),C41&gt;1.25*D41),"excessive",
IF(D41=0, "no requirement",
"benefit"))))))))</f>
        <v/>
      </c>
      <c r="H41" s="91" t="str">
        <f ca="1">IF(B41="","",
IF(AND('Field information 2'!$O$5="", 'Field information 2'!$Q$5=""),
   IF('Waste results'!$S$17&lt;&gt;"data missing", Calc!BC39*'Waste results'!$S$17, "data missing"),
IF('Field information 2'!$Q$5="",
   IF(Calc!BD39=0,
     IF('Waste results'!$S$17&lt;&gt;"data missing", Calc!BC39*'Waste results'!$S$17, "data missing"),
   IF(Calc!BC39=0,
     IF('Waste results'!$S$53&lt;&gt;"data missing", Calc!BD39*'Waste results'!$S$53, "data missing"),
   IF(OR('Waste results'!$S$17&lt;&gt;"data missing", 'Waste results'!$S$53&lt;&gt;"data missing"), Calc!BC39*'Waste results'!$S$17+ Calc!BD39*'Waste results'!$S$53, "data missing"))),
IF(AND('Field information 2'!$M$5&lt;&gt;"", 'Field information 2'!$O$5&lt;&gt;"", 'Field information 2'!$Q$5&lt;&gt;""),
   IF(AND(Calc!BD39=0,Calc!BE39=0),
     IF('Waste results'!$S$17&lt;&gt;"data missing", Calc!BC39*'Waste results'!$S$17, "data missing"),
   IF(AND(Calc!BC39=0,Calc!BE39=0),
     IF('Waste results'!$S$53&lt;&gt;"data missing", Calc!BD39*'Waste results'!$S$53, "data missing"),
   IF(AND(Calc!BC39=0,Calc!BD39=0),
     IF('Waste results'!$S$89&lt;&gt;"data missing", Calc!BE39*'Waste results'!$S$89, "data missing"),
   IF(Calc!BE39=0,
     IF(OR('Waste results'!$S$17&lt;&gt;"data missing", 'Waste results'!$S$53&lt;&gt;"data missing"), Calc!BC39*'Waste results'!$S$17+ Calc!BD39*'Waste results'!$S$53, "data missing"),
   IF(Calc!BD39=0,
     IF(OR('Waste results'!$S$17&lt;&gt;"data missing", 'Waste results'!$S$89&lt;&gt;"data missing"), Calc!BC39*'Waste results'!$S$17+ Calc!BE39*'Waste results'!$S$89, "data missing"),
   IF(Calc!BC39=0,
     IF(OR('Waste results'!$S$53&lt;&gt;"data missing", 'Waste results'!$S$89&lt;&gt;"data missing"), Calc!BD39*'Waste results'!$S$53+Calc!BE39*'Waste results'!$S$89, "data missing"),
   IF(OR('Waste results'!$S$17&lt;&gt;"data missing", 'Waste results'!$S$53&lt;&gt;"data missing", 'Waste results'!$S$89&lt;&gt;"data missing"), Calc!BC39*'Waste results'!$S$17+Calc!BD39*'Waste results'!$S$53+ Calc!BE39*'Waste results'!$S$89, "data missing")))))))))))</f>
        <v/>
      </c>
      <c r="I41" s="195" t="str">
        <f ca="1">IF(B41="","",
IF(OR(ISBLANK('Soil results'!G44), ISBLANK('Soil results'!G$7)),"data missing",
IF(OR(AND('Soil results'!G$7="Olsen (ADAS)",'Soil results'!G44&lt;16),AND('Soil results'!G$7="modified Morgan (SAC)",'Soil results'!G44&lt;4.5)),50,100)))</f>
        <v/>
      </c>
      <c r="J41" s="49" t="str">
        <f ca="1">IF(B41="","",
IF(OR(ISBLANK('Soil results'!G$7),ISBLANK('Soil results'!G44)),"data missing",
IF(OR(AND('Soil results'!G$7="Olsen (ADAS)",'Soil results'!G44&gt;45),AND('Soil results'!G$7="modified Morgan (SAC)",'Soil results'!G44&gt;30)),0,
IF(OR(AND('Soil results'!G$7="Olsen (ADAS)",'Soil results'!G44&gt;=16,'Soil results'!G44&lt;=20),AND('Soil results'!G$7="modified Morgan (SAC)",'Soil results'!G44&gt;=4.5,'Soil results'!G44&lt;=9.4)),VLOOKUP(Calc!BI39,'Fertiliser recommendations'!$A$4:$I$63,9,FALSE),
IF(OR(AND('Soil results'!G$7="Olsen (ADAS)",'Soil results'!G44&lt;10),AND('Soil results'!G$7="modified Morgan (SAC)",'Soil results'!G44&lt;1.8)),VLOOKUP(Calc!BI39,'Fertiliser recommendations'!$A$4:$I$63,9,FALSE)+VLOOKUP(Calc!BI39,'Fertiliser recommendations'!$A$4:$J$63,10,FALSE),
IF(OR(AND('Soil results'!G$7="Olsen (ADAS)",'Soil results'!G44&lt;16),AND('Soil results'!G$7="modified Morgan (SAC)",'Soil results'!G44&lt;4.5)),VLOOKUP(Calc!BI39,'Fertiliser recommendations'!$A$4:$I$63,9,FALSE)+VLOOKUP(Calc!BI39,'Fertiliser recommendations'!$A$4:$K$63,11,FALSE),
IF(OR(AND('Soil results'!G$7="Olsen (ADAS)",'Soil results'!G44&lt;26),AND('Soil results'!G$7="modified Morgan (SAC)",'Soil results'!G44&lt;13.5)),VLOOKUP(Calc!BI39,'Fertiliser recommendations'!$A$4:$I$63,9,FALSE)+VLOOKUP(Calc!BI39,'Fertiliser recommendations'!$A$4:$L$63,12,FALSE),
IF(OR(AND('Soil results'!G$7="Olsen (ADAS)",'Soil results'!G44&lt;=45),AND('Soil results'!G$7="modified Morgan (SAC)",'Soil results'!G44&lt;=30)),VLOOKUP(Calc!BI39,'Fertiliser recommendations'!$A$4:$I$63,9,FALSE)+VLOOKUP(Calc!BI39,'Fertiliser recommendations'!$A$4:$M$63,13,FALSE),
""))))))))</f>
        <v/>
      </c>
      <c r="K41" s="161" t="str">
        <f t="shared" ca="1" si="1"/>
        <v/>
      </c>
      <c r="L41" s="47" t="str">
        <f ca="1">IF(OR(ISBLANK('Soil results'!G$7),ISBLANK('Soil results'!G44),B41="", H41="data missing"),"",
IF('Soil results'!G$7="Olsen (ADAS)",
IF(((H41*Calc!BM39/2.291-(VLOOKUP(Calc!BI39,'Fertiliser recommendations'!$A$4:$I$63,9,FALSE))/2.291)*10/(400/2.291)+'Soil results'!G44)&lt;10,"0 (VL)",
IF(((H41*Calc!BM39/2.291-(VLOOKUP(Calc!BI39,'Fertiliser recommendations'!$A$4:$I$63,9,FALSE))/2.291)*10/(400/2.291)+'Soil results'!G44)&lt;16,"1 (L)",
IF(((H41*Calc!BM39/2.291-(VLOOKUP(Calc!BI39,'Fertiliser recommendations'!$A$4:$I$63,9,FALSE))/2.291)*10/(400/2.291)+'Soil results'!G44)&lt;21,"2 (M-)",
IF(((H41*Calc!BM39/2.291-(VLOOKUP(Calc!BI39,'Fertiliser recommendations'!$A$4:$I$63,9,FALSE))/2.291)*10/(400/2.291)+'Soil results'!G44)&lt;26,"2 (M+)",
IF(((H41*Calc!BM39/2.291-(VLOOKUP(Calc!BI39,'Fertiliser recommendations'!$A$4:$I$63,9,FALSE))/2.291)*10/(400/2.291)+'Soil results'!G44)&lt;45,"3 (H)","&gt;3 (VH)"))))),
IF('Soil results'!G$7="modified Morgan (SAC)",
IF('Soil results'!G44&gt;=6,
IF(((H41*Calc!BM39/2.291-(VLOOKUP(Calc!BI39,'Fertiliser recommendations'!$A$4:$I$63,9,FALSE))/2.291)*5/(147/2.291)+'Soil results'!G44)&lt;9.5,"2 (M-)",
IF(((H41*Calc!BM39/2.291-(VLOOKUP(Calc!BI39,'Fertiliser recommendations'!$A$4:$I$63,9,FALSE))/2.291)*5/(147/2.291)+'Soil results'!G44)&lt;13.5,"2 (M+)",
IF(((H41*Calc!BM39/2.291-(VLOOKUP(Calc!BI39,'Fertiliser recommendations'!$A$4:$I$63,9,FALSE))/2.291)*5/(147/2.291)+'Soil results'!G44)&lt;30,"3 (H)","4 (VH)"))),
IF(((H41*Calc!BM39/2.291-(VLOOKUP(Calc!BI39,'Fertiliser recommendations'!$A$4:$I$63,9,FALSE))/2.291)*5/(346/2.291)+'Soil results'!G44)&lt;1.8,"0 (VL)",
IF(((H41*Calc!BM39/2.291-(VLOOKUP(Calc!BI39,'Fertiliser recommendations'!$A$4:$I$63,9,FALSE))/2.291)*5/(147/2.291)+'Soil results'!G44)&lt;4.5,"1 (L)","2 (M-)"))))))</f>
        <v/>
      </c>
      <c r="M41" s="9" t="str">
        <f ca="1">IF(B41="","",
IF(OR(H41="data missing",I41="data missing",J41="data missing"),"data missing",
IF(Calc!BF39=0,"n/a",
IF(OR(AND('Soil results'!G$7="Olsen (ADAS)",'Soil results'!G44&gt;45),AND('Soil results'!G$7="modified Morgan (SAC)",'Soil results'!G44&gt;30)),
IF(H41&gt;2,"too high, not acceptable","no requirement"),IF(OR(AND('Soil results'!G$7="Olsen (ADAS)",'Soil results'!G44&gt;25),AND('Soil results'!G$7="modified Morgan (SAC)",'Soil results'!G44&gt;13.4)),
IF(H41*(I41/100)&lt;0.1*J41,"no benefit",
IF(H41*(I41/100)&lt;0.3*J41,"limited benefit",
IF(H41*(I41/100)&lt;1.1*J41,"benefit",
IF(H41*(I41/100)&lt;0.7*VLOOKUP(Calc!BI39,'Fertiliser recommendations'!$A$4:$I$63,9,FALSE),"excessive","too high, not acceptable")))),
IF(OR(AND('Soil results'!G$7="Olsen (ADAS)",'Soil results'!G44&gt;20),AND('Soil results'!G$7="modified Morgan (SAC)",'Soil results'!G44&gt;9.4)),
IF(H41*Calc!BM39*(I41/100)&lt;0.1*J41,"no benefit",
IF(H41*Calc!BM39*(I41/100)&lt;0.3*J41,"limited benefit",
IF(H41*Calc!BM39*(I41/100)&lt;1.1*J41,"benefit",
IF(L41="3 (H)","too high, not acceptable","excessive")))),
IF(OR(AND('Soil results'!G$7="Olsen (ADAS)",'Soil results'!G44&gt;15),AND('Soil results'!G$7="modified Morgan (SAC)",'Soil results'!G44&gt;4.4)),
IF(H41*Calc!BM39*(I41/100)&lt;0.1*VLOOKUP(Calc!BI39,'Fertiliser recommendations'!$A$4:$I$63,9,FALSE),"no benefit",
IF(H41*Calc!BM39*(I41/100)&lt;0.3*VLOOKUP(Calc!BI39,'Fertiliser recommendations'!$A$4:$I$63,9,FALSE),"limited benefit",
IF(H41*Calc!BM39*(I41/100)&lt;1.1*VLOOKUP(Calc!BI39,'Fertiliser recommendations'!$A$4:$I$63,9,FALSE),"benefit",
IF(L41="3 (H)", "too high, not acceptable", "excessive")))),
IF(OR(AND('Soil results'!G$7="Olsen (ADAS)",'Soil results'!G44&lt;=15),AND('Soil results'!G$7="modified Morgan (SAC)",'Soil results'!G44&lt;=4.4)),
IF(H41*Calc!BM39*(I41/100)&lt;0.1*VLOOKUP(Calc!BI39,'Fertiliser recommendations'!$A$4:$I$63,9,FALSE),"no benefit",
IF(H41*Calc!BM39*(I41/100)&lt;0.3*VLOOKUP(Calc!BI39,'Fertiliser recommendations'!$A$4:$I$63,9,FALSE),"limited benefit",
IF(H41*Calc!BM39*(I41/100)&lt;1.1*J41,"benefit","excessive")))))))))))</f>
        <v/>
      </c>
      <c r="O41" s="91" t="str">
        <f ca="1">IF(B41="","",
IF(AND('Field information 2'!$O$5="", 'Field information 2'!$Q$5=""),
   IF('Waste results'!$S$19&lt;&gt;"data missing", Calc!BC39*'Waste results'!$S$19, "data missing"),
IF('Field information 2'!$Q$5="",
   IF(Calc!BD39=0,
     IF('Waste results'!$S$19&lt;&gt;"data missing", Calc!BC39*'Waste results'!$S$19, "data missing"),
   IF(Calc!BC39=0,
     IF('Waste results'!$S$55&lt;&gt;"data missing", Calc!BD39*'Waste results'!$S$55, "data missing"),
   IF(OR('Waste results'!$S$19&lt;&gt;"data missing", 'Waste results'!$S$55&lt;&gt;"data missing"), Calc!BC39*'Waste results'!$S$19+ Calc!BD39*'Waste results'!$S$55, "data missing"))),
IF(AND('Field information 2'!$M$5&lt;&gt;"", 'Field information 2'!$O$5&lt;&gt;"", 'Field information 2'!$Q$5&lt;&gt;""),
   IF(AND(Calc!BD39=0,Calc!BE39=0),
     IF('Waste results'!$S$19&lt;&gt;"data missing", Calc!BC39*'Waste results'!$S$19, "data missing"),
   IF(AND(Calc!BC39=0,Calc!BE39=0),
     IF('Waste results'!$S$55&lt;&gt;"data missing", Calc!BD39*'Waste results'!$S$55, "data missing"),
   IF(AND(Calc!BC39=0,Calc!BD39=0),
     IF('Waste results'!$S$91&lt;&gt;"data missing", Calc!BE39*'Waste results'!$S$91, "data missing"),
   IF(Calc!BE39=0,
     IF(OR('Waste results'!$S$19&lt;&gt;"data missing", 'Waste results'!$S$55&lt;&gt;"data missing"), Calc!BC39*'Waste results'!$S$19+ Calc!BD39*'Waste results'!$S$55, "data missing"),
   IF(Calc!BD39=0,
     IF(OR('Waste results'!$S$19&lt;&gt;"data missing", 'Waste results'!$S$91&lt;&gt;"data missing"), Calc!BC39*'Waste results'!$S$19+ Calc!BE39*'Waste results'!$S$91, "data missing"),
   IF(Calc!BC39=0,
     IF(OR('Waste results'!$S$55&lt;&gt;"data missing", 'Waste results'!$S$91&lt;&gt;"data missing"), Calc!BD39*'Waste results'!$S$55+Calc!BE39*'Waste results'!$S$91, "data missing"),
   IF(OR('Waste results'!$S$19&lt;&gt;"data missing", 'Waste results'!$S$55&lt;&gt;"data missing", 'Waste results'!$S$91&lt;&gt;"data missing"), Calc!BC39*'Waste results'!$S$19+Calc!BD39*'Waste results'!$S$55+ Calc!BE39*'Waste results'!$S$91, "data missing")))))))))))</f>
        <v/>
      </c>
      <c r="P41" s="91" t="str">
        <f ca="1">IF(B41="","",
IF(OR(ISBLANK('Soil results'!H$7),ISBLANK('Soil results'!H44)),"data missing",
IF(OR(AND('Soil results'!H$7="ammonium nitrate (ADAS)",'Soil results'!H44&gt;400),AND('Soil results'!H$7="modified Morgan (SAC)",'Soil results'!H44&gt;400)),0,
IF(OR(AND('Soil results'!H$7="ammonium nitrate (ADAS)",'Soil results'!H44&gt;=121,'Soil results'!H44&lt;=180),AND('Soil results'!H$7="modified Morgan (SAC)",'Soil results'!H44&gt;=76,'Soil results'!H44&lt;=140)),VLOOKUP(Calc!BI39,'Fertiliser recommendations'!$A$4:$Z$63,26,FALSE),
IF(OR(AND('Soil results'!H$7="ammonium nitrate (ADAS)",'Soil results'!H44&lt;61),AND('Soil results'!H$7="modified Morgan (SAC)",'Soil results'!H44&lt;40)),VLOOKUP(Calc!BI39,'Fertiliser recommendations'!$A$4:$Z$63,26,FALSE)+VLOOKUP(Calc!BI39,'Fertiliser recommendations'!$A$4:$AA$63,27,FALSE),
IF(OR(AND('Soil results'!H$7="ammonium nitrate (ADAS)",'Soil results'!H44&lt;121),AND('Soil results'!H$7="modified Morgan (SAC)",'Soil results'!H44&lt;76)),VLOOKUP(Calc!BI39,'Fertiliser recommendations'!$A$4:$Z$63,26,FALSE)+VLOOKUP(Calc!BI39,'Fertiliser recommendations'!$A$4:$AB$63,28,FALSE),
IF(OR(AND('Soil results'!H$7="ammonium nitrate (ADAS)",'Soil results'!H44&lt;241),AND('Soil results'!H$7="modified Morgan (SAC)",'Soil results'!H44&lt;201)),VLOOKUP(Calc!BI39,'Fertiliser recommendations'!$A$4:$Z$63,26,FALSE)+VLOOKUP(Calc!BI39,'Fertiliser recommendations'!$A$4:$AC$63,29,FALSE),
IF(OR(AND('Soil results'!H$7="ammonium nitrate (ADAS)",'Soil results'!H44&lt;=400),AND('Soil results'!H$7="modified Morgan (SAC)",'Soil results'!H44&lt;=400)),VLOOKUP(Calc!BI39,'Fertiliser recommendations'!$A$4:$Z$63,26,FALSE)+VLOOKUP(Calc!BI39,'Fertiliser recommendations'!$A$4:$AD$63,30,FALSE),
"??"))))))))</f>
        <v/>
      </c>
      <c r="Q41" s="91" t="str">
        <f t="shared" ca="1" si="2"/>
        <v/>
      </c>
      <c r="R41" s="9" t="str">
        <f ca="1">IF(B41="","",
IF(OR(O41="data missing",P41="data missing"),"data missing",
IF(Calc!BF39=0,"n/a",
IF(P41=0, "no requirement",
IF(O41&lt;0.1*P41,"no benefit",
IF(O41&lt;0.3*P41,"limited benefit",
IF(O41&gt;1.25*P41,"excessive",
"benefit")))))))</f>
        <v/>
      </c>
      <c r="T41" s="91" t="str">
        <f ca="1">IF(B41="","",
IF(AND('Field information 2'!$O$5="", 'Field information 2'!$Q$5=""),
   IF('Waste results'!$S$21&lt;&gt;"data missing", Calc!BC39*'Waste results'!$S$21, "data missing"),
IF('Field information 2'!$Q$5="",
   IF(Calc!BD39=0,
     IF('Waste results'!$S$21&lt;&gt;"data missing", Calc!BC39*'Waste results'!$S$21, "data missing"),
   IF(Calc!BC39=0,
     IF('Waste results'!$S$57&lt;&gt;"data missing", Calc!BD39*'Waste results'!$S$57, "data missing"),
   IF(OR('Waste results'!$S$21&lt;&gt;"data missing", 'Waste results'!$S$57&lt;&gt;"data missing"), Calc!BC39*'Waste results'!$S$21+ Calc!BD39*'Waste results'!$S$57, "data missing"))),
IF(AND('Field information 2'!$M$5&lt;&gt;"", 'Field information 2'!$O$5&lt;&gt;"", 'Field information 2'!$Q$5&lt;&gt;""),
   IF(AND(Calc!BD39=0,Calc!BE39=0),
     IF('Waste results'!$S$21&lt;&gt;"data missing", Calc!BC39*'Waste results'!$S$21, "data missing"),
   IF(AND(Calc!BC39=0,Calc!BE39=0),
     IF('Waste results'!$S$57&lt;&gt;"data missing", Calc!BD39*'Waste results'!$S$57, "data missing"),
   IF(AND(Calc!BC39=0,Calc!BD39=0),
     IF('Waste results'!$S$93&lt;&gt;"data missing", Calc!BE39*'Waste results'!$S$93, "data missing"),
   IF(Calc!BE39=0,
     IF(OR('Waste results'!$S$21&lt;&gt;"data missing", 'Waste results'!$S$57&lt;&gt;"data missing"), Calc!BC39*'Waste results'!$S$21+ Calc!BD39*'Waste results'!$S$57, "data missing"),
   IF(Calc!BD39=0,
     IF(OR('Waste results'!$S$21&lt;&gt;"data missing", 'Waste results'!$S$93&lt;&gt;"data missing"), Calc!BC39*'Waste results'!$S$21+ Calc!BE39*'Waste results'!$S$93, "data missing"),
   IF(Calc!BC39=0,
     IF(OR('Waste results'!$S$57&lt;&gt;"data missing", 'Waste results'!$S$93&lt;&gt;"data missing"), Calc!BD39*'Waste results'!$S$57+Calc!BE39*'Waste results'!$S$93, "data missing"),
   IF(OR('Waste results'!$S$21&lt;&gt;"data missing", 'Waste results'!$S$57&lt;&gt;"data missing", 'Waste results'!$S$93&lt;&gt;"data missing"), Calc!BC39*'Waste results'!$S$21+Calc!BD39*'Waste results'!$S$57+ Calc!BE39*'Waste results'!$S$93, "data missing")))))))))))</f>
        <v/>
      </c>
      <c r="U41" s="7" t="str">
        <f ca="1">IF(B41="","",
IF(OR(ISBLANK('Soil results'!I$7),ISBLANK('Soil results'!I44)),"data missing",
IF(OR(AND('Soil results'!I$7="ammonium nitrate (ADAS)",'Soil results'!I44&gt;51),AND('Soil results'!I$7="modified Morgan (SAC)",'Soil results'!I44&gt;61)),0,
IF(OR(AND('Soil results'!I$7="ammonium nitrate (ADAS)",'Soil results'!I44&lt;25),AND('Soil results'!I$7="modified Morgan (SAC)",'Soil results'!I44&lt;19)),VLOOKUP(Calc!BI39,'Fertiliser recommendations'!$A$4:$AH$63,34,FALSE),
IF(OR(AND('Soil results'!I$7="ammonium nitrate (ADAS)",'Soil results'!I44&lt;=51),AND('Soil results'!I$7="modified Morgan (SAC)",'Soil results'!I44&lt;=61)),VLOOKUP(Calc!BI39,'Fertiliser recommendations'!$A$4:$AI$63,35,FALSE),
"")))))</f>
        <v/>
      </c>
      <c r="V41" s="91" t="str">
        <f t="shared" ca="1" si="3"/>
        <v/>
      </c>
      <c r="W41" s="9" t="str">
        <f ca="1">IF(B41="","",
IF(OR(T41="data missing",U41="data missing"),"data missing",
IF(Calc!BF39=0,"n/a",
IF(U41=0,"no requirement",
IF(T41&lt;0.1*U41,"no benefit",
IF(T41&lt;0.3*U41,"limited benefit",
IF(OR(T41&gt;1.5*U41,AND(Calc!BJ39="g",T41&gt;100)),"excessive",
"benefit")))))))</f>
        <v/>
      </c>
      <c r="Y41" s="91" t="str">
        <f ca="1">IF(B41="","",
IF(AND('Field information 2'!$O$5="", 'Field information 2'!$Q$5=""),
   IF('Waste results'!$P$23&lt;&gt;"", Calc!BC39*'Waste results'!$P$23, "no data"),
IF('Field information 2'!$Q$5="",
   IF(Calc!BD39=0,
     IF('Waste results'!$P$23&lt;&gt;"", Calc!BC39*'Waste results'!$P$23, "no data"),
   IF(Calc!BC39=0,
     IF('Waste results'!$P$59&lt;&gt;"", Calc!BD39*'Waste results'!$P$59, "no data"),
   IF(OR('Waste results'!$P$23&lt;&gt;"", 'Waste results'!$P$59&lt;&gt;""), Calc!BC39*'Waste results'!$P$23+ Calc!BD39*'Waste results'!$P$59, "no data"))),
IF(AND('Field information 2'!$M$5&lt;&gt;"", 'Field information 2'!$O$5&lt;&gt;"", 'Field information 2'!$Q$5&lt;&gt;""),
   IF(AND(Calc!BD39=0,Calc!BE39=0),
     IF('Waste results'!$P$23&lt;&gt;"", Calc!BC39*'Waste results'!$P$23, "no data"),
   IF(AND(Calc!BC39=0,Calc!BE39=0),
     IF('Waste results'!$P$59&lt;&gt;"", Calc!BD39*'Waste results'!$P$59, "no data"),
   IF(AND(Calc!BC39=0,Calc!BD39=0),
     IF('Waste results'!$P$95&lt;&gt;"", Calc!BE39*'Waste results'!$P$95, "no data"),
   IF(Calc!BE39=0,
     IF(OR('Waste results'!$P$23&lt;&gt;"", 'Waste results'!$P$59&lt;&gt;""), Calc!BC39*'Waste results'!$P$23+ Calc!BD39*'Waste results'!$P$59, "no data"),
   IF(Calc!BD39=0,
     IF(OR('Waste results'!$P$23&lt;&gt;"", 'Waste results'!$P$95&lt;&gt;""), Calc!BC39*'Waste results'!$P$23+ Calc!BE39*'Waste results'!$P$95, "no data"),
   IF(Calc!BC39=0,
     IF(OR('Waste results'!$P$59&lt;&gt;"", 'Waste results'!$P$95&lt;&gt;""), Calc!BD39*'Waste results'!$P$59+Calc!BE39*'Waste results'!$P$95, "no data"),
   IF(OR('Waste results'!$P$23&lt;&gt;"", 'Waste results'!$P$59&lt;&gt;"", 'Waste results'!$P$95&lt;&gt;""), Calc!BC39*'Waste results'!$P$23+Calc!BD39*'Waste results'!$P$59+ Calc!BE39*'Waste results'!$P$95, "no data")))))))))))</f>
        <v/>
      </c>
      <c r="Z41" s="7" t="str">
        <f ca="1">IF(OR(ISBLANK('Soil results'!I$7),ISBLANK('Soil results'!I44),'Soil results'!B44=""),"",
VLOOKUP(Calc!BI39,'Fertiliser recommendations'!$A$4:$AM$63,39,FALSE))</f>
        <v/>
      </c>
      <c r="AA41" s="91" t="str">
        <f t="shared" ca="1" si="4"/>
        <v/>
      </c>
      <c r="AB41" s="9" t="str">
        <f t="shared" ca="1" si="5"/>
        <v/>
      </c>
      <c r="AD41" s="48" t="str">
        <f>IF(ISBLANK('Soil results'!F44),"",'Soil results'!F44)</f>
        <v/>
      </c>
      <c r="AE41" s="49" t="str">
        <f ca="1">IF(B41="","",
IF(AND(Calc!BJ39="g", VLOOKUP(LEFT($B41,LEN($B41)-2),'Field information 2'!$B$12:$P$111,9,FALSE)&lt;&gt;"yes"),
 IF(Calc!BG39="10-25% OM", 5.9, IF(Calc!BG39="&gt;25% OM", 5.5, 6.2)),
IF(OR(Calc!BJ39="a", VLOOKUP(LEFT($B41,LEN($B41)-2),'Field information 2'!$B$12:$P$111,9,FALSE)="yes"),
 IF(Calc!BG39="10-25% OM", 6.4, IF(Calc!BG39="&gt;25% OM", 6, 6.7)), "")))</f>
        <v/>
      </c>
      <c r="AF41" s="91" t="str">
        <f ca="1">IF(B41="","",
IF('Waste results'!$Q$33="","no (significant) liming properties",
IF('Waste results'!Q$33&gt;100,"no (significant) liming properties",
IF(AD41="","",
IF(AD41&gt;=AE41,0,ROUNDDOWN((AE41-AD41)*Calc!BK39*'Waste results'!$Q$33+0.2,0))))))</f>
        <v/>
      </c>
      <c r="AG41" s="9" t="str">
        <f ca="1">IF(B41="","",
IF(T41=0,"n/a",
IF(AD41="","data missing",
IF(AND(AD41&lt;5,AF41="no (significant) liming properties"),"no waste application - pH too low",
IF(AND(AD41&gt;5.1,AF41="no (significant) liming properties",Calc!BH39&gt;25, LEFT(Calc!BI39,4)="graz"),"ok",
IF(AND(AD41&lt;=5.2,AF41="no (significant) liming properties"),"liming highly recommended",
IF(AF41=0,"no waste application - liming not required",
IF(AF41&lt;Calc!BC39,"application rate too high - exceeds liming requirement",
"ok"))))))))</f>
        <v/>
      </c>
      <c r="AI41" s="91" t="str">
        <f ca="1">IF(B41="","",
IF(AND('Field information 2'!$O$5="", 'Field information 2'!$Q$5=""),
   IF('Waste results'!$P$10&lt;&gt;"data missing", Calc!BC39*'Waste results'!$P$10, "data missing"),
IF('Field information 2'!$Q$5="",
   IF(Calc!BD39=0,
     IF('Waste results'!$P$10&lt;&gt;"data missing", Calc!BC39*'Waste results'!$P$10, "data missing"),
   IF(Calc!BC39=0,
     IF('Waste results'!$P$45&lt;&gt;"data missing", Calc!BD39*'Waste results'!$P$45, "data missing"),
   IF(OR('Waste results'!$P$10&lt;&gt;"data missing", 'Waste results'!$P$45&lt;&gt;"data missing"), Calc!BC39*'Waste results'!$P$10+ Calc!BD39*'Waste results'!$P$45, "data missing"))),
IF(AND('Field information 2'!$M$5&lt;&gt;"", 'Field information 2'!$O$5&lt;&gt;"", 'Field information 2'!$Q$5&lt;&gt;""),
   IF(AND(Calc!BD39=0,Calc!BE39=0),
     IF('Waste results'!$P$10&lt;&gt;"data missing", Calc!BC39*'Waste results'!$P$10, "data missing"),
   IF(AND(Calc!BC39=0,Calc!BE39=0),
     IF('Waste results'!$P$45&lt;&gt;"data missing", Calc!BD39*'Waste results'!$P$45, "data missing"),
   IF(AND(Calc!BC39=0,Calc!BD39=0),
     IF('Waste results'!$P$82&lt;&gt;"data missing", Calc!BE39*'Waste results'!$P$82, "data missing"),
   IF(Calc!BE39=0,
     IF(OR('Waste results'!$P$10&lt;&gt;"data missing", 'Waste results'!$P$45&lt;&gt;"data missing"), Calc!BC39*'Waste results'!$P$10+ Calc!BD39*'Waste results'!$P$45, "data missing"),
   IF(Calc!BD39=0,
     IF(OR('Waste results'!$P$10&lt;&gt;"data missing", 'Waste results'!$P$82&lt;&gt;"data missing"), Calc!BC39*'Waste results'!$P$10+ Calc!BE39*'Waste results'!$P$82, "data missing"),
   IF(Calc!BC39=0,
     IF(OR('Waste results'!$P$45&lt;&gt;"data missing", 'Waste results'!$P$82&lt;&gt;"data missing"), Calc!BD39*'Waste results'!$P$45+Calc!BE39*'Waste results'!$P$82, "data missing"),
   IF(OR('Waste results'!$P$10&lt;&gt;"data missing", 'Waste results'!$P$45&lt;&gt;"data missing", 'Waste results'!$P$82&lt;&gt;"data missing"), Calc!BC39*'Waste results'!$P$10+Calc!BD39*'Waste results'!$P$45+ Calc!BE39*'Waste results'!$P$82, "data missing")))))))))))</f>
        <v/>
      </c>
      <c r="AJ41" s="237" t="str">
        <f ca="1">IF(B41="","",
IF(AI41="data missing","data missing",
IF(Calc!BF39=0,"n/a",
IF(AND(Calc!BH39&gt;=8,AI41&lt;500),"no benefit",
IF(OR(AND(Calc!BH39&lt;=4,AI41&gt;=500),AND(Calc!BH39&lt;8,AI41&gt;5000)),"benefit",
"limited benefit")))))</f>
        <v/>
      </c>
      <c r="AL41" s="238" t="str">
        <f ca="1">IF(B41="","",
IF(AND('Field information 2'!$O$5="", 'Field information 2'!$Q$5=""),
   IF('Waste results'!$S$25&lt;&gt;"data missing", Calc!BC39*'Waste results'!$S$25, "data missing"),
IF('Field information 2'!$Q$5="",
   IF(Calc!BD39=0,
     IF('Waste results'!$S$25&lt;&gt;"data missing", Calc!BC39*'Waste results'!$S$25, "data missing"),
   IF(Calc!BC39=0,
     IF('Waste results'!$S$61&lt;&gt;"data missing", Calc!BD39*'Waste results'!$S$61, "data missing"),
   IF(OR('Waste results'!$S$25&lt;&gt;"data missing", 'Waste results'!$S$61&lt;&gt;"data missing"), Calc!BC39*'Waste results'!$S$25+ Calc!BD39*'Waste results'!$S$61, "data missing"))),
IF(AND('Field information 2'!$M$5&lt;&gt;"", 'Field information 2'!$O$5&lt;&gt;"", 'Field information 2'!$Q$5&lt;&gt;""),
   IF(AND(Calc!BD39=0,Calc!BE39=0),
     IF('Waste results'!$S$25&lt;&gt;"data missing", Calc!BC39*'Waste results'!$S$25, "data missing"),
   IF(AND(Calc!BC39=0,Calc!BE39=0),
     IF('Waste results'!$S$61&lt;&gt;"data missing", Calc!BD39*'Waste results'!$S$61, "data missing"),
   IF(AND(Calc!BC39=0,Calc!BD39=0),
     IF('Waste results'!$S$97&lt;&gt;"data missing", Calc!BE39*'Waste results'!$S$97, "data missing"),
   IF(Calc!BE39=0,
     IF(OR('Waste results'!$S$25&lt;&gt;"data missing", 'Waste results'!$S$61&lt;&gt;"data missing"), Calc!BC39*'Waste results'!$S$25+ Calc!BD39*'Waste results'!$S$61, "data missing"),
   IF(Calc!BD39=0,
     IF(OR('Waste results'!$S$25&lt;&gt;"data missing", 'Waste results'!$S$97&lt;&gt;"data missing"), Calc!BC39*'Waste results'!$S$25+ Calc!BE39*'Waste results'!$S$97, "data missing"),
   IF(Calc!BC39=0,
     IF(OR('Waste results'!$S$61&lt;&gt;"data missing", 'Waste results'!$S$97&lt;&gt;"data missing"), Calc!BD39*'Waste results'!$S$61+Calc!BE39*'Waste results'!$S$97, "data missing"),
   IF(OR('Waste results'!$S$25&lt;&gt;"data missing", 'Waste results'!$S$61&lt;&gt;"data missing", 'Waste results'!$S$97&lt;&gt;"data missing"), Calc!BC39*'Waste results'!$S$25+Calc!BD39*'Waste results'!$S$61+ Calc!BE39*'Waste results'!$S$97, "data missing")))))))))))</f>
        <v/>
      </c>
      <c r="AM41" s="239" t="str">
        <f ca="1">IF($B41="","",
IF(ISBLANK('Soil results'!K44),"data missing",'Soil results'!K44))</f>
        <v/>
      </c>
      <c r="AN41" s="239" t="str">
        <f t="shared" ca="1" si="6"/>
        <v/>
      </c>
      <c r="AO41" s="9" t="str">
        <f t="shared" ca="1" si="7"/>
        <v/>
      </c>
      <c r="AQ41" s="240" t="str">
        <f ca="1">IF(B41="","",
IF(AND('Field information 2'!$O$5="", 'Field information 2'!$Q$5=""),
   IF('Waste results'!$S$26&lt;&gt;"data missing", Calc!BC39*'Waste results'!$S$26, "data missing"),
IF('Field information 2'!$Q$5="",
   IF(Calc!BD39=0,
     IF('Waste results'!$S$26&lt;&gt;"data missing", Calc!BC39*'Waste results'!$S$26, "data missing"),
   IF(Calc!BC39=0,
     IF('Waste results'!$S$62&lt;&gt;"data missing", Calc!BD39*'Waste results'!$S$62, "data missing"),
   IF(OR('Waste results'!$S$26&lt;&gt;"data missing", 'Waste results'!$S$62&lt;&gt;"data missing"), Calc!BC39*'Waste results'!$S$26+ Calc!BD39*'Waste results'!$S$62, "data missing"))),
IF(AND('Field information 2'!$M$5&lt;&gt;"", 'Field information 2'!$O$5&lt;&gt;"", 'Field information 2'!$Q$5&lt;&gt;""),
   IF(AND(Calc!BD39=0,Calc!BE39=0),
     IF('Waste results'!$S$26&lt;&gt;"data missing", Calc!BC39*'Waste results'!$S$26, "data missing"),
   IF(AND(Calc!BC39=0,Calc!BE39=0),
     IF('Waste results'!$S$62&lt;&gt;"data missing", Calc!BD39*'Waste results'!$S$62, "data missing"),
   IF(AND(Calc!BC39=0,Calc!BD39=0),
     IF('Waste results'!$S$98&lt;&gt;"data missing", Calc!BE39*'Waste results'!$S$98, "data missing"),
   IF(Calc!BE39=0,
     IF(OR('Waste results'!$S$26&lt;&gt;"data missing", 'Waste results'!$S$62&lt;&gt;"data missing"), Calc!BC39*'Waste results'!$S$26+ Calc!BD39*'Waste results'!$S$62, "data missing"),
   IF(Calc!BD39=0,
     IF(OR('Waste results'!$S$26&lt;&gt;"data missing", 'Waste results'!$S$98&lt;&gt;"data missing"), Calc!BC39*'Waste results'!$S$26+ Calc!BE39*'Waste results'!$S$98, "data missing"),
   IF(Calc!BC39=0,
     IF(OR('Waste results'!$S$62&lt;&gt;"data missing", 'Waste results'!$S$98&lt;&gt;"data missing"), Calc!BD39*'Waste results'!$S$62+Calc!BE39*'Waste results'!$S$98, "data missing"),
   IF(OR('Waste results'!$S$26&lt;&gt;"data missing", 'Waste results'!$S$62&lt;&gt;"data missing", 'Waste results'!$S$98&lt;&gt;"data missing"), Calc!BC39*'Waste results'!$S$26+Calc!BD39*'Waste results'!$S$62+ Calc!BE39*'Waste results'!$S$98, "data missing")))))))))))</f>
        <v/>
      </c>
      <c r="AR41" s="241" t="str">
        <f ca="1">IF($B41="","",
IF(ISBLANK('Soil results'!L44),"data missing",'Soil results'!L44))</f>
        <v/>
      </c>
      <c r="AS41" s="241" t="str">
        <f t="shared" ca="1" si="8"/>
        <v/>
      </c>
      <c r="AT41" s="66" t="str">
        <f t="shared" ca="1" si="9"/>
        <v/>
      </c>
      <c r="AV41" s="238" t="str">
        <f ca="1">IF(B41="","",
IF(AND('Field information 2'!$O$5="", 'Field information 2'!$Q$5=""),
   IF('Waste results'!$S$27&lt;&gt;"data missing", Calc!BC39*'Waste results'!$S$27, "data missing"),
IF('Field information 2'!$Q$5="",
   IF(Calc!BD39=0,
     IF('Waste results'!$S$27&lt;&gt;"data missing", Calc!BC39*'Waste results'!$S$27, "data missing"),
   IF(Calc!BC39=0,
     IF('Waste results'!$S$63&lt;&gt;"data missing", Calc!BD39*'Waste results'!$S$63, "data missing"),
   IF(OR('Waste results'!$S$27&lt;&gt;"data missing", 'Waste results'!$S$63&lt;&gt;"data missing"), Calc!BC39*'Waste results'!$S$27+ Calc!BD39*'Waste results'!$S$63, "data missing"))),
IF(AND('Field information 2'!$M$5&lt;&gt;"", 'Field information 2'!$O$5&lt;&gt;"", 'Field information 2'!$Q$5&lt;&gt;""),
   IF(AND(Calc!BD39=0,Calc!BE39=0),
     IF('Waste results'!$S$27&lt;&gt;"data missing", Calc!BC39*'Waste results'!$S$27, "data missing"),
   IF(AND(Calc!BC39=0,Calc!BE39=0),
     IF('Waste results'!$S$63&lt;&gt;"data missing", Calc!BD39*'Waste results'!$S$63, "data missing"),
   IF(AND(Calc!BC39=0,Calc!BD39=0),
     IF('Waste results'!$S$99&lt;&gt;"data missing", Calc!BE39*'Waste results'!$S$99, "data missing"),
   IF(Calc!BE39=0,
     IF(OR('Waste results'!$S$27&lt;&gt;"data missing", 'Waste results'!$S$63&lt;&gt;"data missing"), Calc!BC39*'Waste results'!$S$27+ Calc!BD39*'Waste results'!$S$63, "data missing"),
   IF(Calc!BD39=0,
     IF(OR('Waste results'!$S$27&lt;&gt;"data missing", 'Waste results'!$S$99&lt;&gt;"data missing"), Calc!BC39*'Waste results'!$S$27+ Calc!BE39*'Waste results'!$S$99, "data missing"),
   IF(Calc!BC39=0,
     IF(OR('Waste results'!$S$63&lt;&gt;"data missing", 'Waste results'!$S$99&lt;&gt;"data missing"), Calc!BD39*'Waste results'!$S$63+Calc!BE39*'Waste results'!$S$99, "data missing"),
   IF(OR('Waste results'!$S$27&lt;&gt;"data missing", 'Waste results'!$S$63&lt;&gt;"data missing", 'Waste results'!$S$99&lt;&gt;"data missing"), Calc!BC39*'Waste results'!$S$27+Calc!BD39*'Waste results'!$S$63+ Calc!BE39*'Waste results'!$S$99, "data missing")))))))))))</f>
        <v/>
      </c>
      <c r="AW41" s="239" t="str">
        <f ca="1">IF($B41="","",
IF(ISBLANK('Soil results'!M44),"data missing",'Soil results'!M44))</f>
        <v/>
      </c>
      <c r="AX41" s="239" t="str">
        <f t="shared" ca="1" si="10"/>
        <v/>
      </c>
      <c r="AY41" s="9" t="str">
        <f ca="1">IF(B41="","",
IF(AV41=0,"n/a",
IF(OR(AV41="data missing",AW41="data missing"),"data missing",
IF(AV41&gt;7.5,"application rate too high - permissible rate exceeds limit",
IF('Soil results'!$F44&lt;=5.5,
  IF(AW41&gt;80,"no application - soil conc. already above limit",
  IF(AX41&gt;80,"application rate too high - soil conc. will exceed limit",
  IF(AW41&gt;80*0.9,"soil conc. is at or above 90% of the limit",
  IF(10*AV41*1000/3000+AW41&gt;80,"soil limit likely to be exceeded in 10yrs",
  IF(50*AV41*1000/3000+AW41&gt;80,"soil limit likely to be exceeded in 50yrs","ok"))))),
IF('Soil results'!$F44&lt;=6,
  IF(AW41&gt;100,"no application - soil conc. already above limit",
  IF(AX41&gt;100,"application rate too high - soil conc. will exceed limit",
  IF(AW41&gt;100*0.9,"soil conc. is at or above 90% of the limit",
  IF(10*AV41*1000/3000+AW41&gt;100,"soil limit likely to be exceeded in 10yrs",
  IF(50*AV41*1000/3000+AW41&gt;100,"soil limit likely to be exceeded in 50yrs","ok"))))),
IF('Soil results'!$F44&lt;=7,
  IF(AW41&gt;135,"no application - soil conc. already above limit",
  IF(AX41&gt;135,"application rate too high - soil conc. will exceed limit",
  IF(AW41&gt;135*0.9,"soil conc. is at or above 90% of the limit",
  IF(10*AV41*1000/3000+AW41&gt;135,"soil limit likely to be exceeded in 10yrs",
  IF(50*AV41*1000/3000+AW41&gt;135,"soil limit likely to be exceeded in 50yrs","ok"))))),
IF('Soil results'!$F44&gt;7,
  IF(AW41&gt;200,"no application - soil conc. already above limit",
  IF(AX41&gt;200,"application too high - soil conc. will exceed limit",
  IF(AW41&gt;200*0.9,"soil conc. is at or above 90% of the limit",
  IF(10*AV41*1000/3000+AW41&gt;200,"soil limit likely to be exceeded in 10yrs",
  IF(50*AV41*1000/3000+AW41&gt;200,"soil limit likely to be exceeded in 50yrs","ok")))))
))))))))</f>
        <v/>
      </c>
      <c r="BA41" s="238" t="str">
        <f ca="1">IF(B41="","",
IF(AND('Field information 2'!$O$5="", 'Field information 2'!$Q$5=""),
   IF('Waste results'!$S$28&lt;&gt;"data missing", Calc!BC39*'Waste results'!$S$28, "data missing"),
IF('Field information 2'!$Q$5="",
   IF(Calc!BD39=0,
     IF('Waste results'!$S$28&lt;&gt;"data missing", Calc!BC39*'Waste results'!$S$28, "data missing"),
   IF(Calc!BC39=0,
     IF('Waste results'!$S$64&lt;&gt;"data missing", Calc!BD39*'Waste results'!$S$64, "data missing"),
   IF(OR('Waste results'!$S$28&lt;&gt;"data missing", 'Waste results'!$S$64&lt;&gt;"data missing"), Calc!BC39*'Waste results'!$S$28+ Calc!BD39*'Waste results'!$S$64, "data missing"))),
IF(AND('Field information 2'!$M$5&lt;&gt;"", 'Field information 2'!$O$5&lt;&gt;"", 'Field information 2'!$Q$5&lt;&gt;""),
   IF(AND(Calc!BD39=0,Calc!BE39=0),
     IF('Waste results'!$S$28&lt;&gt;"data missing", Calc!BC39*'Waste results'!$S$28, "data missing"),
   IF(AND(Calc!BC39=0,Calc!BE39=0),
     IF('Waste results'!$S$64&lt;&gt;"data missing", Calc!BD39*'Waste results'!$S$64, "data missing"),
   IF(AND(Calc!BC39=0,Calc!BD39=0),
     IF('Waste results'!$S$100&lt;&gt;"data missing", Calc!BE39*'Waste results'!$S$100, "data missing"),
   IF(Calc!BE39=0,
     IF(OR('Waste results'!$S$28&lt;&gt;"data missing", 'Waste results'!$S$64&lt;&gt;"data missing"), Calc!BC39*'Waste results'!$S$28+ Calc!BD39*'Waste results'!$S$64, "data missing"),
   IF(Calc!BD39=0,
     IF(OR('Waste results'!$S$28&lt;&gt;"data missing", 'Waste results'!$S$100&lt;&gt;"data missing"), Calc!BC39*'Waste results'!$S$28+ Calc!BE39*'Waste results'!$S$100, "data missing"),
   IF(Calc!BC39=0,
     IF(OR('Waste results'!$S$64&lt;&gt;"data missing", 'Waste results'!$S$100&lt;&gt;"data missing"), Calc!BD39*'Waste results'!$S$64+Calc!BE39*'Waste results'!$S$100, "data missing"),
   IF(OR('Waste results'!$S$28&lt;&gt;"data missing", 'Waste results'!$S$64&lt;&gt;"data missing", 'Waste results'!$S$100&lt;&gt;"data missing"), Calc!BC39*'Waste results'!$S$28+Calc!BD39*'Waste results'!$S$64+ Calc!BE39*'Waste results'!$S$100, "data missing")))))))))))</f>
        <v/>
      </c>
      <c r="BB41" s="239" t="str">
        <f ca="1">IF($B41="","",
IF(ISBLANK('Soil results'!N44),"data missing",'Soil results'!N44))</f>
        <v/>
      </c>
      <c r="BC41" s="239" t="str">
        <f t="shared" ca="1" si="11"/>
        <v/>
      </c>
      <c r="BD41" s="9" t="str">
        <f t="shared" ca="1" si="12"/>
        <v/>
      </c>
      <c r="BF41" s="238" t="str">
        <f ca="1">IF(B41="","",
IF(AND('Field information 2'!$O$5="", 'Field information 2'!$Q$5=""),
   IF('Waste results'!$S$29&lt;&gt;"data missing", Calc!BC39*'Waste results'!$S$29, "data missing"),
IF('Field information 2'!$Q$5="",
   IF(Calc!BD39=0,
     IF('Waste results'!$S$29&lt;&gt;"data missing", Calc!BC39*'Waste results'!$S$29, "data missing"),
   IF(Calc!BC39=0,
     IF('Waste results'!$S$65&lt;&gt;"data missing", Calc!BD39*'Waste results'!$S$65, "data missing"),
   IF(OR('Waste results'!$S$29&lt;&gt;"data missing", 'Waste results'!$S$65&lt;&gt;"data missing"), Calc!BC39*'Waste results'!$S$29+ Calc!BD39*'Waste results'!$S$65, "data missing"))),
IF(AND('Field information 2'!$M$5&lt;&gt;"", 'Field information 2'!$O$5&lt;&gt;"", 'Field information 2'!$Q$5&lt;&gt;""),
   IF(AND(Calc!BD39=0,Calc!BE39=0),
     IF('Waste results'!$S$29&lt;&gt;"data missing", Calc!BC39*'Waste results'!$S$29, "data missing"),
   IF(AND(Calc!BC39=0,Calc!BE39=0),
     IF('Waste results'!$S$65&lt;&gt;"data missing", Calc!BD39*'Waste results'!$S$65, "data missing"),
   IF(AND(Calc!BC39=0,Calc!BD39=0),
     IF('Waste results'!$S$101&lt;&gt;"data missing", Calc!BE39*'Waste results'!$S$101, "data missing"),
   IF(Calc!BE39=0,
     IF(OR('Waste results'!$S$29&lt;&gt;"data missing", 'Waste results'!$S$65&lt;&gt;"data missing"), Calc!BC39*'Waste results'!$S$29+ Calc!BD39*'Waste results'!$S$65, "data missing"),
   IF(Calc!BD39=0,
     IF(OR('Waste results'!$S$29&lt;&gt;"data missing", 'Waste results'!$S$101&lt;&gt;"data missing"), Calc!BC39*'Waste results'!$S$29+ Calc!BE39*'Waste results'!$S$101, "data missing"),
   IF(Calc!BC39=0,
     IF(OR('Waste results'!$S$65&lt;&gt;"data missing", 'Waste results'!$S$101&lt;&gt;"data missing"), Calc!BD39*'Waste results'!$S$65+Calc!BE39*'Waste results'!$S$101, "data missing"),
   IF(OR('Waste results'!$S$29&lt;&gt;"data missing", 'Waste results'!$S$65&lt;&gt;"data missing", 'Waste results'!$S$101&lt;&gt;"data missing"), Calc!BC39*'Waste results'!$S$29+Calc!BD39*'Waste results'!$S$65+ Calc!BE39*'Waste results'!$S$101, "data missing")))))))))))</f>
        <v/>
      </c>
      <c r="BG41" s="239" t="str">
        <f ca="1">IF($B41="","",
IF(ISBLANK('Soil results'!O44),"data missing",'Soil results'!O44))</f>
        <v/>
      </c>
      <c r="BH41" s="239" t="str">
        <f t="shared" ca="1" si="13"/>
        <v/>
      </c>
      <c r="BI41" s="9" t="str">
        <f ca="1">IF(B41="","",
IF(BF41=0,"n/a",
IF(OR(BF41="data missing",BG41="data missing"),"data missing",
IF(BF41&gt;3,"application rate too high - permissible rate exceeds limit",
IF('Soil results'!F44&lt;=5.5,
  IF(BG41&gt;50,"no application - soil conc. already above limit",
  IF(BH41&gt;50,"application rate too high - soil conc. will exceed limit",
  IF(BG41&gt;50*0.9,"soil conc. is at or above 90% of the limit",
  IF(10*BF41*1000/3000+BG41&gt;50,"soil limit likely to be exceeded in 10yrs",
  IF(50*BF41*1000/3000+BG41&gt;50,"soil limit likely to be exceeded in 50yrs","ok"))))),
IF('Soil results'!F44&lt;=6,
  IF(BG41&gt;60,"no application - soil conc. already above limit",
  IF(BH41&gt;60,"application rate too high - soil conc. will exceed limit",
  IF(BG41&gt;60*0.9,"soil conc. is at or above 90% of the limit",
  IF(10*BF41*1000/3000+BG41&gt;60,"soil limit likely to be exceeded in 10yrs",
  IF(50*BF41*1000/3000+BG41&gt;60,"soil limit likely to be exceeded in 50yrs","ok"))))),
IF('Soil results'!F44&lt;=7,
  IF(BG41&gt;75,"no application - soil conc. already above limit",
  IF(BH41&gt;75,"application rate too high - soil conc. will exceed limit",
  IF(BG41&gt;75*0.9,"soil conc. is at or above 90% of the limit",
  IF(10*BF41*1000/3000+BG41&gt;75,"soil limit likely to be exceeded in 10yrs",
  IF(50*BF41*1000/3000+BG41&gt;75,"soil limit likely to be exceeded in 50yrs","ok"))))),
IF('Soil results'!F44&gt;7,
  IF(BG41&gt;100,"no application - soil conc. already above limit",
  IF(BH41&gt;100,"application rate too high - soil conc. will exceed limit",
  IF(BG41&gt;100*0.9,"soil conc. is at or above 90% of the limit",
  IF(10*BF41*1000/3000+BG41&gt;100,"soil limit likely to be exceeded in 10yrs",
  IF(50*BF41*1000/3000+BG41&gt;100,"soil limit likely to beexceeded in 50yrs","ok")))))
))))))))</f>
        <v/>
      </c>
      <c r="BK41" s="240" t="str">
        <f ca="1">IF(B41="","",
IF(AND('Field information 2'!$O$5="", 'Field information 2'!$Q$5=""),
   IF('Waste results'!$S$30&lt;&gt;"data missing", Calc!BC39*'Waste results'!$S$30, "data missing"),
IF('Field information 2'!$Q$5="",
   IF(Calc!BD39=0,
     IF('Waste results'!$S$30&lt;&gt;"data missing", Calc!BC39*'Waste results'!$S$30, "data missing"),
   IF(Calc!BC39=0,
     IF('Waste results'!$S$66&lt;&gt;"data missing", Calc!BD39*'Waste results'!$S$66, "data missing"),
   IF(OR('Waste results'!$S$30&lt;&gt;"data missing", 'Waste results'!$S$66&lt;&gt;"data missing"), Calc!BC39*'Waste results'!$S$30+ Calc!BD39*'Waste results'!$S$66, "data missing"))),
IF(AND('Field information 2'!$M$5&lt;&gt;"", 'Field information 2'!$O$5&lt;&gt;"", 'Field information 2'!$Q$5&lt;&gt;""),
   IF(AND(Calc!BD39=0,Calc!BE39=0),
     IF('Waste results'!$S$30&lt;&gt;"data missing", Calc!BC39*'Waste results'!$S$30, "data missing"),
   IF(AND(Calc!BC39=0,Calc!BE39=0),
     IF('Waste results'!$S$66&lt;&gt;"data missing", Calc!BD39*'Waste results'!$S$66, "data missing"),
   IF(AND(Calc!BC39=0,Calc!BD39=0),
     IF('Waste results'!$S$102&lt;&gt;"data missing", Calc!BE39*'Waste results'!$S$102, "data missing"),
   IF(Calc!BE39=0,
     IF(OR('Waste results'!$S$30&lt;&gt;"data missing", 'Waste results'!$S$66&lt;&gt;"data missing"), Calc!BC39*'Waste results'!$S$30+ Calc!BD39*'Waste results'!$S$66, "data missing"),
   IF(Calc!BD39=0,
     IF(OR('Waste results'!$S$30&lt;&gt;"data missing", 'Waste results'!$S$102&lt;&gt;"data missing"), Calc!BC39*'Waste results'!$S$30+ Calc!BE39*'Waste results'!$S$102, "data missing"),
   IF(Calc!BC39=0,
     IF(OR('Waste results'!$S$66&lt;&gt;"data missing", 'Waste results'!$S$102&lt;&gt;"data missing"), Calc!BD39*'Waste results'!$S$66+Calc!BE39*'Waste results'!$S$102, "data missing"),
   IF(OR('Waste results'!$S$30&lt;&gt;"data missing", 'Waste results'!$S$66&lt;&gt;"data missing", 'Waste results'!$S$102&lt;&gt;"data missing"), Calc!BC39*'Waste results'!$S$30+Calc!BD39*'Waste results'!$S$66+ Calc!BE39*'Waste results'!$S$102, "data missing")))))))))))</f>
        <v/>
      </c>
      <c r="BL41" s="241" t="str">
        <f ca="1">IF($B41="","",
IF(ISBLANK('Soil results'!P44),"data missing",'Soil results'!P44))</f>
        <v/>
      </c>
      <c r="BM41" s="241" t="str">
        <f t="shared" ca="1" si="14"/>
        <v/>
      </c>
      <c r="BN41" s="66" t="str">
        <f t="shared" ca="1" si="15"/>
        <v/>
      </c>
      <c r="BP41" s="238" t="str">
        <f ca="1">IF(B41="","",
IF(AND('Field information 2'!$O$5="", 'Field information 2'!$Q$5=""),
   IF('Waste results'!$S$31&lt;&gt;"data missing", Calc!BC39*'Waste results'!$S$31, "data missing"),
IF('Field information 2'!$Q$5="",
   IF(Calc!BD39=0,
     IF('Waste results'!$S$31&lt;&gt;"data missing", Calc!BC39*'Waste results'!$S$31, "data missing"),
   IF(Calc!BC39=0,
     IF('Waste results'!$S$67&lt;&gt;"data missing", Calc!BD39*'Waste results'!$S$67, "data missing"),
   IF(OR('Waste results'!$S$31&lt;&gt;"data missing", 'Waste results'!$S$67&lt;&gt;"data missing"), Calc!BC39*'Waste results'!$S$31+ Calc!BD39*'Waste results'!$S$67, "data missing"))),
IF(AND('Field information 2'!$M$5&lt;&gt;"", 'Field information 2'!$O$5&lt;&gt;"", 'Field information 2'!$Q$5&lt;&gt;""),
   IF(AND(Calc!BD39=0,Calc!BE39=0),
     IF('Waste results'!$S$31&lt;&gt;"data missing", Calc!BC39*'Waste results'!$S$31, "data missing"),
   IF(AND(Calc!BC39=0,Calc!BE39=0),
     IF('Waste results'!$S$67&lt;&gt;"data missing", Calc!BD39*'Waste results'!$S$67, "data missing"),
   IF(AND(Calc!BC39=0,Calc!BD39=0),
     IF('Waste results'!$S$103&lt;&gt;"data missing", Calc!BE39*'Waste results'!$S$103, "data missing"),
   IF(Calc!BE39=0,
     IF(OR('Waste results'!$S$31&lt;&gt;"data missing", 'Waste results'!$S$67&lt;&gt;"data missing"), Calc!BC39*'Waste results'!$S$31+ Calc!BD39*'Waste results'!$S$67, "data missing"),
   IF(Calc!BD39=0,
     IF(OR('Waste results'!$S$31&lt;&gt;"data missing", 'Waste results'!$S$103&lt;&gt;"data missing"), Calc!BC39*'Waste results'!$S$31+ Calc!BE39*'Waste results'!$S$103, "data missing"),
   IF(Calc!BC39=0,
     IF(OR('Waste results'!$S$67&lt;&gt;"data missing", 'Waste results'!$S$103&lt;&gt;"data missing"), Calc!BD39*'Waste results'!$S$67+Calc!BE39*'Waste results'!$S$103, "data missing"),
   IF(OR('Waste results'!$S$31&lt;&gt;"data missing", 'Waste results'!$S$67&lt;&gt;"data missing", 'Waste results'!$S$103&lt;&gt;"data missing"), Calc!BC39*'Waste results'!$S$31+Calc!BD39*'Waste results'!$S$67+ Calc!BE39*'Waste results'!$S$103, "data missing")))))))))))</f>
        <v/>
      </c>
      <c r="BQ41" s="239" t="str">
        <f ca="1">IF($B41="","",
IF(ISBLANK('Soil results'!Q44),"data missing",'Soil results'!Q44))</f>
        <v/>
      </c>
      <c r="BR41" s="239" t="str">
        <f t="shared" ca="1" si="16"/>
        <v/>
      </c>
      <c r="BS41" s="9" t="str">
        <f ca="1">IF(B41="","",
IF(BP41=0,"n/a",
IF(OR(BP41="data missing",BQ41=""),"data missing",
IF(BP41&gt;15,"application rate too high - permissible rate exceeds limit",
IF('Soil results'!F44&lt;=5.5,
  IF(BQ41&gt;200,"no application - soil conc. already above limit",
  IF(BR41&gt;200,"application rate too high - soil conc. will exceed limit",
  IF(BQ41&gt;200*0.9,"soil conc. is at or above 90% of the limit",
  IF(10*BP41*1000/3000+BQ41&gt;200,"soil limit likely to be exceeded in 10yrs",
  IF(50*BP41*1000/3000+BQ41&gt;200,"soil limit likely to be exceeded in 50yrs","ok"))))),
IF('Soil results'!F44&lt;=6,
  IF(BQ41&gt;250,"no application - soil conc. already above limit",
  IF(BR41&gt;250,"application rate too high - soil conc. will exceed limit",
  IF(BQ41&gt;250*0.9,"soil conc. is at or above 90% of the limit",
  IF(10*BP41*1000/3000+BQ41&gt;250,"soil limit likely to be exceeded in 10yrs",
  IF(50*BP41*1000/3000+BQ41&gt;250,"soil limit likely to be exceeded in 50yrs","ok"))))),
IF('Soil results'!F44&lt;=7,
  IF(BQ41&gt;300,"no application - soil conc. already above limit",
  IF(BR41&gt;300,"application rate too high - soil conc. will exceed limit",
  IF(BQ41&gt;300*0.9,"soil conc. is at or above 90% of the limit",
  IF(10*BP41*1000/3000+BQ41&gt;300,"soil limit likey to be exceeded in 10yrs",
  IF(50*BP41*1000/3000+BQ41&gt;300,"soil limit likely to be exceeded in 50yrs","ok"))))),
IF('Soil results'!F44&gt;7,
  IF(BQ41&gt;450,"no application - soil conc. already above limit",
  IF(BR41&gt;450,"application rate too high - soil conc. will exceed limit",
  IF(AW41&gt;450*0.9,"soil conc. is at or above 90% of the limit",
  IF(10*BP41*1000/3000+BQ41&gt;450,"soil limit likely to be exceeded in 10yrs",
  IF(50*BP41*1000/3000+BQ41&gt;450,"soil limit likely to be exceeded in 50yrs","ok")))))
))))))))</f>
        <v/>
      </c>
    </row>
    <row r="42" spans="2:71" s="9" customFormat="1" ht="15" x14ac:dyDescent="0.25">
      <c r="B42" s="236" t="str">
        <f ca="1">'Soil results'!B45</f>
        <v/>
      </c>
      <c r="C42" s="91" t="str">
        <f ca="1">IF(B42="","",
IF(AND('Field information 2'!$O$5="", 'Field information 2'!$Q$5=""),
   IF('Waste results'!$S$12&lt;&gt;"data missing", Calc!BC40*'Waste results'!$S$12, "data missing"),
IF('Field information 2'!$Q$5="",
   IF(Calc!BD40=0,
     IF('Waste results'!$S$12&lt;&gt;"data missing", Calc!BC40*'Waste results'!$S$12, "data missing"),
   IF(Calc!BC40=0,
     IF('Waste results'!$S$48&lt;&gt;"data missing", Calc!BD40*'Waste results'!$S$48, "data missing"),
   IF(OR('Waste results'!$S$12&lt;&gt;"data missing", 'Waste results'!$S$48&lt;&gt;"data missing"), Calc!BC40*'Waste results'!$S$12+ Calc!BD40*'Waste results'!$S$48, "data missing"))),
IF(AND('Field information 2'!$M$5&lt;&gt;"", 'Field information 2'!$O$5&lt;&gt;"", 'Field information 2'!$Q$5&lt;&gt;""),
   IF(AND(Calc!BD40=0,Calc!BE40=0),
     IF('Waste results'!$S$12&lt;&gt;"data missing", Calc!BC40*'Waste results'!$S$12, "data missing"),
   IF(AND(Calc!BC40=0,Calc!BE40=0),
     IF('Waste results'!$S$48&lt;&gt;"data missing", Calc!BD40*'Waste results'!$S$48, "data missing"),
   IF(AND(Calc!BC40=0,Calc!BD40=0),
     IF('Waste results'!$S$84&lt;&gt;"data missing", Calc!BE40*'Waste results'!$S$84, "data missing"),
   IF(Calc!BE40=0,
     IF(OR('Waste results'!$S$12&lt;&gt;"data missing", 'Waste results'!$S$48&lt;&gt;"data missing"), Calc!BC40*'Waste results'!$S$12+ Calc!BD40*'Waste results'!$S$48, "data missing"),
   IF(Calc!BD40=0,
     IF(OR('Waste results'!$S$12&lt;&gt;"data missing", 'Waste results'!$S$84&lt;&gt;"data missing"), Calc!BC40*'Waste results'!$S$12+ Calc!BE40*'Waste results'!$S$84, "data missing"),
   IF(Calc!BC40=0,
     IF(OR('Waste results'!$S$48&lt;&gt;"data missing", 'Waste results'!$S$84&lt;&gt;"data missing"), Calc!BD40*'Waste results'!$S$48+Calc!BE40*'Waste results'!$S$84, "data missing"),
   IF(OR('Waste results'!$S$12&lt;&gt;"data missing", 'Waste results'!$S$48&lt;&gt;"data missing", 'Waste results'!$S$84&lt;&gt;"data missing"), Calc!BC40*'Waste results'!$S$12+Calc!BD40*'Waste results'!$S$48+ Calc!BE40*'Waste results'!$S$84, "data missing")))))))))))</f>
        <v/>
      </c>
      <c r="D42" s="161" t="str">
        <f ca="1">IF(B42="","",
IF(Calc!BG40="","soil texture missing",
IF(OR(Calc!BG40="SL; SZL; ZL",Calc!BG40="SCL; CL; ZCL; SC; ZC; C"),VLOOKUP(Calc!BI40,'Fertiliser recommendations'!$A$4:$C$63,3,FALSE),
IF(Calc!BG40="S; LS",VLOOKUP(Calc!BI40,'Fertiliser recommendations'!$A$4:$C$63,3,FALSE)+VLOOKUP(Calc!BI40,'Fertiliser recommendations'!$A$4:$D$63,4,FALSE),
IF(Calc!BG40="10-25% OM",VLOOKUP(Calc!BI40,'Fertiliser recommendations'!$A$4:$C$63,3,FALSE)+VLOOKUP(Calc!BI40,'Fertiliser recommendations'!$A$4:$E$63,5,FALSE),
IF(Calc!BG40="&gt;25% OM",VLOOKUP(Calc!BI40,'Fertiliser recommendations'!$A$4:$C$63,3,FALSE)+VLOOKUP(Calc!BI40,'Fertiliser recommendations'!$A$4:$F$63,6,FALSE),
""))))))</f>
        <v/>
      </c>
      <c r="E42" s="91" t="str">
        <f t="shared" ca="1" si="0"/>
        <v/>
      </c>
      <c r="F42" s="9" t="str">
        <f ca="1">IF(B42="","",
IF(OR(C42="data missing",D42="soil texture missing"),"data missing",
IF(Calc!BF40=0,"n/a",
IF(C42&lt;0.1*D42,"no benefit",
IF(C42&lt;0.3*D42,"limited benefit",
IF(C42&gt;250,"exceeds limit",
IF(OR(AND(D42=0,C42&gt;75),C42&gt;1.25*D42),"excessive",
IF(D42=0, "no requirement",
"benefit"))))))))</f>
        <v/>
      </c>
      <c r="H42" s="91" t="str">
        <f ca="1">IF(B42="","",
IF(AND('Field information 2'!$O$5="", 'Field information 2'!$Q$5=""),
   IF('Waste results'!$S$17&lt;&gt;"data missing", Calc!BC40*'Waste results'!$S$17, "data missing"),
IF('Field information 2'!$Q$5="",
   IF(Calc!BD40=0,
     IF('Waste results'!$S$17&lt;&gt;"data missing", Calc!BC40*'Waste results'!$S$17, "data missing"),
   IF(Calc!BC40=0,
     IF('Waste results'!$S$53&lt;&gt;"data missing", Calc!BD40*'Waste results'!$S$53, "data missing"),
   IF(OR('Waste results'!$S$17&lt;&gt;"data missing", 'Waste results'!$S$53&lt;&gt;"data missing"), Calc!BC40*'Waste results'!$S$17+ Calc!BD40*'Waste results'!$S$53, "data missing"))),
IF(AND('Field information 2'!$M$5&lt;&gt;"", 'Field information 2'!$O$5&lt;&gt;"", 'Field information 2'!$Q$5&lt;&gt;""),
   IF(AND(Calc!BD40=0,Calc!BE40=0),
     IF('Waste results'!$S$17&lt;&gt;"data missing", Calc!BC40*'Waste results'!$S$17, "data missing"),
   IF(AND(Calc!BC40=0,Calc!BE40=0),
     IF('Waste results'!$S$53&lt;&gt;"data missing", Calc!BD40*'Waste results'!$S$53, "data missing"),
   IF(AND(Calc!BC40=0,Calc!BD40=0),
     IF('Waste results'!$S$89&lt;&gt;"data missing", Calc!BE40*'Waste results'!$S$89, "data missing"),
   IF(Calc!BE40=0,
     IF(OR('Waste results'!$S$17&lt;&gt;"data missing", 'Waste results'!$S$53&lt;&gt;"data missing"), Calc!BC40*'Waste results'!$S$17+ Calc!BD40*'Waste results'!$S$53, "data missing"),
   IF(Calc!BD40=0,
     IF(OR('Waste results'!$S$17&lt;&gt;"data missing", 'Waste results'!$S$89&lt;&gt;"data missing"), Calc!BC40*'Waste results'!$S$17+ Calc!BE40*'Waste results'!$S$89, "data missing"),
   IF(Calc!BC40=0,
     IF(OR('Waste results'!$S$53&lt;&gt;"data missing", 'Waste results'!$S$89&lt;&gt;"data missing"), Calc!BD40*'Waste results'!$S$53+Calc!BE40*'Waste results'!$S$89, "data missing"),
   IF(OR('Waste results'!$S$17&lt;&gt;"data missing", 'Waste results'!$S$53&lt;&gt;"data missing", 'Waste results'!$S$89&lt;&gt;"data missing"), Calc!BC40*'Waste results'!$S$17+Calc!BD40*'Waste results'!$S$53+ Calc!BE40*'Waste results'!$S$89, "data missing")))))))))))</f>
        <v/>
      </c>
      <c r="I42" s="195" t="str">
        <f ca="1">IF(B42="","",
IF(OR(ISBLANK('Soil results'!G45), ISBLANK('Soil results'!G$7)),"data missing",
IF(OR(AND('Soil results'!G$7="Olsen (ADAS)",'Soil results'!G45&lt;16),AND('Soil results'!G$7="modified Morgan (SAC)",'Soil results'!G45&lt;4.5)),50,100)))</f>
        <v/>
      </c>
      <c r="J42" s="49" t="str">
        <f ca="1">IF(B42="","",
IF(OR(ISBLANK('Soil results'!G$7),ISBLANK('Soil results'!G45)),"data missing",
IF(OR(AND('Soil results'!G$7="Olsen (ADAS)",'Soil results'!G45&gt;45),AND('Soil results'!G$7="modified Morgan (SAC)",'Soil results'!G45&gt;30)),0,
IF(OR(AND('Soil results'!G$7="Olsen (ADAS)",'Soil results'!G45&gt;=16,'Soil results'!G45&lt;=20),AND('Soil results'!G$7="modified Morgan (SAC)",'Soil results'!G45&gt;=4.5,'Soil results'!G45&lt;=9.4)),VLOOKUP(Calc!BI40,'Fertiliser recommendations'!$A$4:$I$63,9,FALSE),
IF(OR(AND('Soil results'!G$7="Olsen (ADAS)",'Soil results'!G45&lt;10),AND('Soil results'!G$7="modified Morgan (SAC)",'Soil results'!G45&lt;1.8)),VLOOKUP(Calc!BI40,'Fertiliser recommendations'!$A$4:$I$63,9,FALSE)+VLOOKUP(Calc!BI40,'Fertiliser recommendations'!$A$4:$J$63,10,FALSE),
IF(OR(AND('Soil results'!G$7="Olsen (ADAS)",'Soil results'!G45&lt;16),AND('Soil results'!G$7="modified Morgan (SAC)",'Soil results'!G45&lt;4.5)),VLOOKUP(Calc!BI40,'Fertiliser recommendations'!$A$4:$I$63,9,FALSE)+VLOOKUP(Calc!BI40,'Fertiliser recommendations'!$A$4:$K$63,11,FALSE),
IF(OR(AND('Soil results'!G$7="Olsen (ADAS)",'Soil results'!G45&lt;26),AND('Soil results'!G$7="modified Morgan (SAC)",'Soil results'!G45&lt;13.5)),VLOOKUP(Calc!BI40,'Fertiliser recommendations'!$A$4:$I$63,9,FALSE)+VLOOKUP(Calc!BI40,'Fertiliser recommendations'!$A$4:$L$63,12,FALSE),
IF(OR(AND('Soil results'!G$7="Olsen (ADAS)",'Soil results'!G45&lt;=45),AND('Soil results'!G$7="modified Morgan (SAC)",'Soil results'!G45&lt;=30)),VLOOKUP(Calc!BI40,'Fertiliser recommendations'!$A$4:$I$63,9,FALSE)+VLOOKUP(Calc!BI40,'Fertiliser recommendations'!$A$4:$M$63,13,FALSE),
""))))))))</f>
        <v/>
      </c>
      <c r="K42" s="161" t="str">
        <f t="shared" ca="1" si="1"/>
        <v/>
      </c>
      <c r="L42" s="47" t="str">
        <f ca="1">IF(OR(ISBLANK('Soil results'!G$7),ISBLANK('Soil results'!G45),B42="", H42="data missing"),"",
IF('Soil results'!G$7="Olsen (ADAS)",
IF(((H42*Calc!BM40/2.291-(VLOOKUP(Calc!BI40,'Fertiliser recommendations'!$A$4:$I$63,9,FALSE))/2.291)*10/(400/2.291)+'Soil results'!G45)&lt;10,"0 (VL)",
IF(((H42*Calc!BM40/2.291-(VLOOKUP(Calc!BI40,'Fertiliser recommendations'!$A$4:$I$63,9,FALSE))/2.291)*10/(400/2.291)+'Soil results'!G45)&lt;16,"1 (L)",
IF(((H42*Calc!BM40/2.291-(VLOOKUP(Calc!BI40,'Fertiliser recommendations'!$A$4:$I$63,9,FALSE))/2.291)*10/(400/2.291)+'Soil results'!G45)&lt;21,"2 (M-)",
IF(((H42*Calc!BM40/2.291-(VLOOKUP(Calc!BI40,'Fertiliser recommendations'!$A$4:$I$63,9,FALSE))/2.291)*10/(400/2.291)+'Soil results'!G45)&lt;26,"2 (M+)",
IF(((H42*Calc!BM40/2.291-(VLOOKUP(Calc!BI40,'Fertiliser recommendations'!$A$4:$I$63,9,FALSE))/2.291)*10/(400/2.291)+'Soil results'!G45)&lt;45,"3 (H)","&gt;3 (VH)"))))),
IF('Soil results'!G$7="modified Morgan (SAC)",
IF('Soil results'!G45&gt;=6,
IF(((H42*Calc!BM40/2.291-(VLOOKUP(Calc!BI40,'Fertiliser recommendations'!$A$4:$I$63,9,FALSE))/2.291)*5/(147/2.291)+'Soil results'!G45)&lt;9.5,"2 (M-)",
IF(((H42*Calc!BM40/2.291-(VLOOKUP(Calc!BI40,'Fertiliser recommendations'!$A$4:$I$63,9,FALSE))/2.291)*5/(147/2.291)+'Soil results'!G45)&lt;13.5,"2 (M+)",
IF(((H42*Calc!BM40/2.291-(VLOOKUP(Calc!BI40,'Fertiliser recommendations'!$A$4:$I$63,9,FALSE))/2.291)*5/(147/2.291)+'Soil results'!G45)&lt;30,"3 (H)","4 (VH)"))),
IF(((H42*Calc!BM40/2.291-(VLOOKUP(Calc!BI40,'Fertiliser recommendations'!$A$4:$I$63,9,FALSE))/2.291)*5/(346/2.291)+'Soil results'!G45)&lt;1.8,"0 (VL)",
IF(((H42*Calc!BM40/2.291-(VLOOKUP(Calc!BI40,'Fertiliser recommendations'!$A$4:$I$63,9,FALSE))/2.291)*5/(147/2.291)+'Soil results'!G45)&lt;4.5,"1 (L)","2 (M-)"))))))</f>
        <v/>
      </c>
      <c r="M42" s="9" t="str">
        <f ca="1">IF(B42="","",
IF(OR(H42="data missing",I42="data missing",J42="data missing"),"data missing",
IF(Calc!BF40=0,"n/a",
IF(OR(AND('Soil results'!G$7="Olsen (ADAS)",'Soil results'!G45&gt;45),AND('Soil results'!G$7="modified Morgan (SAC)",'Soil results'!G45&gt;30)),
IF(H42&gt;2,"too high, not acceptable","no requirement"),IF(OR(AND('Soil results'!G$7="Olsen (ADAS)",'Soil results'!G45&gt;25),AND('Soil results'!G$7="modified Morgan (SAC)",'Soil results'!G45&gt;13.4)),
IF(H42*(I42/100)&lt;0.1*J42,"no benefit",
IF(H42*(I42/100)&lt;0.3*J42,"limited benefit",
IF(H42*(I42/100)&lt;1.1*J42,"benefit",
IF(H42*(I42/100)&lt;0.7*VLOOKUP(Calc!BI40,'Fertiliser recommendations'!$A$4:$I$63,9,FALSE),"excessive","too high, not acceptable")))),
IF(OR(AND('Soil results'!G$7="Olsen (ADAS)",'Soil results'!G45&gt;20),AND('Soil results'!G$7="modified Morgan (SAC)",'Soil results'!G45&gt;9.4)),
IF(H42*Calc!BM40*(I42/100)&lt;0.1*J42,"no benefit",
IF(H42*Calc!BM40*(I42/100)&lt;0.3*J42,"limited benefit",
IF(H42*Calc!BM40*(I42/100)&lt;1.1*J42,"benefit",
IF(L42="3 (H)","too high, not acceptable","excessive")))),
IF(OR(AND('Soil results'!G$7="Olsen (ADAS)",'Soil results'!G45&gt;15),AND('Soil results'!G$7="modified Morgan (SAC)",'Soil results'!G45&gt;4.4)),
IF(H42*Calc!BM40*(I42/100)&lt;0.1*VLOOKUP(Calc!BI40,'Fertiliser recommendations'!$A$4:$I$63,9,FALSE),"no benefit",
IF(H42*Calc!BM40*(I42/100)&lt;0.3*VLOOKUP(Calc!BI40,'Fertiliser recommendations'!$A$4:$I$63,9,FALSE),"limited benefit",
IF(H42*Calc!BM40*(I42/100)&lt;1.1*VLOOKUP(Calc!BI40,'Fertiliser recommendations'!$A$4:$I$63,9,FALSE),"benefit",
IF(L42="3 (H)", "too high, not acceptable", "excessive")))),
IF(OR(AND('Soil results'!G$7="Olsen (ADAS)",'Soil results'!G45&lt;=15),AND('Soil results'!G$7="modified Morgan (SAC)",'Soil results'!G45&lt;=4.4)),
IF(H42*Calc!BM40*(I42/100)&lt;0.1*VLOOKUP(Calc!BI40,'Fertiliser recommendations'!$A$4:$I$63,9,FALSE),"no benefit",
IF(H42*Calc!BM40*(I42/100)&lt;0.3*VLOOKUP(Calc!BI40,'Fertiliser recommendations'!$A$4:$I$63,9,FALSE),"limited benefit",
IF(H42*Calc!BM40*(I42/100)&lt;1.1*J42,"benefit","excessive")))))))))))</f>
        <v/>
      </c>
      <c r="O42" s="91" t="str">
        <f ca="1">IF(B42="","",
IF(AND('Field information 2'!$O$5="", 'Field information 2'!$Q$5=""),
   IF('Waste results'!$S$19&lt;&gt;"data missing", Calc!BC40*'Waste results'!$S$19, "data missing"),
IF('Field information 2'!$Q$5="",
   IF(Calc!BD40=0,
     IF('Waste results'!$S$19&lt;&gt;"data missing", Calc!BC40*'Waste results'!$S$19, "data missing"),
   IF(Calc!BC40=0,
     IF('Waste results'!$S$55&lt;&gt;"data missing", Calc!BD40*'Waste results'!$S$55, "data missing"),
   IF(OR('Waste results'!$S$19&lt;&gt;"data missing", 'Waste results'!$S$55&lt;&gt;"data missing"), Calc!BC40*'Waste results'!$S$19+ Calc!BD40*'Waste results'!$S$55, "data missing"))),
IF(AND('Field information 2'!$M$5&lt;&gt;"", 'Field information 2'!$O$5&lt;&gt;"", 'Field information 2'!$Q$5&lt;&gt;""),
   IF(AND(Calc!BD40=0,Calc!BE40=0),
     IF('Waste results'!$S$19&lt;&gt;"data missing", Calc!BC40*'Waste results'!$S$19, "data missing"),
   IF(AND(Calc!BC40=0,Calc!BE40=0),
     IF('Waste results'!$S$55&lt;&gt;"data missing", Calc!BD40*'Waste results'!$S$55, "data missing"),
   IF(AND(Calc!BC40=0,Calc!BD40=0),
     IF('Waste results'!$S$91&lt;&gt;"data missing", Calc!BE40*'Waste results'!$S$91, "data missing"),
   IF(Calc!BE40=0,
     IF(OR('Waste results'!$S$19&lt;&gt;"data missing", 'Waste results'!$S$55&lt;&gt;"data missing"), Calc!BC40*'Waste results'!$S$19+ Calc!BD40*'Waste results'!$S$55, "data missing"),
   IF(Calc!BD40=0,
     IF(OR('Waste results'!$S$19&lt;&gt;"data missing", 'Waste results'!$S$91&lt;&gt;"data missing"), Calc!BC40*'Waste results'!$S$19+ Calc!BE40*'Waste results'!$S$91, "data missing"),
   IF(Calc!BC40=0,
     IF(OR('Waste results'!$S$55&lt;&gt;"data missing", 'Waste results'!$S$91&lt;&gt;"data missing"), Calc!BD40*'Waste results'!$S$55+Calc!BE40*'Waste results'!$S$91, "data missing"),
   IF(OR('Waste results'!$S$19&lt;&gt;"data missing", 'Waste results'!$S$55&lt;&gt;"data missing", 'Waste results'!$S$91&lt;&gt;"data missing"), Calc!BC40*'Waste results'!$S$19+Calc!BD40*'Waste results'!$S$55+ Calc!BE40*'Waste results'!$S$91, "data missing")))))))))))</f>
        <v/>
      </c>
      <c r="P42" s="91" t="str">
        <f ca="1">IF(B42="","",
IF(OR(ISBLANK('Soil results'!H$7),ISBLANK('Soil results'!H45)),"data missing",
IF(OR(AND('Soil results'!H$7="ammonium nitrate (ADAS)",'Soil results'!H45&gt;400),AND('Soil results'!H$7="modified Morgan (SAC)",'Soil results'!H45&gt;400)),0,
IF(OR(AND('Soil results'!H$7="ammonium nitrate (ADAS)",'Soil results'!H45&gt;=121,'Soil results'!H45&lt;=180),AND('Soil results'!H$7="modified Morgan (SAC)",'Soil results'!H45&gt;=76,'Soil results'!H45&lt;=140)),VLOOKUP(Calc!BI40,'Fertiliser recommendations'!$A$4:$Z$63,26,FALSE),
IF(OR(AND('Soil results'!H$7="ammonium nitrate (ADAS)",'Soil results'!H45&lt;61),AND('Soil results'!H$7="modified Morgan (SAC)",'Soil results'!H45&lt;40)),VLOOKUP(Calc!BI40,'Fertiliser recommendations'!$A$4:$Z$63,26,FALSE)+VLOOKUP(Calc!BI40,'Fertiliser recommendations'!$A$4:$AA$63,27,FALSE),
IF(OR(AND('Soil results'!H$7="ammonium nitrate (ADAS)",'Soil results'!H45&lt;121),AND('Soil results'!H$7="modified Morgan (SAC)",'Soil results'!H45&lt;76)),VLOOKUP(Calc!BI40,'Fertiliser recommendations'!$A$4:$Z$63,26,FALSE)+VLOOKUP(Calc!BI40,'Fertiliser recommendations'!$A$4:$AB$63,28,FALSE),
IF(OR(AND('Soil results'!H$7="ammonium nitrate (ADAS)",'Soil results'!H45&lt;241),AND('Soil results'!H$7="modified Morgan (SAC)",'Soil results'!H45&lt;201)),VLOOKUP(Calc!BI40,'Fertiliser recommendations'!$A$4:$Z$63,26,FALSE)+VLOOKUP(Calc!BI40,'Fertiliser recommendations'!$A$4:$AC$63,29,FALSE),
IF(OR(AND('Soil results'!H$7="ammonium nitrate (ADAS)",'Soil results'!H45&lt;=400),AND('Soil results'!H$7="modified Morgan (SAC)",'Soil results'!H45&lt;=400)),VLOOKUP(Calc!BI40,'Fertiliser recommendations'!$A$4:$Z$63,26,FALSE)+VLOOKUP(Calc!BI40,'Fertiliser recommendations'!$A$4:$AD$63,30,FALSE),
"??"))))))))</f>
        <v/>
      </c>
      <c r="Q42" s="91" t="str">
        <f t="shared" ca="1" si="2"/>
        <v/>
      </c>
      <c r="R42" s="9" t="str">
        <f ca="1">IF(B42="","",
IF(OR(O42="data missing",P42="data missing"),"data missing",
IF(Calc!BF40=0,"n/a",
IF(P42=0, "no requirement",
IF(O42&lt;0.1*P42,"no benefit",
IF(O42&lt;0.3*P42,"limited benefit",
IF(O42&gt;1.25*P42,"excessive",
"benefit")))))))</f>
        <v/>
      </c>
      <c r="T42" s="91" t="str">
        <f ca="1">IF(B42="","",
IF(AND('Field information 2'!$O$5="", 'Field information 2'!$Q$5=""),
   IF('Waste results'!$S$21&lt;&gt;"data missing", Calc!BC40*'Waste results'!$S$21, "data missing"),
IF('Field information 2'!$Q$5="",
   IF(Calc!BD40=0,
     IF('Waste results'!$S$21&lt;&gt;"data missing", Calc!BC40*'Waste results'!$S$21, "data missing"),
   IF(Calc!BC40=0,
     IF('Waste results'!$S$57&lt;&gt;"data missing", Calc!BD40*'Waste results'!$S$57, "data missing"),
   IF(OR('Waste results'!$S$21&lt;&gt;"data missing", 'Waste results'!$S$57&lt;&gt;"data missing"), Calc!BC40*'Waste results'!$S$21+ Calc!BD40*'Waste results'!$S$57, "data missing"))),
IF(AND('Field information 2'!$M$5&lt;&gt;"", 'Field information 2'!$O$5&lt;&gt;"", 'Field information 2'!$Q$5&lt;&gt;""),
   IF(AND(Calc!BD40=0,Calc!BE40=0),
     IF('Waste results'!$S$21&lt;&gt;"data missing", Calc!BC40*'Waste results'!$S$21, "data missing"),
   IF(AND(Calc!BC40=0,Calc!BE40=0),
     IF('Waste results'!$S$57&lt;&gt;"data missing", Calc!BD40*'Waste results'!$S$57, "data missing"),
   IF(AND(Calc!BC40=0,Calc!BD40=0),
     IF('Waste results'!$S$93&lt;&gt;"data missing", Calc!BE40*'Waste results'!$S$93, "data missing"),
   IF(Calc!BE40=0,
     IF(OR('Waste results'!$S$21&lt;&gt;"data missing", 'Waste results'!$S$57&lt;&gt;"data missing"), Calc!BC40*'Waste results'!$S$21+ Calc!BD40*'Waste results'!$S$57, "data missing"),
   IF(Calc!BD40=0,
     IF(OR('Waste results'!$S$21&lt;&gt;"data missing", 'Waste results'!$S$93&lt;&gt;"data missing"), Calc!BC40*'Waste results'!$S$21+ Calc!BE40*'Waste results'!$S$93, "data missing"),
   IF(Calc!BC40=0,
     IF(OR('Waste results'!$S$57&lt;&gt;"data missing", 'Waste results'!$S$93&lt;&gt;"data missing"), Calc!BD40*'Waste results'!$S$57+Calc!BE40*'Waste results'!$S$93, "data missing"),
   IF(OR('Waste results'!$S$21&lt;&gt;"data missing", 'Waste results'!$S$57&lt;&gt;"data missing", 'Waste results'!$S$93&lt;&gt;"data missing"), Calc!BC40*'Waste results'!$S$21+Calc!BD40*'Waste results'!$S$57+ Calc!BE40*'Waste results'!$S$93, "data missing")))))))))))</f>
        <v/>
      </c>
      <c r="U42" s="7" t="str">
        <f ca="1">IF(B42="","",
IF(OR(ISBLANK('Soil results'!I$7),ISBLANK('Soil results'!I45)),"data missing",
IF(OR(AND('Soil results'!I$7="ammonium nitrate (ADAS)",'Soil results'!I45&gt;51),AND('Soil results'!I$7="modified Morgan (SAC)",'Soil results'!I45&gt;61)),0,
IF(OR(AND('Soil results'!I$7="ammonium nitrate (ADAS)",'Soil results'!I45&lt;25),AND('Soil results'!I$7="modified Morgan (SAC)",'Soil results'!I45&lt;19)),VLOOKUP(Calc!BI40,'Fertiliser recommendations'!$A$4:$AH$63,34,FALSE),
IF(OR(AND('Soil results'!I$7="ammonium nitrate (ADAS)",'Soil results'!I45&lt;=51),AND('Soil results'!I$7="modified Morgan (SAC)",'Soil results'!I45&lt;=61)),VLOOKUP(Calc!BI40,'Fertiliser recommendations'!$A$4:$AI$63,35,FALSE),
"")))))</f>
        <v/>
      </c>
      <c r="V42" s="91" t="str">
        <f t="shared" ca="1" si="3"/>
        <v/>
      </c>
      <c r="W42" s="9" t="str">
        <f ca="1">IF(B42="","",
IF(OR(T42="data missing",U42="data missing"),"data missing",
IF(Calc!BF40=0,"n/a",
IF(U42=0,"no requirement",
IF(T42&lt;0.1*U42,"no benefit",
IF(T42&lt;0.3*U42,"limited benefit",
IF(OR(T42&gt;1.5*U42,AND(Calc!BJ40="g",T42&gt;100)),"excessive",
"benefit")))))))</f>
        <v/>
      </c>
      <c r="Y42" s="91" t="str">
        <f ca="1">IF(B42="","",
IF(AND('Field information 2'!$O$5="", 'Field information 2'!$Q$5=""),
   IF('Waste results'!$P$23&lt;&gt;"", Calc!BC40*'Waste results'!$P$23, "no data"),
IF('Field information 2'!$Q$5="",
   IF(Calc!BD40=0,
     IF('Waste results'!$P$23&lt;&gt;"", Calc!BC40*'Waste results'!$P$23, "no data"),
   IF(Calc!BC40=0,
     IF('Waste results'!$P$59&lt;&gt;"", Calc!BD40*'Waste results'!$P$59, "no data"),
   IF(OR('Waste results'!$P$23&lt;&gt;"", 'Waste results'!$P$59&lt;&gt;""), Calc!BC40*'Waste results'!$P$23+ Calc!BD40*'Waste results'!$P$59, "no data"))),
IF(AND('Field information 2'!$M$5&lt;&gt;"", 'Field information 2'!$O$5&lt;&gt;"", 'Field information 2'!$Q$5&lt;&gt;""),
   IF(AND(Calc!BD40=0,Calc!BE40=0),
     IF('Waste results'!$P$23&lt;&gt;"", Calc!BC40*'Waste results'!$P$23, "no data"),
   IF(AND(Calc!BC40=0,Calc!BE40=0),
     IF('Waste results'!$P$59&lt;&gt;"", Calc!BD40*'Waste results'!$P$59, "no data"),
   IF(AND(Calc!BC40=0,Calc!BD40=0),
     IF('Waste results'!$P$95&lt;&gt;"", Calc!BE40*'Waste results'!$P$95, "no data"),
   IF(Calc!BE40=0,
     IF(OR('Waste results'!$P$23&lt;&gt;"", 'Waste results'!$P$59&lt;&gt;""), Calc!BC40*'Waste results'!$P$23+ Calc!BD40*'Waste results'!$P$59, "no data"),
   IF(Calc!BD40=0,
     IF(OR('Waste results'!$P$23&lt;&gt;"", 'Waste results'!$P$95&lt;&gt;""), Calc!BC40*'Waste results'!$P$23+ Calc!BE40*'Waste results'!$P$95, "no data"),
   IF(Calc!BC40=0,
     IF(OR('Waste results'!$P$59&lt;&gt;"", 'Waste results'!$P$95&lt;&gt;""), Calc!BD40*'Waste results'!$P$59+Calc!BE40*'Waste results'!$P$95, "no data"),
   IF(OR('Waste results'!$P$23&lt;&gt;"", 'Waste results'!$P$59&lt;&gt;"", 'Waste results'!$P$95&lt;&gt;""), Calc!BC40*'Waste results'!$P$23+Calc!BD40*'Waste results'!$P$59+ Calc!BE40*'Waste results'!$P$95, "no data")))))))))))</f>
        <v/>
      </c>
      <c r="Z42" s="7" t="str">
        <f ca="1">IF(OR(ISBLANK('Soil results'!I$7),ISBLANK('Soil results'!I45),'Soil results'!B45=""),"",
VLOOKUP(Calc!BI40,'Fertiliser recommendations'!$A$4:$AM$63,39,FALSE))</f>
        <v/>
      </c>
      <c r="AA42" s="91" t="str">
        <f t="shared" ca="1" si="4"/>
        <v/>
      </c>
      <c r="AB42" s="9" t="str">
        <f t="shared" ca="1" si="5"/>
        <v/>
      </c>
      <c r="AD42" s="48" t="str">
        <f>IF(ISBLANK('Soil results'!F45),"",'Soil results'!F45)</f>
        <v/>
      </c>
      <c r="AE42" s="49" t="str">
        <f ca="1">IF(B42="","",
IF(AND(Calc!BJ40="g", VLOOKUP(LEFT($B42,LEN($B42)-2),'Field information 2'!$B$12:$P$111,9,FALSE)&lt;&gt;"yes"),
 IF(Calc!BG40="10-25% OM", 5.9, IF(Calc!BG40="&gt;25% OM", 5.5, 6.2)),
IF(OR(Calc!BJ40="a", VLOOKUP(LEFT($B42,LEN($B42)-2),'Field information 2'!$B$12:$P$111,9,FALSE)="yes"),
 IF(Calc!BG40="10-25% OM", 6.4, IF(Calc!BG40="&gt;25% OM", 6, 6.7)), "")))</f>
        <v/>
      </c>
      <c r="AF42" s="91" t="str">
        <f ca="1">IF(B42="","",
IF('Waste results'!$Q$33="","no (significant) liming properties",
IF('Waste results'!Q$33&gt;100,"no (significant) liming properties",
IF(AD42="","",
IF(AD42&gt;=AE42,0,ROUNDDOWN((AE42-AD42)*Calc!BK40*'Waste results'!$Q$33+0.2,0))))))</f>
        <v/>
      </c>
      <c r="AG42" s="9" t="str">
        <f ca="1">IF(B42="","",
IF(T42=0,"n/a",
IF(AD42="","data missing",
IF(AND(AD42&lt;5,AF42="no (significant) liming properties"),"no waste application - pH too low",
IF(AND(AD42&gt;5.1,AF42="no (significant) liming properties",Calc!BH40&gt;25, LEFT(Calc!BI40,4)="graz"),"ok",
IF(AND(AD42&lt;=5.2,AF42="no (significant) liming properties"),"liming highly recommended",
IF(AF42=0,"no waste application - liming not required",
IF(AF42&lt;Calc!BC40,"application rate too high - exceeds liming requirement",
"ok"))))))))</f>
        <v/>
      </c>
      <c r="AI42" s="91" t="str">
        <f ca="1">IF(B42="","",
IF(AND('Field information 2'!$O$5="", 'Field information 2'!$Q$5=""),
   IF('Waste results'!$P$10&lt;&gt;"data missing", Calc!BC40*'Waste results'!$P$10, "data missing"),
IF('Field information 2'!$Q$5="",
   IF(Calc!BD40=0,
     IF('Waste results'!$P$10&lt;&gt;"data missing", Calc!BC40*'Waste results'!$P$10, "data missing"),
   IF(Calc!BC40=0,
     IF('Waste results'!$P$45&lt;&gt;"data missing", Calc!BD40*'Waste results'!$P$45, "data missing"),
   IF(OR('Waste results'!$P$10&lt;&gt;"data missing", 'Waste results'!$P$45&lt;&gt;"data missing"), Calc!BC40*'Waste results'!$P$10+ Calc!BD40*'Waste results'!$P$45, "data missing"))),
IF(AND('Field information 2'!$M$5&lt;&gt;"", 'Field information 2'!$O$5&lt;&gt;"", 'Field information 2'!$Q$5&lt;&gt;""),
   IF(AND(Calc!BD40=0,Calc!BE40=0),
     IF('Waste results'!$P$10&lt;&gt;"data missing", Calc!BC40*'Waste results'!$P$10, "data missing"),
   IF(AND(Calc!BC40=0,Calc!BE40=0),
     IF('Waste results'!$P$45&lt;&gt;"data missing", Calc!BD40*'Waste results'!$P$45, "data missing"),
   IF(AND(Calc!BC40=0,Calc!BD40=0),
     IF('Waste results'!$P$82&lt;&gt;"data missing", Calc!BE40*'Waste results'!$P$82, "data missing"),
   IF(Calc!BE40=0,
     IF(OR('Waste results'!$P$10&lt;&gt;"data missing", 'Waste results'!$P$45&lt;&gt;"data missing"), Calc!BC40*'Waste results'!$P$10+ Calc!BD40*'Waste results'!$P$45, "data missing"),
   IF(Calc!BD40=0,
     IF(OR('Waste results'!$P$10&lt;&gt;"data missing", 'Waste results'!$P$82&lt;&gt;"data missing"), Calc!BC40*'Waste results'!$P$10+ Calc!BE40*'Waste results'!$P$82, "data missing"),
   IF(Calc!BC40=0,
     IF(OR('Waste results'!$P$45&lt;&gt;"data missing", 'Waste results'!$P$82&lt;&gt;"data missing"), Calc!BD40*'Waste results'!$P$45+Calc!BE40*'Waste results'!$P$82, "data missing"),
   IF(OR('Waste results'!$P$10&lt;&gt;"data missing", 'Waste results'!$P$45&lt;&gt;"data missing", 'Waste results'!$P$82&lt;&gt;"data missing"), Calc!BC40*'Waste results'!$P$10+Calc!BD40*'Waste results'!$P$45+ Calc!BE40*'Waste results'!$P$82, "data missing")))))))))))</f>
        <v/>
      </c>
      <c r="AJ42" s="237" t="str">
        <f ca="1">IF(B42="","",
IF(AI42="data missing","data missing",
IF(Calc!BF40=0,"n/a",
IF(AND(Calc!BH40&gt;=8,AI42&lt;500),"no benefit",
IF(OR(AND(Calc!BH40&lt;=4,AI42&gt;=500),AND(Calc!BH40&lt;8,AI42&gt;5000)),"benefit",
"limited benefit")))))</f>
        <v/>
      </c>
      <c r="AL42" s="238" t="str">
        <f ca="1">IF(B42="","",
IF(AND('Field information 2'!$O$5="", 'Field information 2'!$Q$5=""),
   IF('Waste results'!$S$25&lt;&gt;"data missing", Calc!BC40*'Waste results'!$S$25, "data missing"),
IF('Field information 2'!$Q$5="",
   IF(Calc!BD40=0,
     IF('Waste results'!$S$25&lt;&gt;"data missing", Calc!BC40*'Waste results'!$S$25, "data missing"),
   IF(Calc!BC40=0,
     IF('Waste results'!$S$61&lt;&gt;"data missing", Calc!BD40*'Waste results'!$S$61, "data missing"),
   IF(OR('Waste results'!$S$25&lt;&gt;"data missing", 'Waste results'!$S$61&lt;&gt;"data missing"), Calc!BC40*'Waste results'!$S$25+ Calc!BD40*'Waste results'!$S$61, "data missing"))),
IF(AND('Field information 2'!$M$5&lt;&gt;"", 'Field information 2'!$O$5&lt;&gt;"", 'Field information 2'!$Q$5&lt;&gt;""),
   IF(AND(Calc!BD40=0,Calc!BE40=0),
     IF('Waste results'!$S$25&lt;&gt;"data missing", Calc!BC40*'Waste results'!$S$25, "data missing"),
   IF(AND(Calc!BC40=0,Calc!BE40=0),
     IF('Waste results'!$S$61&lt;&gt;"data missing", Calc!BD40*'Waste results'!$S$61, "data missing"),
   IF(AND(Calc!BC40=0,Calc!BD40=0),
     IF('Waste results'!$S$97&lt;&gt;"data missing", Calc!BE40*'Waste results'!$S$97, "data missing"),
   IF(Calc!BE40=0,
     IF(OR('Waste results'!$S$25&lt;&gt;"data missing", 'Waste results'!$S$61&lt;&gt;"data missing"), Calc!BC40*'Waste results'!$S$25+ Calc!BD40*'Waste results'!$S$61, "data missing"),
   IF(Calc!BD40=0,
     IF(OR('Waste results'!$S$25&lt;&gt;"data missing", 'Waste results'!$S$97&lt;&gt;"data missing"), Calc!BC40*'Waste results'!$S$25+ Calc!BE40*'Waste results'!$S$97, "data missing"),
   IF(Calc!BC40=0,
     IF(OR('Waste results'!$S$61&lt;&gt;"data missing", 'Waste results'!$S$97&lt;&gt;"data missing"), Calc!BD40*'Waste results'!$S$61+Calc!BE40*'Waste results'!$S$97, "data missing"),
   IF(OR('Waste results'!$S$25&lt;&gt;"data missing", 'Waste results'!$S$61&lt;&gt;"data missing", 'Waste results'!$S$97&lt;&gt;"data missing"), Calc!BC40*'Waste results'!$S$25+Calc!BD40*'Waste results'!$S$61+ Calc!BE40*'Waste results'!$S$97, "data missing")))))))))))</f>
        <v/>
      </c>
      <c r="AM42" s="239" t="str">
        <f ca="1">IF($B42="","",
IF(ISBLANK('Soil results'!K45),"data missing",'Soil results'!K45))</f>
        <v/>
      </c>
      <c r="AN42" s="239" t="str">
        <f t="shared" ca="1" si="6"/>
        <v/>
      </c>
      <c r="AO42" s="9" t="str">
        <f t="shared" ca="1" si="7"/>
        <v/>
      </c>
      <c r="AQ42" s="240" t="str">
        <f ca="1">IF(B42="","",
IF(AND('Field information 2'!$O$5="", 'Field information 2'!$Q$5=""),
   IF('Waste results'!$S$26&lt;&gt;"data missing", Calc!BC40*'Waste results'!$S$26, "data missing"),
IF('Field information 2'!$Q$5="",
   IF(Calc!BD40=0,
     IF('Waste results'!$S$26&lt;&gt;"data missing", Calc!BC40*'Waste results'!$S$26, "data missing"),
   IF(Calc!BC40=0,
     IF('Waste results'!$S$62&lt;&gt;"data missing", Calc!BD40*'Waste results'!$S$62, "data missing"),
   IF(OR('Waste results'!$S$26&lt;&gt;"data missing", 'Waste results'!$S$62&lt;&gt;"data missing"), Calc!BC40*'Waste results'!$S$26+ Calc!BD40*'Waste results'!$S$62, "data missing"))),
IF(AND('Field information 2'!$M$5&lt;&gt;"", 'Field information 2'!$O$5&lt;&gt;"", 'Field information 2'!$Q$5&lt;&gt;""),
   IF(AND(Calc!BD40=0,Calc!BE40=0),
     IF('Waste results'!$S$26&lt;&gt;"data missing", Calc!BC40*'Waste results'!$S$26, "data missing"),
   IF(AND(Calc!BC40=0,Calc!BE40=0),
     IF('Waste results'!$S$62&lt;&gt;"data missing", Calc!BD40*'Waste results'!$S$62, "data missing"),
   IF(AND(Calc!BC40=0,Calc!BD40=0),
     IF('Waste results'!$S$98&lt;&gt;"data missing", Calc!BE40*'Waste results'!$S$98, "data missing"),
   IF(Calc!BE40=0,
     IF(OR('Waste results'!$S$26&lt;&gt;"data missing", 'Waste results'!$S$62&lt;&gt;"data missing"), Calc!BC40*'Waste results'!$S$26+ Calc!BD40*'Waste results'!$S$62, "data missing"),
   IF(Calc!BD40=0,
     IF(OR('Waste results'!$S$26&lt;&gt;"data missing", 'Waste results'!$S$98&lt;&gt;"data missing"), Calc!BC40*'Waste results'!$S$26+ Calc!BE40*'Waste results'!$S$98, "data missing"),
   IF(Calc!BC40=0,
     IF(OR('Waste results'!$S$62&lt;&gt;"data missing", 'Waste results'!$S$98&lt;&gt;"data missing"), Calc!BD40*'Waste results'!$S$62+Calc!BE40*'Waste results'!$S$98, "data missing"),
   IF(OR('Waste results'!$S$26&lt;&gt;"data missing", 'Waste results'!$S$62&lt;&gt;"data missing", 'Waste results'!$S$98&lt;&gt;"data missing"), Calc!BC40*'Waste results'!$S$26+Calc!BD40*'Waste results'!$S$62+ Calc!BE40*'Waste results'!$S$98, "data missing")))))))))))</f>
        <v/>
      </c>
      <c r="AR42" s="241" t="str">
        <f ca="1">IF($B42="","",
IF(ISBLANK('Soil results'!L45),"data missing",'Soil results'!L45))</f>
        <v/>
      </c>
      <c r="AS42" s="241" t="str">
        <f t="shared" ca="1" si="8"/>
        <v/>
      </c>
      <c r="AT42" s="66" t="str">
        <f t="shared" ca="1" si="9"/>
        <v/>
      </c>
      <c r="AV42" s="238" t="str">
        <f ca="1">IF(B42="","",
IF(AND('Field information 2'!$O$5="", 'Field information 2'!$Q$5=""),
   IF('Waste results'!$S$27&lt;&gt;"data missing", Calc!BC40*'Waste results'!$S$27, "data missing"),
IF('Field information 2'!$Q$5="",
   IF(Calc!BD40=0,
     IF('Waste results'!$S$27&lt;&gt;"data missing", Calc!BC40*'Waste results'!$S$27, "data missing"),
   IF(Calc!BC40=0,
     IF('Waste results'!$S$63&lt;&gt;"data missing", Calc!BD40*'Waste results'!$S$63, "data missing"),
   IF(OR('Waste results'!$S$27&lt;&gt;"data missing", 'Waste results'!$S$63&lt;&gt;"data missing"), Calc!BC40*'Waste results'!$S$27+ Calc!BD40*'Waste results'!$S$63, "data missing"))),
IF(AND('Field information 2'!$M$5&lt;&gt;"", 'Field information 2'!$O$5&lt;&gt;"", 'Field information 2'!$Q$5&lt;&gt;""),
   IF(AND(Calc!BD40=0,Calc!BE40=0),
     IF('Waste results'!$S$27&lt;&gt;"data missing", Calc!BC40*'Waste results'!$S$27, "data missing"),
   IF(AND(Calc!BC40=0,Calc!BE40=0),
     IF('Waste results'!$S$63&lt;&gt;"data missing", Calc!BD40*'Waste results'!$S$63, "data missing"),
   IF(AND(Calc!BC40=0,Calc!BD40=0),
     IF('Waste results'!$S$99&lt;&gt;"data missing", Calc!BE40*'Waste results'!$S$99, "data missing"),
   IF(Calc!BE40=0,
     IF(OR('Waste results'!$S$27&lt;&gt;"data missing", 'Waste results'!$S$63&lt;&gt;"data missing"), Calc!BC40*'Waste results'!$S$27+ Calc!BD40*'Waste results'!$S$63, "data missing"),
   IF(Calc!BD40=0,
     IF(OR('Waste results'!$S$27&lt;&gt;"data missing", 'Waste results'!$S$99&lt;&gt;"data missing"), Calc!BC40*'Waste results'!$S$27+ Calc!BE40*'Waste results'!$S$99, "data missing"),
   IF(Calc!BC40=0,
     IF(OR('Waste results'!$S$63&lt;&gt;"data missing", 'Waste results'!$S$99&lt;&gt;"data missing"), Calc!BD40*'Waste results'!$S$63+Calc!BE40*'Waste results'!$S$99, "data missing"),
   IF(OR('Waste results'!$S$27&lt;&gt;"data missing", 'Waste results'!$S$63&lt;&gt;"data missing", 'Waste results'!$S$99&lt;&gt;"data missing"), Calc!BC40*'Waste results'!$S$27+Calc!BD40*'Waste results'!$S$63+ Calc!BE40*'Waste results'!$S$99, "data missing")))))))))))</f>
        <v/>
      </c>
      <c r="AW42" s="239" t="str">
        <f ca="1">IF($B42="","",
IF(ISBLANK('Soil results'!M45),"data missing",'Soil results'!M45))</f>
        <v/>
      </c>
      <c r="AX42" s="239" t="str">
        <f t="shared" ca="1" si="10"/>
        <v/>
      </c>
      <c r="AY42" s="9" t="str">
        <f ca="1">IF(B42="","",
IF(AV42=0,"n/a",
IF(OR(AV42="data missing",AW42="data missing"),"data missing",
IF(AV42&gt;7.5,"application rate too high - permissible rate exceeds limit",
IF('Soil results'!$F45&lt;=5.5,
  IF(AW42&gt;80,"no application - soil conc. already above limit",
  IF(AX42&gt;80,"application rate too high - soil conc. will exceed limit",
  IF(AW42&gt;80*0.9,"soil conc. is at or above 90% of the limit",
  IF(10*AV42*1000/3000+AW42&gt;80,"soil limit likely to be exceeded in 10yrs",
  IF(50*AV42*1000/3000+AW42&gt;80,"soil limit likely to be exceeded in 50yrs","ok"))))),
IF('Soil results'!$F45&lt;=6,
  IF(AW42&gt;100,"no application - soil conc. already above limit",
  IF(AX42&gt;100,"application rate too high - soil conc. will exceed limit",
  IF(AW42&gt;100*0.9,"soil conc. is at or above 90% of the limit",
  IF(10*AV42*1000/3000+AW42&gt;100,"soil limit likely to be exceeded in 10yrs",
  IF(50*AV42*1000/3000+AW42&gt;100,"soil limit likely to be exceeded in 50yrs","ok"))))),
IF('Soil results'!$F45&lt;=7,
  IF(AW42&gt;135,"no application - soil conc. already above limit",
  IF(AX42&gt;135,"application rate too high - soil conc. will exceed limit",
  IF(AW42&gt;135*0.9,"soil conc. is at or above 90% of the limit",
  IF(10*AV42*1000/3000+AW42&gt;135,"soil limit likely to be exceeded in 10yrs",
  IF(50*AV42*1000/3000+AW42&gt;135,"soil limit likely to be exceeded in 50yrs","ok"))))),
IF('Soil results'!$F45&gt;7,
  IF(AW42&gt;200,"no application - soil conc. already above limit",
  IF(AX42&gt;200,"application too high - soil conc. will exceed limit",
  IF(AW42&gt;200*0.9,"soil conc. is at or above 90% of the limit",
  IF(10*AV42*1000/3000+AW42&gt;200,"soil limit likely to be exceeded in 10yrs",
  IF(50*AV42*1000/3000+AW42&gt;200,"soil limit likely to be exceeded in 50yrs","ok")))))
))))))))</f>
        <v/>
      </c>
      <c r="BA42" s="238" t="str">
        <f ca="1">IF(B42="","",
IF(AND('Field information 2'!$O$5="", 'Field information 2'!$Q$5=""),
   IF('Waste results'!$S$28&lt;&gt;"data missing", Calc!BC40*'Waste results'!$S$28, "data missing"),
IF('Field information 2'!$Q$5="",
   IF(Calc!BD40=0,
     IF('Waste results'!$S$28&lt;&gt;"data missing", Calc!BC40*'Waste results'!$S$28, "data missing"),
   IF(Calc!BC40=0,
     IF('Waste results'!$S$64&lt;&gt;"data missing", Calc!BD40*'Waste results'!$S$64, "data missing"),
   IF(OR('Waste results'!$S$28&lt;&gt;"data missing", 'Waste results'!$S$64&lt;&gt;"data missing"), Calc!BC40*'Waste results'!$S$28+ Calc!BD40*'Waste results'!$S$64, "data missing"))),
IF(AND('Field information 2'!$M$5&lt;&gt;"", 'Field information 2'!$O$5&lt;&gt;"", 'Field information 2'!$Q$5&lt;&gt;""),
   IF(AND(Calc!BD40=0,Calc!BE40=0),
     IF('Waste results'!$S$28&lt;&gt;"data missing", Calc!BC40*'Waste results'!$S$28, "data missing"),
   IF(AND(Calc!BC40=0,Calc!BE40=0),
     IF('Waste results'!$S$64&lt;&gt;"data missing", Calc!BD40*'Waste results'!$S$64, "data missing"),
   IF(AND(Calc!BC40=0,Calc!BD40=0),
     IF('Waste results'!$S$100&lt;&gt;"data missing", Calc!BE40*'Waste results'!$S$100, "data missing"),
   IF(Calc!BE40=0,
     IF(OR('Waste results'!$S$28&lt;&gt;"data missing", 'Waste results'!$S$64&lt;&gt;"data missing"), Calc!BC40*'Waste results'!$S$28+ Calc!BD40*'Waste results'!$S$64, "data missing"),
   IF(Calc!BD40=0,
     IF(OR('Waste results'!$S$28&lt;&gt;"data missing", 'Waste results'!$S$100&lt;&gt;"data missing"), Calc!BC40*'Waste results'!$S$28+ Calc!BE40*'Waste results'!$S$100, "data missing"),
   IF(Calc!BC40=0,
     IF(OR('Waste results'!$S$64&lt;&gt;"data missing", 'Waste results'!$S$100&lt;&gt;"data missing"), Calc!BD40*'Waste results'!$S$64+Calc!BE40*'Waste results'!$S$100, "data missing"),
   IF(OR('Waste results'!$S$28&lt;&gt;"data missing", 'Waste results'!$S$64&lt;&gt;"data missing", 'Waste results'!$S$100&lt;&gt;"data missing"), Calc!BC40*'Waste results'!$S$28+Calc!BD40*'Waste results'!$S$64+ Calc!BE40*'Waste results'!$S$100, "data missing")))))))))))</f>
        <v/>
      </c>
      <c r="BB42" s="239" t="str">
        <f ca="1">IF($B42="","",
IF(ISBLANK('Soil results'!N45),"data missing",'Soil results'!N45))</f>
        <v/>
      </c>
      <c r="BC42" s="239" t="str">
        <f t="shared" ca="1" si="11"/>
        <v/>
      </c>
      <c r="BD42" s="9" t="str">
        <f t="shared" ca="1" si="12"/>
        <v/>
      </c>
      <c r="BF42" s="238" t="str">
        <f ca="1">IF(B42="","",
IF(AND('Field information 2'!$O$5="", 'Field information 2'!$Q$5=""),
   IF('Waste results'!$S$29&lt;&gt;"data missing", Calc!BC40*'Waste results'!$S$29, "data missing"),
IF('Field information 2'!$Q$5="",
   IF(Calc!BD40=0,
     IF('Waste results'!$S$29&lt;&gt;"data missing", Calc!BC40*'Waste results'!$S$29, "data missing"),
   IF(Calc!BC40=0,
     IF('Waste results'!$S$65&lt;&gt;"data missing", Calc!BD40*'Waste results'!$S$65, "data missing"),
   IF(OR('Waste results'!$S$29&lt;&gt;"data missing", 'Waste results'!$S$65&lt;&gt;"data missing"), Calc!BC40*'Waste results'!$S$29+ Calc!BD40*'Waste results'!$S$65, "data missing"))),
IF(AND('Field information 2'!$M$5&lt;&gt;"", 'Field information 2'!$O$5&lt;&gt;"", 'Field information 2'!$Q$5&lt;&gt;""),
   IF(AND(Calc!BD40=0,Calc!BE40=0),
     IF('Waste results'!$S$29&lt;&gt;"data missing", Calc!BC40*'Waste results'!$S$29, "data missing"),
   IF(AND(Calc!BC40=0,Calc!BE40=0),
     IF('Waste results'!$S$65&lt;&gt;"data missing", Calc!BD40*'Waste results'!$S$65, "data missing"),
   IF(AND(Calc!BC40=0,Calc!BD40=0),
     IF('Waste results'!$S$101&lt;&gt;"data missing", Calc!BE40*'Waste results'!$S$101, "data missing"),
   IF(Calc!BE40=0,
     IF(OR('Waste results'!$S$29&lt;&gt;"data missing", 'Waste results'!$S$65&lt;&gt;"data missing"), Calc!BC40*'Waste results'!$S$29+ Calc!BD40*'Waste results'!$S$65, "data missing"),
   IF(Calc!BD40=0,
     IF(OR('Waste results'!$S$29&lt;&gt;"data missing", 'Waste results'!$S$101&lt;&gt;"data missing"), Calc!BC40*'Waste results'!$S$29+ Calc!BE40*'Waste results'!$S$101, "data missing"),
   IF(Calc!BC40=0,
     IF(OR('Waste results'!$S$65&lt;&gt;"data missing", 'Waste results'!$S$101&lt;&gt;"data missing"), Calc!BD40*'Waste results'!$S$65+Calc!BE40*'Waste results'!$S$101, "data missing"),
   IF(OR('Waste results'!$S$29&lt;&gt;"data missing", 'Waste results'!$S$65&lt;&gt;"data missing", 'Waste results'!$S$101&lt;&gt;"data missing"), Calc!BC40*'Waste results'!$S$29+Calc!BD40*'Waste results'!$S$65+ Calc!BE40*'Waste results'!$S$101, "data missing")))))))))))</f>
        <v/>
      </c>
      <c r="BG42" s="239" t="str">
        <f ca="1">IF($B42="","",
IF(ISBLANK('Soil results'!O45),"data missing",'Soil results'!O45))</f>
        <v/>
      </c>
      <c r="BH42" s="239" t="str">
        <f t="shared" ca="1" si="13"/>
        <v/>
      </c>
      <c r="BI42" s="9" t="str">
        <f ca="1">IF(B42="","",
IF(BF42=0,"n/a",
IF(OR(BF42="data missing",BG42="data missing"),"data missing",
IF(BF42&gt;3,"application rate too high - permissible rate exceeds limit",
IF('Soil results'!F45&lt;=5.5,
  IF(BG42&gt;50,"no application - soil conc. already above limit",
  IF(BH42&gt;50,"application rate too high - soil conc. will exceed limit",
  IF(BG42&gt;50*0.9,"soil conc. is at or above 90% of the limit",
  IF(10*BF42*1000/3000+BG42&gt;50,"soil limit likely to be exceeded in 10yrs",
  IF(50*BF42*1000/3000+BG42&gt;50,"soil limit likely to be exceeded in 50yrs","ok"))))),
IF('Soil results'!F45&lt;=6,
  IF(BG42&gt;60,"no application - soil conc. already above limit",
  IF(BH42&gt;60,"application rate too high - soil conc. will exceed limit",
  IF(BG42&gt;60*0.9,"soil conc. is at or above 90% of the limit",
  IF(10*BF42*1000/3000+BG42&gt;60,"soil limit likely to be exceeded in 10yrs",
  IF(50*BF42*1000/3000+BG42&gt;60,"soil limit likely to be exceeded in 50yrs","ok"))))),
IF('Soil results'!F45&lt;=7,
  IF(BG42&gt;75,"no application - soil conc. already above limit",
  IF(BH42&gt;75,"application rate too high - soil conc. will exceed limit",
  IF(BG42&gt;75*0.9,"soil conc. is at or above 90% of the limit",
  IF(10*BF42*1000/3000+BG42&gt;75,"soil limit likely to be exceeded in 10yrs",
  IF(50*BF42*1000/3000+BG42&gt;75,"soil limit likely to be exceeded in 50yrs","ok"))))),
IF('Soil results'!F45&gt;7,
  IF(BG42&gt;100,"no application - soil conc. already above limit",
  IF(BH42&gt;100,"application rate too high - soil conc. will exceed limit",
  IF(BG42&gt;100*0.9,"soil conc. is at or above 90% of the limit",
  IF(10*BF42*1000/3000+BG42&gt;100,"soil limit likely to be exceeded in 10yrs",
  IF(50*BF42*1000/3000+BG42&gt;100,"soil limit likely to beexceeded in 50yrs","ok")))))
))))))))</f>
        <v/>
      </c>
      <c r="BK42" s="240" t="str">
        <f ca="1">IF(B42="","",
IF(AND('Field information 2'!$O$5="", 'Field information 2'!$Q$5=""),
   IF('Waste results'!$S$30&lt;&gt;"data missing", Calc!BC40*'Waste results'!$S$30, "data missing"),
IF('Field information 2'!$Q$5="",
   IF(Calc!BD40=0,
     IF('Waste results'!$S$30&lt;&gt;"data missing", Calc!BC40*'Waste results'!$S$30, "data missing"),
   IF(Calc!BC40=0,
     IF('Waste results'!$S$66&lt;&gt;"data missing", Calc!BD40*'Waste results'!$S$66, "data missing"),
   IF(OR('Waste results'!$S$30&lt;&gt;"data missing", 'Waste results'!$S$66&lt;&gt;"data missing"), Calc!BC40*'Waste results'!$S$30+ Calc!BD40*'Waste results'!$S$66, "data missing"))),
IF(AND('Field information 2'!$M$5&lt;&gt;"", 'Field information 2'!$O$5&lt;&gt;"", 'Field information 2'!$Q$5&lt;&gt;""),
   IF(AND(Calc!BD40=0,Calc!BE40=0),
     IF('Waste results'!$S$30&lt;&gt;"data missing", Calc!BC40*'Waste results'!$S$30, "data missing"),
   IF(AND(Calc!BC40=0,Calc!BE40=0),
     IF('Waste results'!$S$66&lt;&gt;"data missing", Calc!BD40*'Waste results'!$S$66, "data missing"),
   IF(AND(Calc!BC40=0,Calc!BD40=0),
     IF('Waste results'!$S$102&lt;&gt;"data missing", Calc!BE40*'Waste results'!$S$102, "data missing"),
   IF(Calc!BE40=0,
     IF(OR('Waste results'!$S$30&lt;&gt;"data missing", 'Waste results'!$S$66&lt;&gt;"data missing"), Calc!BC40*'Waste results'!$S$30+ Calc!BD40*'Waste results'!$S$66, "data missing"),
   IF(Calc!BD40=0,
     IF(OR('Waste results'!$S$30&lt;&gt;"data missing", 'Waste results'!$S$102&lt;&gt;"data missing"), Calc!BC40*'Waste results'!$S$30+ Calc!BE40*'Waste results'!$S$102, "data missing"),
   IF(Calc!BC40=0,
     IF(OR('Waste results'!$S$66&lt;&gt;"data missing", 'Waste results'!$S$102&lt;&gt;"data missing"), Calc!BD40*'Waste results'!$S$66+Calc!BE40*'Waste results'!$S$102, "data missing"),
   IF(OR('Waste results'!$S$30&lt;&gt;"data missing", 'Waste results'!$S$66&lt;&gt;"data missing", 'Waste results'!$S$102&lt;&gt;"data missing"), Calc!BC40*'Waste results'!$S$30+Calc!BD40*'Waste results'!$S$66+ Calc!BE40*'Waste results'!$S$102, "data missing")))))))))))</f>
        <v/>
      </c>
      <c r="BL42" s="241" t="str">
        <f ca="1">IF($B42="","",
IF(ISBLANK('Soil results'!P45),"data missing",'Soil results'!P45))</f>
        <v/>
      </c>
      <c r="BM42" s="241" t="str">
        <f t="shared" ca="1" si="14"/>
        <v/>
      </c>
      <c r="BN42" s="66" t="str">
        <f t="shared" ca="1" si="15"/>
        <v/>
      </c>
      <c r="BP42" s="238" t="str">
        <f ca="1">IF(B42="","",
IF(AND('Field information 2'!$O$5="", 'Field information 2'!$Q$5=""),
   IF('Waste results'!$S$31&lt;&gt;"data missing", Calc!BC40*'Waste results'!$S$31, "data missing"),
IF('Field information 2'!$Q$5="",
   IF(Calc!BD40=0,
     IF('Waste results'!$S$31&lt;&gt;"data missing", Calc!BC40*'Waste results'!$S$31, "data missing"),
   IF(Calc!BC40=0,
     IF('Waste results'!$S$67&lt;&gt;"data missing", Calc!BD40*'Waste results'!$S$67, "data missing"),
   IF(OR('Waste results'!$S$31&lt;&gt;"data missing", 'Waste results'!$S$67&lt;&gt;"data missing"), Calc!BC40*'Waste results'!$S$31+ Calc!BD40*'Waste results'!$S$67, "data missing"))),
IF(AND('Field information 2'!$M$5&lt;&gt;"", 'Field information 2'!$O$5&lt;&gt;"", 'Field information 2'!$Q$5&lt;&gt;""),
   IF(AND(Calc!BD40=0,Calc!BE40=0),
     IF('Waste results'!$S$31&lt;&gt;"data missing", Calc!BC40*'Waste results'!$S$31, "data missing"),
   IF(AND(Calc!BC40=0,Calc!BE40=0),
     IF('Waste results'!$S$67&lt;&gt;"data missing", Calc!BD40*'Waste results'!$S$67, "data missing"),
   IF(AND(Calc!BC40=0,Calc!BD40=0),
     IF('Waste results'!$S$103&lt;&gt;"data missing", Calc!BE40*'Waste results'!$S$103, "data missing"),
   IF(Calc!BE40=0,
     IF(OR('Waste results'!$S$31&lt;&gt;"data missing", 'Waste results'!$S$67&lt;&gt;"data missing"), Calc!BC40*'Waste results'!$S$31+ Calc!BD40*'Waste results'!$S$67, "data missing"),
   IF(Calc!BD40=0,
     IF(OR('Waste results'!$S$31&lt;&gt;"data missing", 'Waste results'!$S$103&lt;&gt;"data missing"), Calc!BC40*'Waste results'!$S$31+ Calc!BE40*'Waste results'!$S$103, "data missing"),
   IF(Calc!BC40=0,
     IF(OR('Waste results'!$S$67&lt;&gt;"data missing", 'Waste results'!$S$103&lt;&gt;"data missing"), Calc!BD40*'Waste results'!$S$67+Calc!BE40*'Waste results'!$S$103, "data missing"),
   IF(OR('Waste results'!$S$31&lt;&gt;"data missing", 'Waste results'!$S$67&lt;&gt;"data missing", 'Waste results'!$S$103&lt;&gt;"data missing"), Calc!BC40*'Waste results'!$S$31+Calc!BD40*'Waste results'!$S$67+ Calc!BE40*'Waste results'!$S$103, "data missing")))))))))))</f>
        <v/>
      </c>
      <c r="BQ42" s="239" t="str">
        <f ca="1">IF($B42="","",
IF(ISBLANK('Soil results'!Q45),"data missing",'Soil results'!Q45))</f>
        <v/>
      </c>
      <c r="BR42" s="239" t="str">
        <f t="shared" ca="1" si="16"/>
        <v/>
      </c>
      <c r="BS42" s="9" t="str">
        <f ca="1">IF(B42="","",
IF(BP42=0,"n/a",
IF(OR(BP42="data missing",BQ42=""),"data missing",
IF(BP42&gt;15,"application rate too high - permissible rate exceeds limit",
IF('Soil results'!F45&lt;=5.5,
  IF(BQ42&gt;200,"no application - soil conc. already above limit",
  IF(BR42&gt;200,"application rate too high - soil conc. will exceed limit",
  IF(BQ42&gt;200*0.9,"soil conc. is at or above 90% of the limit",
  IF(10*BP42*1000/3000+BQ42&gt;200,"soil limit likely to be exceeded in 10yrs",
  IF(50*BP42*1000/3000+BQ42&gt;200,"soil limit likely to be exceeded in 50yrs","ok"))))),
IF('Soil results'!F45&lt;=6,
  IF(BQ42&gt;250,"no application - soil conc. already above limit",
  IF(BR42&gt;250,"application rate too high - soil conc. will exceed limit",
  IF(BQ42&gt;250*0.9,"soil conc. is at or above 90% of the limit",
  IF(10*BP42*1000/3000+BQ42&gt;250,"soil limit likely to be exceeded in 10yrs",
  IF(50*BP42*1000/3000+BQ42&gt;250,"soil limit likely to be exceeded in 50yrs","ok"))))),
IF('Soil results'!F45&lt;=7,
  IF(BQ42&gt;300,"no application - soil conc. already above limit",
  IF(BR42&gt;300,"application rate too high - soil conc. will exceed limit",
  IF(BQ42&gt;300*0.9,"soil conc. is at or above 90% of the limit",
  IF(10*BP42*1000/3000+BQ42&gt;300,"soil limit likey to be exceeded in 10yrs",
  IF(50*BP42*1000/3000+BQ42&gt;300,"soil limit likely to be exceeded in 50yrs","ok"))))),
IF('Soil results'!F45&gt;7,
  IF(BQ42&gt;450,"no application - soil conc. already above limit",
  IF(BR42&gt;450,"application rate too high - soil conc. will exceed limit",
  IF(AW42&gt;450*0.9,"soil conc. is at or above 90% of the limit",
  IF(10*BP42*1000/3000+BQ42&gt;450,"soil limit likely to be exceeded in 10yrs",
  IF(50*BP42*1000/3000+BQ42&gt;450,"soil limit likely to be exceeded in 50yrs","ok")))))
))))))))</f>
        <v/>
      </c>
    </row>
    <row r="43" spans="2:71" s="9" customFormat="1" ht="15" x14ac:dyDescent="0.25">
      <c r="B43" s="236" t="str">
        <f ca="1">'Soil results'!B46</f>
        <v/>
      </c>
      <c r="C43" s="91" t="str">
        <f ca="1">IF(B43="","",
IF(AND('Field information 2'!$O$5="", 'Field information 2'!$Q$5=""),
   IF('Waste results'!$S$12&lt;&gt;"data missing", Calc!BC41*'Waste results'!$S$12, "data missing"),
IF('Field information 2'!$Q$5="",
   IF(Calc!BD41=0,
     IF('Waste results'!$S$12&lt;&gt;"data missing", Calc!BC41*'Waste results'!$S$12, "data missing"),
   IF(Calc!BC41=0,
     IF('Waste results'!$S$48&lt;&gt;"data missing", Calc!BD41*'Waste results'!$S$48, "data missing"),
   IF(OR('Waste results'!$S$12&lt;&gt;"data missing", 'Waste results'!$S$48&lt;&gt;"data missing"), Calc!BC41*'Waste results'!$S$12+ Calc!BD41*'Waste results'!$S$48, "data missing"))),
IF(AND('Field information 2'!$M$5&lt;&gt;"", 'Field information 2'!$O$5&lt;&gt;"", 'Field information 2'!$Q$5&lt;&gt;""),
   IF(AND(Calc!BD41=0,Calc!BE41=0),
     IF('Waste results'!$S$12&lt;&gt;"data missing", Calc!BC41*'Waste results'!$S$12, "data missing"),
   IF(AND(Calc!BC41=0,Calc!BE41=0),
     IF('Waste results'!$S$48&lt;&gt;"data missing", Calc!BD41*'Waste results'!$S$48, "data missing"),
   IF(AND(Calc!BC41=0,Calc!BD41=0),
     IF('Waste results'!$S$84&lt;&gt;"data missing", Calc!BE41*'Waste results'!$S$84, "data missing"),
   IF(Calc!BE41=0,
     IF(OR('Waste results'!$S$12&lt;&gt;"data missing", 'Waste results'!$S$48&lt;&gt;"data missing"), Calc!BC41*'Waste results'!$S$12+ Calc!BD41*'Waste results'!$S$48, "data missing"),
   IF(Calc!BD41=0,
     IF(OR('Waste results'!$S$12&lt;&gt;"data missing", 'Waste results'!$S$84&lt;&gt;"data missing"), Calc!BC41*'Waste results'!$S$12+ Calc!BE41*'Waste results'!$S$84, "data missing"),
   IF(Calc!BC41=0,
     IF(OR('Waste results'!$S$48&lt;&gt;"data missing", 'Waste results'!$S$84&lt;&gt;"data missing"), Calc!BD41*'Waste results'!$S$48+Calc!BE41*'Waste results'!$S$84, "data missing"),
   IF(OR('Waste results'!$S$12&lt;&gt;"data missing", 'Waste results'!$S$48&lt;&gt;"data missing", 'Waste results'!$S$84&lt;&gt;"data missing"), Calc!BC41*'Waste results'!$S$12+Calc!BD41*'Waste results'!$S$48+ Calc!BE41*'Waste results'!$S$84, "data missing")))))))))))</f>
        <v/>
      </c>
      <c r="D43" s="161" t="str">
        <f ca="1">IF(B43="","",
IF(Calc!BG41="","soil texture missing",
IF(OR(Calc!BG41="SL; SZL; ZL",Calc!BG41="SCL; CL; ZCL; SC; ZC; C"),VLOOKUP(Calc!BI41,'Fertiliser recommendations'!$A$4:$C$63,3,FALSE),
IF(Calc!BG41="S; LS",VLOOKUP(Calc!BI41,'Fertiliser recommendations'!$A$4:$C$63,3,FALSE)+VLOOKUP(Calc!BI41,'Fertiliser recommendations'!$A$4:$D$63,4,FALSE),
IF(Calc!BG41="10-25% OM",VLOOKUP(Calc!BI41,'Fertiliser recommendations'!$A$4:$C$63,3,FALSE)+VLOOKUP(Calc!BI41,'Fertiliser recommendations'!$A$4:$E$63,5,FALSE),
IF(Calc!BG41="&gt;25% OM",VLOOKUP(Calc!BI41,'Fertiliser recommendations'!$A$4:$C$63,3,FALSE)+VLOOKUP(Calc!BI41,'Fertiliser recommendations'!$A$4:$F$63,6,FALSE),
""))))))</f>
        <v/>
      </c>
      <c r="E43" s="91" t="str">
        <f t="shared" ca="1" si="0"/>
        <v/>
      </c>
      <c r="F43" s="9" t="str">
        <f ca="1">IF(B43="","",
IF(OR(C43="data missing",D43="soil texture missing"),"data missing",
IF(Calc!BF41=0,"n/a",
IF(C43&lt;0.1*D43,"no benefit",
IF(C43&lt;0.3*D43,"limited benefit",
IF(C43&gt;250,"exceeds limit",
IF(OR(AND(D43=0,C43&gt;75),C43&gt;1.25*D43),"excessive",
IF(D43=0, "no requirement",
"benefit"))))))))</f>
        <v/>
      </c>
      <c r="H43" s="91" t="str">
        <f ca="1">IF(B43="","",
IF(AND('Field information 2'!$O$5="", 'Field information 2'!$Q$5=""),
   IF('Waste results'!$S$17&lt;&gt;"data missing", Calc!BC41*'Waste results'!$S$17, "data missing"),
IF('Field information 2'!$Q$5="",
   IF(Calc!BD41=0,
     IF('Waste results'!$S$17&lt;&gt;"data missing", Calc!BC41*'Waste results'!$S$17, "data missing"),
   IF(Calc!BC41=0,
     IF('Waste results'!$S$53&lt;&gt;"data missing", Calc!BD41*'Waste results'!$S$53, "data missing"),
   IF(OR('Waste results'!$S$17&lt;&gt;"data missing", 'Waste results'!$S$53&lt;&gt;"data missing"), Calc!BC41*'Waste results'!$S$17+ Calc!BD41*'Waste results'!$S$53, "data missing"))),
IF(AND('Field information 2'!$M$5&lt;&gt;"", 'Field information 2'!$O$5&lt;&gt;"", 'Field information 2'!$Q$5&lt;&gt;""),
   IF(AND(Calc!BD41=0,Calc!BE41=0),
     IF('Waste results'!$S$17&lt;&gt;"data missing", Calc!BC41*'Waste results'!$S$17, "data missing"),
   IF(AND(Calc!BC41=0,Calc!BE41=0),
     IF('Waste results'!$S$53&lt;&gt;"data missing", Calc!BD41*'Waste results'!$S$53, "data missing"),
   IF(AND(Calc!BC41=0,Calc!BD41=0),
     IF('Waste results'!$S$89&lt;&gt;"data missing", Calc!BE41*'Waste results'!$S$89, "data missing"),
   IF(Calc!BE41=0,
     IF(OR('Waste results'!$S$17&lt;&gt;"data missing", 'Waste results'!$S$53&lt;&gt;"data missing"), Calc!BC41*'Waste results'!$S$17+ Calc!BD41*'Waste results'!$S$53, "data missing"),
   IF(Calc!BD41=0,
     IF(OR('Waste results'!$S$17&lt;&gt;"data missing", 'Waste results'!$S$89&lt;&gt;"data missing"), Calc!BC41*'Waste results'!$S$17+ Calc!BE41*'Waste results'!$S$89, "data missing"),
   IF(Calc!BC41=0,
     IF(OR('Waste results'!$S$53&lt;&gt;"data missing", 'Waste results'!$S$89&lt;&gt;"data missing"), Calc!BD41*'Waste results'!$S$53+Calc!BE41*'Waste results'!$S$89, "data missing"),
   IF(OR('Waste results'!$S$17&lt;&gt;"data missing", 'Waste results'!$S$53&lt;&gt;"data missing", 'Waste results'!$S$89&lt;&gt;"data missing"), Calc!BC41*'Waste results'!$S$17+Calc!BD41*'Waste results'!$S$53+ Calc!BE41*'Waste results'!$S$89, "data missing")))))))))))</f>
        <v/>
      </c>
      <c r="I43" s="195" t="str">
        <f ca="1">IF(B43="","",
IF(OR(ISBLANK('Soil results'!G46), ISBLANK('Soil results'!G$7)),"data missing",
IF(OR(AND('Soil results'!G$7="Olsen (ADAS)",'Soil results'!G46&lt;16),AND('Soil results'!G$7="modified Morgan (SAC)",'Soil results'!G46&lt;4.5)),50,100)))</f>
        <v/>
      </c>
      <c r="J43" s="49" t="str">
        <f ca="1">IF(B43="","",
IF(OR(ISBLANK('Soil results'!G$7),ISBLANK('Soil results'!G46)),"data missing",
IF(OR(AND('Soil results'!G$7="Olsen (ADAS)",'Soil results'!G46&gt;45),AND('Soil results'!G$7="modified Morgan (SAC)",'Soil results'!G46&gt;30)),0,
IF(OR(AND('Soil results'!G$7="Olsen (ADAS)",'Soil results'!G46&gt;=16,'Soil results'!G46&lt;=20),AND('Soil results'!G$7="modified Morgan (SAC)",'Soil results'!G46&gt;=4.5,'Soil results'!G46&lt;=9.4)),VLOOKUP(Calc!BI41,'Fertiliser recommendations'!$A$4:$I$63,9,FALSE),
IF(OR(AND('Soil results'!G$7="Olsen (ADAS)",'Soil results'!G46&lt;10),AND('Soil results'!G$7="modified Morgan (SAC)",'Soil results'!G46&lt;1.8)),VLOOKUP(Calc!BI41,'Fertiliser recommendations'!$A$4:$I$63,9,FALSE)+VLOOKUP(Calc!BI41,'Fertiliser recommendations'!$A$4:$J$63,10,FALSE),
IF(OR(AND('Soil results'!G$7="Olsen (ADAS)",'Soil results'!G46&lt;16),AND('Soil results'!G$7="modified Morgan (SAC)",'Soil results'!G46&lt;4.5)),VLOOKUP(Calc!BI41,'Fertiliser recommendations'!$A$4:$I$63,9,FALSE)+VLOOKUP(Calc!BI41,'Fertiliser recommendations'!$A$4:$K$63,11,FALSE),
IF(OR(AND('Soil results'!G$7="Olsen (ADAS)",'Soil results'!G46&lt;26),AND('Soil results'!G$7="modified Morgan (SAC)",'Soil results'!G46&lt;13.5)),VLOOKUP(Calc!BI41,'Fertiliser recommendations'!$A$4:$I$63,9,FALSE)+VLOOKUP(Calc!BI41,'Fertiliser recommendations'!$A$4:$L$63,12,FALSE),
IF(OR(AND('Soil results'!G$7="Olsen (ADAS)",'Soil results'!G46&lt;=45),AND('Soil results'!G$7="modified Morgan (SAC)",'Soil results'!G46&lt;=30)),VLOOKUP(Calc!BI41,'Fertiliser recommendations'!$A$4:$I$63,9,FALSE)+VLOOKUP(Calc!BI41,'Fertiliser recommendations'!$A$4:$M$63,13,FALSE),
""))))))))</f>
        <v/>
      </c>
      <c r="K43" s="161" t="str">
        <f t="shared" ca="1" si="1"/>
        <v/>
      </c>
      <c r="L43" s="47" t="str">
        <f ca="1">IF(OR(ISBLANK('Soil results'!G$7),ISBLANK('Soil results'!G46),B43="", H43="data missing"),"",
IF('Soil results'!G$7="Olsen (ADAS)",
IF(((H43*Calc!BM41/2.291-(VLOOKUP(Calc!BI41,'Fertiliser recommendations'!$A$4:$I$63,9,FALSE))/2.291)*10/(400/2.291)+'Soil results'!G46)&lt;10,"0 (VL)",
IF(((H43*Calc!BM41/2.291-(VLOOKUP(Calc!BI41,'Fertiliser recommendations'!$A$4:$I$63,9,FALSE))/2.291)*10/(400/2.291)+'Soil results'!G46)&lt;16,"1 (L)",
IF(((H43*Calc!BM41/2.291-(VLOOKUP(Calc!BI41,'Fertiliser recommendations'!$A$4:$I$63,9,FALSE))/2.291)*10/(400/2.291)+'Soil results'!G46)&lt;21,"2 (M-)",
IF(((H43*Calc!BM41/2.291-(VLOOKUP(Calc!BI41,'Fertiliser recommendations'!$A$4:$I$63,9,FALSE))/2.291)*10/(400/2.291)+'Soil results'!G46)&lt;26,"2 (M+)",
IF(((H43*Calc!BM41/2.291-(VLOOKUP(Calc!BI41,'Fertiliser recommendations'!$A$4:$I$63,9,FALSE))/2.291)*10/(400/2.291)+'Soil results'!G46)&lt;45,"3 (H)","&gt;3 (VH)"))))),
IF('Soil results'!G$7="modified Morgan (SAC)",
IF('Soil results'!G46&gt;=6,
IF(((H43*Calc!BM41/2.291-(VLOOKUP(Calc!BI41,'Fertiliser recommendations'!$A$4:$I$63,9,FALSE))/2.291)*5/(147/2.291)+'Soil results'!G46)&lt;9.5,"2 (M-)",
IF(((H43*Calc!BM41/2.291-(VLOOKUP(Calc!BI41,'Fertiliser recommendations'!$A$4:$I$63,9,FALSE))/2.291)*5/(147/2.291)+'Soil results'!G46)&lt;13.5,"2 (M+)",
IF(((H43*Calc!BM41/2.291-(VLOOKUP(Calc!BI41,'Fertiliser recommendations'!$A$4:$I$63,9,FALSE))/2.291)*5/(147/2.291)+'Soil results'!G46)&lt;30,"3 (H)","4 (VH)"))),
IF(((H43*Calc!BM41/2.291-(VLOOKUP(Calc!BI41,'Fertiliser recommendations'!$A$4:$I$63,9,FALSE))/2.291)*5/(346/2.291)+'Soil results'!G46)&lt;1.8,"0 (VL)",
IF(((H43*Calc!BM41/2.291-(VLOOKUP(Calc!BI41,'Fertiliser recommendations'!$A$4:$I$63,9,FALSE))/2.291)*5/(147/2.291)+'Soil results'!G46)&lt;4.5,"1 (L)","2 (M-)"))))))</f>
        <v/>
      </c>
      <c r="M43" s="9" t="str">
        <f ca="1">IF(B43="","",
IF(OR(H43="data missing",I43="data missing",J43="data missing"),"data missing",
IF(Calc!BF41=0,"n/a",
IF(OR(AND('Soil results'!G$7="Olsen (ADAS)",'Soil results'!G46&gt;45),AND('Soil results'!G$7="modified Morgan (SAC)",'Soil results'!G46&gt;30)),
IF(H43&gt;2,"too high, not acceptable","no requirement"),IF(OR(AND('Soil results'!G$7="Olsen (ADAS)",'Soil results'!G46&gt;25),AND('Soil results'!G$7="modified Morgan (SAC)",'Soil results'!G46&gt;13.4)),
IF(H43*(I43/100)&lt;0.1*J43,"no benefit",
IF(H43*(I43/100)&lt;0.3*J43,"limited benefit",
IF(H43*(I43/100)&lt;1.1*J43,"benefit",
IF(H43*(I43/100)&lt;0.7*VLOOKUP(Calc!BI41,'Fertiliser recommendations'!$A$4:$I$63,9,FALSE),"excessive","too high, not acceptable")))),
IF(OR(AND('Soil results'!G$7="Olsen (ADAS)",'Soil results'!G46&gt;20),AND('Soil results'!G$7="modified Morgan (SAC)",'Soil results'!G46&gt;9.4)),
IF(H43*Calc!BM41*(I43/100)&lt;0.1*J43,"no benefit",
IF(H43*Calc!BM41*(I43/100)&lt;0.3*J43,"limited benefit",
IF(H43*Calc!BM41*(I43/100)&lt;1.1*J43,"benefit",
IF(L43="3 (H)","too high, not acceptable","excessive")))),
IF(OR(AND('Soil results'!G$7="Olsen (ADAS)",'Soil results'!G46&gt;15),AND('Soil results'!G$7="modified Morgan (SAC)",'Soil results'!G46&gt;4.4)),
IF(H43*Calc!BM41*(I43/100)&lt;0.1*VLOOKUP(Calc!BI41,'Fertiliser recommendations'!$A$4:$I$63,9,FALSE),"no benefit",
IF(H43*Calc!BM41*(I43/100)&lt;0.3*VLOOKUP(Calc!BI41,'Fertiliser recommendations'!$A$4:$I$63,9,FALSE),"limited benefit",
IF(H43*Calc!BM41*(I43/100)&lt;1.1*VLOOKUP(Calc!BI41,'Fertiliser recommendations'!$A$4:$I$63,9,FALSE),"benefit",
IF(L43="3 (H)", "too high, not acceptable", "excessive")))),
IF(OR(AND('Soil results'!G$7="Olsen (ADAS)",'Soil results'!G46&lt;=15),AND('Soil results'!G$7="modified Morgan (SAC)",'Soil results'!G46&lt;=4.4)),
IF(H43*Calc!BM41*(I43/100)&lt;0.1*VLOOKUP(Calc!BI41,'Fertiliser recommendations'!$A$4:$I$63,9,FALSE),"no benefit",
IF(H43*Calc!BM41*(I43/100)&lt;0.3*VLOOKUP(Calc!BI41,'Fertiliser recommendations'!$A$4:$I$63,9,FALSE),"limited benefit",
IF(H43*Calc!BM41*(I43/100)&lt;1.1*J43,"benefit","excessive")))))))))))</f>
        <v/>
      </c>
      <c r="O43" s="91" t="str">
        <f ca="1">IF(B43="","",
IF(AND('Field information 2'!$O$5="", 'Field information 2'!$Q$5=""),
   IF('Waste results'!$S$19&lt;&gt;"data missing", Calc!BC41*'Waste results'!$S$19, "data missing"),
IF('Field information 2'!$Q$5="",
   IF(Calc!BD41=0,
     IF('Waste results'!$S$19&lt;&gt;"data missing", Calc!BC41*'Waste results'!$S$19, "data missing"),
   IF(Calc!BC41=0,
     IF('Waste results'!$S$55&lt;&gt;"data missing", Calc!BD41*'Waste results'!$S$55, "data missing"),
   IF(OR('Waste results'!$S$19&lt;&gt;"data missing", 'Waste results'!$S$55&lt;&gt;"data missing"), Calc!BC41*'Waste results'!$S$19+ Calc!BD41*'Waste results'!$S$55, "data missing"))),
IF(AND('Field information 2'!$M$5&lt;&gt;"", 'Field information 2'!$O$5&lt;&gt;"", 'Field information 2'!$Q$5&lt;&gt;""),
   IF(AND(Calc!BD41=0,Calc!BE41=0),
     IF('Waste results'!$S$19&lt;&gt;"data missing", Calc!BC41*'Waste results'!$S$19, "data missing"),
   IF(AND(Calc!BC41=0,Calc!BE41=0),
     IF('Waste results'!$S$55&lt;&gt;"data missing", Calc!BD41*'Waste results'!$S$55, "data missing"),
   IF(AND(Calc!BC41=0,Calc!BD41=0),
     IF('Waste results'!$S$91&lt;&gt;"data missing", Calc!BE41*'Waste results'!$S$91, "data missing"),
   IF(Calc!BE41=0,
     IF(OR('Waste results'!$S$19&lt;&gt;"data missing", 'Waste results'!$S$55&lt;&gt;"data missing"), Calc!BC41*'Waste results'!$S$19+ Calc!BD41*'Waste results'!$S$55, "data missing"),
   IF(Calc!BD41=0,
     IF(OR('Waste results'!$S$19&lt;&gt;"data missing", 'Waste results'!$S$91&lt;&gt;"data missing"), Calc!BC41*'Waste results'!$S$19+ Calc!BE41*'Waste results'!$S$91, "data missing"),
   IF(Calc!BC41=0,
     IF(OR('Waste results'!$S$55&lt;&gt;"data missing", 'Waste results'!$S$91&lt;&gt;"data missing"), Calc!BD41*'Waste results'!$S$55+Calc!BE41*'Waste results'!$S$91, "data missing"),
   IF(OR('Waste results'!$S$19&lt;&gt;"data missing", 'Waste results'!$S$55&lt;&gt;"data missing", 'Waste results'!$S$91&lt;&gt;"data missing"), Calc!BC41*'Waste results'!$S$19+Calc!BD41*'Waste results'!$S$55+ Calc!BE41*'Waste results'!$S$91, "data missing")))))))))))</f>
        <v/>
      </c>
      <c r="P43" s="91" t="str">
        <f ca="1">IF(B43="","",
IF(OR(ISBLANK('Soil results'!H$7),ISBLANK('Soil results'!H46)),"data missing",
IF(OR(AND('Soil results'!H$7="ammonium nitrate (ADAS)",'Soil results'!H46&gt;400),AND('Soil results'!H$7="modified Morgan (SAC)",'Soil results'!H46&gt;400)),0,
IF(OR(AND('Soil results'!H$7="ammonium nitrate (ADAS)",'Soil results'!H46&gt;=121,'Soil results'!H46&lt;=180),AND('Soil results'!H$7="modified Morgan (SAC)",'Soil results'!H46&gt;=76,'Soil results'!H46&lt;=140)),VLOOKUP(Calc!BI41,'Fertiliser recommendations'!$A$4:$Z$63,26,FALSE),
IF(OR(AND('Soil results'!H$7="ammonium nitrate (ADAS)",'Soil results'!H46&lt;61),AND('Soil results'!H$7="modified Morgan (SAC)",'Soil results'!H46&lt;40)),VLOOKUP(Calc!BI41,'Fertiliser recommendations'!$A$4:$Z$63,26,FALSE)+VLOOKUP(Calc!BI41,'Fertiliser recommendations'!$A$4:$AA$63,27,FALSE),
IF(OR(AND('Soil results'!H$7="ammonium nitrate (ADAS)",'Soil results'!H46&lt;121),AND('Soil results'!H$7="modified Morgan (SAC)",'Soil results'!H46&lt;76)),VLOOKUP(Calc!BI41,'Fertiliser recommendations'!$A$4:$Z$63,26,FALSE)+VLOOKUP(Calc!BI41,'Fertiliser recommendations'!$A$4:$AB$63,28,FALSE),
IF(OR(AND('Soil results'!H$7="ammonium nitrate (ADAS)",'Soil results'!H46&lt;241),AND('Soil results'!H$7="modified Morgan (SAC)",'Soil results'!H46&lt;201)),VLOOKUP(Calc!BI41,'Fertiliser recommendations'!$A$4:$Z$63,26,FALSE)+VLOOKUP(Calc!BI41,'Fertiliser recommendations'!$A$4:$AC$63,29,FALSE),
IF(OR(AND('Soil results'!H$7="ammonium nitrate (ADAS)",'Soil results'!H46&lt;=400),AND('Soil results'!H$7="modified Morgan (SAC)",'Soil results'!H46&lt;=400)),VLOOKUP(Calc!BI41,'Fertiliser recommendations'!$A$4:$Z$63,26,FALSE)+VLOOKUP(Calc!BI41,'Fertiliser recommendations'!$A$4:$AD$63,30,FALSE),
"??"))))))))</f>
        <v/>
      </c>
      <c r="Q43" s="91" t="str">
        <f t="shared" ca="1" si="2"/>
        <v/>
      </c>
      <c r="R43" s="9" t="str">
        <f ca="1">IF(B43="","",
IF(OR(O43="data missing",P43="data missing"),"data missing",
IF(Calc!BF41=0,"n/a",
IF(P43=0, "no requirement",
IF(O43&lt;0.1*P43,"no benefit",
IF(O43&lt;0.3*P43,"limited benefit",
IF(O43&gt;1.25*P43,"excessive",
"benefit")))))))</f>
        <v/>
      </c>
      <c r="T43" s="91" t="str">
        <f ca="1">IF(B43="","",
IF(AND('Field information 2'!$O$5="", 'Field information 2'!$Q$5=""),
   IF('Waste results'!$S$21&lt;&gt;"data missing", Calc!BC41*'Waste results'!$S$21, "data missing"),
IF('Field information 2'!$Q$5="",
   IF(Calc!BD41=0,
     IF('Waste results'!$S$21&lt;&gt;"data missing", Calc!BC41*'Waste results'!$S$21, "data missing"),
   IF(Calc!BC41=0,
     IF('Waste results'!$S$57&lt;&gt;"data missing", Calc!BD41*'Waste results'!$S$57, "data missing"),
   IF(OR('Waste results'!$S$21&lt;&gt;"data missing", 'Waste results'!$S$57&lt;&gt;"data missing"), Calc!BC41*'Waste results'!$S$21+ Calc!BD41*'Waste results'!$S$57, "data missing"))),
IF(AND('Field information 2'!$M$5&lt;&gt;"", 'Field information 2'!$O$5&lt;&gt;"", 'Field information 2'!$Q$5&lt;&gt;""),
   IF(AND(Calc!BD41=0,Calc!BE41=0),
     IF('Waste results'!$S$21&lt;&gt;"data missing", Calc!BC41*'Waste results'!$S$21, "data missing"),
   IF(AND(Calc!BC41=0,Calc!BE41=0),
     IF('Waste results'!$S$57&lt;&gt;"data missing", Calc!BD41*'Waste results'!$S$57, "data missing"),
   IF(AND(Calc!BC41=0,Calc!BD41=0),
     IF('Waste results'!$S$93&lt;&gt;"data missing", Calc!BE41*'Waste results'!$S$93, "data missing"),
   IF(Calc!BE41=0,
     IF(OR('Waste results'!$S$21&lt;&gt;"data missing", 'Waste results'!$S$57&lt;&gt;"data missing"), Calc!BC41*'Waste results'!$S$21+ Calc!BD41*'Waste results'!$S$57, "data missing"),
   IF(Calc!BD41=0,
     IF(OR('Waste results'!$S$21&lt;&gt;"data missing", 'Waste results'!$S$93&lt;&gt;"data missing"), Calc!BC41*'Waste results'!$S$21+ Calc!BE41*'Waste results'!$S$93, "data missing"),
   IF(Calc!BC41=0,
     IF(OR('Waste results'!$S$57&lt;&gt;"data missing", 'Waste results'!$S$93&lt;&gt;"data missing"), Calc!BD41*'Waste results'!$S$57+Calc!BE41*'Waste results'!$S$93, "data missing"),
   IF(OR('Waste results'!$S$21&lt;&gt;"data missing", 'Waste results'!$S$57&lt;&gt;"data missing", 'Waste results'!$S$93&lt;&gt;"data missing"), Calc!BC41*'Waste results'!$S$21+Calc!BD41*'Waste results'!$S$57+ Calc!BE41*'Waste results'!$S$93, "data missing")))))))))))</f>
        <v/>
      </c>
      <c r="U43" s="7" t="str">
        <f ca="1">IF(B43="","",
IF(OR(ISBLANK('Soil results'!I$7),ISBLANK('Soil results'!I46)),"data missing",
IF(OR(AND('Soil results'!I$7="ammonium nitrate (ADAS)",'Soil results'!I46&gt;51),AND('Soil results'!I$7="modified Morgan (SAC)",'Soil results'!I46&gt;61)),0,
IF(OR(AND('Soil results'!I$7="ammonium nitrate (ADAS)",'Soil results'!I46&lt;25),AND('Soil results'!I$7="modified Morgan (SAC)",'Soil results'!I46&lt;19)),VLOOKUP(Calc!BI41,'Fertiliser recommendations'!$A$4:$AH$63,34,FALSE),
IF(OR(AND('Soil results'!I$7="ammonium nitrate (ADAS)",'Soil results'!I46&lt;=51),AND('Soil results'!I$7="modified Morgan (SAC)",'Soil results'!I46&lt;=61)),VLOOKUP(Calc!BI41,'Fertiliser recommendations'!$A$4:$AI$63,35,FALSE),
"")))))</f>
        <v/>
      </c>
      <c r="V43" s="91" t="str">
        <f t="shared" ca="1" si="3"/>
        <v/>
      </c>
      <c r="W43" s="9" t="str">
        <f ca="1">IF(B43="","",
IF(OR(T43="data missing",U43="data missing"),"data missing",
IF(Calc!BF41=0,"n/a",
IF(U43=0,"no requirement",
IF(T43&lt;0.1*U43,"no benefit",
IF(T43&lt;0.3*U43,"limited benefit",
IF(OR(T43&gt;1.5*U43,AND(Calc!BJ41="g",T43&gt;100)),"excessive",
"benefit")))))))</f>
        <v/>
      </c>
      <c r="Y43" s="91" t="str">
        <f ca="1">IF(B43="","",
IF(AND('Field information 2'!$O$5="", 'Field information 2'!$Q$5=""),
   IF('Waste results'!$P$23&lt;&gt;"", Calc!BC41*'Waste results'!$P$23, "no data"),
IF('Field information 2'!$Q$5="",
   IF(Calc!BD41=0,
     IF('Waste results'!$P$23&lt;&gt;"", Calc!BC41*'Waste results'!$P$23, "no data"),
   IF(Calc!BC41=0,
     IF('Waste results'!$P$59&lt;&gt;"", Calc!BD41*'Waste results'!$P$59, "no data"),
   IF(OR('Waste results'!$P$23&lt;&gt;"", 'Waste results'!$P$59&lt;&gt;""), Calc!BC41*'Waste results'!$P$23+ Calc!BD41*'Waste results'!$P$59, "no data"))),
IF(AND('Field information 2'!$M$5&lt;&gt;"", 'Field information 2'!$O$5&lt;&gt;"", 'Field information 2'!$Q$5&lt;&gt;""),
   IF(AND(Calc!BD41=0,Calc!BE41=0),
     IF('Waste results'!$P$23&lt;&gt;"", Calc!BC41*'Waste results'!$P$23, "no data"),
   IF(AND(Calc!BC41=0,Calc!BE41=0),
     IF('Waste results'!$P$59&lt;&gt;"", Calc!BD41*'Waste results'!$P$59, "no data"),
   IF(AND(Calc!BC41=0,Calc!BD41=0),
     IF('Waste results'!$P$95&lt;&gt;"", Calc!BE41*'Waste results'!$P$95, "no data"),
   IF(Calc!BE41=0,
     IF(OR('Waste results'!$P$23&lt;&gt;"", 'Waste results'!$P$59&lt;&gt;""), Calc!BC41*'Waste results'!$P$23+ Calc!BD41*'Waste results'!$P$59, "no data"),
   IF(Calc!BD41=0,
     IF(OR('Waste results'!$P$23&lt;&gt;"", 'Waste results'!$P$95&lt;&gt;""), Calc!BC41*'Waste results'!$P$23+ Calc!BE41*'Waste results'!$P$95, "no data"),
   IF(Calc!BC41=0,
     IF(OR('Waste results'!$P$59&lt;&gt;"", 'Waste results'!$P$95&lt;&gt;""), Calc!BD41*'Waste results'!$P$59+Calc!BE41*'Waste results'!$P$95, "no data"),
   IF(OR('Waste results'!$P$23&lt;&gt;"", 'Waste results'!$P$59&lt;&gt;"", 'Waste results'!$P$95&lt;&gt;""), Calc!BC41*'Waste results'!$P$23+Calc!BD41*'Waste results'!$P$59+ Calc!BE41*'Waste results'!$P$95, "no data")))))))))))</f>
        <v/>
      </c>
      <c r="Z43" s="7" t="str">
        <f ca="1">IF(OR(ISBLANK('Soil results'!I$7),ISBLANK('Soil results'!I46),'Soil results'!B46=""),"",
VLOOKUP(Calc!BI41,'Fertiliser recommendations'!$A$4:$AM$63,39,FALSE))</f>
        <v/>
      </c>
      <c r="AA43" s="91" t="str">
        <f t="shared" ca="1" si="4"/>
        <v/>
      </c>
      <c r="AB43" s="9" t="str">
        <f t="shared" ca="1" si="5"/>
        <v/>
      </c>
      <c r="AD43" s="48" t="str">
        <f>IF(ISBLANK('Soil results'!F46),"",'Soil results'!F46)</f>
        <v/>
      </c>
      <c r="AE43" s="49" t="str">
        <f ca="1">IF(B43="","",
IF(AND(Calc!BJ41="g", VLOOKUP(LEFT($B43,LEN($B43)-2),'Field information 2'!$B$12:$P$111,9,FALSE)&lt;&gt;"yes"),
 IF(Calc!BG41="10-25% OM", 5.9, IF(Calc!BG41="&gt;25% OM", 5.5, 6.2)),
IF(OR(Calc!BJ41="a", VLOOKUP(LEFT($B43,LEN($B43)-2),'Field information 2'!$B$12:$P$111,9,FALSE)="yes"),
 IF(Calc!BG41="10-25% OM", 6.4, IF(Calc!BG41="&gt;25% OM", 6, 6.7)), "")))</f>
        <v/>
      </c>
      <c r="AF43" s="91" t="str">
        <f ca="1">IF(B43="","",
IF('Waste results'!$Q$33="","no (significant) liming properties",
IF('Waste results'!Q$33&gt;100,"no (significant) liming properties",
IF(AD43="","",
IF(AD43&gt;=AE43,0,ROUNDDOWN((AE43-AD43)*Calc!BK41*'Waste results'!$Q$33+0.2,0))))))</f>
        <v/>
      </c>
      <c r="AG43" s="9" t="str">
        <f ca="1">IF(B43="","",
IF(T43=0,"n/a",
IF(AD43="","data missing",
IF(AND(AD43&lt;5,AF43="no (significant) liming properties"),"no waste application - pH too low",
IF(AND(AD43&gt;5.1,AF43="no (significant) liming properties",Calc!BH41&gt;25, LEFT(Calc!BI41,4)="graz"),"ok",
IF(AND(AD43&lt;=5.2,AF43="no (significant) liming properties"),"liming highly recommended",
IF(AF43=0,"no waste application - liming not required",
IF(AF43&lt;Calc!BC41,"application rate too high - exceeds liming requirement",
"ok"))))))))</f>
        <v/>
      </c>
      <c r="AI43" s="91" t="str">
        <f ca="1">IF(B43="","",
IF(AND('Field information 2'!$O$5="", 'Field information 2'!$Q$5=""),
   IF('Waste results'!$P$10&lt;&gt;"data missing", Calc!BC41*'Waste results'!$P$10, "data missing"),
IF('Field information 2'!$Q$5="",
   IF(Calc!BD41=0,
     IF('Waste results'!$P$10&lt;&gt;"data missing", Calc!BC41*'Waste results'!$P$10, "data missing"),
   IF(Calc!BC41=0,
     IF('Waste results'!$P$45&lt;&gt;"data missing", Calc!BD41*'Waste results'!$P$45, "data missing"),
   IF(OR('Waste results'!$P$10&lt;&gt;"data missing", 'Waste results'!$P$45&lt;&gt;"data missing"), Calc!BC41*'Waste results'!$P$10+ Calc!BD41*'Waste results'!$P$45, "data missing"))),
IF(AND('Field information 2'!$M$5&lt;&gt;"", 'Field information 2'!$O$5&lt;&gt;"", 'Field information 2'!$Q$5&lt;&gt;""),
   IF(AND(Calc!BD41=0,Calc!BE41=0),
     IF('Waste results'!$P$10&lt;&gt;"data missing", Calc!BC41*'Waste results'!$P$10, "data missing"),
   IF(AND(Calc!BC41=0,Calc!BE41=0),
     IF('Waste results'!$P$45&lt;&gt;"data missing", Calc!BD41*'Waste results'!$P$45, "data missing"),
   IF(AND(Calc!BC41=0,Calc!BD41=0),
     IF('Waste results'!$P$82&lt;&gt;"data missing", Calc!BE41*'Waste results'!$P$82, "data missing"),
   IF(Calc!BE41=0,
     IF(OR('Waste results'!$P$10&lt;&gt;"data missing", 'Waste results'!$P$45&lt;&gt;"data missing"), Calc!BC41*'Waste results'!$P$10+ Calc!BD41*'Waste results'!$P$45, "data missing"),
   IF(Calc!BD41=0,
     IF(OR('Waste results'!$P$10&lt;&gt;"data missing", 'Waste results'!$P$82&lt;&gt;"data missing"), Calc!BC41*'Waste results'!$P$10+ Calc!BE41*'Waste results'!$P$82, "data missing"),
   IF(Calc!BC41=0,
     IF(OR('Waste results'!$P$45&lt;&gt;"data missing", 'Waste results'!$P$82&lt;&gt;"data missing"), Calc!BD41*'Waste results'!$P$45+Calc!BE41*'Waste results'!$P$82, "data missing"),
   IF(OR('Waste results'!$P$10&lt;&gt;"data missing", 'Waste results'!$P$45&lt;&gt;"data missing", 'Waste results'!$P$82&lt;&gt;"data missing"), Calc!BC41*'Waste results'!$P$10+Calc!BD41*'Waste results'!$P$45+ Calc!BE41*'Waste results'!$P$82, "data missing")))))))))))</f>
        <v/>
      </c>
      <c r="AJ43" s="237" t="str">
        <f ca="1">IF(B43="","",
IF(AI43="data missing","data missing",
IF(Calc!BF41=0,"n/a",
IF(AND(Calc!BH41&gt;=8,AI43&lt;500),"no benefit",
IF(OR(AND(Calc!BH41&lt;=4,AI43&gt;=500),AND(Calc!BH41&lt;8,AI43&gt;5000)),"benefit",
"limited benefit")))))</f>
        <v/>
      </c>
      <c r="AL43" s="238" t="str">
        <f ca="1">IF(B43="","",
IF(AND('Field information 2'!$O$5="", 'Field information 2'!$Q$5=""),
   IF('Waste results'!$S$25&lt;&gt;"data missing", Calc!BC41*'Waste results'!$S$25, "data missing"),
IF('Field information 2'!$Q$5="",
   IF(Calc!BD41=0,
     IF('Waste results'!$S$25&lt;&gt;"data missing", Calc!BC41*'Waste results'!$S$25, "data missing"),
   IF(Calc!BC41=0,
     IF('Waste results'!$S$61&lt;&gt;"data missing", Calc!BD41*'Waste results'!$S$61, "data missing"),
   IF(OR('Waste results'!$S$25&lt;&gt;"data missing", 'Waste results'!$S$61&lt;&gt;"data missing"), Calc!BC41*'Waste results'!$S$25+ Calc!BD41*'Waste results'!$S$61, "data missing"))),
IF(AND('Field information 2'!$M$5&lt;&gt;"", 'Field information 2'!$O$5&lt;&gt;"", 'Field information 2'!$Q$5&lt;&gt;""),
   IF(AND(Calc!BD41=0,Calc!BE41=0),
     IF('Waste results'!$S$25&lt;&gt;"data missing", Calc!BC41*'Waste results'!$S$25, "data missing"),
   IF(AND(Calc!BC41=0,Calc!BE41=0),
     IF('Waste results'!$S$61&lt;&gt;"data missing", Calc!BD41*'Waste results'!$S$61, "data missing"),
   IF(AND(Calc!BC41=0,Calc!BD41=0),
     IF('Waste results'!$S$97&lt;&gt;"data missing", Calc!BE41*'Waste results'!$S$97, "data missing"),
   IF(Calc!BE41=0,
     IF(OR('Waste results'!$S$25&lt;&gt;"data missing", 'Waste results'!$S$61&lt;&gt;"data missing"), Calc!BC41*'Waste results'!$S$25+ Calc!BD41*'Waste results'!$S$61, "data missing"),
   IF(Calc!BD41=0,
     IF(OR('Waste results'!$S$25&lt;&gt;"data missing", 'Waste results'!$S$97&lt;&gt;"data missing"), Calc!BC41*'Waste results'!$S$25+ Calc!BE41*'Waste results'!$S$97, "data missing"),
   IF(Calc!BC41=0,
     IF(OR('Waste results'!$S$61&lt;&gt;"data missing", 'Waste results'!$S$97&lt;&gt;"data missing"), Calc!BD41*'Waste results'!$S$61+Calc!BE41*'Waste results'!$S$97, "data missing"),
   IF(OR('Waste results'!$S$25&lt;&gt;"data missing", 'Waste results'!$S$61&lt;&gt;"data missing", 'Waste results'!$S$97&lt;&gt;"data missing"), Calc!BC41*'Waste results'!$S$25+Calc!BD41*'Waste results'!$S$61+ Calc!BE41*'Waste results'!$S$97, "data missing")))))))))))</f>
        <v/>
      </c>
      <c r="AM43" s="239" t="str">
        <f ca="1">IF($B43="","",
IF(ISBLANK('Soil results'!K46),"data missing",'Soil results'!K46))</f>
        <v/>
      </c>
      <c r="AN43" s="239" t="str">
        <f t="shared" ca="1" si="6"/>
        <v/>
      </c>
      <c r="AO43" s="9" t="str">
        <f t="shared" ca="1" si="7"/>
        <v/>
      </c>
      <c r="AQ43" s="240" t="str">
        <f ca="1">IF(B43="","",
IF(AND('Field information 2'!$O$5="", 'Field information 2'!$Q$5=""),
   IF('Waste results'!$S$26&lt;&gt;"data missing", Calc!BC41*'Waste results'!$S$26, "data missing"),
IF('Field information 2'!$Q$5="",
   IF(Calc!BD41=0,
     IF('Waste results'!$S$26&lt;&gt;"data missing", Calc!BC41*'Waste results'!$S$26, "data missing"),
   IF(Calc!BC41=0,
     IF('Waste results'!$S$62&lt;&gt;"data missing", Calc!BD41*'Waste results'!$S$62, "data missing"),
   IF(OR('Waste results'!$S$26&lt;&gt;"data missing", 'Waste results'!$S$62&lt;&gt;"data missing"), Calc!BC41*'Waste results'!$S$26+ Calc!BD41*'Waste results'!$S$62, "data missing"))),
IF(AND('Field information 2'!$M$5&lt;&gt;"", 'Field information 2'!$O$5&lt;&gt;"", 'Field information 2'!$Q$5&lt;&gt;""),
   IF(AND(Calc!BD41=0,Calc!BE41=0),
     IF('Waste results'!$S$26&lt;&gt;"data missing", Calc!BC41*'Waste results'!$S$26, "data missing"),
   IF(AND(Calc!BC41=0,Calc!BE41=0),
     IF('Waste results'!$S$62&lt;&gt;"data missing", Calc!BD41*'Waste results'!$S$62, "data missing"),
   IF(AND(Calc!BC41=0,Calc!BD41=0),
     IF('Waste results'!$S$98&lt;&gt;"data missing", Calc!BE41*'Waste results'!$S$98, "data missing"),
   IF(Calc!BE41=0,
     IF(OR('Waste results'!$S$26&lt;&gt;"data missing", 'Waste results'!$S$62&lt;&gt;"data missing"), Calc!BC41*'Waste results'!$S$26+ Calc!BD41*'Waste results'!$S$62, "data missing"),
   IF(Calc!BD41=0,
     IF(OR('Waste results'!$S$26&lt;&gt;"data missing", 'Waste results'!$S$98&lt;&gt;"data missing"), Calc!BC41*'Waste results'!$S$26+ Calc!BE41*'Waste results'!$S$98, "data missing"),
   IF(Calc!BC41=0,
     IF(OR('Waste results'!$S$62&lt;&gt;"data missing", 'Waste results'!$S$98&lt;&gt;"data missing"), Calc!BD41*'Waste results'!$S$62+Calc!BE41*'Waste results'!$S$98, "data missing"),
   IF(OR('Waste results'!$S$26&lt;&gt;"data missing", 'Waste results'!$S$62&lt;&gt;"data missing", 'Waste results'!$S$98&lt;&gt;"data missing"), Calc!BC41*'Waste results'!$S$26+Calc!BD41*'Waste results'!$S$62+ Calc!BE41*'Waste results'!$S$98, "data missing")))))))))))</f>
        <v/>
      </c>
      <c r="AR43" s="241" t="str">
        <f ca="1">IF($B43="","",
IF(ISBLANK('Soil results'!L46),"data missing",'Soil results'!L46))</f>
        <v/>
      </c>
      <c r="AS43" s="241" t="str">
        <f t="shared" ca="1" si="8"/>
        <v/>
      </c>
      <c r="AT43" s="66" t="str">
        <f t="shared" ca="1" si="9"/>
        <v/>
      </c>
      <c r="AV43" s="238" t="str">
        <f ca="1">IF(B43="","",
IF(AND('Field information 2'!$O$5="", 'Field information 2'!$Q$5=""),
   IF('Waste results'!$S$27&lt;&gt;"data missing", Calc!BC41*'Waste results'!$S$27, "data missing"),
IF('Field information 2'!$Q$5="",
   IF(Calc!BD41=0,
     IF('Waste results'!$S$27&lt;&gt;"data missing", Calc!BC41*'Waste results'!$S$27, "data missing"),
   IF(Calc!BC41=0,
     IF('Waste results'!$S$63&lt;&gt;"data missing", Calc!BD41*'Waste results'!$S$63, "data missing"),
   IF(OR('Waste results'!$S$27&lt;&gt;"data missing", 'Waste results'!$S$63&lt;&gt;"data missing"), Calc!BC41*'Waste results'!$S$27+ Calc!BD41*'Waste results'!$S$63, "data missing"))),
IF(AND('Field information 2'!$M$5&lt;&gt;"", 'Field information 2'!$O$5&lt;&gt;"", 'Field information 2'!$Q$5&lt;&gt;""),
   IF(AND(Calc!BD41=0,Calc!BE41=0),
     IF('Waste results'!$S$27&lt;&gt;"data missing", Calc!BC41*'Waste results'!$S$27, "data missing"),
   IF(AND(Calc!BC41=0,Calc!BE41=0),
     IF('Waste results'!$S$63&lt;&gt;"data missing", Calc!BD41*'Waste results'!$S$63, "data missing"),
   IF(AND(Calc!BC41=0,Calc!BD41=0),
     IF('Waste results'!$S$99&lt;&gt;"data missing", Calc!BE41*'Waste results'!$S$99, "data missing"),
   IF(Calc!BE41=0,
     IF(OR('Waste results'!$S$27&lt;&gt;"data missing", 'Waste results'!$S$63&lt;&gt;"data missing"), Calc!BC41*'Waste results'!$S$27+ Calc!BD41*'Waste results'!$S$63, "data missing"),
   IF(Calc!BD41=0,
     IF(OR('Waste results'!$S$27&lt;&gt;"data missing", 'Waste results'!$S$99&lt;&gt;"data missing"), Calc!BC41*'Waste results'!$S$27+ Calc!BE41*'Waste results'!$S$99, "data missing"),
   IF(Calc!BC41=0,
     IF(OR('Waste results'!$S$63&lt;&gt;"data missing", 'Waste results'!$S$99&lt;&gt;"data missing"), Calc!BD41*'Waste results'!$S$63+Calc!BE41*'Waste results'!$S$99, "data missing"),
   IF(OR('Waste results'!$S$27&lt;&gt;"data missing", 'Waste results'!$S$63&lt;&gt;"data missing", 'Waste results'!$S$99&lt;&gt;"data missing"), Calc!BC41*'Waste results'!$S$27+Calc!BD41*'Waste results'!$S$63+ Calc!BE41*'Waste results'!$S$99, "data missing")))))))))))</f>
        <v/>
      </c>
      <c r="AW43" s="239" t="str">
        <f ca="1">IF($B43="","",
IF(ISBLANK('Soil results'!M46),"data missing",'Soil results'!M46))</f>
        <v/>
      </c>
      <c r="AX43" s="239" t="str">
        <f t="shared" ca="1" si="10"/>
        <v/>
      </c>
      <c r="AY43" s="9" t="str">
        <f ca="1">IF(B43="","",
IF(AV43=0,"n/a",
IF(OR(AV43="data missing",AW43="data missing"),"data missing",
IF(AV43&gt;7.5,"application rate too high - permissible rate exceeds limit",
IF('Soil results'!$F46&lt;=5.5,
  IF(AW43&gt;80,"no application - soil conc. already above limit",
  IF(AX43&gt;80,"application rate too high - soil conc. will exceed limit",
  IF(AW43&gt;80*0.9,"soil conc. is at or above 90% of the limit",
  IF(10*AV43*1000/3000+AW43&gt;80,"soil limit likely to be exceeded in 10yrs",
  IF(50*AV43*1000/3000+AW43&gt;80,"soil limit likely to be exceeded in 50yrs","ok"))))),
IF('Soil results'!$F46&lt;=6,
  IF(AW43&gt;100,"no application - soil conc. already above limit",
  IF(AX43&gt;100,"application rate too high - soil conc. will exceed limit",
  IF(AW43&gt;100*0.9,"soil conc. is at or above 90% of the limit",
  IF(10*AV43*1000/3000+AW43&gt;100,"soil limit likely to be exceeded in 10yrs",
  IF(50*AV43*1000/3000+AW43&gt;100,"soil limit likely to be exceeded in 50yrs","ok"))))),
IF('Soil results'!$F46&lt;=7,
  IF(AW43&gt;135,"no application - soil conc. already above limit",
  IF(AX43&gt;135,"application rate too high - soil conc. will exceed limit",
  IF(AW43&gt;135*0.9,"soil conc. is at or above 90% of the limit",
  IF(10*AV43*1000/3000+AW43&gt;135,"soil limit likely to be exceeded in 10yrs",
  IF(50*AV43*1000/3000+AW43&gt;135,"soil limit likely to be exceeded in 50yrs","ok"))))),
IF('Soil results'!$F46&gt;7,
  IF(AW43&gt;200,"no application - soil conc. already above limit",
  IF(AX43&gt;200,"application too high - soil conc. will exceed limit",
  IF(AW43&gt;200*0.9,"soil conc. is at or above 90% of the limit",
  IF(10*AV43*1000/3000+AW43&gt;200,"soil limit likely to be exceeded in 10yrs",
  IF(50*AV43*1000/3000+AW43&gt;200,"soil limit likely to be exceeded in 50yrs","ok")))))
))))))))</f>
        <v/>
      </c>
      <c r="BA43" s="238" t="str">
        <f ca="1">IF(B43="","",
IF(AND('Field information 2'!$O$5="", 'Field information 2'!$Q$5=""),
   IF('Waste results'!$S$28&lt;&gt;"data missing", Calc!BC41*'Waste results'!$S$28, "data missing"),
IF('Field information 2'!$Q$5="",
   IF(Calc!BD41=0,
     IF('Waste results'!$S$28&lt;&gt;"data missing", Calc!BC41*'Waste results'!$S$28, "data missing"),
   IF(Calc!BC41=0,
     IF('Waste results'!$S$64&lt;&gt;"data missing", Calc!BD41*'Waste results'!$S$64, "data missing"),
   IF(OR('Waste results'!$S$28&lt;&gt;"data missing", 'Waste results'!$S$64&lt;&gt;"data missing"), Calc!BC41*'Waste results'!$S$28+ Calc!BD41*'Waste results'!$S$64, "data missing"))),
IF(AND('Field information 2'!$M$5&lt;&gt;"", 'Field information 2'!$O$5&lt;&gt;"", 'Field information 2'!$Q$5&lt;&gt;""),
   IF(AND(Calc!BD41=0,Calc!BE41=0),
     IF('Waste results'!$S$28&lt;&gt;"data missing", Calc!BC41*'Waste results'!$S$28, "data missing"),
   IF(AND(Calc!BC41=0,Calc!BE41=0),
     IF('Waste results'!$S$64&lt;&gt;"data missing", Calc!BD41*'Waste results'!$S$64, "data missing"),
   IF(AND(Calc!BC41=0,Calc!BD41=0),
     IF('Waste results'!$S$100&lt;&gt;"data missing", Calc!BE41*'Waste results'!$S$100, "data missing"),
   IF(Calc!BE41=0,
     IF(OR('Waste results'!$S$28&lt;&gt;"data missing", 'Waste results'!$S$64&lt;&gt;"data missing"), Calc!BC41*'Waste results'!$S$28+ Calc!BD41*'Waste results'!$S$64, "data missing"),
   IF(Calc!BD41=0,
     IF(OR('Waste results'!$S$28&lt;&gt;"data missing", 'Waste results'!$S$100&lt;&gt;"data missing"), Calc!BC41*'Waste results'!$S$28+ Calc!BE41*'Waste results'!$S$100, "data missing"),
   IF(Calc!BC41=0,
     IF(OR('Waste results'!$S$64&lt;&gt;"data missing", 'Waste results'!$S$100&lt;&gt;"data missing"), Calc!BD41*'Waste results'!$S$64+Calc!BE41*'Waste results'!$S$100, "data missing"),
   IF(OR('Waste results'!$S$28&lt;&gt;"data missing", 'Waste results'!$S$64&lt;&gt;"data missing", 'Waste results'!$S$100&lt;&gt;"data missing"), Calc!BC41*'Waste results'!$S$28+Calc!BD41*'Waste results'!$S$64+ Calc!BE41*'Waste results'!$S$100, "data missing")))))))))))</f>
        <v/>
      </c>
      <c r="BB43" s="239" t="str">
        <f ca="1">IF($B43="","",
IF(ISBLANK('Soil results'!N46),"data missing",'Soil results'!N46))</f>
        <v/>
      </c>
      <c r="BC43" s="239" t="str">
        <f t="shared" ca="1" si="11"/>
        <v/>
      </c>
      <c r="BD43" s="9" t="str">
        <f t="shared" ca="1" si="12"/>
        <v/>
      </c>
      <c r="BF43" s="238" t="str">
        <f ca="1">IF(B43="","",
IF(AND('Field information 2'!$O$5="", 'Field information 2'!$Q$5=""),
   IF('Waste results'!$S$29&lt;&gt;"data missing", Calc!BC41*'Waste results'!$S$29, "data missing"),
IF('Field information 2'!$Q$5="",
   IF(Calc!BD41=0,
     IF('Waste results'!$S$29&lt;&gt;"data missing", Calc!BC41*'Waste results'!$S$29, "data missing"),
   IF(Calc!BC41=0,
     IF('Waste results'!$S$65&lt;&gt;"data missing", Calc!BD41*'Waste results'!$S$65, "data missing"),
   IF(OR('Waste results'!$S$29&lt;&gt;"data missing", 'Waste results'!$S$65&lt;&gt;"data missing"), Calc!BC41*'Waste results'!$S$29+ Calc!BD41*'Waste results'!$S$65, "data missing"))),
IF(AND('Field information 2'!$M$5&lt;&gt;"", 'Field information 2'!$O$5&lt;&gt;"", 'Field information 2'!$Q$5&lt;&gt;""),
   IF(AND(Calc!BD41=0,Calc!BE41=0),
     IF('Waste results'!$S$29&lt;&gt;"data missing", Calc!BC41*'Waste results'!$S$29, "data missing"),
   IF(AND(Calc!BC41=0,Calc!BE41=0),
     IF('Waste results'!$S$65&lt;&gt;"data missing", Calc!BD41*'Waste results'!$S$65, "data missing"),
   IF(AND(Calc!BC41=0,Calc!BD41=0),
     IF('Waste results'!$S$101&lt;&gt;"data missing", Calc!BE41*'Waste results'!$S$101, "data missing"),
   IF(Calc!BE41=0,
     IF(OR('Waste results'!$S$29&lt;&gt;"data missing", 'Waste results'!$S$65&lt;&gt;"data missing"), Calc!BC41*'Waste results'!$S$29+ Calc!BD41*'Waste results'!$S$65, "data missing"),
   IF(Calc!BD41=0,
     IF(OR('Waste results'!$S$29&lt;&gt;"data missing", 'Waste results'!$S$101&lt;&gt;"data missing"), Calc!BC41*'Waste results'!$S$29+ Calc!BE41*'Waste results'!$S$101, "data missing"),
   IF(Calc!BC41=0,
     IF(OR('Waste results'!$S$65&lt;&gt;"data missing", 'Waste results'!$S$101&lt;&gt;"data missing"), Calc!BD41*'Waste results'!$S$65+Calc!BE41*'Waste results'!$S$101, "data missing"),
   IF(OR('Waste results'!$S$29&lt;&gt;"data missing", 'Waste results'!$S$65&lt;&gt;"data missing", 'Waste results'!$S$101&lt;&gt;"data missing"), Calc!BC41*'Waste results'!$S$29+Calc!BD41*'Waste results'!$S$65+ Calc!BE41*'Waste results'!$S$101, "data missing")))))))))))</f>
        <v/>
      </c>
      <c r="BG43" s="239" t="str">
        <f ca="1">IF($B43="","",
IF(ISBLANK('Soil results'!O46),"data missing",'Soil results'!O46))</f>
        <v/>
      </c>
      <c r="BH43" s="239" t="str">
        <f t="shared" ca="1" si="13"/>
        <v/>
      </c>
      <c r="BI43" s="9" t="str">
        <f ca="1">IF(B43="","",
IF(BF43=0,"n/a",
IF(OR(BF43="data missing",BG43="data missing"),"data missing",
IF(BF43&gt;3,"application rate too high - permissible rate exceeds limit",
IF('Soil results'!F46&lt;=5.5,
  IF(BG43&gt;50,"no application - soil conc. already above limit",
  IF(BH43&gt;50,"application rate too high - soil conc. will exceed limit",
  IF(BG43&gt;50*0.9,"soil conc. is at or above 90% of the limit",
  IF(10*BF43*1000/3000+BG43&gt;50,"soil limit likely to be exceeded in 10yrs",
  IF(50*BF43*1000/3000+BG43&gt;50,"soil limit likely to be exceeded in 50yrs","ok"))))),
IF('Soil results'!F46&lt;=6,
  IF(BG43&gt;60,"no application - soil conc. already above limit",
  IF(BH43&gt;60,"application rate too high - soil conc. will exceed limit",
  IF(BG43&gt;60*0.9,"soil conc. is at or above 90% of the limit",
  IF(10*BF43*1000/3000+BG43&gt;60,"soil limit likely to be exceeded in 10yrs",
  IF(50*BF43*1000/3000+BG43&gt;60,"soil limit likely to be exceeded in 50yrs","ok"))))),
IF('Soil results'!F46&lt;=7,
  IF(BG43&gt;75,"no application - soil conc. already above limit",
  IF(BH43&gt;75,"application rate too high - soil conc. will exceed limit",
  IF(BG43&gt;75*0.9,"soil conc. is at or above 90% of the limit",
  IF(10*BF43*1000/3000+BG43&gt;75,"soil limit likely to be exceeded in 10yrs",
  IF(50*BF43*1000/3000+BG43&gt;75,"soil limit likely to be exceeded in 50yrs","ok"))))),
IF('Soil results'!F46&gt;7,
  IF(BG43&gt;100,"no application - soil conc. already above limit",
  IF(BH43&gt;100,"application rate too high - soil conc. will exceed limit",
  IF(BG43&gt;100*0.9,"soil conc. is at or above 90% of the limit",
  IF(10*BF43*1000/3000+BG43&gt;100,"soil limit likely to be exceeded in 10yrs",
  IF(50*BF43*1000/3000+BG43&gt;100,"soil limit likely to beexceeded in 50yrs","ok")))))
))))))))</f>
        <v/>
      </c>
      <c r="BK43" s="240" t="str">
        <f ca="1">IF(B43="","",
IF(AND('Field information 2'!$O$5="", 'Field information 2'!$Q$5=""),
   IF('Waste results'!$S$30&lt;&gt;"data missing", Calc!BC41*'Waste results'!$S$30, "data missing"),
IF('Field information 2'!$Q$5="",
   IF(Calc!BD41=0,
     IF('Waste results'!$S$30&lt;&gt;"data missing", Calc!BC41*'Waste results'!$S$30, "data missing"),
   IF(Calc!BC41=0,
     IF('Waste results'!$S$66&lt;&gt;"data missing", Calc!BD41*'Waste results'!$S$66, "data missing"),
   IF(OR('Waste results'!$S$30&lt;&gt;"data missing", 'Waste results'!$S$66&lt;&gt;"data missing"), Calc!BC41*'Waste results'!$S$30+ Calc!BD41*'Waste results'!$S$66, "data missing"))),
IF(AND('Field information 2'!$M$5&lt;&gt;"", 'Field information 2'!$O$5&lt;&gt;"", 'Field information 2'!$Q$5&lt;&gt;""),
   IF(AND(Calc!BD41=0,Calc!BE41=0),
     IF('Waste results'!$S$30&lt;&gt;"data missing", Calc!BC41*'Waste results'!$S$30, "data missing"),
   IF(AND(Calc!BC41=0,Calc!BE41=0),
     IF('Waste results'!$S$66&lt;&gt;"data missing", Calc!BD41*'Waste results'!$S$66, "data missing"),
   IF(AND(Calc!BC41=0,Calc!BD41=0),
     IF('Waste results'!$S$102&lt;&gt;"data missing", Calc!BE41*'Waste results'!$S$102, "data missing"),
   IF(Calc!BE41=0,
     IF(OR('Waste results'!$S$30&lt;&gt;"data missing", 'Waste results'!$S$66&lt;&gt;"data missing"), Calc!BC41*'Waste results'!$S$30+ Calc!BD41*'Waste results'!$S$66, "data missing"),
   IF(Calc!BD41=0,
     IF(OR('Waste results'!$S$30&lt;&gt;"data missing", 'Waste results'!$S$102&lt;&gt;"data missing"), Calc!BC41*'Waste results'!$S$30+ Calc!BE41*'Waste results'!$S$102, "data missing"),
   IF(Calc!BC41=0,
     IF(OR('Waste results'!$S$66&lt;&gt;"data missing", 'Waste results'!$S$102&lt;&gt;"data missing"), Calc!BD41*'Waste results'!$S$66+Calc!BE41*'Waste results'!$S$102, "data missing"),
   IF(OR('Waste results'!$S$30&lt;&gt;"data missing", 'Waste results'!$S$66&lt;&gt;"data missing", 'Waste results'!$S$102&lt;&gt;"data missing"), Calc!BC41*'Waste results'!$S$30+Calc!BD41*'Waste results'!$S$66+ Calc!BE41*'Waste results'!$S$102, "data missing")))))))))))</f>
        <v/>
      </c>
      <c r="BL43" s="241" t="str">
        <f ca="1">IF($B43="","",
IF(ISBLANK('Soil results'!P46),"data missing",'Soil results'!P46))</f>
        <v/>
      </c>
      <c r="BM43" s="241" t="str">
        <f t="shared" ca="1" si="14"/>
        <v/>
      </c>
      <c r="BN43" s="66" t="str">
        <f t="shared" ca="1" si="15"/>
        <v/>
      </c>
      <c r="BP43" s="238" t="str">
        <f ca="1">IF(B43="","",
IF(AND('Field information 2'!$O$5="", 'Field information 2'!$Q$5=""),
   IF('Waste results'!$S$31&lt;&gt;"data missing", Calc!BC41*'Waste results'!$S$31, "data missing"),
IF('Field information 2'!$Q$5="",
   IF(Calc!BD41=0,
     IF('Waste results'!$S$31&lt;&gt;"data missing", Calc!BC41*'Waste results'!$S$31, "data missing"),
   IF(Calc!BC41=0,
     IF('Waste results'!$S$67&lt;&gt;"data missing", Calc!BD41*'Waste results'!$S$67, "data missing"),
   IF(OR('Waste results'!$S$31&lt;&gt;"data missing", 'Waste results'!$S$67&lt;&gt;"data missing"), Calc!BC41*'Waste results'!$S$31+ Calc!BD41*'Waste results'!$S$67, "data missing"))),
IF(AND('Field information 2'!$M$5&lt;&gt;"", 'Field information 2'!$O$5&lt;&gt;"", 'Field information 2'!$Q$5&lt;&gt;""),
   IF(AND(Calc!BD41=0,Calc!BE41=0),
     IF('Waste results'!$S$31&lt;&gt;"data missing", Calc!BC41*'Waste results'!$S$31, "data missing"),
   IF(AND(Calc!BC41=0,Calc!BE41=0),
     IF('Waste results'!$S$67&lt;&gt;"data missing", Calc!BD41*'Waste results'!$S$67, "data missing"),
   IF(AND(Calc!BC41=0,Calc!BD41=0),
     IF('Waste results'!$S$103&lt;&gt;"data missing", Calc!BE41*'Waste results'!$S$103, "data missing"),
   IF(Calc!BE41=0,
     IF(OR('Waste results'!$S$31&lt;&gt;"data missing", 'Waste results'!$S$67&lt;&gt;"data missing"), Calc!BC41*'Waste results'!$S$31+ Calc!BD41*'Waste results'!$S$67, "data missing"),
   IF(Calc!BD41=0,
     IF(OR('Waste results'!$S$31&lt;&gt;"data missing", 'Waste results'!$S$103&lt;&gt;"data missing"), Calc!BC41*'Waste results'!$S$31+ Calc!BE41*'Waste results'!$S$103, "data missing"),
   IF(Calc!BC41=0,
     IF(OR('Waste results'!$S$67&lt;&gt;"data missing", 'Waste results'!$S$103&lt;&gt;"data missing"), Calc!BD41*'Waste results'!$S$67+Calc!BE41*'Waste results'!$S$103, "data missing"),
   IF(OR('Waste results'!$S$31&lt;&gt;"data missing", 'Waste results'!$S$67&lt;&gt;"data missing", 'Waste results'!$S$103&lt;&gt;"data missing"), Calc!BC41*'Waste results'!$S$31+Calc!BD41*'Waste results'!$S$67+ Calc!BE41*'Waste results'!$S$103, "data missing")))))))))))</f>
        <v/>
      </c>
      <c r="BQ43" s="239" t="str">
        <f ca="1">IF($B43="","",
IF(ISBLANK('Soil results'!Q46),"data missing",'Soil results'!Q46))</f>
        <v/>
      </c>
      <c r="BR43" s="239" t="str">
        <f t="shared" ca="1" si="16"/>
        <v/>
      </c>
      <c r="BS43" s="9" t="str">
        <f ca="1">IF(B43="","",
IF(BP43=0,"n/a",
IF(OR(BP43="data missing",BQ43=""),"data missing",
IF(BP43&gt;15,"application rate too high - permissible rate exceeds limit",
IF('Soil results'!F46&lt;=5.5,
  IF(BQ43&gt;200,"no application - soil conc. already above limit",
  IF(BR43&gt;200,"application rate too high - soil conc. will exceed limit",
  IF(BQ43&gt;200*0.9,"soil conc. is at or above 90% of the limit",
  IF(10*BP43*1000/3000+BQ43&gt;200,"soil limit likely to be exceeded in 10yrs",
  IF(50*BP43*1000/3000+BQ43&gt;200,"soil limit likely to be exceeded in 50yrs","ok"))))),
IF('Soil results'!F46&lt;=6,
  IF(BQ43&gt;250,"no application - soil conc. already above limit",
  IF(BR43&gt;250,"application rate too high - soil conc. will exceed limit",
  IF(BQ43&gt;250*0.9,"soil conc. is at or above 90% of the limit",
  IF(10*BP43*1000/3000+BQ43&gt;250,"soil limit likely to be exceeded in 10yrs",
  IF(50*BP43*1000/3000+BQ43&gt;250,"soil limit likely to be exceeded in 50yrs","ok"))))),
IF('Soil results'!F46&lt;=7,
  IF(BQ43&gt;300,"no application - soil conc. already above limit",
  IF(BR43&gt;300,"application rate too high - soil conc. will exceed limit",
  IF(BQ43&gt;300*0.9,"soil conc. is at or above 90% of the limit",
  IF(10*BP43*1000/3000+BQ43&gt;300,"soil limit likey to be exceeded in 10yrs",
  IF(50*BP43*1000/3000+BQ43&gt;300,"soil limit likely to be exceeded in 50yrs","ok"))))),
IF('Soil results'!F46&gt;7,
  IF(BQ43&gt;450,"no application - soil conc. already above limit",
  IF(BR43&gt;450,"application rate too high - soil conc. will exceed limit",
  IF(AW43&gt;450*0.9,"soil conc. is at or above 90% of the limit",
  IF(10*BP43*1000/3000+BQ43&gt;450,"soil limit likely to be exceeded in 10yrs",
  IF(50*BP43*1000/3000+BQ43&gt;450,"soil limit likely to be exceeded in 50yrs","ok")))))
))))))))</f>
        <v/>
      </c>
    </row>
    <row r="44" spans="2:71" s="9" customFormat="1" ht="15" x14ac:dyDescent="0.25">
      <c r="B44" s="236" t="str">
        <f ca="1">'Soil results'!B47</f>
        <v/>
      </c>
      <c r="C44" s="91" t="str">
        <f ca="1">IF(B44="","",
IF(AND('Field information 2'!$O$5="", 'Field information 2'!$Q$5=""),
   IF('Waste results'!$S$12&lt;&gt;"data missing", Calc!BC42*'Waste results'!$S$12, "data missing"),
IF('Field information 2'!$Q$5="",
   IF(Calc!BD42=0,
     IF('Waste results'!$S$12&lt;&gt;"data missing", Calc!BC42*'Waste results'!$S$12, "data missing"),
   IF(Calc!BC42=0,
     IF('Waste results'!$S$48&lt;&gt;"data missing", Calc!BD42*'Waste results'!$S$48, "data missing"),
   IF(OR('Waste results'!$S$12&lt;&gt;"data missing", 'Waste results'!$S$48&lt;&gt;"data missing"), Calc!BC42*'Waste results'!$S$12+ Calc!BD42*'Waste results'!$S$48, "data missing"))),
IF(AND('Field information 2'!$M$5&lt;&gt;"", 'Field information 2'!$O$5&lt;&gt;"", 'Field information 2'!$Q$5&lt;&gt;""),
   IF(AND(Calc!BD42=0,Calc!BE42=0),
     IF('Waste results'!$S$12&lt;&gt;"data missing", Calc!BC42*'Waste results'!$S$12, "data missing"),
   IF(AND(Calc!BC42=0,Calc!BE42=0),
     IF('Waste results'!$S$48&lt;&gt;"data missing", Calc!BD42*'Waste results'!$S$48, "data missing"),
   IF(AND(Calc!BC42=0,Calc!BD42=0),
     IF('Waste results'!$S$84&lt;&gt;"data missing", Calc!BE42*'Waste results'!$S$84, "data missing"),
   IF(Calc!BE42=0,
     IF(OR('Waste results'!$S$12&lt;&gt;"data missing", 'Waste results'!$S$48&lt;&gt;"data missing"), Calc!BC42*'Waste results'!$S$12+ Calc!BD42*'Waste results'!$S$48, "data missing"),
   IF(Calc!BD42=0,
     IF(OR('Waste results'!$S$12&lt;&gt;"data missing", 'Waste results'!$S$84&lt;&gt;"data missing"), Calc!BC42*'Waste results'!$S$12+ Calc!BE42*'Waste results'!$S$84, "data missing"),
   IF(Calc!BC42=0,
     IF(OR('Waste results'!$S$48&lt;&gt;"data missing", 'Waste results'!$S$84&lt;&gt;"data missing"), Calc!BD42*'Waste results'!$S$48+Calc!BE42*'Waste results'!$S$84, "data missing"),
   IF(OR('Waste results'!$S$12&lt;&gt;"data missing", 'Waste results'!$S$48&lt;&gt;"data missing", 'Waste results'!$S$84&lt;&gt;"data missing"), Calc!BC42*'Waste results'!$S$12+Calc!BD42*'Waste results'!$S$48+ Calc!BE42*'Waste results'!$S$84, "data missing")))))))))))</f>
        <v/>
      </c>
      <c r="D44" s="161" t="str">
        <f ca="1">IF(B44="","",
IF(Calc!BG42="","soil texture missing",
IF(OR(Calc!BG42="SL; SZL; ZL",Calc!BG42="SCL; CL; ZCL; SC; ZC; C"),VLOOKUP(Calc!BI42,'Fertiliser recommendations'!$A$4:$C$63,3,FALSE),
IF(Calc!BG42="S; LS",VLOOKUP(Calc!BI42,'Fertiliser recommendations'!$A$4:$C$63,3,FALSE)+VLOOKUP(Calc!BI42,'Fertiliser recommendations'!$A$4:$D$63,4,FALSE),
IF(Calc!BG42="10-25% OM",VLOOKUP(Calc!BI42,'Fertiliser recommendations'!$A$4:$C$63,3,FALSE)+VLOOKUP(Calc!BI42,'Fertiliser recommendations'!$A$4:$E$63,5,FALSE),
IF(Calc!BG42="&gt;25% OM",VLOOKUP(Calc!BI42,'Fertiliser recommendations'!$A$4:$C$63,3,FALSE)+VLOOKUP(Calc!BI42,'Fertiliser recommendations'!$A$4:$F$63,6,FALSE),
""))))))</f>
        <v/>
      </c>
      <c r="E44" s="91" t="str">
        <f t="shared" ca="1" si="0"/>
        <v/>
      </c>
      <c r="F44" s="9" t="str">
        <f ca="1">IF(B44="","",
IF(OR(C44="data missing",D44="soil texture missing"),"data missing",
IF(Calc!BF42=0,"n/a",
IF(C44&lt;0.1*D44,"no benefit",
IF(C44&lt;0.3*D44,"limited benefit",
IF(C44&gt;250,"exceeds limit",
IF(OR(AND(D44=0,C44&gt;75),C44&gt;1.25*D44),"excessive",
IF(D44=0, "no requirement",
"benefit"))))))))</f>
        <v/>
      </c>
      <c r="H44" s="91" t="str">
        <f ca="1">IF(B44="","",
IF(AND('Field information 2'!$O$5="", 'Field information 2'!$Q$5=""),
   IF('Waste results'!$S$17&lt;&gt;"data missing", Calc!BC42*'Waste results'!$S$17, "data missing"),
IF('Field information 2'!$Q$5="",
   IF(Calc!BD42=0,
     IF('Waste results'!$S$17&lt;&gt;"data missing", Calc!BC42*'Waste results'!$S$17, "data missing"),
   IF(Calc!BC42=0,
     IF('Waste results'!$S$53&lt;&gt;"data missing", Calc!BD42*'Waste results'!$S$53, "data missing"),
   IF(OR('Waste results'!$S$17&lt;&gt;"data missing", 'Waste results'!$S$53&lt;&gt;"data missing"), Calc!BC42*'Waste results'!$S$17+ Calc!BD42*'Waste results'!$S$53, "data missing"))),
IF(AND('Field information 2'!$M$5&lt;&gt;"", 'Field information 2'!$O$5&lt;&gt;"", 'Field information 2'!$Q$5&lt;&gt;""),
   IF(AND(Calc!BD42=0,Calc!BE42=0),
     IF('Waste results'!$S$17&lt;&gt;"data missing", Calc!BC42*'Waste results'!$S$17, "data missing"),
   IF(AND(Calc!BC42=0,Calc!BE42=0),
     IF('Waste results'!$S$53&lt;&gt;"data missing", Calc!BD42*'Waste results'!$S$53, "data missing"),
   IF(AND(Calc!BC42=0,Calc!BD42=0),
     IF('Waste results'!$S$89&lt;&gt;"data missing", Calc!BE42*'Waste results'!$S$89, "data missing"),
   IF(Calc!BE42=0,
     IF(OR('Waste results'!$S$17&lt;&gt;"data missing", 'Waste results'!$S$53&lt;&gt;"data missing"), Calc!BC42*'Waste results'!$S$17+ Calc!BD42*'Waste results'!$S$53, "data missing"),
   IF(Calc!BD42=0,
     IF(OR('Waste results'!$S$17&lt;&gt;"data missing", 'Waste results'!$S$89&lt;&gt;"data missing"), Calc!BC42*'Waste results'!$S$17+ Calc!BE42*'Waste results'!$S$89, "data missing"),
   IF(Calc!BC42=0,
     IF(OR('Waste results'!$S$53&lt;&gt;"data missing", 'Waste results'!$S$89&lt;&gt;"data missing"), Calc!BD42*'Waste results'!$S$53+Calc!BE42*'Waste results'!$S$89, "data missing"),
   IF(OR('Waste results'!$S$17&lt;&gt;"data missing", 'Waste results'!$S$53&lt;&gt;"data missing", 'Waste results'!$S$89&lt;&gt;"data missing"), Calc!BC42*'Waste results'!$S$17+Calc!BD42*'Waste results'!$S$53+ Calc!BE42*'Waste results'!$S$89, "data missing")))))))))))</f>
        <v/>
      </c>
      <c r="I44" s="195" t="str">
        <f ca="1">IF(B44="","",
IF(OR(ISBLANK('Soil results'!G47), ISBLANK('Soil results'!G$7)),"data missing",
IF(OR(AND('Soil results'!G$7="Olsen (ADAS)",'Soil results'!G47&lt;16),AND('Soil results'!G$7="modified Morgan (SAC)",'Soil results'!G47&lt;4.5)),50,100)))</f>
        <v/>
      </c>
      <c r="J44" s="49" t="str">
        <f ca="1">IF(B44="","",
IF(OR(ISBLANK('Soil results'!G$7),ISBLANK('Soil results'!G47)),"data missing",
IF(OR(AND('Soil results'!G$7="Olsen (ADAS)",'Soil results'!G47&gt;45),AND('Soil results'!G$7="modified Morgan (SAC)",'Soil results'!G47&gt;30)),0,
IF(OR(AND('Soil results'!G$7="Olsen (ADAS)",'Soil results'!G47&gt;=16,'Soil results'!G47&lt;=20),AND('Soil results'!G$7="modified Morgan (SAC)",'Soil results'!G47&gt;=4.5,'Soil results'!G47&lt;=9.4)),VLOOKUP(Calc!BI42,'Fertiliser recommendations'!$A$4:$I$63,9,FALSE),
IF(OR(AND('Soil results'!G$7="Olsen (ADAS)",'Soil results'!G47&lt;10),AND('Soil results'!G$7="modified Morgan (SAC)",'Soil results'!G47&lt;1.8)),VLOOKUP(Calc!BI42,'Fertiliser recommendations'!$A$4:$I$63,9,FALSE)+VLOOKUP(Calc!BI42,'Fertiliser recommendations'!$A$4:$J$63,10,FALSE),
IF(OR(AND('Soil results'!G$7="Olsen (ADAS)",'Soil results'!G47&lt;16),AND('Soil results'!G$7="modified Morgan (SAC)",'Soil results'!G47&lt;4.5)),VLOOKUP(Calc!BI42,'Fertiliser recommendations'!$A$4:$I$63,9,FALSE)+VLOOKUP(Calc!BI42,'Fertiliser recommendations'!$A$4:$K$63,11,FALSE),
IF(OR(AND('Soil results'!G$7="Olsen (ADAS)",'Soil results'!G47&lt;26),AND('Soil results'!G$7="modified Morgan (SAC)",'Soil results'!G47&lt;13.5)),VLOOKUP(Calc!BI42,'Fertiliser recommendations'!$A$4:$I$63,9,FALSE)+VLOOKUP(Calc!BI42,'Fertiliser recommendations'!$A$4:$L$63,12,FALSE),
IF(OR(AND('Soil results'!G$7="Olsen (ADAS)",'Soil results'!G47&lt;=45),AND('Soil results'!G$7="modified Morgan (SAC)",'Soil results'!G47&lt;=30)),VLOOKUP(Calc!BI42,'Fertiliser recommendations'!$A$4:$I$63,9,FALSE)+VLOOKUP(Calc!BI42,'Fertiliser recommendations'!$A$4:$M$63,13,FALSE),
""))))))))</f>
        <v/>
      </c>
      <c r="K44" s="161" t="str">
        <f t="shared" ca="1" si="1"/>
        <v/>
      </c>
      <c r="L44" s="47" t="str">
        <f ca="1">IF(OR(ISBLANK('Soil results'!G$7),ISBLANK('Soil results'!G47),B44="", H44="data missing"),"",
IF('Soil results'!G$7="Olsen (ADAS)",
IF(((H44*Calc!BM42/2.291-(VLOOKUP(Calc!BI42,'Fertiliser recommendations'!$A$4:$I$63,9,FALSE))/2.291)*10/(400/2.291)+'Soil results'!G47)&lt;10,"0 (VL)",
IF(((H44*Calc!BM42/2.291-(VLOOKUP(Calc!BI42,'Fertiliser recommendations'!$A$4:$I$63,9,FALSE))/2.291)*10/(400/2.291)+'Soil results'!G47)&lt;16,"1 (L)",
IF(((H44*Calc!BM42/2.291-(VLOOKUP(Calc!BI42,'Fertiliser recommendations'!$A$4:$I$63,9,FALSE))/2.291)*10/(400/2.291)+'Soil results'!G47)&lt;21,"2 (M-)",
IF(((H44*Calc!BM42/2.291-(VLOOKUP(Calc!BI42,'Fertiliser recommendations'!$A$4:$I$63,9,FALSE))/2.291)*10/(400/2.291)+'Soil results'!G47)&lt;26,"2 (M+)",
IF(((H44*Calc!BM42/2.291-(VLOOKUP(Calc!BI42,'Fertiliser recommendations'!$A$4:$I$63,9,FALSE))/2.291)*10/(400/2.291)+'Soil results'!G47)&lt;45,"3 (H)","&gt;3 (VH)"))))),
IF('Soil results'!G$7="modified Morgan (SAC)",
IF('Soil results'!G47&gt;=6,
IF(((H44*Calc!BM42/2.291-(VLOOKUP(Calc!BI42,'Fertiliser recommendations'!$A$4:$I$63,9,FALSE))/2.291)*5/(147/2.291)+'Soil results'!G47)&lt;9.5,"2 (M-)",
IF(((H44*Calc!BM42/2.291-(VLOOKUP(Calc!BI42,'Fertiliser recommendations'!$A$4:$I$63,9,FALSE))/2.291)*5/(147/2.291)+'Soil results'!G47)&lt;13.5,"2 (M+)",
IF(((H44*Calc!BM42/2.291-(VLOOKUP(Calc!BI42,'Fertiliser recommendations'!$A$4:$I$63,9,FALSE))/2.291)*5/(147/2.291)+'Soil results'!G47)&lt;30,"3 (H)","4 (VH)"))),
IF(((H44*Calc!BM42/2.291-(VLOOKUP(Calc!BI42,'Fertiliser recommendations'!$A$4:$I$63,9,FALSE))/2.291)*5/(346/2.291)+'Soil results'!G47)&lt;1.8,"0 (VL)",
IF(((H44*Calc!BM42/2.291-(VLOOKUP(Calc!BI42,'Fertiliser recommendations'!$A$4:$I$63,9,FALSE))/2.291)*5/(147/2.291)+'Soil results'!G47)&lt;4.5,"1 (L)","2 (M-)"))))))</f>
        <v/>
      </c>
      <c r="M44" s="9" t="str">
        <f ca="1">IF(B44="","",
IF(OR(H44="data missing",I44="data missing",J44="data missing"),"data missing",
IF(Calc!BF42=0,"n/a",
IF(OR(AND('Soil results'!G$7="Olsen (ADAS)",'Soil results'!G47&gt;45),AND('Soil results'!G$7="modified Morgan (SAC)",'Soil results'!G47&gt;30)),
IF(H44&gt;2,"too high, not acceptable","no requirement"),IF(OR(AND('Soil results'!G$7="Olsen (ADAS)",'Soil results'!G47&gt;25),AND('Soil results'!G$7="modified Morgan (SAC)",'Soil results'!G47&gt;13.4)),
IF(H44*(I44/100)&lt;0.1*J44,"no benefit",
IF(H44*(I44/100)&lt;0.3*J44,"limited benefit",
IF(H44*(I44/100)&lt;1.1*J44,"benefit",
IF(H44*(I44/100)&lt;0.7*VLOOKUP(Calc!BI42,'Fertiliser recommendations'!$A$4:$I$63,9,FALSE),"excessive","too high, not acceptable")))),
IF(OR(AND('Soil results'!G$7="Olsen (ADAS)",'Soil results'!G47&gt;20),AND('Soil results'!G$7="modified Morgan (SAC)",'Soil results'!G47&gt;9.4)),
IF(H44*Calc!BM42*(I44/100)&lt;0.1*J44,"no benefit",
IF(H44*Calc!BM42*(I44/100)&lt;0.3*J44,"limited benefit",
IF(H44*Calc!BM42*(I44/100)&lt;1.1*J44,"benefit",
IF(L44="3 (H)","too high, not acceptable","excessive")))),
IF(OR(AND('Soil results'!G$7="Olsen (ADAS)",'Soil results'!G47&gt;15),AND('Soil results'!G$7="modified Morgan (SAC)",'Soil results'!G47&gt;4.4)),
IF(H44*Calc!BM42*(I44/100)&lt;0.1*VLOOKUP(Calc!BI42,'Fertiliser recommendations'!$A$4:$I$63,9,FALSE),"no benefit",
IF(H44*Calc!BM42*(I44/100)&lt;0.3*VLOOKUP(Calc!BI42,'Fertiliser recommendations'!$A$4:$I$63,9,FALSE),"limited benefit",
IF(H44*Calc!BM42*(I44/100)&lt;1.1*VLOOKUP(Calc!BI42,'Fertiliser recommendations'!$A$4:$I$63,9,FALSE),"benefit",
IF(L44="3 (H)", "too high, not acceptable", "excessive")))),
IF(OR(AND('Soil results'!G$7="Olsen (ADAS)",'Soil results'!G47&lt;=15),AND('Soil results'!G$7="modified Morgan (SAC)",'Soil results'!G47&lt;=4.4)),
IF(H44*Calc!BM42*(I44/100)&lt;0.1*VLOOKUP(Calc!BI42,'Fertiliser recommendations'!$A$4:$I$63,9,FALSE),"no benefit",
IF(H44*Calc!BM42*(I44/100)&lt;0.3*VLOOKUP(Calc!BI42,'Fertiliser recommendations'!$A$4:$I$63,9,FALSE),"limited benefit",
IF(H44*Calc!BM42*(I44/100)&lt;1.1*J44,"benefit","excessive")))))))))))</f>
        <v/>
      </c>
      <c r="O44" s="91" t="str">
        <f ca="1">IF(B44="","",
IF(AND('Field information 2'!$O$5="", 'Field information 2'!$Q$5=""),
   IF('Waste results'!$S$19&lt;&gt;"data missing", Calc!BC42*'Waste results'!$S$19, "data missing"),
IF('Field information 2'!$Q$5="",
   IF(Calc!BD42=0,
     IF('Waste results'!$S$19&lt;&gt;"data missing", Calc!BC42*'Waste results'!$S$19, "data missing"),
   IF(Calc!BC42=0,
     IF('Waste results'!$S$55&lt;&gt;"data missing", Calc!BD42*'Waste results'!$S$55, "data missing"),
   IF(OR('Waste results'!$S$19&lt;&gt;"data missing", 'Waste results'!$S$55&lt;&gt;"data missing"), Calc!BC42*'Waste results'!$S$19+ Calc!BD42*'Waste results'!$S$55, "data missing"))),
IF(AND('Field information 2'!$M$5&lt;&gt;"", 'Field information 2'!$O$5&lt;&gt;"", 'Field information 2'!$Q$5&lt;&gt;""),
   IF(AND(Calc!BD42=0,Calc!BE42=0),
     IF('Waste results'!$S$19&lt;&gt;"data missing", Calc!BC42*'Waste results'!$S$19, "data missing"),
   IF(AND(Calc!BC42=0,Calc!BE42=0),
     IF('Waste results'!$S$55&lt;&gt;"data missing", Calc!BD42*'Waste results'!$S$55, "data missing"),
   IF(AND(Calc!BC42=0,Calc!BD42=0),
     IF('Waste results'!$S$91&lt;&gt;"data missing", Calc!BE42*'Waste results'!$S$91, "data missing"),
   IF(Calc!BE42=0,
     IF(OR('Waste results'!$S$19&lt;&gt;"data missing", 'Waste results'!$S$55&lt;&gt;"data missing"), Calc!BC42*'Waste results'!$S$19+ Calc!BD42*'Waste results'!$S$55, "data missing"),
   IF(Calc!BD42=0,
     IF(OR('Waste results'!$S$19&lt;&gt;"data missing", 'Waste results'!$S$91&lt;&gt;"data missing"), Calc!BC42*'Waste results'!$S$19+ Calc!BE42*'Waste results'!$S$91, "data missing"),
   IF(Calc!BC42=0,
     IF(OR('Waste results'!$S$55&lt;&gt;"data missing", 'Waste results'!$S$91&lt;&gt;"data missing"), Calc!BD42*'Waste results'!$S$55+Calc!BE42*'Waste results'!$S$91, "data missing"),
   IF(OR('Waste results'!$S$19&lt;&gt;"data missing", 'Waste results'!$S$55&lt;&gt;"data missing", 'Waste results'!$S$91&lt;&gt;"data missing"), Calc!BC42*'Waste results'!$S$19+Calc!BD42*'Waste results'!$S$55+ Calc!BE42*'Waste results'!$S$91, "data missing")))))))))))</f>
        <v/>
      </c>
      <c r="P44" s="91" t="str">
        <f ca="1">IF(B44="","",
IF(OR(ISBLANK('Soil results'!H$7),ISBLANK('Soil results'!H47)),"data missing",
IF(OR(AND('Soil results'!H$7="ammonium nitrate (ADAS)",'Soil results'!H47&gt;400),AND('Soil results'!H$7="modified Morgan (SAC)",'Soil results'!H47&gt;400)),0,
IF(OR(AND('Soil results'!H$7="ammonium nitrate (ADAS)",'Soil results'!H47&gt;=121,'Soil results'!H47&lt;=180),AND('Soil results'!H$7="modified Morgan (SAC)",'Soil results'!H47&gt;=76,'Soil results'!H47&lt;=140)),VLOOKUP(Calc!BI42,'Fertiliser recommendations'!$A$4:$Z$63,26,FALSE),
IF(OR(AND('Soil results'!H$7="ammonium nitrate (ADAS)",'Soil results'!H47&lt;61),AND('Soil results'!H$7="modified Morgan (SAC)",'Soil results'!H47&lt;40)),VLOOKUP(Calc!BI42,'Fertiliser recommendations'!$A$4:$Z$63,26,FALSE)+VLOOKUP(Calc!BI42,'Fertiliser recommendations'!$A$4:$AA$63,27,FALSE),
IF(OR(AND('Soil results'!H$7="ammonium nitrate (ADAS)",'Soil results'!H47&lt;121),AND('Soil results'!H$7="modified Morgan (SAC)",'Soil results'!H47&lt;76)),VLOOKUP(Calc!BI42,'Fertiliser recommendations'!$A$4:$Z$63,26,FALSE)+VLOOKUP(Calc!BI42,'Fertiliser recommendations'!$A$4:$AB$63,28,FALSE),
IF(OR(AND('Soil results'!H$7="ammonium nitrate (ADAS)",'Soil results'!H47&lt;241),AND('Soil results'!H$7="modified Morgan (SAC)",'Soil results'!H47&lt;201)),VLOOKUP(Calc!BI42,'Fertiliser recommendations'!$A$4:$Z$63,26,FALSE)+VLOOKUP(Calc!BI42,'Fertiliser recommendations'!$A$4:$AC$63,29,FALSE),
IF(OR(AND('Soil results'!H$7="ammonium nitrate (ADAS)",'Soil results'!H47&lt;=400),AND('Soil results'!H$7="modified Morgan (SAC)",'Soil results'!H47&lt;=400)),VLOOKUP(Calc!BI42,'Fertiliser recommendations'!$A$4:$Z$63,26,FALSE)+VLOOKUP(Calc!BI42,'Fertiliser recommendations'!$A$4:$AD$63,30,FALSE),
"??"))))))))</f>
        <v/>
      </c>
      <c r="Q44" s="91" t="str">
        <f t="shared" ca="1" si="2"/>
        <v/>
      </c>
      <c r="R44" s="9" t="str">
        <f ca="1">IF(B44="","",
IF(OR(O44="data missing",P44="data missing"),"data missing",
IF(Calc!BF42=0,"n/a",
IF(P44=0, "no requirement",
IF(O44&lt;0.1*P44,"no benefit",
IF(O44&lt;0.3*P44,"limited benefit",
IF(O44&gt;1.25*P44,"excessive",
"benefit")))))))</f>
        <v/>
      </c>
      <c r="T44" s="91" t="str">
        <f ca="1">IF(B44="","",
IF(AND('Field information 2'!$O$5="", 'Field information 2'!$Q$5=""),
   IF('Waste results'!$S$21&lt;&gt;"data missing", Calc!BC42*'Waste results'!$S$21, "data missing"),
IF('Field information 2'!$Q$5="",
   IF(Calc!BD42=0,
     IF('Waste results'!$S$21&lt;&gt;"data missing", Calc!BC42*'Waste results'!$S$21, "data missing"),
   IF(Calc!BC42=0,
     IF('Waste results'!$S$57&lt;&gt;"data missing", Calc!BD42*'Waste results'!$S$57, "data missing"),
   IF(OR('Waste results'!$S$21&lt;&gt;"data missing", 'Waste results'!$S$57&lt;&gt;"data missing"), Calc!BC42*'Waste results'!$S$21+ Calc!BD42*'Waste results'!$S$57, "data missing"))),
IF(AND('Field information 2'!$M$5&lt;&gt;"", 'Field information 2'!$O$5&lt;&gt;"", 'Field information 2'!$Q$5&lt;&gt;""),
   IF(AND(Calc!BD42=0,Calc!BE42=0),
     IF('Waste results'!$S$21&lt;&gt;"data missing", Calc!BC42*'Waste results'!$S$21, "data missing"),
   IF(AND(Calc!BC42=0,Calc!BE42=0),
     IF('Waste results'!$S$57&lt;&gt;"data missing", Calc!BD42*'Waste results'!$S$57, "data missing"),
   IF(AND(Calc!BC42=0,Calc!BD42=0),
     IF('Waste results'!$S$93&lt;&gt;"data missing", Calc!BE42*'Waste results'!$S$93, "data missing"),
   IF(Calc!BE42=0,
     IF(OR('Waste results'!$S$21&lt;&gt;"data missing", 'Waste results'!$S$57&lt;&gt;"data missing"), Calc!BC42*'Waste results'!$S$21+ Calc!BD42*'Waste results'!$S$57, "data missing"),
   IF(Calc!BD42=0,
     IF(OR('Waste results'!$S$21&lt;&gt;"data missing", 'Waste results'!$S$93&lt;&gt;"data missing"), Calc!BC42*'Waste results'!$S$21+ Calc!BE42*'Waste results'!$S$93, "data missing"),
   IF(Calc!BC42=0,
     IF(OR('Waste results'!$S$57&lt;&gt;"data missing", 'Waste results'!$S$93&lt;&gt;"data missing"), Calc!BD42*'Waste results'!$S$57+Calc!BE42*'Waste results'!$S$93, "data missing"),
   IF(OR('Waste results'!$S$21&lt;&gt;"data missing", 'Waste results'!$S$57&lt;&gt;"data missing", 'Waste results'!$S$93&lt;&gt;"data missing"), Calc!BC42*'Waste results'!$S$21+Calc!BD42*'Waste results'!$S$57+ Calc!BE42*'Waste results'!$S$93, "data missing")))))))))))</f>
        <v/>
      </c>
      <c r="U44" s="7" t="str">
        <f ca="1">IF(B44="","",
IF(OR(ISBLANK('Soil results'!I$7),ISBLANK('Soil results'!I47)),"data missing",
IF(OR(AND('Soil results'!I$7="ammonium nitrate (ADAS)",'Soil results'!I47&gt;51),AND('Soil results'!I$7="modified Morgan (SAC)",'Soil results'!I47&gt;61)),0,
IF(OR(AND('Soil results'!I$7="ammonium nitrate (ADAS)",'Soil results'!I47&lt;25),AND('Soil results'!I$7="modified Morgan (SAC)",'Soil results'!I47&lt;19)),VLOOKUP(Calc!BI42,'Fertiliser recommendations'!$A$4:$AH$63,34,FALSE),
IF(OR(AND('Soil results'!I$7="ammonium nitrate (ADAS)",'Soil results'!I47&lt;=51),AND('Soil results'!I$7="modified Morgan (SAC)",'Soil results'!I47&lt;=61)),VLOOKUP(Calc!BI42,'Fertiliser recommendations'!$A$4:$AI$63,35,FALSE),
"")))))</f>
        <v/>
      </c>
      <c r="V44" s="91" t="str">
        <f t="shared" ca="1" si="3"/>
        <v/>
      </c>
      <c r="W44" s="9" t="str">
        <f ca="1">IF(B44="","",
IF(OR(T44="data missing",U44="data missing"),"data missing",
IF(Calc!BF42=0,"n/a",
IF(U44=0,"no requirement",
IF(T44&lt;0.1*U44,"no benefit",
IF(T44&lt;0.3*U44,"limited benefit",
IF(OR(T44&gt;1.5*U44,AND(Calc!BJ42="g",T44&gt;100)),"excessive",
"benefit")))))))</f>
        <v/>
      </c>
      <c r="Y44" s="91" t="str">
        <f ca="1">IF(B44="","",
IF(AND('Field information 2'!$O$5="", 'Field information 2'!$Q$5=""),
   IF('Waste results'!$P$23&lt;&gt;"", Calc!BC42*'Waste results'!$P$23, "no data"),
IF('Field information 2'!$Q$5="",
   IF(Calc!BD42=0,
     IF('Waste results'!$P$23&lt;&gt;"", Calc!BC42*'Waste results'!$P$23, "no data"),
   IF(Calc!BC42=0,
     IF('Waste results'!$P$59&lt;&gt;"", Calc!BD42*'Waste results'!$P$59, "no data"),
   IF(OR('Waste results'!$P$23&lt;&gt;"", 'Waste results'!$P$59&lt;&gt;""), Calc!BC42*'Waste results'!$P$23+ Calc!BD42*'Waste results'!$P$59, "no data"))),
IF(AND('Field information 2'!$M$5&lt;&gt;"", 'Field information 2'!$O$5&lt;&gt;"", 'Field information 2'!$Q$5&lt;&gt;""),
   IF(AND(Calc!BD42=0,Calc!BE42=0),
     IF('Waste results'!$P$23&lt;&gt;"", Calc!BC42*'Waste results'!$P$23, "no data"),
   IF(AND(Calc!BC42=0,Calc!BE42=0),
     IF('Waste results'!$P$59&lt;&gt;"", Calc!BD42*'Waste results'!$P$59, "no data"),
   IF(AND(Calc!BC42=0,Calc!BD42=0),
     IF('Waste results'!$P$95&lt;&gt;"", Calc!BE42*'Waste results'!$P$95, "no data"),
   IF(Calc!BE42=0,
     IF(OR('Waste results'!$P$23&lt;&gt;"", 'Waste results'!$P$59&lt;&gt;""), Calc!BC42*'Waste results'!$P$23+ Calc!BD42*'Waste results'!$P$59, "no data"),
   IF(Calc!BD42=0,
     IF(OR('Waste results'!$P$23&lt;&gt;"", 'Waste results'!$P$95&lt;&gt;""), Calc!BC42*'Waste results'!$P$23+ Calc!BE42*'Waste results'!$P$95, "no data"),
   IF(Calc!BC42=0,
     IF(OR('Waste results'!$P$59&lt;&gt;"", 'Waste results'!$P$95&lt;&gt;""), Calc!BD42*'Waste results'!$P$59+Calc!BE42*'Waste results'!$P$95, "no data"),
   IF(OR('Waste results'!$P$23&lt;&gt;"", 'Waste results'!$P$59&lt;&gt;"", 'Waste results'!$P$95&lt;&gt;""), Calc!BC42*'Waste results'!$P$23+Calc!BD42*'Waste results'!$P$59+ Calc!BE42*'Waste results'!$P$95, "no data")))))))))))</f>
        <v/>
      </c>
      <c r="Z44" s="7" t="str">
        <f ca="1">IF(OR(ISBLANK('Soil results'!I$7),ISBLANK('Soil results'!I47),'Soil results'!B47=""),"",
VLOOKUP(Calc!BI42,'Fertiliser recommendations'!$A$4:$AM$63,39,FALSE))</f>
        <v/>
      </c>
      <c r="AA44" s="91" t="str">
        <f t="shared" ca="1" si="4"/>
        <v/>
      </c>
      <c r="AB44" s="9" t="str">
        <f t="shared" ca="1" si="5"/>
        <v/>
      </c>
      <c r="AD44" s="48" t="str">
        <f>IF(ISBLANK('Soil results'!F47),"",'Soil results'!F47)</f>
        <v/>
      </c>
      <c r="AE44" s="49" t="str">
        <f ca="1">IF(B44="","",
IF(AND(Calc!BJ42="g", VLOOKUP(LEFT($B44,LEN($B44)-2),'Field information 2'!$B$12:$P$111,9,FALSE)&lt;&gt;"yes"),
 IF(Calc!BG42="10-25% OM", 5.9, IF(Calc!BG42="&gt;25% OM", 5.5, 6.2)),
IF(OR(Calc!BJ42="a", VLOOKUP(LEFT($B44,LEN($B44)-2),'Field information 2'!$B$12:$P$111,9,FALSE)="yes"),
 IF(Calc!BG42="10-25% OM", 6.4, IF(Calc!BG42="&gt;25% OM", 6, 6.7)), "")))</f>
        <v/>
      </c>
      <c r="AF44" s="91" t="str">
        <f ca="1">IF(B44="","",
IF('Waste results'!$Q$33="","no (significant) liming properties",
IF('Waste results'!Q$33&gt;100,"no (significant) liming properties",
IF(AD44="","",
IF(AD44&gt;=AE44,0,ROUNDDOWN((AE44-AD44)*Calc!BK42*'Waste results'!$Q$33+0.2,0))))))</f>
        <v/>
      </c>
      <c r="AG44" s="9" t="str">
        <f ca="1">IF(B44="","",
IF(T44=0,"n/a",
IF(AD44="","data missing",
IF(AND(AD44&lt;5,AF44="no (significant) liming properties"),"no waste application - pH too low",
IF(AND(AD44&gt;5.1,AF44="no (significant) liming properties",Calc!BH42&gt;25, LEFT(Calc!BI42,4)="graz"),"ok",
IF(AND(AD44&lt;=5.2,AF44="no (significant) liming properties"),"liming highly recommended",
IF(AF44=0,"no waste application - liming not required",
IF(AF44&lt;Calc!BC42,"application rate too high - exceeds liming requirement",
"ok"))))))))</f>
        <v/>
      </c>
      <c r="AI44" s="91" t="str">
        <f ca="1">IF(B44="","",
IF(AND('Field information 2'!$O$5="", 'Field information 2'!$Q$5=""),
   IF('Waste results'!$P$10&lt;&gt;"data missing", Calc!BC42*'Waste results'!$P$10, "data missing"),
IF('Field information 2'!$Q$5="",
   IF(Calc!BD42=0,
     IF('Waste results'!$P$10&lt;&gt;"data missing", Calc!BC42*'Waste results'!$P$10, "data missing"),
   IF(Calc!BC42=0,
     IF('Waste results'!$P$45&lt;&gt;"data missing", Calc!BD42*'Waste results'!$P$45, "data missing"),
   IF(OR('Waste results'!$P$10&lt;&gt;"data missing", 'Waste results'!$P$45&lt;&gt;"data missing"), Calc!BC42*'Waste results'!$P$10+ Calc!BD42*'Waste results'!$P$45, "data missing"))),
IF(AND('Field information 2'!$M$5&lt;&gt;"", 'Field information 2'!$O$5&lt;&gt;"", 'Field information 2'!$Q$5&lt;&gt;""),
   IF(AND(Calc!BD42=0,Calc!BE42=0),
     IF('Waste results'!$P$10&lt;&gt;"data missing", Calc!BC42*'Waste results'!$P$10, "data missing"),
   IF(AND(Calc!BC42=0,Calc!BE42=0),
     IF('Waste results'!$P$45&lt;&gt;"data missing", Calc!BD42*'Waste results'!$P$45, "data missing"),
   IF(AND(Calc!BC42=0,Calc!BD42=0),
     IF('Waste results'!$P$82&lt;&gt;"data missing", Calc!BE42*'Waste results'!$P$82, "data missing"),
   IF(Calc!BE42=0,
     IF(OR('Waste results'!$P$10&lt;&gt;"data missing", 'Waste results'!$P$45&lt;&gt;"data missing"), Calc!BC42*'Waste results'!$P$10+ Calc!BD42*'Waste results'!$P$45, "data missing"),
   IF(Calc!BD42=0,
     IF(OR('Waste results'!$P$10&lt;&gt;"data missing", 'Waste results'!$P$82&lt;&gt;"data missing"), Calc!BC42*'Waste results'!$P$10+ Calc!BE42*'Waste results'!$P$82, "data missing"),
   IF(Calc!BC42=0,
     IF(OR('Waste results'!$P$45&lt;&gt;"data missing", 'Waste results'!$P$82&lt;&gt;"data missing"), Calc!BD42*'Waste results'!$P$45+Calc!BE42*'Waste results'!$P$82, "data missing"),
   IF(OR('Waste results'!$P$10&lt;&gt;"data missing", 'Waste results'!$P$45&lt;&gt;"data missing", 'Waste results'!$P$82&lt;&gt;"data missing"), Calc!BC42*'Waste results'!$P$10+Calc!BD42*'Waste results'!$P$45+ Calc!BE42*'Waste results'!$P$82, "data missing")))))))))))</f>
        <v/>
      </c>
      <c r="AJ44" s="237" t="str">
        <f ca="1">IF(B44="","",
IF(AI44="data missing","data missing",
IF(Calc!BF42=0,"n/a",
IF(AND(Calc!BH42&gt;=8,AI44&lt;500),"no benefit",
IF(OR(AND(Calc!BH42&lt;=4,AI44&gt;=500),AND(Calc!BH42&lt;8,AI44&gt;5000)),"benefit",
"limited benefit")))))</f>
        <v/>
      </c>
      <c r="AL44" s="238" t="str">
        <f ca="1">IF(B44="","",
IF(AND('Field information 2'!$O$5="", 'Field information 2'!$Q$5=""),
   IF('Waste results'!$S$25&lt;&gt;"data missing", Calc!BC42*'Waste results'!$S$25, "data missing"),
IF('Field information 2'!$Q$5="",
   IF(Calc!BD42=0,
     IF('Waste results'!$S$25&lt;&gt;"data missing", Calc!BC42*'Waste results'!$S$25, "data missing"),
   IF(Calc!BC42=0,
     IF('Waste results'!$S$61&lt;&gt;"data missing", Calc!BD42*'Waste results'!$S$61, "data missing"),
   IF(OR('Waste results'!$S$25&lt;&gt;"data missing", 'Waste results'!$S$61&lt;&gt;"data missing"), Calc!BC42*'Waste results'!$S$25+ Calc!BD42*'Waste results'!$S$61, "data missing"))),
IF(AND('Field information 2'!$M$5&lt;&gt;"", 'Field information 2'!$O$5&lt;&gt;"", 'Field information 2'!$Q$5&lt;&gt;""),
   IF(AND(Calc!BD42=0,Calc!BE42=0),
     IF('Waste results'!$S$25&lt;&gt;"data missing", Calc!BC42*'Waste results'!$S$25, "data missing"),
   IF(AND(Calc!BC42=0,Calc!BE42=0),
     IF('Waste results'!$S$61&lt;&gt;"data missing", Calc!BD42*'Waste results'!$S$61, "data missing"),
   IF(AND(Calc!BC42=0,Calc!BD42=0),
     IF('Waste results'!$S$97&lt;&gt;"data missing", Calc!BE42*'Waste results'!$S$97, "data missing"),
   IF(Calc!BE42=0,
     IF(OR('Waste results'!$S$25&lt;&gt;"data missing", 'Waste results'!$S$61&lt;&gt;"data missing"), Calc!BC42*'Waste results'!$S$25+ Calc!BD42*'Waste results'!$S$61, "data missing"),
   IF(Calc!BD42=0,
     IF(OR('Waste results'!$S$25&lt;&gt;"data missing", 'Waste results'!$S$97&lt;&gt;"data missing"), Calc!BC42*'Waste results'!$S$25+ Calc!BE42*'Waste results'!$S$97, "data missing"),
   IF(Calc!BC42=0,
     IF(OR('Waste results'!$S$61&lt;&gt;"data missing", 'Waste results'!$S$97&lt;&gt;"data missing"), Calc!BD42*'Waste results'!$S$61+Calc!BE42*'Waste results'!$S$97, "data missing"),
   IF(OR('Waste results'!$S$25&lt;&gt;"data missing", 'Waste results'!$S$61&lt;&gt;"data missing", 'Waste results'!$S$97&lt;&gt;"data missing"), Calc!BC42*'Waste results'!$S$25+Calc!BD42*'Waste results'!$S$61+ Calc!BE42*'Waste results'!$S$97, "data missing")))))))))))</f>
        <v/>
      </c>
      <c r="AM44" s="239" t="str">
        <f ca="1">IF($B44="","",
IF(ISBLANK('Soil results'!K47),"data missing",'Soil results'!K47))</f>
        <v/>
      </c>
      <c r="AN44" s="239" t="str">
        <f t="shared" ca="1" si="6"/>
        <v/>
      </c>
      <c r="AO44" s="9" t="str">
        <f t="shared" ca="1" si="7"/>
        <v/>
      </c>
      <c r="AQ44" s="240" t="str">
        <f ca="1">IF(B44="","",
IF(AND('Field information 2'!$O$5="", 'Field information 2'!$Q$5=""),
   IF('Waste results'!$S$26&lt;&gt;"data missing", Calc!BC42*'Waste results'!$S$26, "data missing"),
IF('Field information 2'!$Q$5="",
   IF(Calc!BD42=0,
     IF('Waste results'!$S$26&lt;&gt;"data missing", Calc!BC42*'Waste results'!$S$26, "data missing"),
   IF(Calc!BC42=0,
     IF('Waste results'!$S$62&lt;&gt;"data missing", Calc!BD42*'Waste results'!$S$62, "data missing"),
   IF(OR('Waste results'!$S$26&lt;&gt;"data missing", 'Waste results'!$S$62&lt;&gt;"data missing"), Calc!BC42*'Waste results'!$S$26+ Calc!BD42*'Waste results'!$S$62, "data missing"))),
IF(AND('Field information 2'!$M$5&lt;&gt;"", 'Field information 2'!$O$5&lt;&gt;"", 'Field information 2'!$Q$5&lt;&gt;""),
   IF(AND(Calc!BD42=0,Calc!BE42=0),
     IF('Waste results'!$S$26&lt;&gt;"data missing", Calc!BC42*'Waste results'!$S$26, "data missing"),
   IF(AND(Calc!BC42=0,Calc!BE42=0),
     IF('Waste results'!$S$62&lt;&gt;"data missing", Calc!BD42*'Waste results'!$S$62, "data missing"),
   IF(AND(Calc!BC42=0,Calc!BD42=0),
     IF('Waste results'!$S$98&lt;&gt;"data missing", Calc!BE42*'Waste results'!$S$98, "data missing"),
   IF(Calc!BE42=0,
     IF(OR('Waste results'!$S$26&lt;&gt;"data missing", 'Waste results'!$S$62&lt;&gt;"data missing"), Calc!BC42*'Waste results'!$S$26+ Calc!BD42*'Waste results'!$S$62, "data missing"),
   IF(Calc!BD42=0,
     IF(OR('Waste results'!$S$26&lt;&gt;"data missing", 'Waste results'!$S$98&lt;&gt;"data missing"), Calc!BC42*'Waste results'!$S$26+ Calc!BE42*'Waste results'!$S$98, "data missing"),
   IF(Calc!BC42=0,
     IF(OR('Waste results'!$S$62&lt;&gt;"data missing", 'Waste results'!$S$98&lt;&gt;"data missing"), Calc!BD42*'Waste results'!$S$62+Calc!BE42*'Waste results'!$S$98, "data missing"),
   IF(OR('Waste results'!$S$26&lt;&gt;"data missing", 'Waste results'!$S$62&lt;&gt;"data missing", 'Waste results'!$S$98&lt;&gt;"data missing"), Calc!BC42*'Waste results'!$S$26+Calc!BD42*'Waste results'!$S$62+ Calc!BE42*'Waste results'!$S$98, "data missing")))))))))))</f>
        <v/>
      </c>
      <c r="AR44" s="241" t="str">
        <f ca="1">IF($B44="","",
IF(ISBLANK('Soil results'!L47),"data missing",'Soil results'!L47))</f>
        <v/>
      </c>
      <c r="AS44" s="241" t="str">
        <f t="shared" ca="1" si="8"/>
        <v/>
      </c>
      <c r="AT44" s="66" t="str">
        <f t="shared" ca="1" si="9"/>
        <v/>
      </c>
      <c r="AV44" s="238" t="str">
        <f ca="1">IF(B44="","",
IF(AND('Field information 2'!$O$5="", 'Field information 2'!$Q$5=""),
   IF('Waste results'!$S$27&lt;&gt;"data missing", Calc!BC42*'Waste results'!$S$27, "data missing"),
IF('Field information 2'!$Q$5="",
   IF(Calc!BD42=0,
     IF('Waste results'!$S$27&lt;&gt;"data missing", Calc!BC42*'Waste results'!$S$27, "data missing"),
   IF(Calc!BC42=0,
     IF('Waste results'!$S$63&lt;&gt;"data missing", Calc!BD42*'Waste results'!$S$63, "data missing"),
   IF(OR('Waste results'!$S$27&lt;&gt;"data missing", 'Waste results'!$S$63&lt;&gt;"data missing"), Calc!BC42*'Waste results'!$S$27+ Calc!BD42*'Waste results'!$S$63, "data missing"))),
IF(AND('Field information 2'!$M$5&lt;&gt;"", 'Field information 2'!$O$5&lt;&gt;"", 'Field information 2'!$Q$5&lt;&gt;""),
   IF(AND(Calc!BD42=0,Calc!BE42=0),
     IF('Waste results'!$S$27&lt;&gt;"data missing", Calc!BC42*'Waste results'!$S$27, "data missing"),
   IF(AND(Calc!BC42=0,Calc!BE42=0),
     IF('Waste results'!$S$63&lt;&gt;"data missing", Calc!BD42*'Waste results'!$S$63, "data missing"),
   IF(AND(Calc!BC42=0,Calc!BD42=0),
     IF('Waste results'!$S$99&lt;&gt;"data missing", Calc!BE42*'Waste results'!$S$99, "data missing"),
   IF(Calc!BE42=0,
     IF(OR('Waste results'!$S$27&lt;&gt;"data missing", 'Waste results'!$S$63&lt;&gt;"data missing"), Calc!BC42*'Waste results'!$S$27+ Calc!BD42*'Waste results'!$S$63, "data missing"),
   IF(Calc!BD42=0,
     IF(OR('Waste results'!$S$27&lt;&gt;"data missing", 'Waste results'!$S$99&lt;&gt;"data missing"), Calc!BC42*'Waste results'!$S$27+ Calc!BE42*'Waste results'!$S$99, "data missing"),
   IF(Calc!BC42=0,
     IF(OR('Waste results'!$S$63&lt;&gt;"data missing", 'Waste results'!$S$99&lt;&gt;"data missing"), Calc!BD42*'Waste results'!$S$63+Calc!BE42*'Waste results'!$S$99, "data missing"),
   IF(OR('Waste results'!$S$27&lt;&gt;"data missing", 'Waste results'!$S$63&lt;&gt;"data missing", 'Waste results'!$S$99&lt;&gt;"data missing"), Calc!BC42*'Waste results'!$S$27+Calc!BD42*'Waste results'!$S$63+ Calc!BE42*'Waste results'!$S$99, "data missing")))))))))))</f>
        <v/>
      </c>
      <c r="AW44" s="239" t="str">
        <f ca="1">IF($B44="","",
IF(ISBLANK('Soil results'!M47),"data missing",'Soil results'!M47))</f>
        <v/>
      </c>
      <c r="AX44" s="239" t="str">
        <f t="shared" ca="1" si="10"/>
        <v/>
      </c>
      <c r="AY44" s="9" t="str">
        <f ca="1">IF(B44="","",
IF(AV44=0,"n/a",
IF(OR(AV44="data missing",AW44="data missing"),"data missing",
IF(AV44&gt;7.5,"application rate too high - permissible rate exceeds limit",
IF('Soil results'!$F47&lt;=5.5,
  IF(AW44&gt;80,"no application - soil conc. already above limit",
  IF(AX44&gt;80,"application rate too high - soil conc. will exceed limit",
  IF(AW44&gt;80*0.9,"soil conc. is at or above 90% of the limit",
  IF(10*AV44*1000/3000+AW44&gt;80,"soil limit likely to be exceeded in 10yrs",
  IF(50*AV44*1000/3000+AW44&gt;80,"soil limit likely to be exceeded in 50yrs","ok"))))),
IF('Soil results'!$F47&lt;=6,
  IF(AW44&gt;100,"no application - soil conc. already above limit",
  IF(AX44&gt;100,"application rate too high - soil conc. will exceed limit",
  IF(AW44&gt;100*0.9,"soil conc. is at or above 90% of the limit",
  IF(10*AV44*1000/3000+AW44&gt;100,"soil limit likely to be exceeded in 10yrs",
  IF(50*AV44*1000/3000+AW44&gt;100,"soil limit likely to be exceeded in 50yrs","ok"))))),
IF('Soil results'!$F47&lt;=7,
  IF(AW44&gt;135,"no application - soil conc. already above limit",
  IF(AX44&gt;135,"application rate too high - soil conc. will exceed limit",
  IF(AW44&gt;135*0.9,"soil conc. is at or above 90% of the limit",
  IF(10*AV44*1000/3000+AW44&gt;135,"soil limit likely to be exceeded in 10yrs",
  IF(50*AV44*1000/3000+AW44&gt;135,"soil limit likely to be exceeded in 50yrs","ok"))))),
IF('Soil results'!$F47&gt;7,
  IF(AW44&gt;200,"no application - soil conc. already above limit",
  IF(AX44&gt;200,"application too high - soil conc. will exceed limit",
  IF(AW44&gt;200*0.9,"soil conc. is at or above 90% of the limit",
  IF(10*AV44*1000/3000+AW44&gt;200,"soil limit likely to be exceeded in 10yrs",
  IF(50*AV44*1000/3000+AW44&gt;200,"soil limit likely to be exceeded in 50yrs","ok")))))
))))))))</f>
        <v/>
      </c>
      <c r="BA44" s="238" t="str">
        <f ca="1">IF(B44="","",
IF(AND('Field information 2'!$O$5="", 'Field information 2'!$Q$5=""),
   IF('Waste results'!$S$28&lt;&gt;"data missing", Calc!BC42*'Waste results'!$S$28, "data missing"),
IF('Field information 2'!$Q$5="",
   IF(Calc!BD42=0,
     IF('Waste results'!$S$28&lt;&gt;"data missing", Calc!BC42*'Waste results'!$S$28, "data missing"),
   IF(Calc!BC42=0,
     IF('Waste results'!$S$64&lt;&gt;"data missing", Calc!BD42*'Waste results'!$S$64, "data missing"),
   IF(OR('Waste results'!$S$28&lt;&gt;"data missing", 'Waste results'!$S$64&lt;&gt;"data missing"), Calc!BC42*'Waste results'!$S$28+ Calc!BD42*'Waste results'!$S$64, "data missing"))),
IF(AND('Field information 2'!$M$5&lt;&gt;"", 'Field information 2'!$O$5&lt;&gt;"", 'Field information 2'!$Q$5&lt;&gt;""),
   IF(AND(Calc!BD42=0,Calc!BE42=0),
     IF('Waste results'!$S$28&lt;&gt;"data missing", Calc!BC42*'Waste results'!$S$28, "data missing"),
   IF(AND(Calc!BC42=0,Calc!BE42=0),
     IF('Waste results'!$S$64&lt;&gt;"data missing", Calc!BD42*'Waste results'!$S$64, "data missing"),
   IF(AND(Calc!BC42=0,Calc!BD42=0),
     IF('Waste results'!$S$100&lt;&gt;"data missing", Calc!BE42*'Waste results'!$S$100, "data missing"),
   IF(Calc!BE42=0,
     IF(OR('Waste results'!$S$28&lt;&gt;"data missing", 'Waste results'!$S$64&lt;&gt;"data missing"), Calc!BC42*'Waste results'!$S$28+ Calc!BD42*'Waste results'!$S$64, "data missing"),
   IF(Calc!BD42=0,
     IF(OR('Waste results'!$S$28&lt;&gt;"data missing", 'Waste results'!$S$100&lt;&gt;"data missing"), Calc!BC42*'Waste results'!$S$28+ Calc!BE42*'Waste results'!$S$100, "data missing"),
   IF(Calc!BC42=0,
     IF(OR('Waste results'!$S$64&lt;&gt;"data missing", 'Waste results'!$S$100&lt;&gt;"data missing"), Calc!BD42*'Waste results'!$S$64+Calc!BE42*'Waste results'!$S$100, "data missing"),
   IF(OR('Waste results'!$S$28&lt;&gt;"data missing", 'Waste results'!$S$64&lt;&gt;"data missing", 'Waste results'!$S$100&lt;&gt;"data missing"), Calc!BC42*'Waste results'!$S$28+Calc!BD42*'Waste results'!$S$64+ Calc!BE42*'Waste results'!$S$100, "data missing")))))))))))</f>
        <v/>
      </c>
      <c r="BB44" s="239" t="str">
        <f ca="1">IF($B44="","",
IF(ISBLANK('Soil results'!N47),"data missing",'Soil results'!N47))</f>
        <v/>
      </c>
      <c r="BC44" s="239" t="str">
        <f t="shared" ca="1" si="11"/>
        <v/>
      </c>
      <c r="BD44" s="9" t="str">
        <f t="shared" ca="1" si="12"/>
        <v/>
      </c>
      <c r="BF44" s="238" t="str">
        <f ca="1">IF(B44="","",
IF(AND('Field information 2'!$O$5="", 'Field information 2'!$Q$5=""),
   IF('Waste results'!$S$29&lt;&gt;"data missing", Calc!BC42*'Waste results'!$S$29, "data missing"),
IF('Field information 2'!$Q$5="",
   IF(Calc!BD42=0,
     IF('Waste results'!$S$29&lt;&gt;"data missing", Calc!BC42*'Waste results'!$S$29, "data missing"),
   IF(Calc!BC42=0,
     IF('Waste results'!$S$65&lt;&gt;"data missing", Calc!BD42*'Waste results'!$S$65, "data missing"),
   IF(OR('Waste results'!$S$29&lt;&gt;"data missing", 'Waste results'!$S$65&lt;&gt;"data missing"), Calc!BC42*'Waste results'!$S$29+ Calc!BD42*'Waste results'!$S$65, "data missing"))),
IF(AND('Field information 2'!$M$5&lt;&gt;"", 'Field information 2'!$O$5&lt;&gt;"", 'Field information 2'!$Q$5&lt;&gt;""),
   IF(AND(Calc!BD42=0,Calc!BE42=0),
     IF('Waste results'!$S$29&lt;&gt;"data missing", Calc!BC42*'Waste results'!$S$29, "data missing"),
   IF(AND(Calc!BC42=0,Calc!BE42=0),
     IF('Waste results'!$S$65&lt;&gt;"data missing", Calc!BD42*'Waste results'!$S$65, "data missing"),
   IF(AND(Calc!BC42=0,Calc!BD42=0),
     IF('Waste results'!$S$101&lt;&gt;"data missing", Calc!BE42*'Waste results'!$S$101, "data missing"),
   IF(Calc!BE42=0,
     IF(OR('Waste results'!$S$29&lt;&gt;"data missing", 'Waste results'!$S$65&lt;&gt;"data missing"), Calc!BC42*'Waste results'!$S$29+ Calc!BD42*'Waste results'!$S$65, "data missing"),
   IF(Calc!BD42=0,
     IF(OR('Waste results'!$S$29&lt;&gt;"data missing", 'Waste results'!$S$101&lt;&gt;"data missing"), Calc!BC42*'Waste results'!$S$29+ Calc!BE42*'Waste results'!$S$101, "data missing"),
   IF(Calc!BC42=0,
     IF(OR('Waste results'!$S$65&lt;&gt;"data missing", 'Waste results'!$S$101&lt;&gt;"data missing"), Calc!BD42*'Waste results'!$S$65+Calc!BE42*'Waste results'!$S$101, "data missing"),
   IF(OR('Waste results'!$S$29&lt;&gt;"data missing", 'Waste results'!$S$65&lt;&gt;"data missing", 'Waste results'!$S$101&lt;&gt;"data missing"), Calc!BC42*'Waste results'!$S$29+Calc!BD42*'Waste results'!$S$65+ Calc!BE42*'Waste results'!$S$101, "data missing")))))))))))</f>
        <v/>
      </c>
      <c r="BG44" s="239" t="str">
        <f ca="1">IF($B44="","",
IF(ISBLANK('Soil results'!O47),"data missing",'Soil results'!O47))</f>
        <v/>
      </c>
      <c r="BH44" s="239" t="str">
        <f t="shared" ca="1" si="13"/>
        <v/>
      </c>
      <c r="BI44" s="9" t="str">
        <f ca="1">IF(B44="","",
IF(BF44=0,"n/a",
IF(OR(BF44="data missing",BG44="data missing"),"data missing",
IF(BF44&gt;3,"application rate too high - permissible rate exceeds limit",
IF('Soil results'!F47&lt;=5.5,
  IF(BG44&gt;50,"no application - soil conc. already above limit",
  IF(BH44&gt;50,"application rate too high - soil conc. will exceed limit",
  IF(BG44&gt;50*0.9,"soil conc. is at or above 90% of the limit",
  IF(10*BF44*1000/3000+BG44&gt;50,"soil limit likely to be exceeded in 10yrs",
  IF(50*BF44*1000/3000+BG44&gt;50,"soil limit likely to be exceeded in 50yrs","ok"))))),
IF('Soil results'!F47&lt;=6,
  IF(BG44&gt;60,"no application - soil conc. already above limit",
  IF(BH44&gt;60,"application rate too high - soil conc. will exceed limit",
  IF(BG44&gt;60*0.9,"soil conc. is at or above 90% of the limit",
  IF(10*BF44*1000/3000+BG44&gt;60,"soil limit likely to be exceeded in 10yrs",
  IF(50*BF44*1000/3000+BG44&gt;60,"soil limit likely to be exceeded in 50yrs","ok"))))),
IF('Soil results'!F47&lt;=7,
  IF(BG44&gt;75,"no application - soil conc. already above limit",
  IF(BH44&gt;75,"application rate too high - soil conc. will exceed limit",
  IF(BG44&gt;75*0.9,"soil conc. is at or above 90% of the limit",
  IF(10*BF44*1000/3000+BG44&gt;75,"soil limit likely to be exceeded in 10yrs",
  IF(50*BF44*1000/3000+BG44&gt;75,"soil limit likely to be exceeded in 50yrs","ok"))))),
IF('Soil results'!F47&gt;7,
  IF(BG44&gt;100,"no application - soil conc. already above limit",
  IF(BH44&gt;100,"application rate too high - soil conc. will exceed limit",
  IF(BG44&gt;100*0.9,"soil conc. is at or above 90% of the limit",
  IF(10*BF44*1000/3000+BG44&gt;100,"soil limit likely to be exceeded in 10yrs",
  IF(50*BF44*1000/3000+BG44&gt;100,"soil limit likely to beexceeded in 50yrs","ok")))))
))))))))</f>
        <v/>
      </c>
      <c r="BK44" s="240" t="str">
        <f ca="1">IF(B44="","",
IF(AND('Field information 2'!$O$5="", 'Field information 2'!$Q$5=""),
   IF('Waste results'!$S$30&lt;&gt;"data missing", Calc!BC42*'Waste results'!$S$30, "data missing"),
IF('Field information 2'!$Q$5="",
   IF(Calc!BD42=0,
     IF('Waste results'!$S$30&lt;&gt;"data missing", Calc!BC42*'Waste results'!$S$30, "data missing"),
   IF(Calc!BC42=0,
     IF('Waste results'!$S$66&lt;&gt;"data missing", Calc!BD42*'Waste results'!$S$66, "data missing"),
   IF(OR('Waste results'!$S$30&lt;&gt;"data missing", 'Waste results'!$S$66&lt;&gt;"data missing"), Calc!BC42*'Waste results'!$S$30+ Calc!BD42*'Waste results'!$S$66, "data missing"))),
IF(AND('Field information 2'!$M$5&lt;&gt;"", 'Field information 2'!$O$5&lt;&gt;"", 'Field information 2'!$Q$5&lt;&gt;""),
   IF(AND(Calc!BD42=0,Calc!BE42=0),
     IF('Waste results'!$S$30&lt;&gt;"data missing", Calc!BC42*'Waste results'!$S$30, "data missing"),
   IF(AND(Calc!BC42=0,Calc!BE42=0),
     IF('Waste results'!$S$66&lt;&gt;"data missing", Calc!BD42*'Waste results'!$S$66, "data missing"),
   IF(AND(Calc!BC42=0,Calc!BD42=0),
     IF('Waste results'!$S$102&lt;&gt;"data missing", Calc!BE42*'Waste results'!$S$102, "data missing"),
   IF(Calc!BE42=0,
     IF(OR('Waste results'!$S$30&lt;&gt;"data missing", 'Waste results'!$S$66&lt;&gt;"data missing"), Calc!BC42*'Waste results'!$S$30+ Calc!BD42*'Waste results'!$S$66, "data missing"),
   IF(Calc!BD42=0,
     IF(OR('Waste results'!$S$30&lt;&gt;"data missing", 'Waste results'!$S$102&lt;&gt;"data missing"), Calc!BC42*'Waste results'!$S$30+ Calc!BE42*'Waste results'!$S$102, "data missing"),
   IF(Calc!BC42=0,
     IF(OR('Waste results'!$S$66&lt;&gt;"data missing", 'Waste results'!$S$102&lt;&gt;"data missing"), Calc!BD42*'Waste results'!$S$66+Calc!BE42*'Waste results'!$S$102, "data missing"),
   IF(OR('Waste results'!$S$30&lt;&gt;"data missing", 'Waste results'!$S$66&lt;&gt;"data missing", 'Waste results'!$S$102&lt;&gt;"data missing"), Calc!BC42*'Waste results'!$S$30+Calc!BD42*'Waste results'!$S$66+ Calc!BE42*'Waste results'!$S$102, "data missing")))))))))))</f>
        <v/>
      </c>
      <c r="BL44" s="241" t="str">
        <f ca="1">IF($B44="","",
IF(ISBLANK('Soil results'!P47),"data missing",'Soil results'!P47))</f>
        <v/>
      </c>
      <c r="BM44" s="241" t="str">
        <f t="shared" ca="1" si="14"/>
        <v/>
      </c>
      <c r="BN44" s="66" t="str">
        <f t="shared" ca="1" si="15"/>
        <v/>
      </c>
      <c r="BP44" s="238" t="str">
        <f ca="1">IF(B44="","",
IF(AND('Field information 2'!$O$5="", 'Field information 2'!$Q$5=""),
   IF('Waste results'!$S$31&lt;&gt;"data missing", Calc!BC42*'Waste results'!$S$31, "data missing"),
IF('Field information 2'!$Q$5="",
   IF(Calc!BD42=0,
     IF('Waste results'!$S$31&lt;&gt;"data missing", Calc!BC42*'Waste results'!$S$31, "data missing"),
   IF(Calc!BC42=0,
     IF('Waste results'!$S$67&lt;&gt;"data missing", Calc!BD42*'Waste results'!$S$67, "data missing"),
   IF(OR('Waste results'!$S$31&lt;&gt;"data missing", 'Waste results'!$S$67&lt;&gt;"data missing"), Calc!BC42*'Waste results'!$S$31+ Calc!BD42*'Waste results'!$S$67, "data missing"))),
IF(AND('Field information 2'!$M$5&lt;&gt;"", 'Field information 2'!$O$5&lt;&gt;"", 'Field information 2'!$Q$5&lt;&gt;""),
   IF(AND(Calc!BD42=0,Calc!BE42=0),
     IF('Waste results'!$S$31&lt;&gt;"data missing", Calc!BC42*'Waste results'!$S$31, "data missing"),
   IF(AND(Calc!BC42=0,Calc!BE42=0),
     IF('Waste results'!$S$67&lt;&gt;"data missing", Calc!BD42*'Waste results'!$S$67, "data missing"),
   IF(AND(Calc!BC42=0,Calc!BD42=0),
     IF('Waste results'!$S$103&lt;&gt;"data missing", Calc!BE42*'Waste results'!$S$103, "data missing"),
   IF(Calc!BE42=0,
     IF(OR('Waste results'!$S$31&lt;&gt;"data missing", 'Waste results'!$S$67&lt;&gt;"data missing"), Calc!BC42*'Waste results'!$S$31+ Calc!BD42*'Waste results'!$S$67, "data missing"),
   IF(Calc!BD42=0,
     IF(OR('Waste results'!$S$31&lt;&gt;"data missing", 'Waste results'!$S$103&lt;&gt;"data missing"), Calc!BC42*'Waste results'!$S$31+ Calc!BE42*'Waste results'!$S$103, "data missing"),
   IF(Calc!BC42=0,
     IF(OR('Waste results'!$S$67&lt;&gt;"data missing", 'Waste results'!$S$103&lt;&gt;"data missing"), Calc!BD42*'Waste results'!$S$67+Calc!BE42*'Waste results'!$S$103, "data missing"),
   IF(OR('Waste results'!$S$31&lt;&gt;"data missing", 'Waste results'!$S$67&lt;&gt;"data missing", 'Waste results'!$S$103&lt;&gt;"data missing"), Calc!BC42*'Waste results'!$S$31+Calc!BD42*'Waste results'!$S$67+ Calc!BE42*'Waste results'!$S$103, "data missing")))))))))))</f>
        <v/>
      </c>
      <c r="BQ44" s="239" t="str">
        <f ca="1">IF($B44="","",
IF(ISBLANK('Soil results'!Q47),"data missing",'Soil results'!Q47))</f>
        <v/>
      </c>
      <c r="BR44" s="239" t="str">
        <f t="shared" ca="1" si="16"/>
        <v/>
      </c>
      <c r="BS44" s="9" t="str">
        <f ca="1">IF(B44="","",
IF(BP44=0,"n/a",
IF(OR(BP44="data missing",BQ44=""),"data missing",
IF(BP44&gt;15,"application rate too high - permissible rate exceeds limit",
IF('Soil results'!F47&lt;=5.5,
  IF(BQ44&gt;200,"no application - soil conc. already above limit",
  IF(BR44&gt;200,"application rate too high - soil conc. will exceed limit",
  IF(BQ44&gt;200*0.9,"soil conc. is at or above 90% of the limit",
  IF(10*BP44*1000/3000+BQ44&gt;200,"soil limit likely to be exceeded in 10yrs",
  IF(50*BP44*1000/3000+BQ44&gt;200,"soil limit likely to be exceeded in 50yrs","ok"))))),
IF('Soil results'!F47&lt;=6,
  IF(BQ44&gt;250,"no application - soil conc. already above limit",
  IF(BR44&gt;250,"application rate too high - soil conc. will exceed limit",
  IF(BQ44&gt;250*0.9,"soil conc. is at or above 90% of the limit",
  IF(10*BP44*1000/3000+BQ44&gt;250,"soil limit likely to be exceeded in 10yrs",
  IF(50*BP44*1000/3000+BQ44&gt;250,"soil limit likely to be exceeded in 50yrs","ok"))))),
IF('Soil results'!F47&lt;=7,
  IF(BQ44&gt;300,"no application - soil conc. already above limit",
  IF(BR44&gt;300,"application rate too high - soil conc. will exceed limit",
  IF(BQ44&gt;300*0.9,"soil conc. is at or above 90% of the limit",
  IF(10*BP44*1000/3000+BQ44&gt;300,"soil limit likey to be exceeded in 10yrs",
  IF(50*BP44*1000/3000+BQ44&gt;300,"soil limit likely to be exceeded in 50yrs","ok"))))),
IF('Soil results'!F47&gt;7,
  IF(BQ44&gt;450,"no application - soil conc. already above limit",
  IF(BR44&gt;450,"application rate too high - soil conc. will exceed limit",
  IF(AW44&gt;450*0.9,"soil conc. is at or above 90% of the limit",
  IF(10*BP44*1000/3000+BQ44&gt;450,"soil limit likely to be exceeded in 10yrs",
  IF(50*BP44*1000/3000+BQ44&gt;450,"soil limit likely to be exceeded in 50yrs","ok")))))
))))))))</f>
        <v/>
      </c>
    </row>
    <row r="45" spans="2:71" s="9" customFormat="1" ht="15" x14ac:dyDescent="0.25">
      <c r="B45" s="236" t="str">
        <f ca="1">'Soil results'!B48</f>
        <v/>
      </c>
      <c r="C45" s="91" t="str">
        <f ca="1">IF(B45="","",
IF(AND('Field information 2'!$O$5="", 'Field information 2'!$Q$5=""),
   IF('Waste results'!$S$12&lt;&gt;"data missing", Calc!BC43*'Waste results'!$S$12, "data missing"),
IF('Field information 2'!$Q$5="",
   IF(Calc!BD43=0,
     IF('Waste results'!$S$12&lt;&gt;"data missing", Calc!BC43*'Waste results'!$S$12, "data missing"),
   IF(Calc!BC43=0,
     IF('Waste results'!$S$48&lt;&gt;"data missing", Calc!BD43*'Waste results'!$S$48, "data missing"),
   IF(OR('Waste results'!$S$12&lt;&gt;"data missing", 'Waste results'!$S$48&lt;&gt;"data missing"), Calc!BC43*'Waste results'!$S$12+ Calc!BD43*'Waste results'!$S$48, "data missing"))),
IF(AND('Field information 2'!$M$5&lt;&gt;"", 'Field information 2'!$O$5&lt;&gt;"", 'Field information 2'!$Q$5&lt;&gt;""),
   IF(AND(Calc!BD43=0,Calc!BE43=0),
     IF('Waste results'!$S$12&lt;&gt;"data missing", Calc!BC43*'Waste results'!$S$12, "data missing"),
   IF(AND(Calc!BC43=0,Calc!BE43=0),
     IF('Waste results'!$S$48&lt;&gt;"data missing", Calc!BD43*'Waste results'!$S$48, "data missing"),
   IF(AND(Calc!BC43=0,Calc!BD43=0),
     IF('Waste results'!$S$84&lt;&gt;"data missing", Calc!BE43*'Waste results'!$S$84, "data missing"),
   IF(Calc!BE43=0,
     IF(OR('Waste results'!$S$12&lt;&gt;"data missing", 'Waste results'!$S$48&lt;&gt;"data missing"), Calc!BC43*'Waste results'!$S$12+ Calc!BD43*'Waste results'!$S$48, "data missing"),
   IF(Calc!BD43=0,
     IF(OR('Waste results'!$S$12&lt;&gt;"data missing", 'Waste results'!$S$84&lt;&gt;"data missing"), Calc!BC43*'Waste results'!$S$12+ Calc!BE43*'Waste results'!$S$84, "data missing"),
   IF(Calc!BC43=0,
     IF(OR('Waste results'!$S$48&lt;&gt;"data missing", 'Waste results'!$S$84&lt;&gt;"data missing"), Calc!BD43*'Waste results'!$S$48+Calc!BE43*'Waste results'!$S$84, "data missing"),
   IF(OR('Waste results'!$S$12&lt;&gt;"data missing", 'Waste results'!$S$48&lt;&gt;"data missing", 'Waste results'!$S$84&lt;&gt;"data missing"), Calc!BC43*'Waste results'!$S$12+Calc!BD43*'Waste results'!$S$48+ Calc!BE43*'Waste results'!$S$84, "data missing")))))))))))</f>
        <v/>
      </c>
      <c r="D45" s="161" t="str">
        <f ca="1">IF(B45="","",
IF(Calc!BG43="","soil texture missing",
IF(OR(Calc!BG43="SL; SZL; ZL",Calc!BG43="SCL; CL; ZCL; SC; ZC; C"),VLOOKUP(Calc!BI43,'Fertiliser recommendations'!$A$4:$C$63,3,FALSE),
IF(Calc!BG43="S; LS",VLOOKUP(Calc!BI43,'Fertiliser recommendations'!$A$4:$C$63,3,FALSE)+VLOOKUP(Calc!BI43,'Fertiliser recommendations'!$A$4:$D$63,4,FALSE),
IF(Calc!BG43="10-25% OM",VLOOKUP(Calc!BI43,'Fertiliser recommendations'!$A$4:$C$63,3,FALSE)+VLOOKUP(Calc!BI43,'Fertiliser recommendations'!$A$4:$E$63,5,FALSE),
IF(Calc!BG43="&gt;25% OM",VLOOKUP(Calc!BI43,'Fertiliser recommendations'!$A$4:$C$63,3,FALSE)+VLOOKUP(Calc!BI43,'Fertiliser recommendations'!$A$4:$F$63,6,FALSE),
""))))))</f>
        <v/>
      </c>
      <c r="E45" s="91" t="str">
        <f t="shared" ca="1" si="0"/>
        <v/>
      </c>
      <c r="F45" s="9" t="str">
        <f ca="1">IF(B45="","",
IF(OR(C45="data missing",D45="soil texture missing"),"data missing",
IF(Calc!BF43=0,"n/a",
IF(C45&lt;0.1*D45,"no benefit",
IF(C45&lt;0.3*D45,"limited benefit",
IF(C45&gt;250,"exceeds limit",
IF(OR(AND(D45=0,C45&gt;75),C45&gt;1.25*D45),"excessive",
IF(D45=0, "no requirement",
"benefit"))))))))</f>
        <v/>
      </c>
      <c r="H45" s="91" t="str">
        <f ca="1">IF(B45="","",
IF(AND('Field information 2'!$O$5="", 'Field information 2'!$Q$5=""),
   IF('Waste results'!$S$17&lt;&gt;"data missing", Calc!BC43*'Waste results'!$S$17, "data missing"),
IF('Field information 2'!$Q$5="",
   IF(Calc!BD43=0,
     IF('Waste results'!$S$17&lt;&gt;"data missing", Calc!BC43*'Waste results'!$S$17, "data missing"),
   IF(Calc!BC43=0,
     IF('Waste results'!$S$53&lt;&gt;"data missing", Calc!BD43*'Waste results'!$S$53, "data missing"),
   IF(OR('Waste results'!$S$17&lt;&gt;"data missing", 'Waste results'!$S$53&lt;&gt;"data missing"), Calc!BC43*'Waste results'!$S$17+ Calc!BD43*'Waste results'!$S$53, "data missing"))),
IF(AND('Field information 2'!$M$5&lt;&gt;"", 'Field information 2'!$O$5&lt;&gt;"", 'Field information 2'!$Q$5&lt;&gt;""),
   IF(AND(Calc!BD43=0,Calc!BE43=0),
     IF('Waste results'!$S$17&lt;&gt;"data missing", Calc!BC43*'Waste results'!$S$17, "data missing"),
   IF(AND(Calc!BC43=0,Calc!BE43=0),
     IF('Waste results'!$S$53&lt;&gt;"data missing", Calc!BD43*'Waste results'!$S$53, "data missing"),
   IF(AND(Calc!BC43=0,Calc!BD43=0),
     IF('Waste results'!$S$89&lt;&gt;"data missing", Calc!BE43*'Waste results'!$S$89, "data missing"),
   IF(Calc!BE43=0,
     IF(OR('Waste results'!$S$17&lt;&gt;"data missing", 'Waste results'!$S$53&lt;&gt;"data missing"), Calc!BC43*'Waste results'!$S$17+ Calc!BD43*'Waste results'!$S$53, "data missing"),
   IF(Calc!BD43=0,
     IF(OR('Waste results'!$S$17&lt;&gt;"data missing", 'Waste results'!$S$89&lt;&gt;"data missing"), Calc!BC43*'Waste results'!$S$17+ Calc!BE43*'Waste results'!$S$89, "data missing"),
   IF(Calc!BC43=0,
     IF(OR('Waste results'!$S$53&lt;&gt;"data missing", 'Waste results'!$S$89&lt;&gt;"data missing"), Calc!BD43*'Waste results'!$S$53+Calc!BE43*'Waste results'!$S$89, "data missing"),
   IF(OR('Waste results'!$S$17&lt;&gt;"data missing", 'Waste results'!$S$53&lt;&gt;"data missing", 'Waste results'!$S$89&lt;&gt;"data missing"), Calc!BC43*'Waste results'!$S$17+Calc!BD43*'Waste results'!$S$53+ Calc!BE43*'Waste results'!$S$89, "data missing")))))))))))</f>
        <v/>
      </c>
      <c r="I45" s="195" t="str">
        <f ca="1">IF(B45="","",
IF(OR(ISBLANK('Soil results'!G48), ISBLANK('Soil results'!G$7)),"data missing",
IF(OR(AND('Soil results'!G$7="Olsen (ADAS)",'Soil results'!G48&lt;16),AND('Soil results'!G$7="modified Morgan (SAC)",'Soil results'!G48&lt;4.5)),50,100)))</f>
        <v/>
      </c>
      <c r="J45" s="49" t="str">
        <f ca="1">IF(B45="","",
IF(OR(ISBLANK('Soil results'!G$7),ISBLANK('Soil results'!G48)),"data missing",
IF(OR(AND('Soil results'!G$7="Olsen (ADAS)",'Soil results'!G48&gt;45),AND('Soil results'!G$7="modified Morgan (SAC)",'Soil results'!G48&gt;30)),0,
IF(OR(AND('Soil results'!G$7="Olsen (ADAS)",'Soil results'!G48&gt;=16,'Soil results'!G48&lt;=20),AND('Soil results'!G$7="modified Morgan (SAC)",'Soil results'!G48&gt;=4.5,'Soil results'!G48&lt;=9.4)),VLOOKUP(Calc!BI43,'Fertiliser recommendations'!$A$4:$I$63,9,FALSE),
IF(OR(AND('Soil results'!G$7="Olsen (ADAS)",'Soil results'!G48&lt;10),AND('Soil results'!G$7="modified Morgan (SAC)",'Soil results'!G48&lt;1.8)),VLOOKUP(Calc!BI43,'Fertiliser recommendations'!$A$4:$I$63,9,FALSE)+VLOOKUP(Calc!BI43,'Fertiliser recommendations'!$A$4:$J$63,10,FALSE),
IF(OR(AND('Soil results'!G$7="Olsen (ADAS)",'Soil results'!G48&lt;16),AND('Soil results'!G$7="modified Morgan (SAC)",'Soil results'!G48&lt;4.5)),VLOOKUP(Calc!BI43,'Fertiliser recommendations'!$A$4:$I$63,9,FALSE)+VLOOKUP(Calc!BI43,'Fertiliser recommendations'!$A$4:$K$63,11,FALSE),
IF(OR(AND('Soil results'!G$7="Olsen (ADAS)",'Soil results'!G48&lt;26),AND('Soil results'!G$7="modified Morgan (SAC)",'Soil results'!G48&lt;13.5)),VLOOKUP(Calc!BI43,'Fertiliser recommendations'!$A$4:$I$63,9,FALSE)+VLOOKUP(Calc!BI43,'Fertiliser recommendations'!$A$4:$L$63,12,FALSE),
IF(OR(AND('Soil results'!G$7="Olsen (ADAS)",'Soil results'!G48&lt;=45),AND('Soil results'!G$7="modified Morgan (SAC)",'Soil results'!G48&lt;=30)),VLOOKUP(Calc!BI43,'Fertiliser recommendations'!$A$4:$I$63,9,FALSE)+VLOOKUP(Calc!BI43,'Fertiliser recommendations'!$A$4:$M$63,13,FALSE),
""))))))))</f>
        <v/>
      </c>
      <c r="K45" s="161" t="str">
        <f t="shared" ca="1" si="1"/>
        <v/>
      </c>
      <c r="L45" s="47" t="str">
        <f ca="1">IF(OR(ISBLANK('Soil results'!G$7),ISBLANK('Soil results'!G48),B45="", H45="data missing"),"",
IF('Soil results'!G$7="Olsen (ADAS)",
IF(((H45*Calc!BM43/2.291-(VLOOKUP(Calc!BI43,'Fertiliser recommendations'!$A$4:$I$63,9,FALSE))/2.291)*10/(400/2.291)+'Soil results'!G48)&lt;10,"0 (VL)",
IF(((H45*Calc!BM43/2.291-(VLOOKUP(Calc!BI43,'Fertiliser recommendations'!$A$4:$I$63,9,FALSE))/2.291)*10/(400/2.291)+'Soil results'!G48)&lt;16,"1 (L)",
IF(((H45*Calc!BM43/2.291-(VLOOKUP(Calc!BI43,'Fertiliser recommendations'!$A$4:$I$63,9,FALSE))/2.291)*10/(400/2.291)+'Soil results'!G48)&lt;21,"2 (M-)",
IF(((H45*Calc!BM43/2.291-(VLOOKUP(Calc!BI43,'Fertiliser recommendations'!$A$4:$I$63,9,FALSE))/2.291)*10/(400/2.291)+'Soil results'!G48)&lt;26,"2 (M+)",
IF(((H45*Calc!BM43/2.291-(VLOOKUP(Calc!BI43,'Fertiliser recommendations'!$A$4:$I$63,9,FALSE))/2.291)*10/(400/2.291)+'Soil results'!G48)&lt;45,"3 (H)","&gt;3 (VH)"))))),
IF('Soil results'!G$7="modified Morgan (SAC)",
IF('Soil results'!G48&gt;=6,
IF(((H45*Calc!BM43/2.291-(VLOOKUP(Calc!BI43,'Fertiliser recommendations'!$A$4:$I$63,9,FALSE))/2.291)*5/(147/2.291)+'Soil results'!G48)&lt;9.5,"2 (M-)",
IF(((H45*Calc!BM43/2.291-(VLOOKUP(Calc!BI43,'Fertiliser recommendations'!$A$4:$I$63,9,FALSE))/2.291)*5/(147/2.291)+'Soil results'!G48)&lt;13.5,"2 (M+)",
IF(((H45*Calc!BM43/2.291-(VLOOKUP(Calc!BI43,'Fertiliser recommendations'!$A$4:$I$63,9,FALSE))/2.291)*5/(147/2.291)+'Soil results'!G48)&lt;30,"3 (H)","4 (VH)"))),
IF(((H45*Calc!BM43/2.291-(VLOOKUP(Calc!BI43,'Fertiliser recommendations'!$A$4:$I$63,9,FALSE))/2.291)*5/(346/2.291)+'Soil results'!G48)&lt;1.8,"0 (VL)",
IF(((H45*Calc!BM43/2.291-(VLOOKUP(Calc!BI43,'Fertiliser recommendations'!$A$4:$I$63,9,FALSE))/2.291)*5/(147/2.291)+'Soil results'!G48)&lt;4.5,"1 (L)","2 (M-)"))))))</f>
        <v/>
      </c>
      <c r="M45" s="9" t="str">
        <f ca="1">IF(B45="","",
IF(OR(H45="data missing",I45="data missing",J45="data missing"),"data missing",
IF(Calc!BF43=0,"n/a",
IF(OR(AND('Soil results'!G$7="Olsen (ADAS)",'Soil results'!G48&gt;45),AND('Soil results'!G$7="modified Morgan (SAC)",'Soil results'!G48&gt;30)),
IF(H45&gt;2,"too high, not acceptable","no requirement"),IF(OR(AND('Soil results'!G$7="Olsen (ADAS)",'Soil results'!G48&gt;25),AND('Soil results'!G$7="modified Morgan (SAC)",'Soil results'!G48&gt;13.4)),
IF(H45*(I45/100)&lt;0.1*J45,"no benefit",
IF(H45*(I45/100)&lt;0.3*J45,"limited benefit",
IF(H45*(I45/100)&lt;1.1*J45,"benefit",
IF(H45*(I45/100)&lt;0.7*VLOOKUP(Calc!BI43,'Fertiliser recommendations'!$A$4:$I$63,9,FALSE),"excessive","too high, not acceptable")))),
IF(OR(AND('Soil results'!G$7="Olsen (ADAS)",'Soil results'!G48&gt;20),AND('Soil results'!G$7="modified Morgan (SAC)",'Soil results'!G48&gt;9.4)),
IF(H45*Calc!BM43*(I45/100)&lt;0.1*J45,"no benefit",
IF(H45*Calc!BM43*(I45/100)&lt;0.3*J45,"limited benefit",
IF(H45*Calc!BM43*(I45/100)&lt;1.1*J45,"benefit",
IF(L45="3 (H)","too high, not acceptable","excessive")))),
IF(OR(AND('Soil results'!G$7="Olsen (ADAS)",'Soil results'!G48&gt;15),AND('Soil results'!G$7="modified Morgan (SAC)",'Soil results'!G48&gt;4.4)),
IF(H45*Calc!BM43*(I45/100)&lt;0.1*VLOOKUP(Calc!BI43,'Fertiliser recommendations'!$A$4:$I$63,9,FALSE),"no benefit",
IF(H45*Calc!BM43*(I45/100)&lt;0.3*VLOOKUP(Calc!BI43,'Fertiliser recommendations'!$A$4:$I$63,9,FALSE),"limited benefit",
IF(H45*Calc!BM43*(I45/100)&lt;1.1*VLOOKUP(Calc!BI43,'Fertiliser recommendations'!$A$4:$I$63,9,FALSE),"benefit",
IF(L45="3 (H)", "too high, not acceptable", "excessive")))),
IF(OR(AND('Soil results'!G$7="Olsen (ADAS)",'Soil results'!G48&lt;=15),AND('Soil results'!G$7="modified Morgan (SAC)",'Soil results'!G48&lt;=4.4)),
IF(H45*Calc!BM43*(I45/100)&lt;0.1*VLOOKUP(Calc!BI43,'Fertiliser recommendations'!$A$4:$I$63,9,FALSE),"no benefit",
IF(H45*Calc!BM43*(I45/100)&lt;0.3*VLOOKUP(Calc!BI43,'Fertiliser recommendations'!$A$4:$I$63,9,FALSE),"limited benefit",
IF(H45*Calc!BM43*(I45/100)&lt;1.1*J45,"benefit","excessive")))))))))))</f>
        <v/>
      </c>
      <c r="O45" s="91" t="str">
        <f ca="1">IF(B45="","",
IF(AND('Field information 2'!$O$5="", 'Field information 2'!$Q$5=""),
   IF('Waste results'!$S$19&lt;&gt;"data missing", Calc!BC43*'Waste results'!$S$19, "data missing"),
IF('Field information 2'!$Q$5="",
   IF(Calc!BD43=0,
     IF('Waste results'!$S$19&lt;&gt;"data missing", Calc!BC43*'Waste results'!$S$19, "data missing"),
   IF(Calc!BC43=0,
     IF('Waste results'!$S$55&lt;&gt;"data missing", Calc!BD43*'Waste results'!$S$55, "data missing"),
   IF(OR('Waste results'!$S$19&lt;&gt;"data missing", 'Waste results'!$S$55&lt;&gt;"data missing"), Calc!BC43*'Waste results'!$S$19+ Calc!BD43*'Waste results'!$S$55, "data missing"))),
IF(AND('Field information 2'!$M$5&lt;&gt;"", 'Field information 2'!$O$5&lt;&gt;"", 'Field information 2'!$Q$5&lt;&gt;""),
   IF(AND(Calc!BD43=0,Calc!BE43=0),
     IF('Waste results'!$S$19&lt;&gt;"data missing", Calc!BC43*'Waste results'!$S$19, "data missing"),
   IF(AND(Calc!BC43=0,Calc!BE43=0),
     IF('Waste results'!$S$55&lt;&gt;"data missing", Calc!BD43*'Waste results'!$S$55, "data missing"),
   IF(AND(Calc!BC43=0,Calc!BD43=0),
     IF('Waste results'!$S$91&lt;&gt;"data missing", Calc!BE43*'Waste results'!$S$91, "data missing"),
   IF(Calc!BE43=0,
     IF(OR('Waste results'!$S$19&lt;&gt;"data missing", 'Waste results'!$S$55&lt;&gt;"data missing"), Calc!BC43*'Waste results'!$S$19+ Calc!BD43*'Waste results'!$S$55, "data missing"),
   IF(Calc!BD43=0,
     IF(OR('Waste results'!$S$19&lt;&gt;"data missing", 'Waste results'!$S$91&lt;&gt;"data missing"), Calc!BC43*'Waste results'!$S$19+ Calc!BE43*'Waste results'!$S$91, "data missing"),
   IF(Calc!BC43=0,
     IF(OR('Waste results'!$S$55&lt;&gt;"data missing", 'Waste results'!$S$91&lt;&gt;"data missing"), Calc!BD43*'Waste results'!$S$55+Calc!BE43*'Waste results'!$S$91, "data missing"),
   IF(OR('Waste results'!$S$19&lt;&gt;"data missing", 'Waste results'!$S$55&lt;&gt;"data missing", 'Waste results'!$S$91&lt;&gt;"data missing"), Calc!BC43*'Waste results'!$S$19+Calc!BD43*'Waste results'!$S$55+ Calc!BE43*'Waste results'!$S$91, "data missing")))))))))))</f>
        <v/>
      </c>
      <c r="P45" s="91" t="str">
        <f ca="1">IF(B45="","",
IF(OR(ISBLANK('Soil results'!H$7),ISBLANK('Soil results'!H48)),"data missing",
IF(OR(AND('Soil results'!H$7="ammonium nitrate (ADAS)",'Soil results'!H48&gt;400),AND('Soil results'!H$7="modified Morgan (SAC)",'Soil results'!H48&gt;400)),0,
IF(OR(AND('Soil results'!H$7="ammonium nitrate (ADAS)",'Soil results'!H48&gt;=121,'Soil results'!H48&lt;=180),AND('Soil results'!H$7="modified Morgan (SAC)",'Soil results'!H48&gt;=76,'Soil results'!H48&lt;=140)),VLOOKUP(Calc!BI43,'Fertiliser recommendations'!$A$4:$Z$63,26,FALSE),
IF(OR(AND('Soil results'!H$7="ammonium nitrate (ADAS)",'Soil results'!H48&lt;61),AND('Soil results'!H$7="modified Morgan (SAC)",'Soil results'!H48&lt;40)),VLOOKUP(Calc!BI43,'Fertiliser recommendations'!$A$4:$Z$63,26,FALSE)+VLOOKUP(Calc!BI43,'Fertiliser recommendations'!$A$4:$AA$63,27,FALSE),
IF(OR(AND('Soil results'!H$7="ammonium nitrate (ADAS)",'Soil results'!H48&lt;121),AND('Soil results'!H$7="modified Morgan (SAC)",'Soil results'!H48&lt;76)),VLOOKUP(Calc!BI43,'Fertiliser recommendations'!$A$4:$Z$63,26,FALSE)+VLOOKUP(Calc!BI43,'Fertiliser recommendations'!$A$4:$AB$63,28,FALSE),
IF(OR(AND('Soil results'!H$7="ammonium nitrate (ADAS)",'Soil results'!H48&lt;241),AND('Soil results'!H$7="modified Morgan (SAC)",'Soil results'!H48&lt;201)),VLOOKUP(Calc!BI43,'Fertiliser recommendations'!$A$4:$Z$63,26,FALSE)+VLOOKUP(Calc!BI43,'Fertiliser recommendations'!$A$4:$AC$63,29,FALSE),
IF(OR(AND('Soil results'!H$7="ammonium nitrate (ADAS)",'Soil results'!H48&lt;=400),AND('Soil results'!H$7="modified Morgan (SAC)",'Soil results'!H48&lt;=400)),VLOOKUP(Calc!BI43,'Fertiliser recommendations'!$A$4:$Z$63,26,FALSE)+VLOOKUP(Calc!BI43,'Fertiliser recommendations'!$A$4:$AD$63,30,FALSE),
"??"))))))))</f>
        <v/>
      </c>
      <c r="Q45" s="91" t="str">
        <f t="shared" ca="1" si="2"/>
        <v/>
      </c>
      <c r="R45" s="9" t="str">
        <f ca="1">IF(B45="","",
IF(OR(O45="data missing",P45="data missing"),"data missing",
IF(Calc!BF43=0,"n/a",
IF(P45=0, "no requirement",
IF(O45&lt;0.1*P45,"no benefit",
IF(O45&lt;0.3*P45,"limited benefit",
IF(O45&gt;1.25*P45,"excessive",
"benefit")))))))</f>
        <v/>
      </c>
      <c r="T45" s="91" t="str">
        <f ca="1">IF(B45="","",
IF(AND('Field information 2'!$O$5="", 'Field information 2'!$Q$5=""),
   IF('Waste results'!$S$21&lt;&gt;"data missing", Calc!BC43*'Waste results'!$S$21, "data missing"),
IF('Field information 2'!$Q$5="",
   IF(Calc!BD43=0,
     IF('Waste results'!$S$21&lt;&gt;"data missing", Calc!BC43*'Waste results'!$S$21, "data missing"),
   IF(Calc!BC43=0,
     IF('Waste results'!$S$57&lt;&gt;"data missing", Calc!BD43*'Waste results'!$S$57, "data missing"),
   IF(OR('Waste results'!$S$21&lt;&gt;"data missing", 'Waste results'!$S$57&lt;&gt;"data missing"), Calc!BC43*'Waste results'!$S$21+ Calc!BD43*'Waste results'!$S$57, "data missing"))),
IF(AND('Field information 2'!$M$5&lt;&gt;"", 'Field information 2'!$O$5&lt;&gt;"", 'Field information 2'!$Q$5&lt;&gt;""),
   IF(AND(Calc!BD43=0,Calc!BE43=0),
     IF('Waste results'!$S$21&lt;&gt;"data missing", Calc!BC43*'Waste results'!$S$21, "data missing"),
   IF(AND(Calc!BC43=0,Calc!BE43=0),
     IF('Waste results'!$S$57&lt;&gt;"data missing", Calc!BD43*'Waste results'!$S$57, "data missing"),
   IF(AND(Calc!BC43=0,Calc!BD43=0),
     IF('Waste results'!$S$93&lt;&gt;"data missing", Calc!BE43*'Waste results'!$S$93, "data missing"),
   IF(Calc!BE43=0,
     IF(OR('Waste results'!$S$21&lt;&gt;"data missing", 'Waste results'!$S$57&lt;&gt;"data missing"), Calc!BC43*'Waste results'!$S$21+ Calc!BD43*'Waste results'!$S$57, "data missing"),
   IF(Calc!BD43=0,
     IF(OR('Waste results'!$S$21&lt;&gt;"data missing", 'Waste results'!$S$93&lt;&gt;"data missing"), Calc!BC43*'Waste results'!$S$21+ Calc!BE43*'Waste results'!$S$93, "data missing"),
   IF(Calc!BC43=0,
     IF(OR('Waste results'!$S$57&lt;&gt;"data missing", 'Waste results'!$S$93&lt;&gt;"data missing"), Calc!BD43*'Waste results'!$S$57+Calc!BE43*'Waste results'!$S$93, "data missing"),
   IF(OR('Waste results'!$S$21&lt;&gt;"data missing", 'Waste results'!$S$57&lt;&gt;"data missing", 'Waste results'!$S$93&lt;&gt;"data missing"), Calc!BC43*'Waste results'!$S$21+Calc!BD43*'Waste results'!$S$57+ Calc!BE43*'Waste results'!$S$93, "data missing")))))))))))</f>
        <v/>
      </c>
      <c r="U45" s="7" t="str">
        <f ca="1">IF(B45="","",
IF(OR(ISBLANK('Soil results'!I$7),ISBLANK('Soil results'!I48)),"data missing",
IF(OR(AND('Soil results'!I$7="ammonium nitrate (ADAS)",'Soil results'!I48&gt;51),AND('Soil results'!I$7="modified Morgan (SAC)",'Soil results'!I48&gt;61)),0,
IF(OR(AND('Soil results'!I$7="ammonium nitrate (ADAS)",'Soil results'!I48&lt;25),AND('Soil results'!I$7="modified Morgan (SAC)",'Soil results'!I48&lt;19)),VLOOKUP(Calc!BI43,'Fertiliser recommendations'!$A$4:$AH$63,34,FALSE),
IF(OR(AND('Soil results'!I$7="ammonium nitrate (ADAS)",'Soil results'!I48&lt;=51),AND('Soil results'!I$7="modified Morgan (SAC)",'Soil results'!I48&lt;=61)),VLOOKUP(Calc!BI43,'Fertiliser recommendations'!$A$4:$AI$63,35,FALSE),
"")))))</f>
        <v/>
      </c>
      <c r="V45" s="91" t="str">
        <f t="shared" ca="1" si="3"/>
        <v/>
      </c>
      <c r="W45" s="9" t="str">
        <f ca="1">IF(B45="","",
IF(OR(T45="data missing",U45="data missing"),"data missing",
IF(Calc!BF43=0,"n/a",
IF(U45=0,"no requirement",
IF(T45&lt;0.1*U45,"no benefit",
IF(T45&lt;0.3*U45,"limited benefit",
IF(OR(T45&gt;1.5*U45,AND(Calc!BJ43="g",T45&gt;100)),"excessive",
"benefit")))))))</f>
        <v/>
      </c>
      <c r="Y45" s="91" t="str">
        <f ca="1">IF(B45="","",
IF(AND('Field information 2'!$O$5="", 'Field information 2'!$Q$5=""),
   IF('Waste results'!$P$23&lt;&gt;"", Calc!BC43*'Waste results'!$P$23, "no data"),
IF('Field information 2'!$Q$5="",
   IF(Calc!BD43=0,
     IF('Waste results'!$P$23&lt;&gt;"", Calc!BC43*'Waste results'!$P$23, "no data"),
   IF(Calc!BC43=0,
     IF('Waste results'!$P$59&lt;&gt;"", Calc!BD43*'Waste results'!$P$59, "no data"),
   IF(OR('Waste results'!$P$23&lt;&gt;"", 'Waste results'!$P$59&lt;&gt;""), Calc!BC43*'Waste results'!$P$23+ Calc!BD43*'Waste results'!$P$59, "no data"))),
IF(AND('Field information 2'!$M$5&lt;&gt;"", 'Field information 2'!$O$5&lt;&gt;"", 'Field information 2'!$Q$5&lt;&gt;""),
   IF(AND(Calc!BD43=0,Calc!BE43=0),
     IF('Waste results'!$P$23&lt;&gt;"", Calc!BC43*'Waste results'!$P$23, "no data"),
   IF(AND(Calc!BC43=0,Calc!BE43=0),
     IF('Waste results'!$P$59&lt;&gt;"", Calc!BD43*'Waste results'!$P$59, "no data"),
   IF(AND(Calc!BC43=0,Calc!BD43=0),
     IF('Waste results'!$P$95&lt;&gt;"", Calc!BE43*'Waste results'!$P$95, "no data"),
   IF(Calc!BE43=0,
     IF(OR('Waste results'!$P$23&lt;&gt;"", 'Waste results'!$P$59&lt;&gt;""), Calc!BC43*'Waste results'!$P$23+ Calc!BD43*'Waste results'!$P$59, "no data"),
   IF(Calc!BD43=0,
     IF(OR('Waste results'!$P$23&lt;&gt;"", 'Waste results'!$P$95&lt;&gt;""), Calc!BC43*'Waste results'!$P$23+ Calc!BE43*'Waste results'!$P$95, "no data"),
   IF(Calc!BC43=0,
     IF(OR('Waste results'!$P$59&lt;&gt;"", 'Waste results'!$P$95&lt;&gt;""), Calc!BD43*'Waste results'!$P$59+Calc!BE43*'Waste results'!$P$95, "no data"),
   IF(OR('Waste results'!$P$23&lt;&gt;"", 'Waste results'!$P$59&lt;&gt;"", 'Waste results'!$P$95&lt;&gt;""), Calc!BC43*'Waste results'!$P$23+Calc!BD43*'Waste results'!$P$59+ Calc!BE43*'Waste results'!$P$95, "no data")))))))))))</f>
        <v/>
      </c>
      <c r="Z45" s="7" t="str">
        <f ca="1">IF(OR(ISBLANK('Soil results'!I$7),ISBLANK('Soil results'!I48),'Soil results'!B48=""),"",
VLOOKUP(Calc!BI43,'Fertiliser recommendations'!$A$4:$AM$63,39,FALSE))</f>
        <v/>
      </c>
      <c r="AA45" s="91" t="str">
        <f t="shared" ca="1" si="4"/>
        <v/>
      </c>
      <c r="AB45" s="9" t="str">
        <f t="shared" ca="1" si="5"/>
        <v/>
      </c>
      <c r="AD45" s="48" t="str">
        <f>IF(ISBLANK('Soil results'!F48),"",'Soil results'!F48)</f>
        <v/>
      </c>
      <c r="AE45" s="49" t="str">
        <f ca="1">IF(B45="","",
IF(AND(Calc!BJ43="g", VLOOKUP(LEFT($B45,LEN($B45)-2),'Field information 2'!$B$12:$P$111,9,FALSE)&lt;&gt;"yes"),
 IF(Calc!BG43="10-25% OM", 5.9, IF(Calc!BG43="&gt;25% OM", 5.5, 6.2)),
IF(OR(Calc!BJ43="a", VLOOKUP(LEFT($B45,LEN($B45)-2),'Field information 2'!$B$12:$P$111,9,FALSE)="yes"),
 IF(Calc!BG43="10-25% OM", 6.4, IF(Calc!BG43="&gt;25% OM", 6, 6.7)), "")))</f>
        <v/>
      </c>
      <c r="AF45" s="91" t="str">
        <f ca="1">IF(B45="","",
IF('Waste results'!$Q$33="","no (significant) liming properties",
IF('Waste results'!Q$33&gt;100,"no (significant) liming properties",
IF(AD45="","",
IF(AD45&gt;=AE45,0,ROUNDDOWN((AE45-AD45)*Calc!BK43*'Waste results'!$Q$33+0.2,0))))))</f>
        <v/>
      </c>
      <c r="AG45" s="9" t="str">
        <f ca="1">IF(B45="","",
IF(T45=0,"n/a",
IF(AD45="","data missing",
IF(AND(AD45&lt;5,AF45="no (significant) liming properties"),"no waste application - pH too low",
IF(AND(AD45&gt;5.1,AF45="no (significant) liming properties",Calc!BH43&gt;25, LEFT(Calc!BI43,4)="graz"),"ok",
IF(AND(AD45&lt;=5.2,AF45="no (significant) liming properties"),"liming highly recommended",
IF(AF45=0,"no waste application - liming not required",
IF(AF45&lt;Calc!BC43,"application rate too high - exceeds liming requirement",
"ok"))))))))</f>
        <v/>
      </c>
      <c r="AI45" s="91" t="str">
        <f ca="1">IF(B45="","",
IF(AND('Field information 2'!$O$5="", 'Field information 2'!$Q$5=""),
   IF('Waste results'!$P$10&lt;&gt;"data missing", Calc!BC43*'Waste results'!$P$10, "data missing"),
IF('Field information 2'!$Q$5="",
   IF(Calc!BD43=0,
     IF('Waste results'!$P$10&lt;&gt;"data missing", Calc!BC43*'Waste results'!$P$10, "data missing"),
   IF(Calc!BC43=0,
     IF('Waste results'!$P$45&lt;&gt;"data missing", Calc!BD43*'Waste results'!$P$45, "data missing"),
   IF(OR('Waste results'!$P$10&lt;&gt;"data missing", 'Waste results'!$P$45&lt;&gt;"data missing"), Calc!BC43*'Waste results'!$P$10+ Calc!BD43*'Waste results'!$P$45, "data missing"))),
IF(AND('Field information 2'!$M$5&lt;&gt;"", 'Field information 2'!$O$5&lt;&gt;"", 'Field information 2'!$Q$5&lt;&gt;""),
   IF(AND(Calc!BD43=0,Calc!BE43=0),
     IF('Waste results'!$P$10&lt;&gt;"data missing", Calc!BC43*'Waste results'!$P$10, "data missing"),
   IF(AND(Calc!BC43=0,Calc!BE43=0),
     IF('Waste results'!$P$45&lt;&gt;"data missing", Calc!BD43*'Waste results'!$P$45, "data missing"),
   IF(AND(Calc!BC43=0,Calc!BD43=0),
     IF('Waste results'!$P$82&lt;&gt;"data missing", Calc!BE43*'Waste results'!$P$82, "data missing"),
   IF(Calc!BE43=0,
     IF(OR('Waste results'!$P$10&lt;&gt;"data missing", 'Waste results'!$P$45&lt;&gt;"data missing"), Calc!BC43*'Waste results'!$P$10+ Calc!BD43*'Waste results'!$P$45, "data missing"),
   IF(Calc!BD43=0,
     IF(OR('Waste results'!$P$10&lt;&gt;"data missing", 'Waste results'!$P$82&lt;&gt;"data missing"), Calc!BC43*'Waste results'!$P$10+ Calc!BE43*'Waste results'!$P$82, "data missing"),
   IF(Calc!BC43=0,
     IF(OR('Waste results'!$P$45&lt;&gt;"data missing", 'Waste results'!$P$82&lt;&gt;"data missing"), Calc!BD43*'Waste results'!$P$45+Calc!BE43*'Waste results'!$P$82, "data missing"),
   IF(OR('Waste results'!$P$10&lt;&gt;"data missing", 'Waste results'!$P$45&lt;&gt;"data missing", 'Waste results'!$P$82&lt;&gt;"data missing"), Calc!BC43*'Waste results'!$P$10+Calc!BD43*'Waste results'!$P$45+ Calc!BE43*'Waste results'!$P$82, "data missing")))))))))))</f>
        <v/>
      </c>
      <c r="AJ45" s="237" t="str">
        <f ca="1">IF(B45="","",
IF(AI45="data missing","data missing",
IF(Calc!BF43=0,"n/a",
IF(AND(Calc!BH43&gt;=8,AI45&lt;500),"no benefit",
IF(OR(AND(Calc!BH43&lt;=4,AI45&gt;=500),AND(Calc!BH43&lt;8,AI45&gt;5000)),"benefit",
"limited benefit")))))</f>
        <v/>
      </c>
      <c r="AL45" s="238" t="str">
        <f ca="1">IF(B45="","",
IF(AND('Field information 2'!$O$5="", 'Field information 2'!$Q$5=""),
   IF('Waste results'!$S$25&lt;&gt;"data missing", Calc!BC43*'Waste results'!$S$25, "data missing"),
IF('Field information 2'!$Q$5="",
   IF(Calc!BD43=0,
     IF('Waste results'!$S$25&lt;&gt;"data missing", Calc!BC43*'Waste results'!$S$25, "data missing"),
   IF(Calc!BC43=0,
     IF('Waste results'!$S$61&lt;&gt;"data missing", Calc!BD43*'Waste results'!$S$61, "data missing"),
   IF(OR('Waste results'!$S$25&lt;&gt;"data missing", 'Waste results'!$S$61&lt;&gt;"data missing"), Calc!BC43*'Waste results'!$S$25+ Calc!BD43*'Waste results'!$S$61, "data missing"))),
IF(AND('Field information 2'!$M$5&lt;&gt;"", 'Field information 2'!$O$5&lt;&gt;"", 'Field information 2'!$Q$5&lt;&gt;""),
   IF(AND(Calc!BD43=0,Calc!BE43=0),
     IF('Waste results'!$S$25&lt;&gt;"data missing", Calc!BC43*'Waste results'!$S$25, "data missing"),
   IF(AND(Calc!BC43=0,Calc!BE43=0),
     IF('Waste results'!$S$61&lt;&gt;"data missing", Calc!BD43*'Waste results'!$S$61, "data missing"),
   IF(AND(Calc!BC43=0,Calc!BD43=0),
     IF('Waste results'!$S$97&lt;&gt;"data missing", Calc!BE43*'Waste results'!$S$97, "data missing"),
   IF(Calc!BE43=0,
     IF(OR('Waste results'!$S$25&lt;&gt;"data missing", 'Waste results'!$S$61&lt;&gt;"data missing"), Calc!BC43*'Waste results'!$S$25+ Calc!BD43*'Waste results'!$S$61, "data missing"),
   IF(Calc!BD43=0,
     IF(OR('Waste results'!$S$25&lt;&gt;"data missing", 'Waste results'!$S$97&lt;&gt;"data missing"), Calc!BC43*'Waste results'!$S$25+ Calc!BE43*'Waste results'!$S$97, "data missing"),
   IF(Calc!BC43=0,
     IF(OR('Waste results'!$S$61&lt;&gt;"data missing", 'Waste results'!$S$97&lt;&gt;"data missing"), Calc!BD43*'Waste results'!$S$61+Calc!BE43*'Waste results'!$S$97, "data missing"),
   IF(OR('Waste results'!$S$25&lt;&gt;"data missing", 'Waste results'!$S$61&lt;&gt;"data missing", 'Waste results'!$S$97&lt;&gt;"data missing"), Calc!BC43*'Waste results'!$S$25+Calc!BD43*'Waste results'!$S$61+ Calc!BE43*'Waste results'!$S$97, "data missing")))))))))))</f>
        <v/>
      </c>
      <c r="AM45" s="239" t="str">
        <f ca="1">IF($B45="","",
IF(ISBLANK('Soil results'!K48),"data missing",'Soil results'!K48))</f>
        <v/>
      </c>
      <c r="AN45" s="239" t="str">
        <f t="shared" ca="1" si="6"/>
        <v/>
      </c>
      <c r="AO45" s="9" t="str">
        <f t="shared" ca="1" si="7"/>
        <v/>
      </c>
      <c r="AQ45" s="240" t="str">
        <f ca="1">IF(B45="","",
IF(AND('Field information 2'!$O$5="", 'Field information 2'!$Q$5=""),
   IF('Waste results'!$S$26&lt;&gt;"data missing", Calc!BC43*'Waste results'!$S$26, "data missing"),
IF('Field information 2'!$Q$5="",
   IF(Calc!BD43=0,
     IF('Waste results'!$S$26&lt;&gt;"data missing", Calc!BC43*'Waste results'!$S$26, "data missing"),
   IF(Calc!BC43=0,
     IF('Waste results'!$S$62&lt;&gt;"data missing", Calc!BD43*'Waste results'!$S$62, "data missing"),
   IF(OR('Waste results'!$S$26&lt;&gt;"data missing", 'Waste results'!$S$62&lt;&gt;"data missing"), Calc!BC43*'Waste results'!$S$26+ Calc!BD43*'Waste results'!$S$62, "data missing"))),
IF(AND('Field information 2'!$M$5&lt;&gt;"", 'Field information 2'!$O$5&lt;&gt;"", 'Field information 2'!$Q$5&lt;&gt;""),
   IF(AND(Calc!BD43=0,Calc!BE43=0),
     IF('Waste results'!$S$26&lt;&gt;"data missing", Calc!BC43*'Waste results'!$S$26, "data missing"),
   IF(AND(Calc!BC43=0,Calc!BE43=0),
     IF('Waste results'!$S$62&lt;&gt;"data missing", Calc!BD43*'Waste results'!$S$62, "data missing"),
   IF(AND(Calc!BC43=0,Calc!BD43=0),
     IF('Waste results'!$S$98&lt;&gt;"data missing", Calc!BE43*'Waste results'!$S$98, "data missing"),
   IF(Calc!BE43=0,
     IF(OR('Waste results'!$S$26&lt;&gt;"data missing", 'Waste results'!$S$62&lt;&gt;"data missing"), Calc!BC43*'Waste results'!$S$26+ Calc!BD43*'Waste results'!$S$62, "data missing"),
   IF(Calc!BD43=0,
     IF(OR('Waste results'!$S$26&lt;&gt;"data missing", 'Waste results'!$S$98&lt;&gt;"data missing"), Calc!BC43*'Waste results'!$S$26+ Calc!BE43*'Waste results'!$S$98, "data missing"),
   IF(Calc!BC43=0,
     IF(OR('Waste results'!$S$62&lt;&gt;"data missing", 'Waste results'!$S$98&lt;&gt;"data missing"), Calc!BD43*'Waste results'!$S$62+Calc!BE43*'Waste results'!$S$98, "data missing"),
   IF(OR('Waste results'!$S$26&lt;&gt;"data missing", 'Waste results'!$S$62&lt;&gt;"data missing", 'Waste results'!$S$98&lt;&gt;"data missing"), Calc!BC43*'Waste results'!$S$26+Calc!BD43*'Waste results'!$S$62+ Calc!BE43*'Waste results'!$S$98, "data missing")))))))))))</f>
        <v/>
      </c>
      <c r="AR45" s="241" t="str">
        <f ca="1">IF($B45="","",
IF(ISBLANK('Soil results'!L48),"data missing",'Soil results'!L48))</f>
        <v/>
      </c>
      <c r="AS45" s="241" t="str">
        <f t="shared" ca="1" si="8"/>
        <v/>
      </c>
      <c r="AT45" s="66" t="str">
        <f t="shared" ca="1" si="9"/>
        <v/>
      </c>
      <c r="AV45" s="238" t="str">
        <f ca="1">IF(B45="","",
IF(AND('Field information 2'!$O$5="", 'Field information 2'!$Q$5=""),
   IF('Waste results'!$S$27&lt;&gt;"data missing", Calc!BC43*'Waste results'!$S$27, "data missing"),
IF('Field information 2'!$Q$5="",
   IF(Calc!BD43=0,
     IF('Waste results'!$S$27&lt;&gt;"data missing", Calc!BC43*'Waste results'!$S$27, "data missing"),
   IF(Calc!BC43=0,
     IF('Waste results'!$S$63&lt;&gt;"data missing", Calc!BD43*'Waste results'!$S$63, "data missing"),
   IF(OR('Waste results'!$S$27&lt;&gt;"data missing", 'Waste results'!$S$63&lt;&gt;"data missing"), Calc!BC43*'Waste results'!$S$27+ Calc!BD43*'Waste results'!$S$63, "data missing"))),
IF(AND('Field information 2'!$M$5&lt;&gt;"", 'Field information 2'!$O$5&lt;&gt;"", 'Field information 2'!$Q$5&lt;&gt;""),
   IF(AND(Calc!BD43=0,Calc!BE43=0),
     IF('Waste results'!$S$27&lt;&gt;"data missing", Calc!BC43*'Waste results'!$S$27, "data missing"),
   IF(AND(Calc!BC43=0,Calc!BE43=0),
     IF('Waste results'!$S$63&lt;&gt;"data missing", Calc!BD43*'Waste results'!$S$63, "data missing"),
   IF(AND(Calc!BC43=0,Calc!BD43=0),
     IF('Waste results'!$S$99&lt;&gt;"data missing", Calc!BE43*'Waste results'!$S$99, "data missing"),
   IF(Calc!BE43=0,
     IF(OR('Waste results'!$S$27&lt;&gt;"data missing", 'Waste results'!$S$63&lt;&gt;"data missing"), Calc!BC43*'Waste results'!$S$27+ Calc!BD43*'Waste results'!$S$63, "data missing"),
   IF(Calc!BD43=0,
     IF(OR('Waste results'!$S$27&lt;&gt;"data missing", 'Waste results'!$S$99&lt;&gt;"data missing"), Calc!BC43*'Waste results'!$S$27+ Calc!BE43*'Waste results'!$S$99, "data missing"),
   IF(Calc!BC43=0,
     IF(OR('Waste results'!$S$63&lt;&gt;"data missing", 'Waste results'!$S$99&lt;&gt;"data missing"), Calc!BD43*'Waste results'!$S$63+Calc!BE43*'Waste results'!$S$99, "data missing"),
   IF(OR('Waste results'!$S$27&lt;&gt;"data missing", 'Waste results'!$S$63&lt;&gt;"data missing", 'Waste results'!$S$99&lt;&gt;"data missing"), Calc!BC43*'Waste results'!$S$27+Calc!BD43*'Waste results'!$S$63+ Calc!BE43*'Waste results'!$S$99, "data missing")))))))))))</f>
        <v/>
      </c>
      <c r="AW45" s="239" t="str">
        <f ca="1">IF($B45="","",
IF(ISBLANK('Soil results'!M48),"data missing",'Soil results'!M48))</f>
        <v/>
      </c>
      <c r="AX45" s="239" t="str">
        <f t="shared" ca="1" si="10"/>
        <v/>
      </c>
      <c r="AY45" s="9" t="str">
        <f ca="1">IF(B45="","",
IF(AV45=0,"n/a",
IF(OR(AV45="data missing",AW45="data missing"),"data missing",
IF(AV45&gt;7.5,"application rate too high - permissible rate exceeds limit",
IF('Soil results'!$F48&lt;=5.5,
  IF(AW45&gt;80,"no application - soil conc. already above limit",
  IF(AX45&gt;80,"application rate too high - soil conc. will exceed limit",
  IF(AW45&gt;80*0.9,"soil conc. is at or above 90% of the limit",
  IF(10*AV45*1000/3000+AW45&gt;80,"soil limit likely to be exceeded in 10yrs",
  IF(50*AV45*1000/3000+AW45&gt;80,"soil limit likely to be exceeded in 50yrs","ok"))))),
IF('Soil results'!$F48&lt;=6,
  IF(AW45&gt;100,"no application - soil conc. already above limit",
  IF(AX45&gt;100,"application rate too high - soil conc. will exceed limit",
  IF(AW45&gt;100*0.9,"soil conc. is at or above 90% of the limit",
  IF(10*AV45*1000/3000+AW45&gt;100,"soil limit likely to be exceeded in 10yrs",
  IF(50*AV45*1000/3000+AW45&gt;100,"soil limit likely to be exceeded in 50yrs","ok"))))),
IF('Soil results'!$F48&lt;=7,
  IF(AW45&gt;135,"no application - soil conc. already above limit",
  IF(AX45&gt;135,"application rate too high - soil conc. will exceed limit",
  IF(AW45&gt;135*0.9,"soil conc. is at or above 90% of the limit",
  IF(10*AV45*1000/3000+AW45&gt;135,"soil limit likely to be exceeded in 10yrs",
  IF(50*AV45*1000/3000+AW45&gt;135,"soil limit likely to be exceeded in 50yrs","ok"))))),
IF('Soil results'!$F48&gt;7,
  IF(AW45&gt;200,"no application - soil conc. already above limit",
  IF(AX45&gt;200,"application too high - soil conc. will exceed limit",
  IF(AW45&gt;200*0.9,"soil conc. is at or above 90% of the limit",
  IF(10*AV45*1000/3000+AW45&gt;200,"soil limit likely to be exceeded in 10yrs",
  IF(50*AV45*1000/3000+AW45&gt;200,"soil limit likely to be exceeded in 50yrs","ok")))))
))))))))</f>
        <v/>
      </c>
      <c r="BA45" s="238" t="str">
        <f ca="1">IF(B45="","",
IF(AND('Field information 2'!$O$5="", 'Field information 2'!$Q$5=""),
   IF('Waste results'!$S$28&lt;&gt;"data missing", Calc!BC43*'Waste results'!$S$28, "data missing"),
IF('Field information 2'!$Q$5="",
   IF(Calc!BD43=0,
     IF('Waste results'!$S$28&lt;&gt;"data missing", Calc!BC43*'Waste results'!$S$28, "data missing"),
   IF(Calc!BC43=0,
     IF('Waste results'!$S$64&lt;&gt;"data missing", Calc!BD43*'Waste results'!$S$64, "data missing"),
   IF(OR('Waste results'!$S$28&lt;&gt;"data missing", 'Waste results'!$S$64&lt;&gt;"data missing"), Calc!BC43*'Waste results'!$S$28+ Calc!BD43*'Waste results'!$S$64, "data missing"))),
IF(AND('Field information 2'!$M$5&lt;&gt;"", 'Field information 2'!$O$5&lt;&gt;"", 'Field information 2'!$Q$5&lt;&gt;""),
   IF(AND(Calc!BD43=0,Calc!BE43=0),
     IF('Waste results'!$S$28&lt;&gt;"data missing", Calc!BC43*'Waste results'!$S$28, "data missing"),
   IF(AND(Calc!BC43=0,Calc!BE43=0),
     IF('Waste results'!$S$64&lt;&gt;"data missing", Calc!BD43*'Waste results'!$S$64, "data missing"),
   IF(AND(Calc!BC43=0,Calc!BD43=0),
     IF('Waste results'!$S$100&lt;&gt;"data missing", Calc!BE43*'Waste results'!$S$100, "data missing"),
   IF(Calc!BE43=0,
     IF(OR('Waste results'!$S$28&lt;&gt;"data missing", 'Waste results'!$S$64&lt;&gt;"data missing"), Calc!BC43*'Waste results'!$S$28+ Calc!BD43*'Waste results'!$S$64, "data missing"),
   IF(Calc!BD43=0,
     IF(OR('Waste results'!$S$28&lt;&gt;"data missing", 'Waste results'!$S$100&lt;&gt;"data missing"), Calc!BC43*'Waste results'!$S$28+ Calc!BE43*'Waste results'!$S$100, "data missing"),
   IF(Calc!BC43=0,
     IF(OR('Waste results'!$S$64&lt;&gt;"data missing", 'Waste results'!$S$100&lt;&gt;"data missing"), Calc!BD43*'Waste results'!$S$64+Calc!BE43*'Waste results'!$S$100, "data missing"),
   IF(OR('Waste results'!$S$28&lt;&gt;"data missing", 'Waste results'!$S$64&lt;&gt;"data missing", 'Waste results'!$S$100&lt;&gt;"data missing"), Calc!BC43*'Waste results'!$S$28+Calc!BD43*'Waste results'!$S$64+ Calc!BE43*'Waste results'!$S$100, "data missing")))))))))))</f>
        <v/>
      </c>
      <c r="BB45" s="239" t="str">
        <f ca="1">IF($B45="","",
IF(ISBLANK('Soil results'!N48),"data missing",'Soil results'!N48))</f>
        <v/>
      </c>
      <c r="BC45" s="239" t="str">
        <f t="shared" ca="1" si="11"/>
        <v/>
      </c>
      <c r="BD45" s="9" t="str">
        <f t="shared" ca="1" si="12"/>
        <v/>
      </c>
      <c r="BF45" s="238" t="str">
        <f ca="1">IF(B45="","",
IF(AND('Field information 2'!$O$5="", 'Field information 2'!$Q$5=""),
   IF('Waste results'!$S$29&lt;&gt;"data missing", Calc!BC43*'Waste results'!$S$29, "data missing"),
IF('Field information 2'!$Q$5="",
   IF(Calc!BD43=0,
     IF('Waste results'!$S$29&lt;&gt;"data missing", Calc!BC43*'Waste results'!$S$29, "data missing"),
   IF(Calc!BC43=0,
     IF('Waste results'!$S$65&lt;&gt;"data missing", Calc!BD43*'Waste results'!$S$65, "data missing"),
   IF(OR('Waste results'!$S$29&lt;&gt;"data missing", 'Waste results'!$S$65&lt;&gt;"data missing"), Calc!BC43*'Waste results'!$S$29+ Calc!BD43*'Waste results'!$S$65, "data missing"))),
IF(AND('Field information 2'!$M$5&lt;&gt;"", 'Field information 2'!$O$5&lt;&gt;"", 'Field information 2'!$Q$5&lt;&gt;""),
   IF(AND(Calc!BD43=0,Calc!BE43=0),
     IF('Waste results'!$S$29&lt;&gt;"data missing", Calc!BC43*'Waste results'!$S$29, "data missing"),
   IF(AND(Calc!BC43=0,Calc!BE43=0),
     IF('Waste results'!$S$65&lt;&gt;"data missing", Calc!BD43*'Waste results'!$S$65, "data missing"),
   IF(AND(Calc!BC43=0,Calc!BD43=0),
     IF('Waste results'!$S$101&lt;&gt;"data missing", Calc!BE43*'Waste results'!$S$101, "data missing"),
   IF(Calc!BE43=0,
     IF(OR('Waste results'!$S$29&lt;&gt;"data missing", 'Waste results'!$S$65&lt;&gt;"data missing"), Calc!BC43*'Waste results'!$S$29+ Calc!BD43*'Waste results'!$S$65, "data missing"),
   IF(Calc!BD43=0,
     IF(OR('Waste results'!$S$29&lt;&gt;"data missing", 'Waste results'!$S$101&lt;&gt;"data missing"), Calc!BC43*'Waste results'!$S$29+ Calc!BE43*'Waste results'!$S$101, "data missing"),
   IF(Calc!BC43=0,
     IF(OR('Waste results'!$S$65&lt;&gt;"data missing", 'Waste results'!$S$101&lt;&gt;"data missing"), Calc!BD43*'Waste results'!$S$65+Calc!BE43*'Waste results'!$S$101, "data missing"),
   IF(OR('Waste results'!$S$29&lt;&gt;"data missing", 'Waste results'!$S$65&lt;&gt;"data missing", 'Waste results'!$S$101&lt;&gt;"data missing"), Calc!BC43*'Waste results'!$S$29+Calc!BD43*'Waste results'!$S$65+ Calc!BE43*'Waste results'!$S$101, "data missing")))))))))))</f>
        <v/>
      </c>
      <c r="BG45" s="239" t="str">
        <f ca="1">IF($B45="","",
IF(ISBLANK('Soil results'!O48),"data missing",'Soil results'!O48))</f>
        <v/>
      </c>
      <c r="BH45" s="239" t="str">
        <f t="shared" ca="1" si="13"/>
        <v/>
      </c>
      <c r="BI45" s="9" t="str">
        <f ca="1">IF(B45="","",
IF(BF45=0,"n/a",
IF(OR(BF45="data missing",BG45="data missing"),"data missing",
IF(BF45&gt;3,"application rate too high - permissible rate exceeds limit",
IF('Soil results'!F48&lt;=5.5,
  IF(BG45&gt;50,"no application - soil conc. already above limit",
  IF(BH45&gt;50,"application rate too high - soil conc. will exceed limit",
  IF(BG45&gt;50*0.9,"soil conc. is at or above 90% of the limit",
  IF(10*BF45*1000/3000+BG45&gt;50,"soil limit likely to be exceeded in 10yrs",
  IF(50*BF45*1000/3000+BG45&gt;50,"soil limit likely to be exceeded in 50yrs","ok"))))),
IF('Soil results'!F48&lt;=6,
  IF(BG45&gt;60,"no application - soil conc. already above limit",
  IF(BH45&gt;60,"application rate too high - soil conc. will exceed limit",
  IF(BG45&gt;60*0.9,"soil conc. is at or above 90% of the limit",
  IF(10*BF45*1000/3000+BG45&gt;60,"soil limit likely to be exceeded in 10yrs",
  IF(50*BF45*1000/3000+BG45&gt;60,"soil limit likely to be exceeded in 50yrs","ok"))))),
IF('Soil results'!F48&lt;=7,
  IF(BG45&gt;75,"no application - soil conc. already above limit",
  IF(BH45&gt;75,"application rate too high - soil conc. will exceed limit",
  IF(BG45&gt;75*0.9,"soil conc. is at or above 90% of the limit",
  IF(10*BF45*1000/3000+BG45&gt;75,"soil limit likely to be exceeded in 10yrs",
  IF(50*BF45*1000/3000+BG45&gt;75,"soil limit likely to be exceeded in 50yrs","ok"))))),
IF('Soil results'!F48&gt;7,
  IF(BG45&gt;100,"no application - soil conc. already above limit",
  IF(BH45&gt;100,"application rate too high - soil conc. will exceed limit",
  IF(BG45&gt;100*0.9,"soil conc. is at or above 90% of the limit",
  IF(10*BF45*1000/3000+BG45&gt;100,"soil limit likely to be exceeded in 10yrs",
  IF(50*BF45*1000/3000+BG45&gt;100,"soil limit likely to beexceeded in 50yrs","ok")))))
))))))))</f>
        <v/>
      </c>
      <c r="BK45" s="240" t="str">
        <f ca="1">IF(B45="","",
IF(AND('Field information 2'!$O$5="", 'Field information 2'!$Q$5=""),
   IF('Waste results'!$S$30&lt;&gt;"data missing", Calc!BC43*'Waste results'!$S$30, "data missing"),
IF('Field information 2'!$Q$5="",
   IF(Calc!BD43=0,
     IF('Waste results'!$S$30&lt;&gt;"data missing", Calc!BC43*'Waste results'!$S$30, "data missing"),
   IF(Calc!BC43=0,
     IF('Waste results'!$S$66&lt;&gt;"data missing", Calc!BD43*'Waste results'!$S$66, "data missing"),
   IF(OR('Waste results'!$S$30&lt;&gt;"data missing", 'Waste results'!$S$66&lt;&gt;"data missing"), Calc!BC43*'Waste results'!$S$30+ Calc!BD43*'Waste results'!$S$66, "data missing"))),
IF(AND('Field information 2'!$M$5&lt;&gt;"", 'Field information 2'!$O$5&lt;&gt;"", 'Field information 2'!$Q$5&lt;&gt;""),
   IF(AND(Calc!BD43=0,Calc!BE43=0),
     IF('Waste results'!$S$30&lt;&gt;"data missing", Calc!BC43*'Waste results'!$S$30, "data missing"),
   IF(AND(Calc!BC43=0,Calc!BE43=0),
     IF('Waste results'!$S$66&lt;&gt;"data missing", Calc!BD43*'Waste results'!$S$66, "data missing"),
   IF(AND(Calc!BC43=0,Calc!BD43=0),
     IF('Waste results'!$S$102&lt;&gt;"data missing", Calc!BE43*'Waste results'!$S$102, "data missing"),
   IF(Calc!BE43=0,
     IF(OR('Waste results'!$S$30&lt;&gt;"data missing", 'Waste results'!$S$66&lt;&gt;"data missing"), Calc!BC43*'Waste results'!$S$30+ Calc!BD43*'Waste results'!$S$66, "data missing"),
   IF(Calc!BD43=0,
     IF(OR('Waste results'!$S$30&lt;&gt;"data missing", 'Waste results'!$S$102&lt;&gt;"data missing"), Calc!BC43*'Waste results'!$S$30+ Calc!BE43*'Waste results'!$S$102, "data missing"),
   IF(Calc!BC43=0,
     IF(OR('Waste results'!$S$66&lt;&gt;"data missing", 'Waste results'!$S$102&lt;&gt;"data missing"), Calc!BD43*'Waste results'!$S$66+Calc!BE43*'Waste results'!$S$102, "data missing"),
   IF(OR('Waste results'!$S$30&lt;&gt;"data missing", 'Waste results'!$S$66&lt;&gt;"data missing", 'Waste results'!$S$102&lt;&gt;"data missing"), Calc!BC43*'Waste results'!$S$30+Calc!BD43*'Waste results'!$S$66+ Calc!BE43*'Waste results'!$S$102, "data missing")))))))))))</f>
        <v/>
      </c>
      <c r="BL45" s="241" t="str">
        <f ca="1">IF($B45="","",
IF(ISBLANK('Soil results'!P48),"data missing",'Soil results'!P48))</f>
        <v/>
      </c>
      <c r="BM45" s="241" t="str">
        <f t="shared" ca="1" si="14"/>
        <v/>
      </c>
      <c r="BN45" s="66" t="str">
        <f t="shared" ca="1" si="15"/>
        <v/>
      </c>
      <c r="BP45" s="238" t="str">
        <f ca="1">IF(B45="","",
IF(AND('Field information 2'!$O$5="", 'Field information 2'!$Q$5=""),
   IF('Waste results'!$S$31&lt;&gt;"data missing", Calc!BC43*'Waste results'!$S$31, "data missing"),
IF('Field information 2'!$Q$5="",
   IF(Calc!BD43=0,
     IF('Waste results'!$S$31&lt;&gt;"data missing", Calc!BC43*'Waste results'!$S$31, "data missing"),
   IF(Calc!BC43=0,
     IF('Waste results'!$S$67&lt;&gt;"data missing", Calc!BD43*'Waste results'!$S$67, "data missing"),
   IF(OR('Waste results'!$S$31&lt;&gt;"data missing", 'Waste results'!$S$67&lt;&gt;"data missing"), Calc!BC43*'Waste results'!$S$31+ Calc!BD43*'Waste results'!$S$67, "data missing"))),
IF(AND('Field information 2'!$M$5&lt;&gt;"", 'Field information 2'!$O$5&lt;&gt;"", 'Field information 2'!$Q$5&lt;&gt;""),
   IF(AND(Calc!BD43=0,Calc!BE43=0),
     IF('Waste results'!$S$31&lt;&gt;"data missing", Calc!BC43*'Waste results'!$S$31, "data missing"),
   IF(AND(Calc!BC43=0,Calc!BE43=0),
     IF('Waste results'!$S$67&lt;&gt;"data missing", Calc!BD43*'Waste results'!$S$67, "data missing"),
   IF(AND(Calc!BC43=0,Calc!BD43=0),
     IF('Waste results'!$S$103&lt;&gt;"data missing", Calc!BE43*'Waste results'!$S$103, "data missing"),
   IF(Calc!BE43=0,
     IF(OR('Waste results'!$S$31&lt;&gt;"data missing", 'Waste results'!$S$67&lt;&gt;"data missing"), Calc!BC43*'Waste results'!$S$31+ Calc!BD43*'Waste results'!$S$67, "data missing"),
   IF(Calc!BD43=0,
     IF(OR('Waste results'!$S$31&lt;&gt;"data missing", 'Waste results'!$S$103&lt;&gt;"data missing"), Calc!BC43*'Waste results'!$S$31+ Calc!BE43*'Waste results'!$S$103, "data missing"),
   IF(Calc!BC43=0,
     IF(OR('Waste results'!$S$67&lt;&gt;"data missing", 'Waste results'!$S$103&lt;&gt;"data missing"), Calc!BD43*'Waste results'!$S$67+Calc!BE43*'Waste results'!$S$103, "data missing"),
   IF(OR('Waste results'!$S$31&lt;&gt;"data missing", 'Waste results'!$S$67&lt;&gt;"data missing", 'Waste results'!$S$103&lt;&gt;"data missing"), Calc!BC43*'Waste results'!$S$31+Calc!BD43*'Waste results'!$S$67+ Calc!BE43*'Waste results'!$S$103, "data missing")))))))))))</f>
        <v/>
      </c>
      <c r="BQ45" s="239" t="str">
        <f ca="1">IF($B45="","",
IF(ISBLANK('Soil results'!Q48),"data missing",'Soil results'!Q48))</f>
        <v/>
      </c>
      <c r="BR45" s="239" t="str">
        <f t="shared" ca="1" si="16"/>
        <v/>
      </c>
      <c r="BS45" s="9" t="str">
        <f ca="1">IF(B45="","",
IF(BP45=0,"n/a",
IF(OR(BP45="data missing",BQ45=""),"data missing",
IF(BP45&gt;15,"application rate too high - permissible rate exceeds limit",
IF('Soil results'!F48&lt;=5.5,
  IF(BQ45&gt;200,"no application - soil conc. already above limit",
  IF(BR45&gt;200,"application rate too high - soil conc. will exceed limit",
  IF(BQ45&gt;200*0.9,"soil conc. is at or above 90% of the limit",
  IF(10*BP45*1000/3000+BQ45&gt;200,"soil limit likely to be exceeded in 10yrs",
  IF(50*BP45*1000/3000+BQ45&gt;200,"soil limit likely to be exceeded in 50yrs","ok"))))),
IF('Soil results'!F48&lt;=6,
  IF(BQ45&gt;250,"no application - soil conc. already above limit",
  IF(BR45&gt;250,"application rate too high - soil conc. will exceed limit",
  IF(BQ45&gt;250*0.9,"soil conc. is at or above 90% of the limit",
  IF(10*BP45*1000/3000+BQ45&gt;250,"soil limit likely to be exceeded in 10yrs",
  IF(50*BP45*1000/3000+BQ45&gt;250,"soil limit likely to be exceeded in 50yrs","ok"))))),
IF('Soil results'!F48&lt;=7,
  IF(BQ45&gt;300,"no application - soil conc. already above limit",
  IF(BR45&gt;300,"application rate too high - soil conc. will exceed limit",
  IF(BQ45&gt;300*0.9,"soil conc. is at or above 90% of the limit",
  IF(10*BP45*1000/3000+BQ45&gt;300,"soil limit likey to be exceeded in 10yrs",
  IF(50*BP45*1000/3000+BQ45&gt;300,"soil limit likely to be exceeded in 50yrs","ok"))))),
IF('Soil results'!F48&gt;7,
  IF(BQ45&gt;450,"no application - soil conc. already above limit",
  IF(BR45&gt;450,"application rate too high - soil conc. will exceed limit",
  IF(AW45&gt;450*0.9,"soil conc. is at or above 90% of the limit",
  IF(10*BP45*1000/3000+BQ45&gt;450,"soil limit likely to be exceeded in 10yrs",
  IF(50*BP45*1000/3000+BQ45&gt;450,"soil limit likely to be exceeded in 50yrs","ok")))))
))))))))</f>
        <v/>
      </c>
    </row>
    <row r="46" spans="2:71" s="9" customFormat="1" ht="15" x14ac:dyDescent="0.25">
      <c r="B46" s="236" t="str">
        <f ca="1">'Soil results'!B49</f>
        <v/>
      </c>
      <c r="C46" s="91" t="str">
        <f ca="1">IF(B46="","",
IF(AND('Field information 2'!$O$5="", 'Field information 2'!$Q$5=""),
   IF('Waste results'!$S$12&lt;&gt;"data missing", Calc!BC44*'Waste results'!$S$12, "data missing"),
IF('Field information 2'!$Q$5="",
   IF(Calc!BD44=0,
     IF('Waste results'!$S$12&lt;&gt;"data missing", Calc!BC44*'Waste results'!$S$12, "data missing"),
   IF(Calc!BC44=0,
     IF('Waste results'!$S$48&lt;&gt;"data missing", Calc!BD44*'Waste results'!$S$48, "data missing"),
   IF(OR('Waste results'!$S$12&lt;&gt;"data missing", 'Waste results'!$S$48&lt;&gt;"data missing"), Calc!BC44*'Waste results'!$S$12+ Calc!BD44*'Waste results'!$S$48, "data missing"))),
IF(AND('Field information 2'!$M$5&lt;&gt;"", 'Field information 2'!$O$5&lt;&gt;"", 'Field information 2'!$Q$5&lt;&gt;""),
   IF(AND(Calc!BD44=0,Calc!BE44=0),
     IF('Waste results'!$S$12&lt;&gt;"data missing", Calc!BC44*'Waste results'!$S$12, "data missing"),
   IF(AND(Calc!BC44=0,Calc!BE44=0),
     IF('Waste results'!$S$48&lt;&gt;"data missing", Calc!BD44*'Waste results'!$S$48, "data missing"),
   IF(AND(Calc!BC44=0,Calc!BD44=0),
     IF('Waste results'!$S$84&lt;&gt;"data missing", Calc!BE44*'Waste results'!$S$84, "data missing"),
   IF(Calc!BE44=0,
     IF(OR('Waste results'!$S$12&lt;&gt;"data missing", 'Waste results'!$S$48&lt;&gt;"data missing"), Calc!BC44*'Waste results'!$S$12+ Calc!BD44*'Waste results'!$S$48, "data missing"),
   IF(Calc!BD44=0,
     IF(OR('Waste results'!$S$12&lt;&gt;"data missing", 'Waste results'!$S$84&lt;&gt;"data missing"), Calc!BC44*'Waste results'!$S$12+ Calc!BE44*'Waste results'!$S$84, "data missing"),
   IF(Calc!BC44=0,
     IF(OR('Waste results'!$S$48&lt;&gt;"data missing", 'Waste results'!$S$84&lt;&gt;"data missing"), Calc!BD44*'Waste results'!$S$48+Calc!BE44*'Waste results'!$S$84, "data missing"),
   IF(OR('Waste results'!$S$12&lt;&gt;"data missing", 'Waste results'!$S$48&lt;&gt;"data missing", 'Waste results'!$S$84&lt;&gt;"data missing"), Calc!BC44*'Waste results'!$S$12+Calc!BD44*'Waste results'!$S$48+ Calc!BE44*'Waste results'!$S$84, "data missing")))))))))))</f>
        <v/>
      </c>
      <c r="D46" s="161" t="str">
        <f ca="1">IF(B46="","",
IF(Calc!BG44="","soil texture missing",
IF(OR(Calc!BG44="SL; SZL; ZL",Calc!BG44="SCL; CL; ZCL; SC; ZC; C"),VLOOKUP(Calc!BI44,'Fertiliser recommendations'!$A$4:$C$63,3,FALSE),
IF(Calc!BG44="S; LS",VLOOKUP(Calc!BI44,'Fertiliser recommendations'!$A$4:$C$63,3,FALSE)+VLOOKUP(Calc!BI44,'Fertiliser recommendations'!$A$4:$D$63,4,FALSE),
IF(Calc!BG44="10-25% OM",VLOOKUP(Calc!BI44,'Fertiliser recommendations'!$A$4:$C$63,3,FALSE)+VLOOKUP(Calc!BI44,'Fertiliser recommendations'!$A$4:$E$63,5,FALSE),
IF(Calc!BG44="&gt;25% OM",VLOOKUP(Calc!BI44,'Fertiliser recommendations'!$A$4:$C$63,3,FALSE)+VLOOKUP(Calc!BI44,'Fertiliser recommendations'!$A$4:$F$63,6,FALSE),
""))))))</f>
        <v/>
      </c>
      <c r="E46" s="91" t="str">
        <f t="shared" ca="1" si="0"/>
        <v/>
      </c>
      <c r="F46" s="9" t="str">
        <f ca="1">IF(B46="","",
IF(OR(C46="data missing",D46="soil texture missing"),"data missing",
IF(Calc!BF44=0,"n/a",
IF(C46&lt;0.1*D46,"no benefit",
IF(C46&lt;0.3*D46,"limited benefit",
IF(C46&gt;250,"exceeds limit",
IF(OR(AND(D46=0,C46&gt;75),C46&gt;1.25*D46),"excessive",
IF(D46=0, "no requirement",
"benefit"))))))))</f>
        <v/>
      </c>
      <c r="H46" s="91" t="str">
        <f ca="1">IF(B46="","",
IF(AND('Field information 2'!$O$5="", 'Field information 2'!$Q$5=""),
   IF('Waste results'!$S$17&lt;&gt;"data missing", Calc!BC44*'Waste results'!$S$17, "data missing"),
IF('Field information 2'!$Q$5="",
   IF(Calc!BD44=0,
     IF('Waste results'!$S$17&lt;&gt;"data missing", Calc!BC44*'Waste results'!$S$17, "data missing"),
   IF(Calc!BC44=0,
     IF('Waste results'!$S$53&lt;&gt;"data missing", Calc!BD44*'Waste results'!$S$53, "data missing"),
   IF(OR('Waste results'!$S$17&lt;&gt;"data missing", 'Waste results'!$S$53&lt;&gt;"data missing"), Calc!BC44*'Waste results'!$S$17+ Calc!BD44*'Waste results'!$S$53, "data missing"))),
IF(AND('Field information 2'!$M$5&lt;&gt;"", 'Field information 2'!$O$5&lt;&gt;"", 'Field information 2'!$Q$5&lt;&gt;""),
   IF(AND(Calc!BD44=0,Calc!BE44=0),
     IF('Waste results'!$S$17&lt;&gt;"data missing", Calc!BC44*'Waste results'!$S$17, "data missing"),
   IF(AND(Calc!BC44=0,Calc!BE44=0),
     IF('Waste results'!$S$53&lt;&gt;"data missing", Calc!BD44*'Waste results'!$S$53, "data missing"),
   IF(AND(Calc!BC44=0,Calc!BD44=0),
     IF('Waste results'!$S$89&lt;&gt;"data missing", Calc!BE44*'Waste results'!$S$89, "data missing"),
   IF(Calc!BE44=0,
     IF(OR('Waste results'!$S$17&lt;&gt;"data missing", 'Waste results'!$S$53&lt;&gt;"data missing"), Calc!BC44*'Waste results'!$S$17+ Calc!BD44*'Waste results'!$S$53, "data missing"),
   IF(Calc!BD44=0,
     IF(OR('Waste results'!$S$17&lt;&gt;"data missing", 'Waste results'!$S$89&lt;&gt;"data missing"), Calc!BC44*'Waste results'!$S$17+ Calc!BE44*'Waste results'!$S$89, "data missing"),
   IF(Calc!BC44=0,
     IF(OR('Waste results'!$S$53&lt;&gt;"data missing", 'Waste results'!$S$89&lt;&gt;"data missing"), Calc!BD44*'Waste results'!$S$53+Calc!BE44*'Waste results'!$S$89, "data missing"),
   IF(OR('Waste results'!$S$17&lt;&gt;"data missing", 'Waste results'!$S$53&lt;&gt;"data missing", 'Waste results'!$S$89&lt;&gt;"data missing"), Calc!BC44*'Waste results'!$S$17+Calc!BD44*'Waste results'!$S$53+ Calc!BE44*'Waste results'!$S$89, "data missing")))))))))))</f>
        <v/>
      </c>
      <c r="I46" s="195" t="str">
        <f ca="1">IF(B46="","",
IF(OR(ISBLANK('Soil results'!G49), ISBLANK('Soil results'!G$7)),"data missing",
IF(OR(AND('Soil results'!G$7="Olsen (ADAS)",'Soil results'!G49&lt;16),AND('Soil results'!G$7="modified Morgan (SAC)",'Soil results'!G49&lt;4.5)),50,100)))</f>
        <v/>
      </c>
      <c r="J46" s="49" t="str">
        <f ca="1">IF(B46="","",
IF(OR(ISBLANK('Soil results'!G$7),ISBLANK('Soil results'!G49)),"data missing",
IF(OR(AND('Soil results'!G$7="Olsen (ADAS)",'Soil results'!G49&gt;45),AND('Soil results'!G$7="modified Morgan (SAC)",'Soil results'!G49&gt;30)),0,
IF(OR(AND('Soil results'!G$7="Olsen (ADAS)",'Soil results'!G49&gt;=16,'Soil results'!G49&lt;=20),AND('Soil results'!G$7="modified Morgan (SAC)",'Soil results'!G49&gt;=4.5,'Soil results'!G49&lt;=9.4)),VLOOKUP(Calc!BI44,'Fertiliser recommendations'!$A$4:$I$63,9,FALSE),
IF(OR(AND('Soil results'!G$7="Olsen (ADAS)",'Soil results'!G49&lt;10),AND('Soil results'!G$7="modified Morgan (SAC)",'Soil results'!G49&lt;1.8)),VLOOKUP(Calc!BI44,'Fertiliser recommendations'!$A$4:$I$63,9,FALSE)+VLOOKUP(Calc!BI44,'Fertiliser recommendations'!$A$4:$J$63,10,FALSE),
IF(OR(AND('Soil results'!G$7="Olsen (ADAS)",'Soil results'!G49&lt;16),AND('Soil results'!G$7="modified Morgan (SAC)",'Soil results'!G49&lt;4.5)),VLOOKUP(Calc!BI44,'Fertiliser recommendations'!$A$4:$I$63,9,FALSE)+VLOOKUP(Calc!BI44,'Fertiliser recommendations'!$A$4:$K$63,11,FALSE),
IF(OR(AND('Soil results'!G$7="Olsen (ADAS)",'Soil results'!G49&lt;26),AND('Soil results'!G$7="modified Morgan (SAC)",'Soil results'!G49&lt;13.5)),VLOOKUP(Calc!BI44,'Fertiliser recommendations'!$A$4:$I$63,9,FALSE)+VLOOKUP(Calc!BI44,'Fertiliser recommendations'!$A$4:$L$63,12,FALSE),
IF(OR(AND('Soil results'!G$7="Olsen (ADAS)",'Soil results'!G49&lt;=45),AND('Soil results'!G$7="modified Morgan (SAC)",'Soil results'!G49&lt;=30)),VLOOKUP(Calc!BI44,'Fertiliser recommendations'!$A$4:$I$63,9,FALSE)+VLOOKUP(Calc!BI44,'Fertiliser recommendations'!$A$4:$M$63,13,FALSE),
""))))))))</f>
        <v/>
      </c>
      <c r="K46" s="161" t="str">
        <f t="shared" ca="1" si="1"/>
        <v/>
      </c>
      <c r="L46" s="47" t="str">
        <f ca="1">IF(OR(ISBLANK('Soil results'!G$7),ISBLANK('Soil results'!G49),B46="", H46="data missing"),"",
IF('Soil results'!G$7="Olsen (ADAS)",
IF(((H46*Calc!BM44/2.291-(VLOOKUP(Calc!BI44,'Fertiliser recommendations'!$A$4:$I$63,9,FALSE))/2.291)*10/(400/2.291)+'Soil results'!G49)&lt;10,"0 (VL)",
IF(((H46*Calc!BM44/2.291-(VLOOKUP(Calc!BI44,'Fertiliser recommendations'!$A$4:$I$63,9,FALSE))/2.291)*10/(400/2.291)+'Soil results'!G49)&lt;16,"1 (L)",
IF(((H46*Calc!BM44/2.291-(VLOOKUP(Calc!BI44,'Fertiliser recommendations'!$A$4:$I$63,9,FALSE))/2.291)*10/(400/2.291)+'Soil results'!G49)&lt;21,"2 (M-)",
IF(((H46*Calc!BM44/2.291-(VLOOKUP(Calc!BI44,'Fertiliser recommendations'!$A$4:$I$63,9,FALSE))/2.291)*10/(400/2.291)+'Soil results'!G49)&lt;26,"2 (M+)",
IF(((H46*Calc!BM44/2.291-(VLOOKUP(Calc!BI44,'Fertiliser recommendations'!$A$4:$I$63,9,FALSE))/2.291)*10/(400/2.291)+'Soil results'!G49)&lt;45,"3 (H)","&gt;3 (VH)"))))),
IF('Soil results'!G$7="modified Morgan (SAC)",
IF('Soil results'!G49&gt;=6,
IF(((H46*Calc!BM44/2.291-(VLOOKUP(Calc!BI44,'Fertiliser recommendations'!$A$4:$I$63,9,FALSE))/2.291)*5/(147/2.291)+'Soil results'!G49)&lt;9.5,"2 (M-)",
IF(((H46*Calc!BM44/2.291-(VLOOKUP(Calc!BI44,'Fertiliser recommendations'!$A$4:$I$63,9,FALSE))/2.291)*5/(147/2.291)+'Soil results'!G49)&lt;13.5,"2 (M+)",
IF(((H46*Calc!BM44/2.291-(VLOOKUP(Calc!BI44,'Fertiliser recommendations'!$A$4:$I$63,9,FALSE))/2.291)*5/(147/2.291)+'Soil results'!G49)&lt;30,"3 (H)","4 (VH)"))),
IF(((H46*Calc!BM44/2.291-(VLOOKUP(Calc!BI44,'Fertiliser recommendations'!$A$4:$I$63,9,FALSE))/2.291)*5/(346/2.291)+'Soil results'!G49)&lt;1.8,"0 (VL)",
IF(((H46*Calc!BM44/2.291-(VLOOKUP(Calc!BI44,'Fertiliser recommendations'!$A$4:$I$63,9,FALSE))/2.291)*5/(147/2.291)+'Soil results'!G49)&lt;4.5,"1 (L)","2 (M-)"))))))</f>
        <v/>
      </c>
      <c r="M46" s="9" t="str">
        <f ca="1">IF(B46="","",
IF(OR(H46="data missing",I46="data missing",J46="data missing"),"data missing",
IF(Calc!BF44=0,"n/a",
IF(OR(AND('Soil results'!G$7="Olsen (ADAS)",'Soil results'!G49&gt;45),AND('Soil results'!G$7="modified Morgan (SAC)",'Soil results'!G49&gt;30)),
IF(H46&gt;2,"too high, not acceptable","no requirement"),IF(OR(AND('Soil results'!G$7="Olsen (ADAS)",'Soil results'!G49&gt;25),AND('Soil results'!G$7="modified Morgan (SAC)",'Soil results'!G49&gt;13.4)),
IF(H46*(I46/100)&lt;0.1*J46,"no benefit",
IF(H46*(I46/100)&lt;0.3*J46,"limited benefit",
IF(H46*(I46/100)&lt;1.1*J46,"benefit",
IF(H46*(I46/100)&lt;0.7*VLOOKUP(Calc!BI44,'Fertiliser recommendations'!$A$4:$I$63,9,FALSE),"excessive","too high, not acceptable")))),
IF(OR(AND('Soil results'!G$7="Olsen (ADAS)",'Soil results'!G49&gt;20),AND('Soil results'!G$7="modified Morgan (SAC)",'Soil results'!G49&gt;9.4)),
IF(H46*Calc!BM44*(I46/100)&lt;0.1*J46,"no benefit",
IF(H46*Calc!BM44*(I46/100)&lt;0.3*J46,"limited benefit",
IF(H46*Calc!BM44*(I46/100)&lt;1.1*J46,"benefit",
IF(L46="3 (H)","too high, not acceptable","excessive")))),
IF(OR(AND('Soil results'!G$7="Olsen (ADAS)",'Soil results'!G49&gt;15),AND('Soil results'!G$7="modified Morgan (SAC)",'Soil results'!G49&gt;4.4)),
IF(H46*Calc!BM44*(I46/100)&lt;0.1*VLOOKUP(Calc!BI44,'Fertiliser recommendations'!$A$4:$I$63,9,FALSE),"no benefit",
IF(H46*Calc!BM44*(I46/100)&lt;0.3*VLOOKUP(Calc!BI44,'Fertiliser recommendations'!$A$4:$I$63,9,FALSE),"limited benefit",
IF(H46*Calc!BM44*(I46/100)&lt;1.1*VLOOKUP(Calc!BI44,'Fertiliser recommendations'!$A$4:$I$63,9,FALSE),"benefit",
IF(L46="3 (H)", "too high, not acceptable", "excessive")))),
IF(OR(AND('Soil results'!G$7="Olsen (ADAS)",'Soil results'!G49&lt;=15),AND('Soil results'!G$7="modified Morgan (SAC)",'Soil results'!G49&lt;=4.4)),
IF(H46*Calc!BM44*(I46/100)&lt;0.1*VLOOKUP(Calc!BI44,'Fertiliser recommendations'!$A$4:$I$63,9,FALSE),"no benefit",
IF(H46*Calc!BM44*(I46/100)&lt;0.3*VLOOKUP(Calc!BI44,'Fertiliser recommendations'!$A$4:$I$63,9,FALSE),"limited benefit",
IF(H46*Calc!BM44*(I46/100)&lt;1.1*J46,"benefit","excessive")))))))))))</f>
        <v/>
      </c>
      <c r="O46" s="91" t="str">
        <f ca="1">IF(B46="","",
IF(AND('Field information 2'!$O$5="", 'Field information 2'!$Q$5=""),
   IF('Waste results'!$S$19&lt;&gt;"data missing", Calc!BC44*'Waste results'!$S$19, "data missing"),
IF('Field information 2'!$Q$5="",
   IF(Calc!BD44=0,
     IF('Waste results'!$S$19&lt;&gt;"data missing", Calc!BC44*'Waste results'!$S$19, "data missing"),
   IF(Calc!BC44=0,
     IF('Waste results'!$S$55&lt;&gt;"data missing", Calc!BD44*'Waste results'!$S$55, "data missing"),
   IF(OR('Waste results'!$S$19&lt;&gt;"data missing", 'Waste results'!$S$55&lt;&gt;"data missing"), Calc!BC44*'Waste results'!$S$19+ Calc!BD44*'Waste results'!$S$55, "data missing"))),
IF(AND('Field information 2'!$M$5&lt;&gt;"", 'Field information 2'!$O$5&lt;&gt;"", 'Field information 2'!$Q$5&lt;&gt;""),
   IF(AND(Calc!BD44=0,Calc!BE44=0),
     IF('Waste results'!$S$19&lt;&gt;"data missing", Calc!BC44*'Waste results'!$S$19, "data missing"),
   IF(AND(Calc!BC44=0,Calc!BE44=0),
     IF('Waste results'!$S$55&lt;&gt;"data missing", Calc!BD44*'Waste results'!$S$55, "data missing"),
   IF(AND(Calc!BC44=0,Calc!BD44=0),
     IF('Waste results'!$S$91&lt;&gt;"data missing", Calc!BE44*'Waste results'!$S$91, "data missing"),
   IF(Calc!BE44=0,
     IF(OR('Waste results'!$S$19&lt;&gt;"data missing", 'Waste results'!$S$55&lt;&gt;"data missing"), Calc!BC44*'Waste results'!$S$19+ Calc!BD44*'Waste results'!$S$55, "data missing"),
   IF(Calc!BD44=0,
     IF(OR('Waste results'!$S$19&lt;&gt;"data missing", 'Waste results'!$S$91&lt;&gt;"data missing"), Calc!BC44*'Waste results'!$S$19+ Calc!BE44*'Waste results'!$S$91, "data missing"),
   IF(Calc!BC44=0,
     IF(OR('Waste results'!$S$55&lt;&gt;"data missing", 'Waste results'!$S$91&lt;&gt;"data missing"), Calc!BD44*'Waste results'!$S$55+Calc!BE44*'Waste results'!$S$91, "data missing"),
   IF(OR('Waste results'!$S$19&lt;&gt;"data missing", 'Waste results'!$S$55&lt;&gt;"data missing", 'Waste results'!$S$91&lt;&gt;"data missing"), Calc!BC44*'Waste results'!$S$19+Calc!BD44*'Waste results'!$S$55+ Calc!BE44*'Waste results'!$S$91, "data missing")))))))))))</f>
        <v/>
      </c>
      <c r="P46" s="91" t="str">
        <f ca="1">IF(B46="","",
IF(OR(ISBLANK('Soil results'!H$7),ISBLANK('Soil results'!H49)),"data missing",
IF(OR(AND('Soil results'!H$7="ammonium nitrate (ADAS)",'Soil results'!H49&gt;400),AND('Soil results'!H$7="modified Morgan (SAC)",'Soil results'!H49&gt;400)),0,
IF(OR(AND('Soil results'!H$7="ammonium nitrate (ADAS)",'Soil results'!H49&gt;=121,'Soil results'!H49&lt;=180),AND('Soil results'!H$7="modified Morgan (SAC)",'Soil results'!H49&gt;=76,'Soil results'!H49&lt;=140)),VLOOKUP(Calc!BI44,'Fertiliser recommendations'!$A$4:$Z$63,26,FALSE),
IF(OR(AND('Soil results'!H$7="ammonium nitrate (ADAS)",'Soil results'!H49&lt;61),AND('Soil results'!H$7="modified Morgan (SAC)",'Soil results'!H49&lt;40)),VLOOKUP(Calc!BI44,'Fertiliser recommendations'!$A$4:$Z$63,26,FALSE)+VLOOKUP(Calc!BI44,'Fertiliser recommendations'!$A$4:$AA$63,27,FALSE),
IF(OR(AND('Soil results'!H$7="ammonium nitrate (ADAS)",'Soil results'!H49&lt;121),AND('Soil results'!H$7="modified Morgan (SAC)",'Soil results'!H49&lt;76)),VLOOKUP(Calc!BI44,'Fertiliser recommendations'!$A$4:$Z$63,26,FALSE)+VLOOKUP(Calc!BI44,'Fertiliser recommendations'!$A$4:$AB$63,28,FALSE),
IF(OR(AND('Soil results'!H$7="ammonium nitrate (ADAS)",'Soil results'!H49&lt;241),AND('Soil results'!H$7="modified Morgan (SAC)",'Soil results'!H49&lt;201)),VLOOKUP(Calc!BI44,'Fertiliser recommendations'!$A$4:$Z$63,26,FALSE)+VLOOKUP(Calc!BI44,'Fertiliser recommendations'!$A$4:$AC$63,29,FALSE),
IF(OR(AND('Soil results'!H$7="ammonium nitrate (ADAS)",'Soil results'!H49&lt;=400),AND('Soil results'!H$7="modified Morgan (SAC)",'Soil results'!H49&lt;=400)),VLOOKUP(Calc!BI44,'Fertiliser recommendations'!$A$4:$Z$63,26,FALSE)+VLOOKUP(Calc!BI44,'Fertiliser recommendations'!$A$4:$AD$63,30,FALSE),
"??"))))))))</f>
        <v/>
      </c>
      <c r="Q46" s="91" t="str">
        <f t="shared" ca="1" si="2"/>
        <v/>
      </c>
      <c r="R46" s="9" t="str">
        <f ca="1">IF(B46="","",
IF(OR(O46="data missing",P46="data missing"),"data missing",
IF(Calc!BF44=0,"n/a",
IF(P46=0, "no requirement",
IF(O46&lt;0.1*P46,"no benefit",
IF(O46&lt;0.3*P46,"limited benefit",
IF(O46&gt;1.25*P46,"excessive",
"benefit")))))))</f>
        <v/>
      </c>
      <c r="T46" s="91" t="str">
        <f ca="1">IF(B46="","",
IF(AND('Field information 2'!$O$5="", 'Field information 2'!$Q$5=""),
   IF('Waste results'!$S$21&lt;&gt;"data missing", Calc!BC44*'Waste results'!$S$21, "data missing"),
IF('Field information 2'!$Q$5="",
   IF(Calc!BD44=0,
     IF('Waste results'!$S$21&lt;&gt;"data missing", Calc!BC44*'Waste results'!$S$21, "data missing"),
   IF(Calc!BC44=0,
     IF('Waste results'!$S$57&lt;&gt;"data missing", Calc!BD44*'Waste results'!$S$57, "data missing"),
   IF(OR('Waste results'!$S$21&lt;&gt;"data missing", 'Waste results'!$S$57&lt;&gt;"data missing"), Calc!BC44*'Waste results'!$S$21+ Calc!BD44*'Waste results'!$S$57, "data missing"))),
IF(AND('Field information 2'!$M$5&lt;&gt;"", 'Field information 2'!$O$5&lt;&gt;"", 'Field information 2'!$Q$5&lt;&gt;""),
   IF(AND(Calc!BD44=0,Calc!BE44=0),
     IF('Waste results'!$S$21&lt;&gt;"data missing", Calc!BC44*'Waste results'!$S$21, "data missing"),
   IF(AND(Calc!BC44=0,Calc!BE44=0),
     IF('Waste results'!$S$57&lt;&gt;"data missing", Calc!BD44*'Waste results'!$S$57, "data missing"),
   IF(AND(Calc!BC44=0,Calc!BD44=0),
     IF('Waste results'!$S$93&lt;&gt;"data missing", Calc!BE44*'Waste results'!$S$93, "data missing"),
   IF(Calc!BE44=0,
     IF(OR('Waste results'!$S$21&lt;&gt;"data missing", 'Waste results'!$S$57&lt;&gt;"data missing"), Calc!BC44*'Waste results'!$S$21+ Calc!BD44*'Waste results'!$S$57, "data missing"),
   IF(Calc!BD44=0,
     IF(OR('Waste results'!$S$21&lt;&gt;"data missing", 'Waste results'!$S$93&lt;&gt;"data missing"), Calc!BC44*'Waste results'!$S$21+ Calc!BE44*'Waste results'!$S$93, "data missing"),
   IF(Calc!BC44=0,
     IF(OR('Waste results'!$S$57&lt;&gt;"data missing", 'Waste results'!$S$93&lt;&gt;"data missing"), Calc!BD44*'Waste results'!$S$57+Calc!BE44*'Waste results'!$S$93, "data missing"),
   IF(OR('Waste results'!$S$21&lt;&gt;"data missing", 'Waste results'!$S$57&lt;&gt;"data missing", 'Waste results'!$S$93&lt;&gt;"data missing"), Calc!BC44*'Waste results'!$S$21+Calc!BD44*'Waste results'!$S$57+ Calc!BE44*'Waste results'!$S$93, "data missing")))))))))))</f>
        <v/>
      </c>
      <c r="U46" s="7" t="str">
        <f ca="1">IF(B46="","",
IF(OR(ISBLANK('Soil results'!I$7),ISBLANK('Soil results'!I49)),"data missing",
IF(OR(AND('Soil results'!I$7="ammonium nitrate (ADAS)",'Soil results'!I49&gt;51),AND('Soil results'!I$7="modified Morgan (SAC)",'Soil results'!I49&gt;61)),0,
IF(OR(AND('Soil results'!I$7="ammonium nitrate (ADAS)",'Soil results'!I49&lt;25),AND('Soil results'!I$7="modified Morgan (SAC)",'Soil results'!I49&lt;19)),VLOOKUP(Calc!BI44,'Fertiliser recommendations'!$A$4:$AH$63,34,FALSE),
IF(OR(AND('Soil results'!I$7="ammonium nitrate (ADAS)",'Soil results'!I49&lt;=51),AND('Soil results'!I$7="modified Morgan (SAC)",'Soil results'!I49&lt;=61)),VLOOKUP(Calc!BI44,'Fertiliser recommendations'!$A$4:$AI$63,35,FALSE),
"")))))</f>
        <v/>
      </c>
      <c r="V46" s="91" t="str">
        <f t="shared" ca="1" si="3"/>
        <v/>
      </c>
      <c r="W46" s="9" t="str">
        <f ca="1">IF(B46="","",
IF(OR(T46="data missing",U46="data missing"),"data missing",
IF(Calc!BF44=0,"n/a",
IF(U46=0,"no requirement",
IF(T46&lt;0.1*U46,"no benefit",
IF(T46&lt;0.3*U46,"limited benefit",
IF(OR(T46&gt;1.5*U46,AND(Calc!BJ44="g",T46&gt;100)),"excessive",
"benefit")))))))</f>
        <v/>
      </c>
      <c r="Y46" s="91" t="str">
        <f ca="1">IF(B46="","",
IF(AND('Field information 2'!$O$5="", 'Field information 2'!$Q$5=""),
   IF('Waste results'!$P$23&lt;&gt;"", Calc!BC44*'Waste results'!$P$23, "no data"),
IF('Field information 2'!$Q$5="",
   IF(Calc!BD44=0,
     IF('Waste results'!$P$23&lt;&gt;"", Calc!BC44*'Waste results'!$P$23, "no data"),
   IF(Calc!BC44=0,
     IF('Waste results'!$P$59&lt;&gt;"", Calc!BD44*'Waste results'!$P$59, "no data"),
   IF(OR('Waste results'!$P$23&lt;&gt;"", 'Waste results'!$P$59&lt;&gt;""), Calc!BC44*'Waste results'!$P$23+ Calc!BD44*'Waste results'!$P$59, "no data"))),
IF(AND('Field information 2'!$M$5&lt;&gt;"", 'Field information 2'!$O$5&lt;&gt;"", 'Field information 2'!$Q$5&lt;&gt;""),
   IF(AND(Calc!BD44=0,Calc!BE44=0),
     IF('Waste results'!$P$23&lt;&gt;"", Calc!BC44*'Waste results'!$P$23, "no data"),
   IF(AND(Calc!BC44=0,Calc!BE44=0),
     IF('Waste results'!$P$59&lt;&gt;"", Calc!BD44*'Waste results'!$P$59, "no data"),
   IF(AND(Calc!BC44=0,Calc!BD44=0),
     IF('Waste results'!$P$95&lt;&gt;"", Calc!BE44*'Waste results'!$P$95, "no data"),
   IF(Calc!BE44=0,
     IF(OR('Waste results'!$P$23&lt;&gt;"", 'Waste results'!$P$59&lt;&gt;""), Calc!BC44*'Waste results'!$P$23+ Calc!BD44*'Waste results'!$P$59, "no data"),
   IF(Calc!BD44=0,
     IF(OR('Waste results'!$P$23&lt;&gt;"", 'Waste results'!$P$95&lt;&gt;""), Calc!BC44*'Waste results'!$P$23+ Calc!BE44*'Waste results'!$P$95, "no data"),
   IF(Calc!BC44=0,
     IF(OR('Waste results'!$P$59&lt;&gt;"", 'Waste results'!$P$95&lt;&gt;""), Calc!BD44*'Waste results'!$P$59+Calc!BE44*'Waste results'!$P$95, "no data"),
   IF(OR('Waste results'!$P$23&lt;&gt;"", 'Waste results'!$P$59&lt;&gt;"", 'Waste results'!$P$95&lt;&gt;""), Calc!BC44*'Waste results'!$P$23+Calc!BD44*'Waste results'!$P$59+ Calc!BE44*'Waste results'!$P$95, "no data")))))))))))</f>
        <v/>
      </c>
      <c r="Z46" s="7" t="str">
        <f ca="1">IF(OR(ISBLANK('Soil results'!I$7),ISBLANK('Soil results'!I49),'Soil results'!B49=""),"",
VLOOKUP(Calc!BI44,'Fertiliser recommendations'!$A$4:$AM$63,39,FALSE))</f>
        <v/>
      </c>
      <c r="AA46" s="91" t="str">
        <f t="shared" ca="1" si="4"/>
        <v/>
      </c>
      <c r="AB46" s="9" t="str">
        <f t="shared" ca="1" si="5"/>
        <v/>
      </c>
      <c r="AD46" s="48" t="str">
        <f>IF(ISBLANK('Soil results'!F49),"",'Soil results'!F49)</f>
        <v/>
      </c>
      <c r="AE46" s="49" t="str">
        <f ca="1">IF(B46="","",
IF(AND(Calc!BJ44="g", VLOOKUP(LEFT($B46,LEN($B46)-2),'Field information 2'!$B$12:$P$111,9,FALSE)&lt;&gt;"yes"),
 IF(Calc!BG44="10-25% OM", 5.9, IF(Calc!BG44="&gt;25% OM", 5.5, 6.2)),
IF(OR(Calc!BJ44="a", VLOOKUP(LEFT($B46,LEN($B46)-2),'Field information 2'!$B$12:$P$111,9,FALSE)="yes"),
 IF(Calc!BG44="10-25% OM", 6.4, IF(Calc!BG44="&gt;25% OM", 6, 6.7)), "")))</f>
        <v/>
      </c>
      <c r="AF46" s="91" t="str">
        <f ca="1">IF(B46="","",
IF('Waste results'!$Q$33="","no (significant) liming properties",
IF('Waste results'!Q$33&gt;100,"no (significant) liming properties",
IF(AD46="","",
IF(AD46&gt;=AE46,0,ROUNDDOWN((AE46-AD46)*Calc!BK44*'Waste results'!$Q$33+0.2,0))))))</f>
        <v/>
      </c>
      <c r="AG46" s="9" t="str">
        <f ca="1">IF(B46="","",
IF(T46=0,"n/a",
IF(AD46="","data missing",
IF(AND(AD46&lt;5,AF46="no (significant) liming properties"),"no waste application - pH too low",
IF(AND(AD46&gt;5.1,AF46="no (significant) liming properties",Calc!BH44&gt;25, LEFT(Calc!BI44,4)="graz"),"ok",
IF(AND(AD46&lt;=5.2,AF46="no (significant) liming properties"),"liming highly recommended",
IF(AF46=0,"no waste application - liming not required",
IF(AF46&lt;Calc!BC44,"application rate too high - exceeds liming requirement",
"ok"))))))))</f>
        <v/>
      </c>
      <c r="AI46" s="91" t="str">
        <f ca="1">IF(B46="","",
IF(AND('Field information 2'!$O$5="", 'Field information 2'!$Q$5=""),
   IF('Waste results'!$P$10&lt;&gt;"data missing", Calc!BC44*'Waste results'!$P$10, "data missing"),
IF('Field information 2'!$Q$5="",
   IF(Calc!BD44=0,
     IF('Waste results'!$P$10&lt;&gt;"data missing", Calc!BC44*'Waste results'!$P$10, "data missing"),
   IF(Calc!BC44=0,
     IF('Waste results'!$P$45&lt;&gt;"data missing", Calc!BD44*'Waste results'!$P$45, "data missing"),
   IF(OR('Waste results'!$P$10&lt;&gt;"data missing", 'Waste results'!$P$45&lt;&gt;"data missing"), Calc!BC44*'Waste results'!$P$10+ Calc!BD44*'Waste results'!$P$45, "data missing"))),
IF(AND('Field information 2'!$M$5&lt;&gt;"", 'Field information 2'!$O$5&lt;&gt;"", 'Field information 2'!$Q$5&lt;&gt;""),
   IF(AND(Calc!BD44=0,Calc!BE44=0),
     IF('Waste results'!$P$10&lt;&gt;"data missing", Calc!BC44*'Waste results'!$P$10, "data missing"),
   IF(AND(Calc!BC44=0,Calc!BE44=0),
     IF('Waste results'!$P$45&lt;&gt;"data missing", Calc!BD44*'Waste results'!$P$45, "data missing"),
   IF(AND(Calc!BC44=0,Calc!BD44=0),
     IF('Waste results'!$P$82&lt;&gt;"data missing", Calc!BE44*'Waste results'!$P$82, "data missing"),
   IF(Calc!BE44=0,
     IF(OR('Waste results'!$P$10&lt;&gt;"data missing", 'Waste results'!$P$45&lt;&gt;"data missing"), Calc!BC44*'Waste results'!$P$10+ Calc!BD44*'Waste results'!$P$45, "data missing"),
   IF(Calc!BD44=0,
     IF(OR('Waste results'!$P$10&lt;&gt;"data missing", 'Waste results'!$P$82&lt;&gt;"data missing"), Calc!BC44*'Waste results'!$P$10+ Calc!BE44*'Waste results'!$P$82, "data missing"),
   IF(Calc!BC44=0,
     IF(OR('Waste results'!$P$45&lt;&gt;"data missing", 'Waste results'!$P$82&lt;&gt;"data missing"), Calc!BD44*'Waste results'!$P$45+Calc!BE44*'Waste results'!$P$82, "data missing"),
   IF(OR('Waste results'!$P$10&lt;&gt;"data missing", 'Waste results'!$P$45&lt;&gt;"data missing", 'Waste results'!$P$82&lt;&gt;"data missing"), Calc!BC44*'Waste results'!$P$10+Calc!BD44*'Waste results'!$P$45+ Calc!BE44*'Waste results'!$P$82, "data missing")))))))))))</f>
        <v/>
      </c>
      <c r="AJ46" s="237" t="str">
        <f ca="1">IF(B46="","",
IF(AI46="data missing","data missing",
IF(Calc!BF44=0,"n/a",
IF(AND(Calc!BH44&gt;=8,AI46&lt;500),"no benefit",
IF(OR(AND(Calc!BH44&lt;=4,AI46&gt;=500),AND(Calc!BH44&lt;8,AI46&gt;5000)),"benefit",
"limited benefit")))))</f>
        <v/>
      </c>
      <c r="AL46" s="238" t="str">
        <f ca="1">IF(B46="","",
IF(AND('Field information 2'!$O$5="", 'Field information 2'!$Q$5=""),
   IF('Waste results'!$S$25&lt;&gt;"data missing", Calc!BC44*'Waste results'!$S$25, "data missing"),
IF('Field information 2'!$Q$5="",
   IF(Calc!BD44=0,
     IF('Waste results'!$S$25&lt;&gt;"data missing", Calc!BC44*'Waste results'!$S$25, "data missing"),
   IF(Calc!BC44=0,
     IF('Waste results'!$S$61&lt;&gt;"data missing", Calc!BD44*'Waste results'!$S$61, "data missing"),
   IF(OR('Waste results'!$S$25&lt;&gt;"data missing", 'Waste results'!$S$61&lt;&gt;"data missing"), Calc!BC44*'Waste results'!$S$25+ Calc!BD44*'Waste results'!$S$61, "data missing"))),
IF(AND('Field information 2'!$M$5&lt;&gt;"", 'Field information 2'!$O$5&lt;&gt;"", 'Field information 2'!$Q$5&lt;&gt;""),
   IF(AND(Calc!BD44=0,Calc!BE44=0),
     IF('Waste results'!$S$25&lt;&gt;"data missing", Calc!BC44*'Waste results'!$S$25, "data missing"),
   IF(AND(Calc!BC44=0,Calc!BE44=0),
     IF('Waste results'!$S$61&lt;&gt;"data missing", Calc!BD44*'Waste results'!$S$61, "data missing"),
   IF(AND(Calc!BC44=0,Calc!BD44=0),
     IF('Waste results'!$S$97&lt;&gt;"data missing", Calc!BE44*'Waste results'!$S$97, "data missing"),
   IF(Calc!BE44=0,
     IF(OR('Waste results'!$S$25&lt;&gt;"data missing", 'Waste results'!$S$61&lt;&gt;"data missing"), Calc!BC44*'Waste results'!$S$25+ Calc!BD44*'Waste results'!$S$61, "data missing"),
   IF(Calc!BD44=0,
     IF(OR('Waste results'!$S$25&lt;&gt;"data missing", 'Waste results'!$S$97&lt;&gt;"data missing"), Calc!BC44*'Waste results'!$S$25+ Calc!BE44*'Waste results'!$S$97, "data missing"),
   IF(Calc!BC44=0,
     IF(OR('Waste results'!$S$61&lt;&gt;"data missing", 'Waste results'!$S$97&lt;&gt;"data missing"), Calc!BD44*'Waste results'!$S$61+Calc!BE44*'Waste results'!$S$97, "data missing"),
   IF(OR('Waste results'!$S$25&lt;&gt;"data missing", 'Waste results'!$S$61&lt;&gt;"data missing", 'Waste results'!$S$97&lt;&gt;"data missing"), Calc!BC44*'Waste results'!$S$25+Calc!BD44*'Waste results'!$S$61+ Calc!BE44*'Waste results'!$S$97, "data missing")))))))))))</f>
        <v/>
      </c>
      <c r="AM46" s="239" t="str">
        <f ca="1">IF($B46="","",
IF(ISBLANK('Soil results'!K49),"data missing",'Soil results'!K49))</f>
        <v/>
      </c>
      <c r="AN46" s="239" t="str">
        <f t="shared" ca="1" si="6"/>
        <v/>
      </c>
      <c r="AO46" s="9" t="str">
        <f t="shared" ca="1" si="7"/>
        <v/>
      </c>
      <c r="AQ46" s="240" t="str">
        <f ca="1">IF(B46="","",
IF(AND('Field information 2'!$O$5="", 'Field information 2'!$Q$5=""),
   IF('Waste results'!$S$26&lt;&gt;"data missing", Calc!BC44*'Waste results'!$S$26, "data missing"),
IF('Field information 2'!$Q$5="",
   IF(Calc!BD44=0,
     IF('Waste results'!$S$26&lt;&gt;"data missing", Calc!BC44*'Waste results'!$S$26, "data missing"),
   IF(Calc!BC44=0,
     IF('Waste results'!$S$62&lt;&gt;"data missing", Calc!BD44*'Waste results'!$S$62, "data missing"),
   IF(OR('Waste results'!$S$26&lt;&gt;"data missing", 'Waste results'!$S$62&lt;&gt;"data missing"), Calc!BC44*'Waste results'!$S$26+ Calc!BD44*'Waste results'!$S$62, "data missing"))),
IF(AND('Field information 2'!$M$5&lt;&gt;"", 'Field information 2'!$O$5&lt;&gt;"", 'Field information 2'!$Q$5&lt;&gt;""),
   IF(AND(Calc!BD44=0,Calc!BE44=0),
     IF('Waste results'!$S$26&lt;&gt;"data missing", Calc!BC44*'Waste results'!$S$26, "data missing"),
   IF(AND(Calc!BC44=0,Calc!BE44=0),
     IF('Waste results'!$S$62&lt;&gt;"data missing", Calc!BD44*'Waste results'!$S$62, "data missing"),
   IF(AND(Calc!BC44=0,Calc!BD44=0),
     IF('Waste results'!$S$98&lt;&gt;"data missing", Calc!BE44*'Waste results'!$S$98, "data missing"),
   IF(Calc!BE44=0,
     IF(OR('Waste results'!$S$26&lt;&gt;"data missing", 'Waste results'!$S$62&lt;&gt;"data missing"), Calc!BC44*'Waste results'!$S$26+ Calc!BD44*'Waste results'!$S$62, "data missing"),
   IF(Calc!BD44=0,
     IF(OR('Waste results'!$S$26&lt;&gt;"data missing", 'Waste results'!$S$98&lt;&gt;"data missing"), Calc!BC44*'Waste results'!$S$26+ Calc!BE44*'Waste results'!$S$98, "data missing"),
   IF(Calc!BC44=0,
     IF(OR('Waste results'!$S$62&lt;&gt;"data missing", 'Waste results'!$S$98&lt;&gt;"data missing"), Calc!BD44*'Waste results'!$S$62+Calc!BE44*'Waste results'!$S$98, "data missing"),
   IF(OR('Waste results'!$S$26&lt;&gt;"data missing", 'Waste results'!$S$62&lt;&gt;"data missing", 'Waste results'!$S$98&lt;&gt;"data missing"), Calc!BC44*'Waste results'!$S$26+Calc!BD44*'Waste results'!$S$62+ Calc!BE44*'Waste results'!$S$98, "data missing")))))))))))</f>
        <v/>
      </c>
      <c r="AR46" s="241" t="str">
        <f ca="1">IF($B46="","",
IF(ISBLANK('Soil results'!L49),"data missing",'Soil results'!L49))</f>
        <v/>
      </c>
      <c r="AS46" s="241" t="str">
        <f t="shared" ca="1" si="8"/>
        <v/>
      </c>
      <c r="AT46" s="66" t="str">
        <f t="shared" ca="1" si="9"/>
        <v/>
      </c>
      <c r="AV46" s="238" t="str">
        <f ca="1">IF(B46="","",
IF(AND('Field information 2'!$O$5="", 'Field information 2'!$Q$5=""),
   IF('Waste results'!$S$27&lt;&gt;"data missing", Calc!BC44*'Waste results'!$S$27, "data missing"),
IF('Field information 2'!$Q$5="",
   IF(Calc!BD44=0,
     IF('Waste results'!$S$27&lt;&gt;"data missing", Calc!BC44*'Waste results'!$S$27, "data missing"),
   IF(Calc!BC44=0,
     IF('Waste results'!$S$63&lt;&gt;"data missing", Calc!BD44*'Waste results'!$S$63, "data missing"),
   IF(OR('Waste results'!$S$27&lt;&gt;"data missing", 'Waste results'!$S$63&lt;&gt;"data missing"), Calc!BC44*'Waste results'!$S$27+ Calc!BD44*'Waste results'!$S$63, "data missing"))),
IF(AND('Field information 2'!$M$5&lt;&gt;"", 'Field information 2'!$O$5&lt;&gt;"", 'Field information 2'!$Q$5&lt;&gt;""),
   IF(AND(Calc!BD44=0,Calc!BE44=0),
     IF('Waste results'!$S$27&lt;&gt;"data missing", Calc!BC44*'Waste results'!$S$27, "data missing"),
   IF(AND(Calc!BC44=0,Calc!BE44=0),
     IF('Waste results'!$S$63&lt;&gt;"data missing", Calc!BD44*'Waste results'!$S$63, "data missing"),
   IF(AND(Calc!BC44=0,Calc!BD44=0),
     IF('Waste results'!$S$99&lt;&gt;"data missing", Calc!BE44*'Waste results'!$S$99, "data missing"),
   IF(Calc!BE44=0,
     IF(OR('Waste results'!$S$27&lt;&gt;"data missing", 'Waste results'!$S$63&lt;&gt;"data missing"), Calc!BC44*'Waste results'!$S$27+ Calc!BD44*'Waste results'!$S$63, "data missing"),
   IF(Calc!BD44=0,
     IF(OR('Waste results'!$S$27&lt;&gt;"data missing", 'Waste results'!$S$99&lt;&gt;"data missing"), Calc!BC44*'Waste results'!$S$27+ Calc!BE44*'Waste results'!$S$99, "data missing"),
   IF(Calc!BC44=0,
     IF(OR('Waste results'!$S$63&lt;&gt;"data missing", 'Waste results'!$S$99&lt;&gt;"data missing"), Calc!BD44*'Waste results'!$S$63+Calc!BE44*'Waste results'!$S$99, "data missing"),
   IF(OR('Waste results'!$S$27&lt;&gt;"data missing", 'Waste results'!$S$63&lt;&gt;"data missing", 'Waste results'!$S$99&lt;&gt;"data missing"), Calc!BC44*'Waste results'!$S$27+Calc!BD44*'Waste results'!$S$63+ Calc!BE44*'Waste results'!$S$99, "data missing")))))))))))</f>
        <v/>
      </c>
      <c r="AW46" s="239" t="str">
        <f ca="1">IF($B46="","",
IF(ISBLANK('Soil results'!M49),"data missing",'Soil results'!M49))</f>
        <v/>
      </c>
      <c r="AX46" s="239" t="str">
        <f t="shared" ca="1" si="10"/>
        <v/>
      </c>
      <c r="AY46" s="9" t="str">
        <f ca="1">IF(B46="","",
IF(AV46=0,"n/a",
IF(OR(AV46="data missing",AW46="data missing"),"data missing",
IF(AV46&gt;7.5,"application rate too high - permissible rate exceeds limit",
IF('Soil results'!$F49&lt;=5.5,
  IF(AW46&gt;80,"no application - soil conc. already above limit",
  IF(AX46&gt;80,"application rate too high - soil conc. will exceed limit",
  IF(AW46&gt;80*0.9,"soil conc. is at or above 90% of the limit",
  IF(10*AV46*1000/3000+AW46&gt;80,"soil limit likely to be exceeded in 10yrs",
  IF(50*AV46*1000/3000+AW46&gt;80,"soil limit likely to be exceeded in 50yrs","ok"))))),
IF('Soil results'!$F49&lt;=6,
  IF(AW46&gt;100,"no application - soil conc. already above limit",
  IF(AX46&gt;100,"application rate too high - soil conc. will exceed limit",
  IF(AW46&gt;100*0.9,"soil conc. is at or above 90% of the limit",
  IF(10*AV46*1000/3000+AW46&gt;100,"soil limit likely to be exceeded in 10yrs",
  IF(50*AV46*1000/3000+AW46&gt;100,"soil limit likely to be exceeded in 50yrs","ok"))))),
IF('Soil results'!$F49&lt;=7,
  IF(AW46&gt;135,"no application - soil conc. already above limit",
  IF(AX46&gt;135,"application rate too high - soil conc. will exceed limit",
  IF(AW46&gt;135*0.9,"soil conc. is at or above 90% of the limit",
  IF(10*AV46*1000/3000+AW46&gt;135,"soil limit likely to be exceeded in 10yrs",
  IF(50*AV46*1000/3000+AW46&gt;135,"soil limit likely to be exceeded in 50yrs","ok"))))),
IF('Soil results'!$F49&gt;7,
  IF(AW46&gt;200,"no application - soil conc. already above limit",
  IF(AX46&gt;200,"application too high - soil conc. will exceed limit",
  IF(AW46&gt;200*0.9,"soil conc. is at or above 90% of the limit",
  IF(10*AV46*1000/3000+AW46&gt;200,"soil limit likely to be exceeded in 10yrs",
  IF(50*AV46*1000/3000+AW46&gt;200,"soil limit likely to be exceeded in 50yrs","ok")))))
))))))))</f>
        <v/>
      </c>
      <c r="BA46" s="238" t="str">
        <f ca="1">IF(B46="","",
IF(AND('Field information 2'!$O$5="", 'Field information 2'!$Q$5=""),
   IF('Waste results'!$S$28&lt;&gt;"data missing", Calc!BC44*'Waste results'!$S$28, "data missing"),
IF('Field information 2'!$Q$5="",
   IF(Calc!BD44=0,
     IF('Waste results'!$S$28&lt;&gt;"data missing", Calc!BC44*'Waste results'!$S$28, "data missing"),
   IF(Calc!BC44=0,
     IF('Waste results'!$S$64&lt;&gt;"data missing", Calc!BD44*'Waste results'!$S$64, "data missing"),
   IF(OR('Waste results'!$S$28&lt;&gt;"data missing", 'Waste results'!$S$64&lt;&gt;"data missing"), Calc!BC44*'Waste results'!$S$28+ Calc!BD44*'Waste results'!$S$64, "data missing"))),
IF(AND('Field information 2'!$M$5&lt;&gt;"", 'Field information 2'!$O$5&lt;&gt;"", 'Field information 2'!$Q$5&lt;&gt;""),
   IF(AND(Calc!BD44=0,Calc!BE44=0),
     IF('Waste results'!$S$28&lt;&gt;"data missing", Calc!BC44*'Waste results'!$S$28, "data missing"),
   IF(AND(Calc!BC44=0,Calc!BE44=0),
     IF('Waste results'!$S$64&lt;&gt;"data missing", Calc!BD44*'Waste results'!$S$64, "data missing"),
   IF(AND(Calc!BC44=0,Calc!BD44=0),
     IF('Waste results'!$S$100&lt;&gt;"data missing", Calc!BE44*'Waste results'!$S$100, "data missing"),
   IF(Calc!BE44=0,
     IF(OR('Waste results'!$S$28&lt;&gt;"data missing", 'Waste results'!$S$64&lt;&gt;"data missing"), Calc!BC44*'Waste results'!$S$28+ Calc!BD44*'Waste results'!$S$64, "data missing"),
   IF(Calc!BD44=0,
     IF(OR('Waste results'!$S$28&lt;&gt;"data missing", 'Waste results'!$S$100&lt;&gt;"data missing"), Calc!BC44*'Waste results'!$S$28+ Calc!BE44*'Waste results'!$S$100, "data missing"),
   IF(Calc!BC44=0,
     IF(OR('Waste results'!$S$64&lt;&gt;"data missing", 'Waste results'!$S$100&lt;&gt;"data missing"), Calc!BD44*'Waste results'!$S$64+Calc!BE44*'Waste results'!$S$100, "data missing"),
   IF(OR('Waste results'!$S$28&lt;&gt;"data missing", 'Waste results'!$S$64&lt;&gt;"data missing", 'Waste results'!$S$100&lt;&gt;"data missing"), Calc!BC44*'Waste results'!$S$28+Calc!BD44*'Waste results'!$S$64+ Calc!BE44*'Waste results'!$S$100, "data missing")))))))))))</f>
        <v/>
      </c>
      <c r="BB46" s="239" t="str">
        <f ca="1">IF($B46="","",
IF(ISBLANK('Soil results'!N49),"data missing",'Soil results'!N49))</f>
        <v/>
      </c>
      <c r="BC46" s="239" t="str">
        <f t="shared" ca="1" si="11"/>
        <v/>
      </c>
      <c r="BD46" s="9" t="str">
        <f t="shared" ca="1" si="12"/>
        <v/>
      </c>
      <c r="BF46" s="238" t="str">
        <f ca="1">IF(B46="","",
IF(AND('Field information 2'!$O$5="", 'Field information 2'!$Q$5=""),
   IF('Waste results'!$S$29&lt;&gt;"data missing", Calc!BC44*'Waste results'!$S$29, "data missing"),
IF('Field information 2'!$Q$5="",
   IF(Calc!BD44=0,
     IF('Waste results'!$S$29&lt;&gt;"data missing", Calc!BC44*'Waste results'!$S$29, "data missing"),
   IF(Calc!BC44=0,
     IF('Waste results'!$S$65&lt;&gt;"data missing", Calc!BD44*'Waste results'!$S$65, "data missing"),
   IF(OR('Waste results'!$S$29&lt;&gt;"data missing", 'Waste results'!$S$65&lt;&gt;"data missing"), Calc!BC44*'Waste results'!$S$29+ Calc!BD44*'Waste results'!$S$65, "data missing"))),
IF(AND('Field information 2'!$M$5&lt;&gt;"", 'Field information 2'!$O$5&lt;&gt;"", 'Field information 2'!$Q$5&lt;&gt;""),
   IF(AND(Calc!BD44=0,Calc!BE44=0),
     IF('Waste results'!$S$29&lt;&gt;"data missing", Calc!BC44*'Waste results'!$S$29, "data missing"),
   IF(AND(Calc!BC44=0,Calc!BE44=0),
     IF('Waste results'!$S$65&lt;&gt;"data missing", Calc!BD44*'Waste results'!$S$65, "data missing"),
   IF(AND(Calc!BC44=0,Calc!BD44=0),
     IF('Waste results'!$S$101&lt;&gt;"data missing", Calc!BE44*'Waste results'!$S$101, "data missing"),
   IF(Calc!BE44=0,
     IF(OR('Waste results'!$S$29&lt;&gt;"data missing", 'Waste results'!$S$65&lt;&gt;"data missing"), Calc!BC44*'Waste results'!$S$29+ Calc!BD44*'Waste results'!$S$65, "data missing"),
   IF(Calc!BD44=0,
     IF(OR('Waste results'!$S$29&lt;&gt;"data missing", 'Waste results'!$S$101&lt;&gt;"data missing"), Calc!BC44*'Waste results'!$S$29+ Calc!BE44*'Waste results'!$S$101, "data missing"),
   IF(Calc!BC44=0,
     IF(OR('Waste results'!$S$65&lt;&gt;"data missing", 'Waste results'!$S$101&lt;&gt;"data missing"), Calc!BD44*'Waste results'!$S$65+Calc!BE44*'Waste results'!$S$101, "data missing"),
   IF(OR('Waste results'!$S$29&lt;&gt;"data missing", 'Waste results'!$S$65&lt;&gt;"data missing", 'Waste results'!$S$101&lt;&gt;"data missing"), Calc!BC44*'Waste results'!$S$29+Calc!BD44*'Waste results'!$S$65+ Calc!BE44*'Waste results'!$S$101, "data missing")))))))))))</f>
        <v/>
      </c>
      <c r="BG46" s="239" t="str">
        <f ca="1">IF($B46="","",
IF(ISBLANK('Soil results'!O49),"data missing",'Soil results'!O49))</f>
        <v/>
      </c>
      <c r="BH46" s="239" t="str">
        <f t="shared" ca="1" si="13"/>
        <v/>
      </c>
      <c r="BI46" s="9" t="str">
        <f ca="1">IF(B46="","",
IF(BF46=0,"n/a",
IF(OR(BF46="data missing",BG46="data missing"),"data missing",
IF(BF46&gt;3,"application rate too high - permissible rate exceeds limit",
IF('Soil results'!F49&lt;=5.5,
  IF(BG46&gt;50,"no application - soil conc. already above limit",
  IF(BH46&gt;50,"application rate too high - soil conc. will exceed limit",
  IF(BG46&gt;50*0.9,"soil conc. is at or above 90% of the limit",
  IF(10*BF46*1000/3000+BG46&gt;50,"soil limit likely to be exceeded in 10yrs",
  IF(50*BF46*1000/3000+BG46&gt;50,"soil limit likely to be exceeded in 50yrs","ok"))))),
IF('Soil results'!F49&lt;=6,
  IF(BG46&gt;60,"no application - soil conc. already above limit",
  IF(BH46&gt;60,"application rate too high - soil conc. will exceed limit",
  IF(BG46&gt;60*0.9,"soil conc. is at or above 90% of the limit",
  IF(10*BF46*1000/3000+BG46&gt;60,"soil limit likely to be exceeded in 10yrs",
  IF(50*BF46*1000/3000+BG46&gt;60,"soil limit likely to be exceeded in 50yrs","ok"))))),
IF('Soil results'!F49&lt;=7,
  IF(BG46&gt;75,"no application - soil conc. already above limit",
  IF(BH46&gt;75,"application rate too high - soil conc. will exceed limit",
  IF(BG46&gt;75*0.9,"soil conc. is at or above 90% of the limit",
  IF(10*BF46*1000/3000+BG46&gt;75,"soil limit likely to be exceeded in 10yrs",
  IF(50*BF46*1000/3000+BG46&gt;75,"soil limit likely to be exceeded in 50yrs","ok"))))),
IF('Soil results'!F49&gt;7,
  IF(BG46&gt;100,"no application - soil conc. already above limit",
  IF(BH46&gt;100,"application rate too high - soil conc. will exceed limit",
  IF(BG46&gt;100*0.9,"soil conc. is at or above 90% of the limit",
  IF(10*BF46*1000/3000+BG46&gt;100,"soil limit likely to be exceeded in 10yrs",
  IF(50*BF46*1000/3000+BG46&gt;100,"soil limit likely to beexceeded in 50yrs","ok")))))
))))))))</f>
        <v/>
      </c>
      <c r="BK46" s="240" t="str">
        <f ca="1">IF(B46="","",
IF(AND('Field information 2'!$O$5="", 'Field information 2'!$Q$5=""),
   IF('Waste results'!$S$30&lt;&gt;"data missing", Calc!BC44*'Waste results'!$S$30, "data missing"),
IF('Field information 2'!$Q$5="",
   IF(Calc!BD44=0,
     IF('Waste results'!$S$30&lt;&gt;"data missing", Calc!BC44*'Waste results'!$S$30, "data missing"),
   IF(Calc!BC44=0,
     IF('Waste results'!$S$66&lt;&gt;"data missing", Calc!BD44*'Waste results'!$S$66, "data missing"),
   IF(OR('Waste results'!$S$30&lt;&gt;"data missing", 'Waste results'!$S$66&lt;&gt;"data missing"), Calc!BC44*'Waste results'!$S$30+ Calc!BD44*'Waste results'!$S$66, "data missing"))),
IF(AND('Field information 2'!$M$5&lt;&gt;"", 'Field information 2'!$O$5&lt;&gt;"", 'Field information 2'!$Q$5&lt;&gt;""),
   IF(AND(Calc!BD44=0,Calc!BE44=0),
     IF('Waste results'!$S$30&lt;&gt;"data missing", Calc!BC44*'Waste results'!$S$30, "data missing"),
   IF(AND(Calc!BC44=0,Calc!BE44=0),
     IF('Waste results'!$S$66&lt;&gt;"data missing", Calc!BD44*'Waste results'!$S$66, "data missing"),
   IF(AND(Calc!BC44=0,Calc!BD44=0),
     IF('Waste results'!$S$102&lt;&gt;"data missing", Calc!BE44*'Waste results'!$S$102, "data missing"),
   IF(Calc!BE44=0,
     IF(OR('Waste results'!$S$30&lt;&gt;"data missing", 'Waste results'!$S$66&lt;&gt;"data missing"), Calc!BC44*'Waste results'!$S$30+ Calc!BD44*'Waste results'!$S$66, "data missing"),
   IF(Calc!BD44=0,
     IF(OR('Waste results'!$S$30&lt;&gt;"data missing", 'Waste results'!$S$102&lt;&gt;"data missing"), Calc!BC44*'Waste results'!$S$30+ Calc!BE44*'Waste results'!$S$102, "data missing"),
   IF(Calc!BC44=0,
     IF(OR('Waste results'!$S$66&lt;&gt;"data missing", 'Waste results'!$S$102&lt;&gt;"data missing"), Calc!BD44*'Waste results'!$S$66+Calc!BE44*'Waste results'!$S$102, "data missing"),
   IF(OR('Waste results'!$S$30&lt;&gt;"data missing", 'Waste results'!$S$66&lt;&gt;"data missing", 'Waste results'!$S$102&lt;&gt;"data missing"), Calc!BC44*'Waste results'!$S$30+Calc!BD44*'Waste results'!$S$66+ Calc!BE44*'Waste results'!$S$102, "data missing")))))))))))</f>
        <v/>
      </c>
      <c r="BL46" s="241" t="str">
        <f ca="1">IF($B46="","",
IF(ISBLANK('Soil results'!P49),"data missing",'Soil results'!P49))</f>
        <v/>
      </c>
      <c r="BM46" s="241" t="str">
        <f t="shared" ca="1" si="14"/>
        <v/>
      </c>
      <c r="BN46" s="66" t="str">
        <f t="shared" ca="1" si="15"/>
        <v/>
      </c>
      <c r="BP46" s="238" t="str">
        <f ca="1">IF(B46="","",
IF(AND('Field information 2'!$O$5="", 'Field information 2'!$Q$5=""),
   IF('Waste results'!$S$31&lt;&gt;"data missing", Calc!BC44*'Waste results'!$S$31, "data missing"),
IF('Field information 2'!$Q$5="",
   IF(Calc!BD44=0,
     IF('Waste results'!$S$31&lt;&gt;"data missing", Calc!BC44*'Waste results'!$S$31, "data missing"),
   IF(Calc!BC44=0,
     IF('Waste results'!$S$67&lt;&gt;"data missing", Calc!BD44*'Waste results'!$S$67, "data missing"),
   IF(OR('Waste results'!$S$31&lt;&gt;"data missing", 'Waste results'!$S$67&lt;&gt;"data missing"), Calc!BC44*'Waste results'!$S$31+ Calc!BD44*'Waste results'!$S$67, "data missing"))),
IF(AND('Field information 2'!$M$5&lt;&gt;"", 'Field information 2'!$O$5&lt;&gt;"", 'Field information 2'!$Q$5&lt;&gt;""),
   IF(AND(Calc!BD44=0,Calc!BE44=0),
     IF('Waste results'!$S$31&lt;&gt;"data missing", Calc!BC44*'Waste results'!$S$31, "data missing"),
   IF(AND(Calc!BC44=0,Calc!BE44=0),
     IF('Waste results'!$S$67&lt;&gt;"data missing", Calc!BD44*'Waste results'!$S$67, "data missing"),
   IF(AND(Calc!BC44=0,Calc!BD44=0),
     IF('Waste results'!$S$103&lt;&gt;"data missing", Calc!BE44*'Waste results'!$S$103, "data missing"),
   IF(Calc!BE44=0,
     IF(OR('Waste results'!$S$31&lt;&gt;"data missing", 'Waste results'!$S$67&lt;&gt;"data missing"), Calc!BC44*'Waste results'!$S$31+ Calc!BD44*'Waste results'!$S$67, "data missing"),
   IF(Calc!BD44=0,
     IF(OR('Waste results'!$S$31&lt;&gt;"data missing", 'Waste results'!$S$103&lt;&gt;"data missing"), Calc!BC44*'Waste results'!$S$31+ Calc!BE44*'Waste results'!$S$103, "data missing"),
   IF(Calc!BC44=0,
     IF(OR('Waste results'!$S$67&lt;&gt;"data missing", 'Waste results'!$S$103&lt;&gt;"data missing"), Calc!BD44*'Waste results'!$S$67+Calc!BE44*'Waste results'!$S$103, "data missing"),
   IF(OR('Waste results'!$S$31&lt;&gt;"data missing", 'Waste results'!$S$67&lt;&gt;"data missing", 'Waste results'!$S$103&lt;&gt;"data missing"), Calc!BC44*'Waste results'!$S$31+Calc!BD44*'Waste results'!$S$67+ Calc!BE44*'Waste results'!$S$103, "data missing")))))))))))</f>
        <v/>
      </c>
      <c r="BQ46" s="239" t="str">
        <f ca="1">IF($B46="","",
IF(ISBLANK('Soil results'!Q49),"data missing",'Soil results'!Q49))</f>
        <v/>
      </c>
      <c r="BR46" s="239" t="str">
        <f t="shared" ca="1" si="16"/>
        <v/>
      </c>
      <c r="BS46" s="9" t="str">
        <f ca="1">IF(B46="","",
IF(BP46=0,"n/a",
IF(OR(BP46="data missing",BQ46=""),"data missing",
IF(BP46&gt;15,"application rate too high - permissible rate exceeds limit",
IF('Soil results'!F49&lt;=5.5,
  IF(BQ46&gt;200,"no application - soil conc. already above limit",
  IF(BR46&gt;200,"application rate too high - soil conc. will exceed limit",
  IF(BQ46&gt;200*0.9,"soil conc. is at or above 90% of the limit",
  IF(10*BP46*1000/3000+BQ46&gt;200,"soil limit likely to be exceeded in 10yrs",
  IF(50*BP46*1000/3000+BQ46&gt;200,"soil limit likely to be exceeded in 50yrs","ok"))))),
IF('Soil results'!F49&lt;=6,
  IF(BQ46&gt;250,"no application - soil conc. already above limit",
  IF(BR46&gt;250,"application rate too high - soil conc. will exceed limit",
  IF(BQ46&gt;250*0.9,"soil conc. is at or above 90% of the limit",
  IF(10*BP46*1000/3000+BQ46&gt;250,"soil limit likely to be exceeded in 10yrs",
  IF(50*BP46*1000/3000+BQ46&gt;250,"soil limit likely to be exceeded in 50yrs","ok"))))),
IF('Soil results'!F49&lt;=7,
  IF(BQ46&gt;300,"no application - soil conc. already above limit",
  IF(BR46&gt;300,"application rate too high - soil conc. will exceed limit",
  IF(BQ46&gt;300*0.9,"soil conc. is at or above 90% of the limit",
  IF(10*BP46*1000/3000+BQ46&gt;300,"soil limit likey to be exceeded in 10yrs",
  IF(50*BP46*1000/3000+BQ46&gt;300,"soil limit likely to be exceeded in 50yrs","ok"))))),
IF('Soil results'!F49&gt;7,
  IF(BQ46&gt;450,"no application - soil conc. already above limit",
  IF(BR46&gt;450,"application rate too high - soil conc. will exceed limit",
  IF(AW46&gt;450*0.9,"soil conc. is at or above 90% of the limit",
  IF(10*BP46*1000/3000+BQ46&gt;450,"soil limit likely to be exceeded in 10yrs",
  IF(50*BP46*1000/3000+BQ46&gt;450,"soil limit likely to be exceeded in 50yrs","ok")))))
))))))))</f>
        <v/>
      </c>
    </row>
    <row r="47" spans="2:71" s="9" customFormat="1" ht="15" x14ac:dyDescent="0.25">
      <c r="B47" s="236" t="str">
        <f ca="1">'Soil results'!B50</f>
        <v/>
      </c>
      <c r="C47" s="91" t="str">
        <f ca="1">IF(B47="","",
IF(AND('Field information 2'!$O$5="", 'Field information 2'!$Q$5=""),
   IF('Waste results'!$S$12&lt;&gt;"data missing", Calc!BC45*'Waste results'!$S$12, "data missing"),
IF('Field information 2'!$Q$5="",
   IF(Calc!BD45=0,
     IF('Waste results'!$S$12&lt;&gt;"data missing", Calc!BC45*'Waste results'!$S$12, "data missing"),
   IF(Calc!BC45=0,
     IF('Waste results'!$S$48&lt;&gt;"data missing", Calc!BD45*'Waste results'!$S$48, "data missing"),
   IF(OR('Waste results'!$S$12&lt;&gt;"data missing", 'Waste results'!$S$48&lt;&gt;"data missing"), Calc!BC45*'Waste results'!$S$12+ Calc!BD45*'Waste results'!$S$48, "data missing"))),
IF(AND('Field information 2'!$M$5&lt;&gt;"", 'Field information 2'!$O$5&lt;&gt;"", 'Field information 2'!$Q$5&lt;&gt;""),
   IF(AND(Calc!BD45=0,Calc!BE45=0),
     IF('Waste results'!$S$12&lt;&gt;"data missing", Calc!BC45*'Waste results'!$S$12, "data missing"),
   IF(AND(Calc!BC45=0,Calc!BE45=0),
     IF('Waste results'!$S$48&lt;&gt;"data missing", Calc!BD45*'Waste results'!$S$48, "data missing"),
   IF(AND(Calc!BC45=0,Calc!BD45=0),
     IF('Waste results'!$S$84&lt;&gt;"data missing", Calc!BE45*'Waste results'!$S$84, "data missing"),
   IF(Calc!BE45=0,
     IF(OR('Waste results'!$S$12&lt;&gt;"data missing", 'Waste results'!$S$48&lt;&gt;"data missing"), Calc!BC45*'Waste results'!$S$12+ Calc!BD45*'Waste results'!$S$48, "data missing"),
   IF(Calc!BD45=0,
     IF(OR('Waste results'!$S$12&lt;&gt;"data missing", 'Waste results'!$S$84&lt;&gt;"data missing"), Calc!BC45*'Waste results'!$S$12+ Calc!BE45*'Waste results'!$S$84, "data missing"),
   IF(Calc!BC45=0,
     IF(OR('Waste results'!$S$48&lt;&gt;"data missing", 'Waste results'!$S$84&lt;&gt;"data missing"), Calc!BD45*'Waste results'!$S$48+Calc!BE45*'Waste results'!$S$84, "data missing"),
   IF(OR('Waste results'!$S$12&lt;&gt;"data missing", 'Waste results'!$S$48&lt;&gt;"data missing", 'Waste results'!$S$84&lt;&gt;"data missing"), Calc!BC45*'Waste results'!$S$12+Calc!BD45*'Waste results'!$S$48+ Calc!BE45*'Waste results'!$S$84, "data missing")))))))))))</f>
        <v/>
      </c>
      <c r="D47" s="161" t="str">
        <f ca="1">IF(B47="","",
IF(Calc!BG45="","soil texture missing",
IF(OR(Calc!BG45="SL; SZL; ZL",Calc!BG45="SCL; CL; ZCL; SC; ZC; C"),VLOOKUP(Calc!BI45,'Fertiliser recommendations'!$A$4:$C$63,3,FALSE),
IF(Calc!BG45="S; LS",VLOOKUP(Calc!BI45,'Fertiliser recommendations'!$A$4:$C$63,3,FALSE)+VLOOKUP(Calc!BI45,'Fertiliser recommendations'!$A$4:$D$63,4,FALSE),
IF(Calc!BG45="10-25% OM",VLOOKUP(Calc!BI45,'Fertiliser recommendations'!$A$4:$C$63,3,FALSE)+VLOOKUP(Calc!BI45,'Fertiliser recommendations'!$A$4:$E$63,5,FALSE),
IF(Calc!BG45="&gt;25% OM",VLOOKUP(Calc!BI45,'Fertiliser recommendations'!$A$4:$C$63,3,FALSE)+VLOOKUP(Calc!BI45,'Fertiliser recommendations'!$A$4:$F$63,6,FALSE),
""))))))</f>
        <v/>
      </c>
      <c r="E47" s="91" t="str">
        <f t="shared" ca="1" si="0"/>
        <v/>
      </c>
      <c r="F47" s="9" t="str">
        <f ca="1">IF(B47="","",
IF(OR(C47="data missing",D47="soil texture missing"),"data missing",
IF(Calc!BF45=0,"n/a",
IF(C47&lt;0.1*D47,"no benefit",
IF(C47&lt;0.3*D47,"limited benefit",
IF(C47&gt;250,"exceeds limit",
IF(OR(AND(D47=0,C47&gt;75),C47&gt;1.25*D47),"excessive",
IF(D47=0, "no requirement",
"benefit"))))))))</f>
        <v/>
      </c>
      <c r="H47" s="91" t="str">
        <f ca="1">IF(B47="","",
IF(AND('Field information 2'!$O$5="", 'Field information 2'!$Q$5=""),
   IF('Waste results'!$S$17&lt;&gt;"data missing", Calc!BC45*'Waste results'!$S$17, "data missing"),
IF('Field information 2'!$Q$5="",
   IF(Calc!BD45=0,
     IF('Waste results'!$S$17&lt;&gt;"data missing", Calc!BC45*'Waste results'!$S$17, "data missing"),
   IF(Calc!BC45=0,
     IF('Waste results'!$S$53&lt;&gt;"data missing", Calc!BD45*'Waste results'!$S$53, "data missing"),
   IF(OR('Waste results'!$S$17&lt;&gt;"data missing", 'Waste results'!$S$53&lt;&gt;"data missing"), Calc!BC45*'Waste results'!$S$17+ Calc!BD45*'Waste results'!$S$53, "data missing"))),
IF(AND('Field information 2'!$M$5&lt;&gt;"", 'Field information 2'!$O$5&lt;&gt;"", 'Field information 2'!$Q$5&lt;&gt;""),
   IF(AND(Calc!BD45=0,Calc!BE45=0),
     IF('Waste results'!$S$17&lt;&gt;"data missing", Calc!BC45*'Waste results'!$S$17, "data missing"),
   IF(AND(Calc!BC45=0,Calc!BE45=0),
     IF('Waste results'!$S$53&lt;&gt;"data missing", Calc!BD45*'Waste results'!$S$53, "data missing"),
   IF(AND(Calc!BC45=0,Calc!BD45=0),
     IF('Waste results'!$S$89&lt;&gt;"data missing", Calc!BE45*'Waste results'!$S$89, "data missing"),
   IF(Calc!BE45=0,
     IF(OR('Waste results'!$S$17&lt;&gt;"data missing", 'Waste results'!$S$53&lt;&gt;"data missing"), Calc!BC45*'Waste results'!$S$17+ Calc!BD45*'Waste results'!$S$53, "data missing"),
   IF(Calc!BD45=0,
     IF(OR('Waste results'!$S$17&lt;&gt;"data missing", 'Waste results'!$S$89&lt;&gt;"data missing"), Calc!BC45*'Waste results'!$S$17+ Calc!BE45*'Waste results'!$S$89, "data missing"),
   IF(Calc!BC45=0,
     IF(OR('Waste results'!$S$53&lt;&gt;"data missing", 'Waste results'!$S$89&lt;&gt;"data missing"), Calc!BD45*'Waste results'!$S$53+Calc!BE45*'Waste results'!$S$89, "data missing"),
   IF(OR('Waste results'!$S$17&lt;&gt;"data missing", 'Waste results'!$S$53&lt;&gt;"data missing", 'Waste results'!$S$89&lt;&gt;"data missing"), Calc!BC45*'Waste results'!$S$17+Calc!BD45*'Waste results'!$S$53+ Calc!BE45*'Waste results'!$S$89, "data missing")))))))))))</f>
        <v/>
      </c>
      <c r="I47" s="195" t="str">
        <f ca="1">IF(B47="","",
IF(OR(ISBLANK('Soil results'!G50), ISBLANK('Soil results'!G$7)),"data missing",
IF(OR(AND('Soil results'!G$7="Olsen (ADAS)",'Soil results'!G50&lt;16),AND('Soil results'!G$7="modified Morgan (SAC)",'Soil results'!G50&lt;4.5)),50,100)))</f>
        <v/>
      </c>
      <c r="J47" s="49" t="str">
        <f ca="1">IF(B47="","",
IF(OR(ISBLANK('Soil results'!G$7),ISBLANK('Soil results'!G50)),"data missing",
IF(OR(AND('Soil results'!G$7="Olsen (ADAS)",'Soil results'!G50&gt;45),AND('Soil results'!G$7="modified Morgan (SAC)",'Soil results'!G50&gt;30)),0,
IF(OR(AND('Soil results'!G$7="Olsen (ADAS)",'Soil results'!G50&gt;=16,'Soil results'!G50&lt;=20),AND('Soil results'!G$7="modified Morgan (SAC)",'Soil results'!G50&gt;=4.5,'Soil results'!G50&lt;=9.4)),VLOOKUP(Calc!BI45,'Fertiliser recommendations'!$A$4:$I$63,9,FALSE),
IF(OR(AND('Soil results'!G$7="Olsen (ADAS)",'Soil results'!G50&lt;10),AND('Soil results'!G$7="modified Morgan (SAC)",'Soil results'!G50&lt;1.8)),VLOOKUP(Calc!BI45,'Fertiliser recommendations'!$A$4:$I$63,9,FALSE)+VLOOKUP(Calc!BI45,'Fertiliser recommendations'!$A$4:$J$63,10,FALSE),
IF(OR(AND('Soil results'!G$7="Olsen (ADAS)",'Soil results'!G50&lt;16),AND('Soil results'!G$7="modified Morgan (SAC)",'Soil results'!G50&lt;4.5)),VLOOKUP(Calc!BI45,'Fertiliser recommendations'!$A$4:$I$63,9,FALSE)+VLOOKUP(Calc!BI45,'Fertiliser recommendations'!$A$4:$K$63,11,FALSE),
IF(OR(AND('Soil results'!G$7="Olsen (ADAS)",'Soil results'!G50&lt;26),AND('Soil results'!G$7="modified Morgan (SAC)",'Soil results'!G50&lt;13.5)),VLOOKUP(Calc!BI45,'Fertiliser recommendations'!$A$4:$I$63,9,FALSE)+VLOOKUP(Calc!BI45,'Fertiliser recommendations'!$A$4:$L$63,12,FALSE),
IF(OR(AND('Soil results'!G$7="Olsen (ADAS)",'Soil results'!G50&lt;=45),AND('Soil results'!G$7="modified Morgan (SAC)",'Soil results'!G50&lt;=30)),VLOOKUP(Calc!BI45,'Fertiliser recommendations'!$A$4:$I$63,9,FALSE)+VLOOKUP(Calc!BI45,'Fertiliser recommendations'!$A$4:$M$63,13,FALSE),
""))))))))</f>
        <v/>
      </c>
      <c r="K47" s="161" t="str">
        <f t="shared" ca="1" si="1"/>
        <v/>
      </c>
      <c r="L47" s="47" t="str">
        <f ca="1">IF(OR(ISBLANK('Soil results'!G$7),ISBLANK('Soil results'!G50),B47="", H47="data missing"),"",
IF('Soil results'!G$7="Olsen (ADAS)",
IF(((H47*Calc!BM45/2.291-(VLOOKUP(Calc!BI45,'Fertiliser recommendations'!$A$4:$I$63,9,FALSE))/2.291)*10/(400/2.291)+'Soil results'!G50)&lt;10,"0 (VL)",
IF(((H47*Calc!BM45/2.291-(VLOOKUP(Calc!BI45,'Fertiliser recommendations'!$A$4:$I$63,9,FALSE))/2.291)*10/(400/2.291)+'Soil results'!G50)&lt;16,"1 (L)",
IF(((H47*Calc!BM45/2.291-(VLOOKUP(Calc!BI45,'Fertiliser recommendations'!$A$4:$I$63,9,FALSE))/2.291)*10/(400/2.291)+'Soil results'!G50)&lt;21,"2 (M-)",
IF(((H47*Calc!BM45/2.291-(VLOOKUP(Calc!BI45,'Fertiliser recommendations'!$A$4:$I$63,9,FALSE))/2.291)*10/(400/2.291)+'Soil results'!G50)&lt;26,"2 (M+)",
IF(((H47*Calc!BM45/2.291-(VLOOKUP(Calc!BI45,'Fertiliser recommendations'!$A$4:$I$63,9,FALSE))/2.291)*10/(400/2.291)+'Soil results'!G50)&lt;45,"3 (H)","&gt;3 (VH)"))))),
IF('Soil results'!G$7="modified Morgan (SAC)",
IF('Soil results'!G50&gt;=6,
IF(((H47*Calc!BM45/2.291-(VLOOKUP(Calc!BI45,'Fertiliser recommendations'!$A$4:$I$63,9,FALSE))/2.291)*5/(147/2.291)+'Soil results'!G50)&lt;9.5,"2 (M-)",
IF(((H47*Calc!BM45/2.291-(VLOOKUP(Calc!BI45,'Fertiliser recommendations'!$A$4:$I$63,9,FALSE))/2.291)*5/(147/2.291)+'Soil results'!G50)&lt;13.5,"2 (M+)",
IF(((H47*Calc!BM45/2.291-(VLOOKUP(Calc!BI45,'Fertiliser recommendations'!$A$4:$I$63,9,FALSE))/2.291)*5/(147/2.291)+'Soil results'!G50)&lt;30,"3 (H)","4 (VH)"))),
IF(((H47*Calc!BM45/2.291-(VLOOKUP(Calc!BI45,'Fertiliser recommendations'!$A$4:$I$63,9,FALSE))/2.291)*5/(346/2.291)+'Soil results'!G50)&lt;1.8,"0 (VL)",
IF(((H47*Calc!BM45/2.291-(VLOOKUP(Calc!BI45,'Fertiliser recommendations'!$A$4:$I$63,9,FALSE))/2.291)*5/(147/2.291)+'Soil results'!G50)&lt;4.5,"1 (L)","2 (M-)"))))))</f>
        <v/>
      </c>
      <c r="M47" s="9" t="str">
        <f ca="1">IF(B47="","",
IF(OR(H47="data missing",I47="data missing",J47="data missing"),"data missing",
IF(Calc!BF45=0,"n/a",
IF(OR(AND('Soil results'!G$7="Olsen (ADAS)",'Soil results'!G50&gt;45),AND('Soil results'!G$7="modified Morgan (SAC)",'Soil results'!G50&gt;30)),
IF(H47&gt;2,"too high, not acceptable","no requirement"),IF(OR(AND('Soil results'!G$7="Olsen (ADAS)",'Soil results'!G50&gt;25),AND('Soil results'!G$7="modified Morgan (SAC)",'Soil results'!G50&gt;13.4)),
IF(H47*(I47/100)&lt;0.1*J47,"no benefit",
IF(H47*(I47/100)&lt;0.3*J47,"limited benefit",
IF(H47*(I47/100)&lt;1.1*J47,"benefit",
IF(H47*(I47/100)&lt;0.7*VLOOKUP(Calc!BI45,'Fertiliser recommendations'!$A$4:$I$63,9,FALSE),"excessive","too high, not acceptable")))),
IF(OR(AND('Soil results'!G$7="Olsen (ADAS)",'Soil results'!G50&gt;20),AND('Soil results'!G$7="modified Morgan (SAC)",'Soil results'!G50&gt;9.4)),
IF(H47*Calc!BM45*(I47/100)&lt;0.1*J47,"no benefit",
IF(H47*Calc!BM45*(I47/100)&lt;0.3*J47,"limited benefit",
IF(H47*Calc!BM45*(I47/100)&lt;1.1*J47,"benefit",
IF(L47="3 (H)","too high, not acceptable","excessive")))),
IF(OR(AND('Soil results'!G$7="Olsen (ADAS)",'Soil results'!G50&gt;15),AND('Soil results'!G$7="modified Morgan (SAC)",'Soil results'!G50&gt;4.4)),
IF(H47*Calc!BM45*(I47/100)&lt;0.1*VLOOKUP(Calc!BI45,'Fertiliser recommendations'!$A$4:$I$63,9,FALSE),"no benefit",
IF(H47*Calc!BM45*(I47/100)&lt;0.3*VLOOKUP(Calc!BI45,'Fertiliser recommendations'!$A$4:$I$63,9,FALSE),"limited benefit",
IF(H47*Calc!BM45*(I47/100)&lt;1.1*VLOOKUP(Calc!BI45,'Fertiliser recommendations'!$A$4:$I$63,9,FALSE),"benefit",
IF(L47="3 (H)", "too high, not acceptable", "excessive")))),
IF(OR(AND('Soil results'!G$7="Olsen (ADAS)",'Soil results'!G50&lt;=15),AND('Soil results'!G$7="modified Morgan (SAC)",'Soil results'!G50&lt;=4.4)),
IF(H47*Calc!BM45*(I47/100)&lt;0.1*VLOOKUP(Calc!BI45,'Fertiliser recommendations'!$A$4:$I$63,9,FALSE),"no benefit",
IF(H47*Calc!BM45*(I47/100)&lt;0.3*VLOOKUP(Calc!BI45,'Fertiliser recommendations'!$A$4:$I$63,9,FALSE),"limited benefit",
IF(H47*Calc!BM45*(I47/100)&lt;1.1*J47,"benefit","excessive")))))))))))</f>
        <v/>
      </c>
      <c r="O47" s="91" t="str">
        <f ca="1">IF(B47="","",
IF(AND('Field information 2'!$O$5="", 'Field information 2'!$Q$5=""),
   IF('Waste results'!$S$19&lt;&gt;"data missing", Calc!BC45*'Waste results'!$S$19, "data missing"),
IF('Field information 2'!$Q$5="",
   IF(Calc!BD45=0,
     IF('Waste results'!$S$19&lt;&gt;"data missing", Calc!BC45*'Waste results'!$S$19, "data missing"),
   IF(Calc!BC45=0,
     IF('Waste results'!$S$55&lt;&gt;"data missing", Calc!BD45*'Waste results'!$S$55, "data missing"),
   IF(OR('Waste results'!$S$19&lt;&gt;"data missing", 'Waste results'!$S$55&lt;&gt;"data missing"), Calc!BC45*'Waste results'!$S$19+ Calc!BD45*'Waste results'!$S$55, "data missing"))),
IF(AND('Field information 2'!$M$5&lt;&gt;"", 'Field information 2'!$O$5&lt;&gt;"", 'Field information 2'!$Q$5&lt;&gt;""),
   IF(AND(Calc!BD45=0,Calc!BE45=0),
     IF('Waste results'!$S$19&lt;&gt;"data missing", Calc!BC45*'Waste results'!$S$19, "data missing"),
   IF(AND(Calc!BC45=0,Calc!BE45=0),
     IF('Waste results'!$S$55&lt;&gt;"data missing", Calc!BD45*'Waste results'!$S$55, "data missing"),
   IF(AND(Calc!BC45=0,Calc!BD45=0),
     IF('Waste results'!$S$91&lt;&gt;"data missing", Calc!BE45*'Waste results'!$S$91, "data missing"),
   IF(Calc!BE45=0,
     IF(OR('Waste results'!$S$19&lt;&gt;"data missing", 'Waste results'!$S$55&lt;&gt;"data missing"), Calc!BC45*'Waste results'!$S$19+ Calc!BD45*'Waste results'!$S$55, "data missing"),
   IF(Calc!BD45=0,
     IF(OR('Waste results'!$S$19&lt;&gt;"data missing", 'Waste results'!$S$91&lt;&gt;"data missing"), Calc!BC45*'Waste results'!$S$19+ Calc!BE45*'Waste results'!$S$91, "data missing"),
   IF(Calc!BC45=0,
     IF(OR('Waste results'!$S$55&lt;&gt;"data missing", 'Waste results'!$S$91&lt;&gt;"data missing"), Calc!BD45*'Waste results'!$S$55+Calc!BE45*'Waste results'!$S$91, "data missing"),
   IF(OR('Waste results'!$S$19&lt;&gt;"data missing", 'Waste results'!$S$55&lt;&gt;"data missing", 'Waste results'!$S$91&lt;&gt;"data missing"), Calc!BC45*'Waste results'!$S$19+Calc!BD45*'Waste results'!$S$55+ Calc!BE45*'Waste results'!$S$91, "data missing")))))))))))</f>
        <v/>
      </c>
      <c r="P47" s="91" t="str">
        <f ca="1">IF(B47="","",
IF(OR(ISBLANK('Soil results'!H$7),ISBLANK('Soil results'!H50)),"data missing",
IF(OR(AND('Soil results'!H$7="ammonium nitrate (ADAS)",'Soil results'!H50&gt;400),AND('Soil results'!H$7="modified Morgan (SAC)",'Soil results'!H50&gt;400)),0,
IF(OR(AND('Soil results'!H$7="ammonium nitrate (ADAS)",'Soil results'!H50&gt;=121,'Soil results'!H50&lt;=180),AND('Soil results'!H$7="modified Morgan (SAC)",'Soil results'!H50&gt;=76,'Soil results'!H50&lt;=140)),VLOOKUP(Calc!BI45,'Fertiliser recommendations'!$A$4:$Z$63,26,FALSE),
IF(OR(AND('Soil results'!H$7="ammonium nitrate (ADAS)",'Soil results'!H50&lt;61),AND('Soil results'!H$7="modified Morgan (SAC)",'Soil results'!H50&lt;40)),VLOOKUP(Calc!BI45,'Fertiliser recommendations'!$A$4:$Z$63,26,FALSE)+VLOOKUP(Calc!BI45,'Fertiliser recommendations'!$A$4:$AA$63,27,FALSE),
IF(OR(AND('Soil results'!H$7="ammonium nitrate (ADAS)",'Soil results'!H50&lt;121),AND('Soil results'!H$7="modified Morgan (SAC)",'Soil results'!H50&lt;76)),VLOOKUP(Calc!BI45,'Fertiliser recommendations'!$A$4:$Z$63,26,FALSE)+VLOOKUP(Calc!BI45,'Fertiliser recommendations'!$A$4:$AB$63,28,FALSE),
IF(OR(AND('Soil results'!H$7="ammonium nitrate (ADAS)",'Soil results'!H50&lt;241),AND('Soil results'!H$7="modified Morgan (SAC)",'Soil results'!H50&lt;201)),VLOOKUP(Calc!BI45,'Fertiliser recommendations'!$A$4:$Z$63,26,FALSE)+VLOOKUP(Calc!BI45,'Fertiliser recommendations'!$A$4:$AC$63,29,FALSE),
IF(OR(AND('Soil results'!H$7="ammonium nitrate (ADAS)",'Soil results'!H50&lt;=400),AND('Soil results'!H$7="modified Morgan (SAC)",'Soil results'!H50&lt;=400)),VLOOKUP(Calc!BI45,'Fertiliser recommendations'!$A$4:$Z$63,26,FALSE)+VLOOKUP(Calc!BI45,'Fertiliser recommendations'!$A$4:$AD$63,30,FALSE),
"??"))))))))</f>
        <v/>
      </c>
      <c r="Q47" s="91" t="str">
        <f t="shared" ca="1" si="2"/>
        <v/>
      </c>
      <c r="R47" s="9" t="str">
        <f ca="1">IF(B47="","",
IF(OR(O47="data missing",P47="data missing"),"data missing",
IF(Calc!BF45=0,"n/a",
IF(P47=0, "no requirement",
IF(O47&lt;0.1*P47,"no benefit",
IF(O47&lt;0.3*P47,"limited benefit",
IF(O47&gt;1.25*P47,"excessive",
"benefit")))))))</f>
        <v/>
      </c>
      <c r="T47" s="91" t="str">
        <f ca="1">IF(B47="","",
IF(AND('Field information 2'!$O$5="", 'Field information 2'!$Q$5=""),
   IF('Waste results'!$S$21&lt;&gt;"data missing", Calc!BC45*'Waste results'!$S$21, "data missing"),
IF('Field information 2'!$Q$5="",
   IF(Calc!BD45=0,
     IF('Waste results'!$S$21&lt;&gt;"data missing", Calc!BC45*'Waste results'!$S$21, "data missing"),
   IF(Calc!BC45=0,
     IF('Waste results'!$S$57&lt;&gt;"data missing", Calc!BD45*'Waste results'!$S$57, "data missing"),
   IF(OR('Waste results'!$S$21&lt;&gt;"data missing", 'Waste results'!$S$57&lt;&gt;"data missing"), Calc!BC45*'Waste results'!$S$21+ Calc!BD45*'Waste results'!$S$57, "data missing"))),
IF(AND('Field information 2'!$M$5&lt;&gt;"", 'Field information 2'!$O$5&lt;&gt;"", 'Field information 2'!$Q$5&lt;&gt;""),
   IF(AND(Calc!BD45=0,Calc!BE45=0),
     IF('Waste results'!$S$21&lt;&gt;"data missing", Calc!BC45*'Waste results'!$S$21, "data missing"),
   IF(AND(Calc!BC45=0,Calc!BE45=0),
     IF('Waste results'!$S$57&lt;&gt;"data missing", Calc!BD45*'Waste results'!$S$57, "data missing"),
   IF(AND(Calc!BC45=0,Calc!BD45=0),
     IF('Waste results'!$S$93&lt;&gt;"data missing", Calc!BE45*'Waste results'!$S$93, "data missing"),
   IF(Calc!BE45=0,
     IF(OR('Waste results'!$S$21&lt;&gt;"data missing", 'Waste results'!$S$57&lt;&gt;"data missing"), Calc!BC45*'Waste results'!$S$21+ Calc!BD45*'Waste results'!$S$57, "data missing"),
   IF(Calc!BD45=0,
     IF(OR('Waste results'!$S$21&lt;&gt;"data missing", 'Waste results'!$S$93&lt;&gt;"data missing"), Calc!BC45*'Waste results'!$S$21+ Calc!BE45*'Waste results'!$S$93, "data missing"),
   IF(Calc!BC45=0,
     IF(OR('Waste results'!$S$57&lt;&gt;"data missing", 'Waste results'!$S$93&lt;&gt;"data missing"), Calc!BD45*'Waste results'!$S$57+Calc!BE45*'Waste results'!$S$93, "data missing"),
   IF(OR('Waste results'!$S$21&lt;&gt;"data missing", 'Waste results'!$S$57&lt;&gt;"data missing", 'Waste results'!$S$93&lt;&gt;"data missing"), Calc!BC45*'Waste results'!$S$21+Calc!BD45*'Waste results'!$S$57+ Calc!BE45*'Waste results'!$S$93, "data missing")))))))))))</f>
        <v/>
      </c>
      <c r="U47" s="7" t="str">
        <f ca="1">IF(B47="","",
IF(OR(ISBLANK('Soil results'!I$7),ISBLANK('Soil results'!I50)),"data missing",
IF(OR(AND('Soil results'!I$7="ammonium nitrate (ADAS)",'Soil results'!I50&gt;51),AND('Soil results'!I$7="modified Morgan (SAC)",'Soil results'!I50&gt;61)),0,
IF(OR(AND('Soil results'!I$7="ammonium nitrate (ADAS)",'Soil results'!I50&lt;25),AND('Soil results'!I$7="modified Morgan (SAC)",'Soil results'!I50&lt;19)),VLOOKUP(Calc!BI45,'Fertiliser recommendations'!$A$4:$AH$63,34,FALSE),
IF(OR(AND('Soil results'!I$7="ammonium nitrate (ADAS)",'Soil results'!I50&lt;=51),AND('Soil results'!I$7="modified Morgan (SAC)",'Soil results'!I50&lt;=61)),VLOOKUP(Calc!BI45,'Fertiliser recommendations'!$A$4:$AI$63,35,FALSE),
"")))))</f>
        <v/>
      </c>
      <c r="V47" s="91" t="str">
        <f t="shared" ca="1" si="3"/>
        <v/>
      </c>
      <c r="W47" s="9" t="str">
        <f ca="1">IF(B47="","",
IF(OR(T47="data missing",U47="data missing"),"data missing",
IF(Calc!BF45=0,"n/a",
IF(U47=0,"no requirement",
IF(T47&lt;0.1*U47,"no benefit",
IF(T47&lt;0.3*U47,"limited benefit",
IF(OR(T47&gt;1.5*U47,AND(Calc!BJ45="g",T47&gt;100)),"excessive",
"benefit")))))))</f>
        <v/>
      </c>
      <c r="Y47" s="91" t="str">
        <f ca="1">IF(B47="","",
IF(AND('Field information 2'!$O$5="", 'Field information 2'!$Q$5=""),
   IF('Waste results'!$P$23&lt;&gt;"", Calc!BC45*'Waste results'!$P$23, "no data"),
IF('Field information 2'!$Q$5="",
   IF(Calc!BD45=0,
     IF('Waste results'!$P$23&lt;&gt;"", Calc!BC45*'Waste results'!$P$23, "no data"),
   IF(Calc!BC45=0,
     IF('Waste results'!$P$59&lt;&gt;"", Calc!BD45*'Waste results'!$P$59, "no data"),
   IF(OR('Waste results'!$P$23&lt;&gt;"", 'Waste results'!$P$59&lt;&gt;""), Calc!BC45*'Waste results'!$P$23+ Calc!BD45*'Waste results'!$P$59, "no data"))),
IF(AND('Field information 2'!$M$5&lt;&gt;"", 'Field information 2'!$O$5&lt;&gt;"", 'Field information 2'!$Q$5&lt;&gt;""),
   IF(AND(Calc!BD45=0,Calc!BE45=0),
     IF('Waste results'!$P$23&lt;&gt;"", Calc!BC45*'Waste results'!$P$23, "no data"),
   IF(AND(Calc!BC45=0,Calc!BE45=0),
     IF('Waste results'!$P$59&lt;&gt;"", Calc!BD45*'Waste results'!$P$59, "no data"),
   IF(AND(Calc!BC45=0,Calc!BD45=0),
     IF('Waste results'!$P$95&lt;&gt;"", Calc!BE45*'Waste results'!$P$95, "no data"),
   IF(Calc!BE45=0,
     IF(OR('Waste results'!$P$23&lt;&gt;"", 'Waste results'!$P$59&lt;&gt;""), Calc!BC45*'Waste results'!$P$23+ Calc!BD45*'Waste results'!$P$59, "no data"),
   IF(Calc!BD45=0,
     IF(OR('Waste results'!$P$23&lt;&gt;"", 'Waste results'!$P$95&lt;&gt;""), Calc!BC45*'Waste results'!$P$23+ Calc!BE45*'Waste results'!$P$95, "no data"),
   IF(Calc!BC45=0,
     IF(OR('Waste results'!$P$59&lt;&gt;"", 'Waste results'!$P$95&lt;&gt;""), Calc!BD45*'Waste results'!$P$59+Calc!BE45*'Waste results'!$P$95, "no data"),
   IF(OR('Waste results'!$P$23&lt;&gt;"", 'Waste results'!$P$59&lt;&gt;"", 'Waste results'!$P$95&lt;&gt;""), Calc!BC45*'Waste results'!$P$23+Calc!BD45*'Waste results'!$P$59+ Calc!BE45*'Waste results'!$P$95, "no data")))))))))))</f>
        <v/>
      </c>
      <c r="Z47" s="7" t="str">
        <f ca="1">IF(OR(ISBLANK('Soil results'!I$7),ISBLANK('Soil results'!I50),'Soil results'!B50=""),"",
VLOOKUP(Calc!BI45,'Fertiliser recommendations'!$A$4:$AM$63,39,FALSE))</f>
        <v/>
      </c>
      <c r="AA47" s="91" t="str">
        <f t="shared" ca="1" si="4"/>
        <v/>
      </c>
      <c r="AB47" s="9" t="str">
        <f t="shared" ca="1" si="5"/>
        <v/>
      </c>
      <c r="AD47" s="48" t="str">
        <f>IF(ISBLANK('Soil results'!F50),"",'Soil results'!F50)</f>
        <v/>
      </c>
      <c r="AE47" s="49" t="str">
        <f ca="1">IF(B47="","",
IF(AND(Calc!BJ45="g", VLOOKUP(LEFT($B47,LEN($B47)-2),'Field information 2'!$B$12:$P$111,9,FALSE)&lt;&gt;"yes"),
 IF(Calc!BG45="10-25% OM", 5.9, IF(Calc!BG45="&gt;25% OM", 5.5, 6.2)),
IF(OR(Calc!BJ45="a", VLOOKUP(LEFT($B47,LEN($B47)-2),'Field information 2'!$B$12:$P$111,9,FALSE)="yes"),
 IF(Calc!BG45="10-25% OM", 6.4, IF(Calc!BG45="&gt;25% OM", 6, 6.7)), "")))</f>
        <v/>
      </c>
      <c r="AF47" s="91" t="str">
        <f ca="1">IF(B47="","",
IF('Waste results'!$Q$33="","no (significant) liming properties",
IF('Waste results'!Q$33&gt;100,"no (significant) liming properties",
IF(AD47="","",
IF(AD47&gt;=AE47,0,ROUNDDOWN((AE47-AD47)*Calc!BK45*'Waste results'!$Q$33+0.2,0))))))</f>
        <v/>
      </c>
      <c r="AG47" s="9" t="str">
        <f ca="1">IF(B47="","",
IF(T47=0,"n/a",
IF(AD47="","data missing",
IF(AND(AD47&lt;5,AF47="no (significant) liming properties"),"no waste application - pH too low",
IF(AND(AD47&gt;5.1,AF47="no (significant) liming properties",Calc!BH45&gt;25, LEFT(Calc!BI45,4)="graz"),"ok",
IF(AND(AD47&lt;=5.2,AF47="no (significant) liming properties"),"liming highly recommended",
IF(AF47=0,"no waste application - liming not required",
IF(AF47&lt;Calc!BC45,"application rate too high - exceeds liming requirement",
"ok"))))))))</f>
        <v/>
      </c>
      <c r="AI47" s="91" t="str">
        <f ca="1">IF(B47="","",
IF(AND('Field information 2'!$O$5="", 'Field information 2'!$Q$5=""),
   IF('Waste results'!$P$10&lt;&gt;"data missing", Calc!BC45*'Waste results'!$P$10, "data missing"),
IF('Field information 2'!$Q$5="",
   IF(Calc!BD45=0,
     IF('Waste results'!$P$10&lt;&gt;"data missing", Calc!BC45*'Waste results'!$P$10, "data missing"),
   IF(Calc!BC45=0,
     IF('Waste results'!$P$45&lt;&gt;"data missing", Calc!BD45*'Waste results'!$P$45, "data missing"),
   IF(OR('Waste results'!$P$10&lt;&gt;"data missing", 'Waste results'!$P$45&lt;&gt;"data missing"), Calc!BC45*'Waste results'!$P$10+ Calc!BD45*'Waste results'!$P$45, "data missing"))),
IF(AND('Field information 2'!$M$5&lt;&gt;"", 'Field information 2'!$O$5&lt;&gt;"", 'Field information 2'!$Q$5&lt;&gt;""),
   IF(AND(Calc!BD45=0,Calc!BE45=0),
     IF('Waste results'!$P$10&lt;&gt;"data missing", Calc!BC45*'Waste results'!$P$10, "data missing"),
   IF(AND(Calc!BC45=0,Calc!BE45=0),
     IF('Waste results'!$P$45&lt;&gt;"data missing", Calc!BD45*'Waste results'!$P$45, "data missing"),
   IF(AND(Calc!BC45=0,Calc!BD45=0),
     IF('Waste results'!$P$82&lt;&gt;"data missing", Calc!BE45*'Waste results'!$P$82, "data missing"),
   IF(Calc!BE45=0,
     IF(OR('Waste results'!$P$10&lt;&gt;"data missing", 'Waste results'!$P$45&lt;&gt;"data missing"), Calc!BC45*'Waste results'!$P$10+ Calc!BD45*'Waste results'!$P$45, "data missing"),
   IF(Calc!BD45=0,
     IF(OR('Waste results'!$P$10&lt;&gt;"data missing", 'Waste results'!$P$82&lt;&gt;"data missing"), Calc!BC45*'Waste results'!$P$10+ Calc!BE45*'Waste results'!$P$82, "data missing"),
   IF(Calc!BC45=0,
     IF(OR('Waste results'!$P$45&lt;&gt;"data missing", 'Waste results'!$P$82&lt;&gt;"data missing"), Calc!BD45*'Waste results'!$P$45+Calc!BE45*'Waste results'!$P$82, "data missing"),
   IF(OR('Waste results'!$P$10&lt;&gt;"data missing", 'Waste results'!$P$45&lt;&gt;"data missing", 'Waste results'!$P$82&lt;&gt;"data missing"), Calc!BC45*'Waste results'!$P$10+Calc!BD45*'Waste results'!$P$45+ Calc!BE45*'Waste results'!$P$82, "data missing")))))))))))</f>
        <v/>
      </c>
      <c r="AJ47" s="237" t="str">
        <f ca="1">IF(B47="","",
IF(AI47="data missing","data missing",
IF(Calc!BF45=0,"n/a",
IF(AND(Calc!BH45&gt;=8,AI47&lt;500),"no benefit",
IF(OR(AND(Calc!BH45&lt;=4,AI47&gt;=500),AND(Calc!BH45&lt;8,AI47&gt;5000)),"benefit",
"limited benefit")))))</f>
        <v/>
      </c>
      <c r="AL47" s="238" t="str">
        <f ca="1">IF(B47="","",
IF(AND('Field information 2'!$O$5="", 'Field information 2'!$Q$5=""),
   IF('Waste results'!$S$25&lt;&gt;"data missing", Calc!BC45*'Waste results'!$S$25, "data missing"),
IF('Field information 2'!$Q$5="",
   IF(Calc!BD45=0,
     IF('Waste results'!$S$25&lt;&gt;"data missing", Calc!BC45*'Waste results'!$S$25, "data missing"),
   IF(Calc!BC45=0,
     IF('Waste results'!$S$61&lt;&gt;"data missing", Calc!BD45*'Waste results'!$S$61, "data missing"),
   IF(OR('Waste results'!$S$25&lt;&gt;"data missing", 'Waste results'!$S$61&lt;&gt;"data missing"), Calc!BC45*'Waste results'!$S$25+ Calc!BD45*'Waste results'!$S$61, "data missing"))),
IF(AND('Field information 2'!$M$5&lt;&gt;"", 'Field information 2'!$O$5&lt;&gt;"", 'Field information 2'!$Q$5&lt;&gt;""),
   IF(AND(Calc!BD45=0,Calc!BE45=0),
     IF('Waste results'!$S$25&lt;&gt;"data missing", Calc!BC45*'Waste results'!$S$25, "data missing"),
   IF(AND(Calc!BC45=0,Calc!BE45=0),
     IF('Waste results'!$S$61&lt;&gt;"data missing", Calc!BD45*'Waste results'!$S$61, "data missing"),
   IF(AND(Calc!BC45=0,Calc!BD45=0),
     IF('Waste results'!$S$97&lt;&gt;"data missing", Calc!BE45*'Waste results'!$S$97, "data missing"),
   IF(Calc!BE45=0,
     IF(OR('Waste results'!$S$25&lt;&gt;"data missing", 'Waste results'!$S$61&lt;&gt;"data missing"), Calc!BC45*'Waste results'!$S$25+ Calc!BD45*'Waste results'!$S$61, "data missing"),
   IF(Calc!BD45=0,
     IF(OR('Waste results'!$S$25&lt;&gt;"data missing", 'Waste results'!$S$97&lt;&gt;"data missing"), Calc!BC45*'Waste results'!$S$25+ Calc!BE45*'Waste results'!$S$97, "data missing"),
   IF(Calc!BC45=0,
     IF(OR('Waste results'!$S$61&lt;&gt;"data missing", 'Waste results'!$S$97&lt;&gt;"data missing"), Calc!BD45*'Waste results'!$S$61+Calc!BE45*'Waste results'!$S$97, "data missing"),
   IF(OR('Waste results'!$S$25&lt;&gt;"data missing", 'Waste results'!$S$61&lt;&gt;"data missing", 'Waste results'!$S$97&lt;&gt;"data missing"), Calc!BC45*'Waste results'!$S$25+Calc!BD45*'Waste results'!$S$61+ Calc!BE45*'Waste results'!$S$97, "data missing")))))))))))</f>
        <v/>
      </c>
      <c r="AM47" s="239" t="str">
        <f ca="1">IF($B47="","",
IF(ISBLANK('Soil results'!K50),"data missing",'Soil results'!K50))</f>
        <v/>
      </c>
      <c r="AN47" s="239" t="str">
        <f t="shared" ca="1" si="6"/>
        <v/>
      </c>
      <c r="AO47" s="9" t="str">
        <f t="shared" ca="1" si="7"/>
        <v/>
      </c>
      <c r="AQ47" s="240" t="str">
        <f ca="1">IF(B47="","",
IF(AND('Field information 2'!$O$5="", 'Field information 2'!$Q$5=""),
   IF('Waste results'!$S$26&lt;&gt;"data missing", Calc!BC45*'Waste results'!$S$26, "data missing"),
IF('Field information 2'!$Q$5="",
   IF(Calc!BD45=0,
     IF('Waste results'!$S$26&lt;&gt;"data missing", Calc!BC45*'Waste results'!$S$26, "data missing"),
   IF(Calc!BC45=0,
     IF('Waste results'!$S$62&lt;&gt;"data missing", Calc!BD45*'Waste results'!$S$62, "data missing"),
   IF(OR('Waste results'!$S$26&lt;&gt;"data missing", 'Waste results'!$S$62&lt;&gt;"data missing"), Calc!BC45*'Waste results'!$S$26+ Calc!BD45*'Waste results'!$S$62, "data missing"))),
IF(AND('Field information 2'!$M$5&lt;&gt;"", 'Field information 2'!$O$5&lt;&gt;"", 'Field information 2'!$Q$5&lt;&gt;""),
   IF(AND(Calc!BD45=0,Calc!BE45=0),
     IF('Waste results'!$S$26&lt;&gt;"data missing", Calc!BC45*'Waste results'!$S$26, "data missing"),
   IF(AND(Calc!BC45=0,Calc!BE45=0),
     IF('Waste results'!$S$62&lt;&gt;"data missing", Calc!BD45*'Waste results'!$S$62, "data missing"),
   IF(AND(Calc!BC45=0,Calc!BD45=0),
     IF('Waste results'!$S$98&lt;&gt;"data missing", Calc!BE45*'Waste results'!$S$98, "data missing"),
   IF(Calc!BE45=0,
     IF(OR('Waste results'!$S$26&lt;&gt;"data missing", 'Waste results'!$S$62&lt;&gt;"data missing"), Calc!BC45*'Waste results'!$S$26+ Calc!BD45*'Waste results'!$S$62, "data missing"),
   IF(Calc!BD45=0,
     IF(OR('Waste results'!$S$26&lt;&gt;"data missing", 'Waste results'!$S$98&lt;&gt;"data missing"), Calc!BC45*'Waste results'!$S$26+ Calc!BE45*'Waste results'!$S$98, "data missing"),
   IF(Calc!BC45=0,
     IF(OR('Waste results'!$S$62&lt;&gt;"data missing", 'Waste results'!$S$98&lt;&gt;"data missing"), Calc!BD45*'Waste results'!$S$62+Calc!BE45*'Waste results'!$S$98, "data missing"),
   IF(OR('Waste results'!$S$26&lt;&gt;"data missing", 'Waste results'!$S$62&lt;&gt;"data missing", 'Waste results'!$S$98&lt;&gt;"data missing"), Calc!BC45*'Waste results'!$S$26+Calc!BD45*'Waste results'!$S$62+ Calc!BE45*'Waste results'!$S$98, "data missing")))))))))))</f>
        <v/>
      </c>
      <c r="AR47" s="241" t="str">
        <f ca="1">IF($B47="","",
IF(ISBLANK('Soil results'!L50),"data missing",'Soil results'!L50))</f>
        <v/>
      </c>
      <c r="AS47" s="241" t="str">
        <f t="shared" ca="1" si="8"/>
        <v/>
      </c>
      <c r="AT47" s="66" t="str">
        <f t="shared" ca="1" si="9"/>
        <v/>
      </c>
      <c r="AV47" s="238" t="str">
        <f ca="1">IF(B47="","",
IF(AND('Field information 2'!$O$5="", 'Field information 2'!$Q$5=""),
   IF('Waste results'!$S$27&lt;&gt;"data missing", Calc!BC45*'Waste results'!$S$27, "data missing"),
IF('Field information 2'!$Q$5="",
   IF(Calc!BD45=0,
     IF('Waste results'!$S$27&lt;&gt;"data missing", Calc!BC45*'Waste results'!$S$27, "data missing"),
   IF(Calc!BC45=0,
     IF('Waste results'!$S$63&lt;&gt;"data missing", Calc!BD45*'Waste results'!$S$63, "data missing"),
   IF(OR('Waste results'!$S$27&lt;&gt;"data missing", 'Waste results'!$S$63&lt;&gt;"data missing"), Calc!BC45*'Waste results'!$S$27+ Calc!BD45*'Waste results'!$S$63, "data missing"))),
IF(AND('Field information 2'!$M$5&lt;&gt;"", 'Field information 2'!$O$5&lt;&gt;"", 'Field information 2'!$Q$5&lt;&gt;""),
   IF(AND(Calc!BD45=0,Calc!BE45=0),
     IF('Waste results'!$S$27&lt;&gt;"data missing", Calc!BC45*'Waste results'!$S$27, "data missing"),
   IF(AND(Calc!BC45=0,Calc!BE45=0),
     IF('Waste results'!$S$63&lt;&gt;"data missing", Calc!BD45*'Waste results'!$S$63, "data missing"),
   IF(AND(Calc!BC45=0,Calc!BD45=0),
     IF('Waste results'!$S$99&lt;&gt;"data missing", Calc!BE45*'Waste results'!$S$99, "data missing"),
   IF(Calc!BE45=0,
     IF(OR('Waste results'!$S$27&lt;&gt;"data missing", 'Waste results'!$S$63&lt;&gt;"data missing"), Calc!BC45*'Waste results'!$S$27+ Calc!BD45*'Waste results'!$S$63, "data missing"),
   IF(Calc!BD45=0,
     IF(OR('Waste results'!$S$27&lt;&gt;"data missing", 'Waste results'!$S$99&lt;&gt;"data missing"), Calc!BC45*'Waste results'!$S$27+ Calc!BE45*'Waste results'!$S$99, "data missing"),
   IF(Calc!BC45=0,
     IF(OR('Waste results'!$S$63&lt;&gt;"data missing", 'Waste results'!$S$99&lt;&gt;"data missing"), Calc!BD45*'Waste results'!$S$63+Calc!BE45*'Waste results'!$S$99, "data missing"),
   IF(OR('Waste results'!$S$27&lt;&gt;"data missing", 'Waste results'!$S$63&lt;&gt;"data missing", 'Waste results'!$S$99&lt;&gt;"data missing"), Calc!BC45*'Waste results'!$S$27+Calc!BD45*'Waste results'!$S$63+ Calc!BE45*'Waste results'!$S$99, "data missing")))))))))))</f>
        <v/>
      </c>
      <c r="AW47" s="239" t="str">
        <f ca="1">IF($B47="","",
IF(ISBLANK('Soil results'!M50),"data missing",'Soil results'!M50))</f>
        <v/>
      </c>
      <c r="AX47" s="239" t="str">
        <f t="shared" ca="1" si="10"/>
        <v/>
      </c>
      <c r="AY47" s="9" t="str">
        <f ca="1">IF(B47="","",
IF(AV47=0,"n/a",
IF(OR(AV47="data missing",AW47="data missing"),"data missing",
IF(AV47&gt;7.5,"application rate too high - permissible rate exceeds limit",
IF('Soil results'!$F50&lt;=5.5,
  IF(AW47&gt;80,"no application - soil conc. already above limit",
  IF(AX47&gt;80,"application rate too high - soil conc. will exceed limit",
  IF(AW47&gt;80*0.9,"soil conc. is at or above 90% of the limit",
  IF(10*AV47*1000/3000+AW47&gt;80,"soil limit likely to be exceeded in 10yrs",
  IF(50*AV47*1000/3000+AW47&gt;80,"soil limit likely to be exceeded in 50yrs","ok"))))),
IF('Soil results'!$F50&lt;=6,
  IF(AW47&gt;100,"no application - soil conc. already above limit",
  IF(AX47&gt;100,"application rate too high - soil conc. will exceed limit",
  IF(AW47&gt;100*0.9,"soil conc. is at or above 90% of the limit",
  IF(10*AV47*1000/3000+AW47&gt;100,"soil limit likely to be exceeded in 10yrs",
  IF(50*AV47*1000/3000+AW47&gt;100,"soil limit likely to be exceeded in 50yrs","ok"))))),
IF('Soil results'!$F50&lt;=7,
  IF(AW47&gt;135,"no application - soil conc. already above limit",
  IF(AX47&gt;135,"application rate too high - soil conc. will exceed limit",
  IF(AW47&gt;135*0.9,"soil conc. is at or above 90% of the limit",
  IF(10*AV47*1000/3000+AW47&gt;135,"soil limit likely to be exceeded in 10yrs",
  IF(50*AV47*1000/3000+AW47&gt;135,"soil limit likely to be exceeded in 50yrs","ok"))))),
IF('Soil results'!$F50&gt;7,
  IF(AW47&gt;200,"no application - soil conc. already above limit",
  IF(AX47&gt;200,"application too high - soil conc. will exceed limit",
  IF(AW47&gt;200*0.9,"soil conc. is at or above 90% of the limit",
  IF(10*AV47*1000/3000+AW47&gt;200,"soil limit likely to be exceeded in 10yrs",
  IF(50*AV47*1000/3000+AW47&gt;200,"soil limit likely to be exceeded in 50yrs","ok")))))
))))))))</f>
        <v/>
      </c>
      <c r="BA47" s="238" t="str">
        <f ca="1">IF(B47="","",
IF(AND('Field information 2'!$O$5="", 'Field information 2'!$Q$5=""),
   IF('Waste results'!$S$28&lt;&gt;"data missing", Calc!BC45*'Waste results'!$S$28, "data missing"),
IF('Field information 2'!$Q$5="",
   IF(Calc!BD45=0,
     IF('Waste results'!$S$28&lt;&gt;"data missing", Calc!BC45*'Waste results'!$S$28, "data missing"),
   IF(Calc!BC45=0,
     IF('Waste results'!$S$64&lt;&gt;"data missing", Calc!BD45*'Waste results'!$S$64, "data missing"),
   IF(OR('Waste results'!$S$28&lt;&gt;"data missing", 'Waste results'!$S$64&lt;&gt;"data missing"), Calc!BC45*'Waste results'!$S$28+ Calc!BD45*'Waste results'!$S$64, "data missing"))),
IF(AND('Field information 2'!$M$5&lt;&gt;"", 'Field information 2'!$O$5&lt;&gt;"", 'Field information 2'!$Q$5&lt;&gt;""),
   IF(AND(Calc!BD45=0,Calc!BE45=0),
     IF('Waste results'!$S$28&lt;&gt;"data missing", Calc!BC45*'Waste results'!$S$28, "data missing"),
   IF(AND(Calc!BC45=0,Calc!BE45=0),
     IF('Waste results'!$S$64&lt;&gt;"data missing", Calc!BD45*'Waste results'!$S$64, "data missing"),
   IF(AND(Calc!BC45=0,Calc!BD45=0),
     IF('Waste results'!$S$100&lt;&gt;"data missing", Calc!BE45*'Waste results'!$S$100, "data missing"),
   IF(Calc!BE45=0,
     IF(OR('Waste results'!$S$28&lt;&gt;"data missing", 'Waste results'!$S$64&lt;&gt;"data missing"), Calc!BC45*'Waste results'!$S$28+ Calc!BD45*'Waste results'!$S$64, "data missing"),
   IF(Calc!BD45=0,
     IF(OR('Waste results'!$S$28&lt;&gt;"data missing", 'Waste results'!$S$100&lt;&gt;"data missing"), Calc!BC45*'Waste results'!$S$28+ Calc!BE45*'Waste results'!$S$100, "data missing"),
   IF(Calc!BC45=0,
     IF(OR('Waste results'!$S$64&lt;&gt;"data missing", 'Waste results'!$S$100&lt;&gt;"data missing"), Calc!BD45*'Waste results'!$S$64+Calc!BE45*'Waste results'!$S$100, "data missing"),
   IF(OR('Waste results'!$S$28&lt;&gt;"data missing", 'Waste results'!$S$64&lt;&gt;"data missing", 'Waste results'!$S$100&lt;&gt;"data missing"), Calc!BC45*'Waste results'!$S$28+Calc!BD45*'Waste results'!$S$64+ Calc!BE45*'Waste results'!$S$100, "data missing")))))))))))</f>
        <v/>
      </c>
      <c r="BB47" s="239" t="str">
        <f ca="1">IF($B47="","",
IF(ISBLANK('Soil results'!N50),"data missing",'Soil results'!N50))</f>
        <v/>
      </c>
      <c r="BC47" s="239" t="str">
        <f t="shared" ca="1" si="11"/>
        <v/>
      </c>
      <c r="BD47" s="9" t="str">
        <f t="shared" ca="1" si="12"/>
        <v/>
      </c>
      <c r="BF47" s="238" t="str">
        <f ca="1">IF(B47="","",
IF(AND('Field information 2'!$O$5="", 'Field information 2'!$Q$5=""),
   IF('Waste results'!$S$29&lt;&gt;"data missing", Calc!BC45*'Waste results'!$S$29, "data missing"),
IF('Field information 2'!$Q$5="",
   IF(Calc!BD45=0,
     IF('Waste results'!$S$29&lt;&gt;"data missing", Calc!BC45*'Waste results'!$S$29, "data missing"),
   IF(Calc!BC45=0,
     IF('Waste results'!$S$65&lt;&gt;"data missing", Calc!BD45*'Waste results'!$S$65, "data missing"),
   IF(OR('Waste results'!$S$29&lt;&gt;"data missing", 'Waste results'!$S$65&lt;&gt;"data missing"), Calc!BC45*'Waste results'!$S$29+ Calc!BD45*'Waste results'!$S$65, "data missing"))),
IF(AND('Field information 2'!$M$5&lt;&gt;"", 'Field information 2'!$O$5&lt;&gt;"", 'Field information 2'!$Q$5&lt;&gt;""),
   IF(AND(Calc!BD45=0,Calc!BE45=0),
     IF('Waste results'!$S$29&lt;&gt;"data missing", Calc!BC45*'Waste results'!$S$29, "data missing"),
   IF(AND(Calc!BC45=0,Calc!BE45=0),
     IF('Waste results'!$S$65&lt;&gt;"data missing", Calc!BD45*'Waste results'!$S$65, "data missing"),
   IF(AND(Calc!BC45=0,Calc!BD45=0),
     IF('Waste results'!$S$101&lt;&gt;"data missing", Calc!BE45*'Waste results'!$S$101, "data missing"),
   IF(Calc!BE45=0,
     IF(OR('Waste results'!$S$29&lt;&gt;"data missing", 'Waste results'!$S$65&lt;&gt;"data missing"), Calc!BC45*'Waste results'!$S$29+ Calc!BD45*'Waste results'!$S$65, "data missing"),
   IF(Calc!BD45=0,
     IF(OR('Waste results'!$S$29&lt;&gt;"data missing", 'Waste results'!$S$101&lt;&gt;"data missing"), Calc!BC45*'Waste results'!$S$29+ Calc!BE45*'Waste results'!$S$101, "data missing"),
   IF(Calc!BC45=0,
     IF(OR('Waste results'!$S$65&lt;&gt;"data missing", 'Waste results'!$S$101&lt;&gt;"data missing"), Calc!BD45*'Waste results'!$S$65+Calc!BE45*'Waste results'!$S$101, "data missing"),
   IF(OR('Waste results'!$S$29&lt;&gt;"data missing", 'Waste results'!$S$65&lt;&gt;"data missing", 'Waste results'!$S$101&lt;&gt;"data missing"), Calc!BC45*'Waste results'!$S$29+Calc!BD45*'Waste results'!$S$65+ Calc!BE45*'Waste results'!$S$101, "data missing")))))))))))</f>
        <v/>
      </c>
      <c r="BG47" s="239" t="str">
        <f ca="1">IF($B47="","",
IF(ISBLANK('Soil results'!O50),"data missing",'Soil results'!O50))</f>
        <v/>
      </c>
      <c r="BH47" s="239" t="str">
        <f t="shared" ca="1" si="13"/>
        <v/>
      </c>
      <c r="BI47" s="9" t="str">
        <f ca="1">IF(B47="","",
IF(BF47=0,"n/a",
IF(OR(BF47="data missing",BG47="data missing"),"data missing",
IF(BF47&gt;3,"application rate too high - permissible rate exceeds limit",
IF('Soil results'!F50&lt;=5.5,
  IF(BG47&gt;50,"no application - soil conc. already above limit",
  IF(BH47&gt;50,"application rate too high - soil conc. will exceed limit",
  IF(BG47&gt;50*0.9,"soil conc. is at or above 90% of the limit",
  IF(10*BF47*1000/3000+BG47&gt;50,"soil limit likely to be exceeded in 10yrs",
  IF(50*BF47*1000/3000+BG47&gt;50,"soil limit likely to be exceeded in 50yrs","ok"))))),
IF('Soil results'!F50&lt;=6,
  IF(BG47&gt;60,"no application - soil conc. already above limit",
  IF(BH47&gt;60,"application rate too high - soil conc. will exceed limit",
  IF(BG47&gt;60*0.9,"soil conc. is at or above 90% of the limit",
  IF(10*BF47*1000/3000+BG47&gt;60,"soil limit likely to be exceeded in 10yrs",
  IF(50*BF47*1000/3000+BG47&gt;60,"soil limit likely to be exceeded in 50yrs","ok"))))),
IF('Soil results'!F50&lt;=7,
  IF(BG47&gt;75,"no application - soil conc. already above limit",
  IF(BH47&gt;75,"application rate too high - soil conc. will exceed limit",
  IF(BG47&gt;75*0.9,"soil conc. is at or above 90% of the limit",
  IF(10*BF47*1000/3000+BG47&gt;75,"soil limit likely to be exceeded in 10yrs",
  IF(50*BF47*1000/3000+BG47&gt;75,"soil limit likely to be exceeded in 50yrs","ok"))))),
IF('Soil results'!F50&gt;7,
  IF(BG47&gt;100,"no application - soil conc. already above limit",
  IF(BH47&gt;100,"application rate too high - soil conc. will exceed limit",
  IF(BG47&gt;100*0.9,"soil conc. is at or above 90% of the limit",
  IF(10*BF47*1000/3000+BG47&gt;100,"soil limit likely to be exceeded in 10yrs",
  IF(50*BF47*1000/3000+BG47&gt;100,"soil limit likely to beexceeded in 50yrs","ok")))))
))))))))</f>
        <v/>
      </c>
      <c r="BK47" s="240" t="str">
        <f ca="1">IF(B47="","",
IF(AND('Field information 2'!$O$5="", 'Field information 2'!$Q$5=""),
   IF('Waste results'!$S$30&lt;&gt;"data missing", Calc!BC45*'Waste results'!$S$30, "data missing"),
IF('Field information 2'!$Q$5="",
   IF(Calc!BD45=0,
     IF('Waste results'!$S$30&lt;&gt;"data missing", Calc!BC45*'Waste results'!$S$30, "data missing"),
   IF(Calc!BC45=0,
     IF('Waste results'!$S$66&lt;&gt;"data missing", Calc!BD45*'Waste results'!$S$66, "data missing"),
   IF(OR('Waste results'!$S$30&lt;&gt;"data missing", 'Waste results'!$S$66&lt;&gt;"data missing"), Calc!BC45*'Waste results'!$S$30+ Calc!BD45*'Waste results'!$S$66, "data missing"))),
IF(AND('Field information 2'!$M$5&lt;&gt;"", 'Field information 2'!$O$5&lt;&gt;"", 'Field information 2'!$Q$5&lt;&gt;""),
   IF(AND(Calc!BD45=0,Calc!BE45=0),
     IF('Waste results'!$S$30&lt;&gt;"data missing", Calc!BC45*'Waste results'!$S$30, "data missing"),
   IF(AND(Calc!BC45=0,Calc!BE45=0),
     IF('Waste results'!$S$66&lt;&gt;"data missing", Calc!BD45*'Waste results'!$S$66, "data missing"),
   IF(AND(Calc!BC45=0,Calc!BD45=0),
     IF('Waste results'!$S$102&lt;&gt;"data missing", Calc!BE45*'Waste results'!$S$102, "data missing"),
   IF(Calc!BE45=0,
     IF(OR('Waste results'!$S$30&lt;&gt;"data missing", 'Waste results'!$S$66&lt;&gt;"data missing"), Calc!BC45*'Waste results'!$S$30+ Calc!BD45*'Waste results'!$S$66, "data missing"),
   IF(Calc!BD45=0,
     IF(OR('Waste results'!$S$30&lt;&gt;"data missing", 'Waste results'!$S$102&lt;&gt;"data missing"), Calc!BC45*'Waste results'!$S$30+ Calc!BE45*'Waste results'!$S$102, "data missing"),
   IF(Calc!BC45=0,
     IF(OR('Waste results'!$S$66&lt;&gt;"data missing", 'Waste results'!$S$102&lt;&gt;"data missing"), Calc!BD45*'Waste results'!$S$66+Calc!BE45*'Waste results'!$S$102, "data missing"),
   IF(OR('Waste results'!$S$30&lt;&gt;"data missing", 'Waste results'!$S$66&lt;&gt;"data missing", 'Waste results'!$S$102&lt;&gt;"data missing"), Calc!BC45*'Waste results'!$S$30+Calc!BD45*'Waste results'!$S$66+ Calc!BE45*'Waste results'!$S$102, "data missing")))))))))))</f>
        <v/>
      </c>
      <c r="BL47" s="241" t="str">
        <f ca="1">IF($B47="","",
IF(ISBLANK('Soil results'!P50),"data missing",'Soil results'!P50))</f>
        <v/>
      </c>
      <c r="BM47" s="241" t="str">
        <f t="shared" ca="1" si="14"/>
        <v/>
      </c>
      <c r="BN47" s="66" t="str">
        <f t="shared" ca="1" si="15"/>
        <v/>
      </c>
      <c r="BP47" s="238" t="str">
        <f ca="1">IF(B47="","",
IF(AND('Field information 2'!$O$5="", 'Field information 2'!$Q$5=""),
   IF('Waste results'!$S$31&lt;&gt;"data missing", Calc!BC45*'Waste results'!$S$31, "data missing"),
IF('Field information 2'!$Q$5="",
   IF(Calc!BD45=0,
     IF('Waste results'!$S$31&lt;&gt;"data missing", Calc!BC45*'Waste results'!$S$31, "data missing"),
   IF(Calc!BC45=0,
     IF('Waste results'!$S$67&lt;&gt;"data missing", Calc!BD45*'Waste results'!$S$67, "data missing"),
   IF(OR('Waste results'!$S$31&lt;&gt;"data missing", 'Waste results'!$S$67&lt;&gt;"data missing"), Calc!BC45*'Waste results'!$S$31+ Calc!BD45*'Waste results'!$S$67, "data missing"))),
IF(AND('Field information 2'!$M$5&lt;&gt;"", 'Field information 2'!$O$5&lt;&gt;"", 'Field information 2'!$Q$5&lt;&gt;""),
   IF(AND(Calc!BD45=0,Calc!BE45=0),
     IF('Waste results'!$S$31&lt;&gt;"data missing", Calc!BC45*'Waste results'!$S$31, "data missing"),
   IF(AND(Calc!BC45=0,Calc!BE45=0),
     IF('Waste results'!$S$67&lt;&gt;"data missing", Calc!BD45*'Waste results'!$S$67, "data missing"),
   IF(AND(Calc!BC45=0,Calc!BD45=0),
     IF('Waste results'!$S$103&lt;&gt;"data missing", Calc!BE45*'Waste results'!$S$103, "data missing"),
   IF(Calc!BE45=0,
     IF(OR('Waste results'!$S$31&lt;&gt;"data missing", 'Waste results'!$S$67&lt;&gt;"data missing"), Calc!BC45*'Waste results'!$S$31+ Calc!BD45*'Waste results'!$S$67, "data missing"),
   IF(Calc!BD45=0,
     IF(OR('Waste results'!$S$31&lt;&gt;"data missing", 'Waste results'!$S$103&lt;&gt;"data missing"), Calc!BC45*'Waste results'!$S$31+ Calc!BE45*'Waste results'!$S$103, "data missing"),
   IF(Calc!BC45=0,
     IF(OR('Waste results'!$S$67&lt;&gt;"data missing", 'Waste results'!$S$103&lt;&gt;"data missing"), Calc!BD45*'Waste results'!$S$67+Calc!BE45*'Waste results'!$S$103, "data missing"),
   IF(OR('Waste results'!$S$31&lt;&gt;"data missing", 'Waste results'!$S$67&lt;&gt;"data missing", 'Waste results'!$S$103&lt;&gt;"data missing"), Calc!BC45*'Waste results'!$S$31+Calc!BD45*'Waste results'!$S$67+ Calc!BE45*'Waste results'!$S$103, "data missing")))))))))))</f>
        <v/>
      </c>
      <c r="BQ47" s="239" t="str">
        <f ca="1">IF($B47="","",
IF(ISBLANK('Soil results'!Q50),"data missing",'Soil results'!Q50))</f>
        <v/>
      </c>
      <c r="BR47" s="239" t="str">
        <f t="shared" ca="1" si="16"/>
        <v/>
      </c>
      <c r="BS47" s="9" t="str">
        <f ca="1">IF(B47="","",
IF(BP47=0,"n/a",
IF(OR(BP47="data missing",BQ47=""),"data missing",
IF(BP47&gt;15,"application rate too high - permissible rate exceeds limit",
IF('Soil results'!F50&lt;=5.5,
  IF(BQ47&gt;200,"no application - soil conc. already above limit",
  IF(BR47&gt;200,"application rate too high - soil conc. will exceed limit",
  IF(BQ47&gt;200*0.9,"soil conc. is at or above 90% of the limit",
  IF(10*BP47*1000/3000+BQ47&gt;200,"soil limit likely to be exceeded in 10yrs",
  IF(50*BP47*1000/3000+BQ47&gt;200,"soil limit likely to be exceeded in 50yrs","ok"))))),
IF('Soil results'!F50&lt;=6,
  IF(BQ47&gt;250,"no application - soil conc. already above limit",
  IF(BR47&gt;250,"application rate too high - soil conc. will exceed limit",
  IF(BQ47&gt;250*0.9,"soil conc. is at or above 90% of the limit",
  IF(10*BP47*1000/3000+BQ47&gt;250,"soil limit likely to be exceeded in 10yrs",
  IF(50*BP47*1000/3000+BQ47&gt;250,"soil limit likely to be exceeded in 50yrs","ok"))))),
IF('Soil results'!F50&lt;=7,
  IF(BQ47&gt;300,"no application - soil conc. already above limit",
  IF(BR47&gt;300,"application rate too high - soil conc. will exceed limit",
  IF(BQ47&gt;300*0.9,"soil conc. is at or above 90% of the limit",
  IF(10*BP47*1000/3000+BQ47&gt;300,"soil limit likey to be exceeded in 10yrs",
  IF(50*BP47*1000/3000+BQ47&gt;300,"soil limit likely to be exceeded in 50yrs","ok"))))),
IF('Soil results'!F50&gt;7,
  IF(BQ47&gt;450,"no application - soil conc. already above limit",
  IF(BR47&gt;450,"application rate too high - soil conc. will exceed limit",
  IF(AW47&gt;450*0.9,"soil conc. is at or above 90% of the limit",
  IF(10*BP47*1000/3000+BQ47&gt;450,"soil limit likely to be exceeded in 10yrs",
  IF(50*BP47*1000/3000+BQ47&gt;450,"soil limit likely to be exceeded in 50yrs","ok")))))
))))))))</f>
        <v/>
      </c>
    </row>
    <row r="48" spans="2:71" s="9" customFormat="1" ht="15" x14ac:dyDescent="0.25">
      <c r="B48" s="236" t="str">
        <f ca="1">'Soil results'!B51</f>
        <v/>
      </c>
      <c r="C48" s="91" t="str">
        <f ca="1">IF(B48="","",
IF(AND('Field information 2'!$O$5="", 'Field information 2'!$Q$5=""),
   IF('Waste results'!$S$12&lt;&gt;"data missing", Calc!BC46*'Waste results'!$S$12, "data missing"),
IF('Field information 2'!$Q$5="",
   IF(Calc!BD46=0,
     IF('Waste results'!$S$12&lt;&gt;"data missing", Calc!BC46*'Waste results'!$S$12, "data missing"),
   IF(Calc!BC46=0,
     IF('Waste results'!$S$48&lt;&gt;"data missing", Calc!BD46*'Waste results'!$S$48, "data missing"),
   IF(OR('Waste results'!$S$12&lt;&gt;"data missing", 'Waste results'!$S$48&lt;&gt;"data missing"), Calc!BC46*'Waste results'!$S$12+ Calc!BD46*'Waste results'!$S$48, "data missing"))),
IF(AND('Field information 2'!$M$5&lt;&gt;"", 'Field information 2'!$O$5&lt;&gt;"", 'Field information 2'!$Q$5&lt;&gt;""),
   IF(AND(Calc!BD46=0,Calc!BE46=0),
     IF('Waste results'!$S$12&lt;&gt;"data missing", Calc!BC46*'Waste results'!$S$12, "data missing"),
   IF(AND(Calc!BC46=0,Calc!BE46=0),
     IF('Waste results'!$S$48&lt;&gt;"data missing", Calc!BD46*'Waste results'!$S$48, "data missing"),
   IF(AND(Calc!BC46=0,Calc!BD46=0),
     IF('Waste results'!$S$84&lt;&gt;"data missing", Calc!BE46*'Waste results'!$S$84, "data missing"),
   IF(Calc!BE46=0,
     IF(OR('Waste results'!$S$12&lt;&gt;"data missing", 'Waste results'!$S$48&lt;&gt;"data missing"), Calc!BC46*'Waste results'!$S$12+ Calc!BD46*'Waste results'!$S$48, "data missing"),
   IF(Calc!BD46=0,
     IF(OR('Waste results'!$S$12&lt;&gt;"data missing", 'Waste results'!$S$84&lt;&gt;"data missing"), Calc!BC46*'Waste results'!$S$12+ Calc!BE46*'Waste results'!$S$84, "data missing"),
   IF(Calc!BC46=0,
     IF(OR('Waste results'!$S$48&lt;&gt;"data missing", 'Waste results'!$S$84&lt;&gt;"data missing"), Calc!BD46*'Waste results'!$S$48+Calc!BE46*'Waste results'!$S$84, "data missing"),
   IF(OR('Waste results'!$S$12&lt;&gt;"data missing", 'Waste results'!$S$48&lt;&gt;"data missing", 'Waste results'!$S$84&lt;&gt;"data missing"), Calc!BC46*'Waste results'!$S$12+Calc!BD46*'Waste results'!$S$48+ Calc!BE46*'Waste results'!$S$84, "data missing")))))))))))</f>
        <v/>
      </c>
      <c r="D48" s="161" t="str">
        <f ca="1">IF(B48="","",
IF(Calc!BG46="","soil texture missing",
IF(OR(Calc!BG46="SL; SZL; ZL",Calc!BG46="SCL; CL; ZCL; SC; ZC; C"),VLOOKUP(Calc!BI46,'Fertiliser recommendations'!$A$4:$C$63,3,FALSE),
IF(Calc!BG46="S; LS",VLOOKUP(Calc!BI46,'Fertiliser recommendations'!$A$4:$C$63,3,FALSE)+VLOOKUP(Calc!BI46,'Fertiliser recommendations'!$A$4:$D$63,4,FALSE),
IF(Calc!BG46="10-25% OM",VLOOKUP(Calc!BI46,'Fertiliser recommendations'!$A$4:$C$63,3,FALSE)+VLOOKUP(Calc!BI46,'Fertiliser recommendations'!$A$4:$E$63,5,FALSE),
IF(Calc!BG46="&gt;25% OM",VLOOKUP(Calc!BI46,'Fertiliser recommendations'!$A$4:$C$63,3,FALSE)+VLOOKUP(Calc!BI46,'Fertiliser recommendations'!$A$4:$F$63,6,FALSE),
""))))))</f>
        <v/>
      </c>
      <c r="E48" s="91" t="str">
        <f t="shared" ca="1" si="0"/>
        <v/>
      </c>
      <c r="F48" s="9" t="str">
        <f ca="1">IF(B48="","",
IF(OR(C48="data missing",D48="soil texture missing"),"data missing",
IF(Calc!BF46=0,"n/a",
IF(C48&lt;0.1*D48,"no benefit",
IF(C48&lt;0.3*D48,"limited benefit",
IF(C48&gt;250,"exceeds limit",
IF(OR(AND(D48=0,C48&gt;75),C48&gt;1.25*D48),"excessive",
IF(D48=0, "no requirement",
"benefit"))))))))</f>
        <v/>
      </c>
      <c r="H48" s="91" t="str">
        <f ca="1">IF(B48="","",
IF(AND('Field information 2'!$O$5="", 'Field information 2'!$Q$5=""),
   IF('Waste results'!$S$17&lt;&gt;"data missing", Calc!BC46*'Waste results'!$S$17, "data missing"),
IF('Field information 2'!$Q$5="",
   IF(Calc!BD46=0,
     IF('Waste results'!$S$17&lt;&gt;"data missing", Calc!BC46*'Waste results'!$S$17, "data missing"),
   IF(Calc!BC46=0,
     IF('Waste results'!$S$53&lt;&gt;"data missing", Calc!BD46*'Waste results'!$S$53, "data missing"),
   IF(OR('Waste results'!$S$17&lt;&gt;"data missing", 'Waste results'!$S$53&lt;&gt;"data missing"), Calc!BC46*'Waste results'!$S$17+ Calc!BD46*'Waste results'!$S$53, "data missing"))),
IF(AND('Field information 2'!$M$5&lt;&gt;"", 'Field information 2'!$O$5&lt;&gt;"", 'Field information 2'!$Q$5&lt;&gt;""),
   IF(AND(Calc!BD46=0,Calc!BE46=0),
     IF('Waste results'!$S$17&lt;&gt;"data missing", Calc!BC46*'Waste results'!$S$17, "data missing"),
   IF(AND(Calc!BC46=0,Calc!BE46=0),
     IF('Waste results'!$S$53&lt;&gt;"data missing", Calc!BD46*'Waste results'!$S$53, "data missing"),
   IF(AND(Calc!BC46=0,Calc!BD46=0),
     IF('Waste results'!$S$89&lt;&gt;"data missing", Calc!BE46*'Waste results'!$S$89, "data missing"),
   IF(Calc!BE46=0,
     IF(OR('Waste results'!$S$17&lt;&gt;"data missing", 'Waste results'!$S$53&lt;&gt;"data missing"), Calc!BC46*'Waste results'!$S$17+ Calc!BD46*'Waste results'!$S$53, "data missing"),
   IF(Calc!BD46=0,
     IF(OR('Waste results'!$S$17&lt;&gt;"data missing", 'Waste results'!$S$89&lt;&gt;"data missing"), Calc!BC46*'Waste results'!$S$17+ Calc!BE46*'Waste results'!$S$89, "data missing"),
   IF(Calc!BC46=0,
     IF(OR('Waste results'!$S$53&lt;&gt;"data missing", 'Waste results'!$S$89&lt;&gt;"data missing"), Calc!BD46*'Waste results'!$S$53+Calc!BE46*'Waste results'!$S$89, "data missing"),
   IF(OR('Waste results'!$S$17&lt;&gt;"data missing", 'Waste results'!$S$53&lt;&gt;"data missing", 'Waste results'!$S$89&lt;&gt;"data missing"), Calc!BC46*'Waste results'!$S$17+Calc!BD46*'Waste results'!$S$53+ Calc!BE46*'Waste results'!$S$89, "data missing")))))))))))</f>
        <v/>
      </c>
      <c r="I48" s="195" t="str">
        <f ca="1">IF(B48="","",
IF(OR(ISBLANK('Soil results'!G51), ISBLANK('Soil results'!G$7)),"data missing",
IF(OR(AND('Soil results'!G$7="Olsen (ADAS)",'Soil results'!G51&lt;16),AND('Soil results'!G$7="modified Morgan (SAC)",'Soil results'!G51&lt;4.5)),50,100)))</f>
        <v/>
      </c>
      <c r="J48" s="49" t="str">
        <f ca="1">IF(B48="","",
IF(OR(ISBLANK('Soil results'!G$7),ISBLANK('Soil results'!G51)),"data missing",
IF(OR(AND('Soil results'!G$7="Olsen (ADAS)",'Soil results'!G51&gt;45),AND('Soil results'!G$7="modified Morgan (SAC)",'Soil results'!G51&gt;30)),0,
IF(OR(AND('Soil results'!G$7="Olsen (ADAS)",'Soil results'!G51&gt;=16,'Soil results'!G51&lt;=20),AND('Soil results'!G$7="modified Morgan (SAC)",'Soil results'!G51&gt;=4.5,'Soil results'!G51&lt;=9.4)),VLOOKUP(Calc!BI46,'Fertiliser recommendations'!$A$4:$I$63,9,FALSE),
IF(OR(AND('Soil results'!G$7="Olsen (ADAS)",'Soil results'!G51&lt;10),AND('Soil results'!G$7="modified Morgan (SAC)",'Soil results'!G51&lt;1.8)),VLOOKUP(Calc!BI46,'Fertiliser recommendations'!$A$4:$I$63,9,FALSE)+VLOOKUP(Calc!BI46,'Fertiliser recommendations'!$A$4:$J$63,10,FALSE),
IF(OR(AND('Soil results'!G$7="Olsen (ADAS)",'Soil results'!G51&lt;16),AND('Soil results'!G$7="modified Morgan (SAC)",'Soil results'!G51&lt;4.5)),VLOOKUP(Calc!BI46,'Fertiliser recommendations'!$A$4:$I$63,9,FALSE)+VLOOKUP(Calc!BI46,'Fertiliser recommendations'!$A$4:$K$63,11,FALSE),
IF(OR(AND('Soil results'!G$7="Olsen (ADAS)",'Soil results'!G51&lt;26),AND('Soil results'!G$7="modified Morgan (SAC)",'Soil results'!G51&lt;13.5)),VLOOKUP(Calc!BI46,'Fertiliser recommendations'!$A$4:$I$63,9,FALSE)+VLOOKUP(Calc!BI46,'Fertiliser recommendations'!$A$4:$L$63,12,FALSE),
IF(OR(AND('Soil results'!G$7="Olsen (ADAS)",'Soil results'!G51&lt;=45),AND('Soil results'!G$7="modified Morgan (SAC)",'Soil results'!G51&lt;=30)),VLOOKUP(Calc!BI46,'Fertiliser recommendations'!$A$4:$I$63,9,FALSE)+VLOOKUP(Calc!BI46,'Fertiliser recommendations'!$A$4:$M$63,13,FALSE),
""))))))))</f>
        <v/>
      </c>
      <c r="K48" s="161" t="str">
        <f t="shared" ca="1" si="1"/>
        <v/>
      </c>
      <c r="L48" s="47" t="str">
        <f ca="1">IF(OR(ISBLANK('Soil results'!G$7),ISBLANK('Soil results'!G51),B48="", H48="data missing"),"",
IF('Soil results'!G$7="Olsen (ADAS)",
IF(((H48*Calc!BM46/2.291-(VLOOKUP(Calc!BI46,'Fertiliser recommendations'!$A$4:$I$63,9,FALSE))/2.291)*10/(400/2.291)+'Soil results'!G51)&lt;10,"0 (VL)",
IF(((H48*Calc!BM46/2.291-(VLOOKUP(Calc!BI46,'Fertiliser recommendations'!$A$4:$I$63,9,FALSE))/2.291)*10/(400/2.291)+'Soil results'!G51)&lt;16,"1 (L)",
IF(((H48*Calc!BM46/2.291-(VLOOKUP(Calc!BI46,'Fertiliser recommendations'!$A$4:$I$63,9,FALSE))/2.291)*10/(400/2.291)+'Soil results'!G51)&lt;21,"2 (M-)",
IF(((H48*Calc!BM46/2.291-(VLOOKUP(Calc!BI46,'Fertiliser recommendations'!$A$4:$I$63,9,FALSE))/2.291)*10/(400/2.291)+'Soil results'!G51)&lt;26,"2 (M+)",
IF(((H48*Calc!BM46/2.291-(VLOOKUP(Calc!BI46,'Fertiliser recommendations'!$A$4:$I$63,9,FALSE))/2.291)*10/(400/2.291)+'Soil results'!G51)&lt;45,"3 (H)","&gt;3 (VH)"))))),
IF('Soil results'!G$7="modified Morgan (SAC)",
IF('Soil results'!G51&gt;=6,
IF(((H48*Calc!BM46/2.291-(VLOOKUP(Calc!BI46,'Fertiliser recommendations'!$A$4:$I$63,9,FALSE))/2.291)*5/(147/2.291)+'Soil results'!G51)&lt;9.5,"2 (M-)",
IF(((H48*Calc!BM46/2.291-(VLOOKUP(Calc!BI46,'Fertiliser recommendations'!$A$4:$I$63,9,FALSE))/2.291)*5/(147/2.291)+'Soil results'!G51)&lt;13.5,"2 (M+)",
IF(((H48*Calc!BM46/2.291-(VLOOKUP(Calc!BI46,'Fertiliser recommendations'!$A$4:$I$63,9,FALSE))/2.291)*5/(147/2.291)+'Soil results'!G51)&lt;30,"3 (H)","4 (VH)"))),
IF(((H48*Calc!BM46/2.291-(VLOOKUP(Calc!BI46,'Fertiliser recommendations'!$A$4:$I$63,9,FALSE))/2.291)*5/(346/2.291)+'Soil results'!G51)&lt;1.8,"0 (VL)",
IF(((H48*Calc!BM46/2.291-(VLOOKUP(Calc!BI46,'Fertiliser recommendations'!$A$4:$I$63,9,FALSE))/2.291)*5/(147/2.291)+'Soil results'!G51)&lt;4.5,"1 (L)","2 (M-)"))))))</f>
        <v/>
      </c>
      <c r="M48" s="9" t="str">
        <f ca="1">IF(B48="","",
IF(OR(H48="data missing",I48="data missing",J48="data missing"),"data missing",
IF(Calc!BF46=0,"n/a",
IF(OR(AND('Soil results'!G$7="Olsen (ADAS)",'Soil results'!G51&gt;45),AND('Soil results'!G$7="modified Morgan (SAC)",'Soil results'!G51&gt;30)),
IF(H48&gt;2,"too high, not acceptable","no requirement"),IF(OR(AND('Soil results'!G$7="Olsen (ADAS)",'Soil results'!G51&gt;25),AND('Soil results'!G$7="modified Morgan (SAC)",'Soil results'!G51&gt;13.4)),
IF(H48*(I48/100)&lt;0.1*J48,"no benefit",
IF(H48*(I48/100)&lt;0.3*J48,"limited benefit",
IF(H48*(I48/100)&lt;1.1*J48,"benefit",
IF(H48*(I48/100)&lt;0.7*VLOOKUP(Calc!BI46,'Fertiliser recommendations'!$A$4:$I$63,9,FALSE),"excessive","too high, not acceptable")))),
IF(OR(AND('Soil results'!G$7="Olsen (ADAS)",'Soil results'!G51&gt;20),AND('Soil results'!G$7="modified Morgan (SAC)",'Soil results'!G51&gt;9.4)),
IF(H48*Calc!BM46*(I48/100)&lt;0.1*J48,"no benefit",
IF(H48*Calc!BM46*(I48/100)&lt;0.3*J48,"limited benefit",
IF(H48*Calc!BM46*(I48/100)&lt;1.1*J48,"benefit",
IF(L48="3 (H)","too high, not acceptable","excessive")))),
IF(OR(AND('Soil results'!G$7="Olsen (ADAS)",'Soil results'!G51&gt;15),AND('Soil results'!G$7="modified Morgan (SAC)",'Soil results'!G51&gt;4.4)),
IF(H48*Calc!BM46*(I48/100)&lt;0.1*VLOOKUP(Calc!BI46,'Fertiliser recommendations'!$A$4:$I$63,9,FALSE),"no benefit",
IF(H48*Calc!BM46*(I48/100)&lt;0.3*VLOOKUP(Calc!BI46,'Fertiliser recommendations'!$A$4:$I$63,9,FALSE),"limited benefit",
IF(H48*Calc!BM46*(I48/100)&lt;1.1*VLOOKUP(Calc!BI46,'Fertiliser recommendations'!$A$4:$I$63,9,FALSE),"benefit",
IF(L48="3 (H)", "too high, not acceptable", "excessive")))),
IF(OR(AND('Soil results'!G$7="Olsen (ADAS)",'Soil results'!G51&lt;=15),AND('Soil results'!G$7="modified Morgan (SAC)",'Soil results'!G51&lt;=4.4)),
IF(H48*Calc!BM46*(I48/100)&lt;0.1*VLOOKUP(Calc!BI46,'Fertiliser recommendations'!$A$4:$I$63,9,FALSE),"no benefit",
IF(H48*Calc!BM46*(I48/100)&lt;0.3*VLOOKUP(Calc!BI46,'Fertiliser recommendations'!$A$4:$I$63,9,FALSE),"limited benefit",
IF(H48*Calc!BM46*(I48/100)&lt;1.1*J48,"benefit","excessive")))))))))))</f>
        <v/>
      </c>
      <c r="O48" s="91" t="str">
        <f ca="1">IF(B48="","",
IF(AND('Field information 2'!$O$5="", 'Field information 2'!$Q$5=""),
   IF('Waste results'!$S$19&lt;&gt;"data missing", Calc!BC46*'Waste results'!$S$19, "data missing"),
IF('Field information 2'!$Q$5="",
   IF(Calc!BD46=0,
     IF('Waste results'!$S$19&lt;&gt;"data missing", Calc!BC46*'Waste results'!$S$19, "data missing"),
   IF(Calc!BC46=0,
     IF('Waste results'!$S$55&lt;&gt;"data missing", Calc!BD46*'Waste results'!$S$55, "data missing"),
   IF(OR('Waste results'!$S$19&lt;&gt;"data missing", 'Waste results'!$S$55&lt;&gt;"data missing"), Calc!BC46*'Waste results'!$S$19+ Calc!BD46*'Waste results'!$S$55, "data missing"))),
IF(AND('Field information 2'!$M$5&lt;&gt;"", 'Field information 2'!$O$5&lt;&gt;"", 'Field information 2'!$Q$5&lt;&gt;""),
   IF(AND(Calc!BD46=0,Calc!BE46=0),
     IF('Waste results'!$S$19&lt;&gt;"data missing", Calc!BC46*'Waste results'!$S$19, "data missing"),
   IF(AND(Calc!BC46=0,Calc!BE46=0),
     IF('Waste results'!$S$55&lt;&gt;"data missing", Calc!BD46*'Waste results'!$S$55, "data missing"),
   IF(AND(Calc!BC46=0,Calc!BD46=0),
     IF('Waste results'!$S$91&lt;&gt;"data missing", Calc!BE46*'Waste results'!$S$91, "data missing"),
   IF(Calc!BE46=0,
     IF(OR('Waste results'!$S$19&lt;&gt;"data missing", 'Waste results'!$S$55&lt;&gt;"data missing"), Calc!BC46*'Waste results'!$S$19+ Calc!BD46*'Waste results'!$S$55, "data missing"),
   IF(Calc!BD46=0,
     IF(OR('Waste results'!$S$19&lt;&gt;"data missing", 'Waste results'!$S$91&lt;&gt;"data missing"), Calc!BC46*'Waste results'!$S$19+ Calc!BE46*'Waste results'!$S$91, "data missing"),
   IF(Calc!BC46=0,
     IF(OR('Waste results'!$S$55&lt;&gt;"data missing", 'Waste results'!$S$91&lt;&gt;"data missing"), Calc!BD46*'Waste results'!$S$55+Calc!BE46*'Waste results'!$S$91, "data missing"),
   IF(OR('Waste results'!$S$19&lt;&gt;"data missing", 'Waste results'!$S$55&lt;&gt;"data missing", 'Waste results'!$S$91&lt;&gt;"data missing"), Calc!BC46*'Waste results'!$S$19+Calc!BD46*'Waste results'!$S$55+ Calc!BE46*'Waste results'!$S$91, "data missing")))))))))))</f>
        <v/>
      </c>
      <c r="P48" s="91" t="str">
        <f ca="1">IF(B48="","",
IF(OR(ISBLANK('Soil results'!H$7),ISBLANK('Soil results'!H51)),"data missing",
IF(OR(AND('Soil results'!H$7="ammonium nitrate (ADAS)",'Soil results'!H51&gt;400),AND('Soil results'!H$7="modified Morgan (SAC)",'Soil results'!H51&gt;400)),0,
IF(OR(AND('Soil results'!H$7="ammonium nitrate (ADAS)",'Soil results'!H51&gt;=121,'Soil results'!H51&lt;=180),AND('Soil results'!H$7="modified Morgan (SAC)",'Soil results'!H51&gt;=76,'Soil results'!H51&lt;=140)),VLOOKUP(Calc!BI46,'Fertiliser recommendations'!$A$4:$Z$63,26,FALSE),
IF(OR(AND('Soil results'!H$7="ammonium nitrate (ADAS)",'Soil results'!H51&lt;61),AND('Soil results'!H$7="modified Morgan (SAC)",'Soil results'!H51&lt;40)),VLOOKUP(Calc!BI46,'Fertiliser recommendations'!$A$4:$Z$63,26,FALSE)+VLOOKUP(Calc!BI46,'Fertiliser recommendations'!$A$4:$AA$63,27,FALSE),
IF(OR(AND('Soil results'!H$7="ammonium nitrate (ADAS)",'Soil results'!H51&lt;121),AND('Soil results'!H$7="modified Morgan (SAC)",'Soil results'!H51&lt;76)),VLOOKUP(Calc!BI46,'Fertiliser recommendations'!$A$4:$Z$63,26,FALSE)+VLOOKUP(Calc!BI46,'Fertiliser recommendations'!$A$4:$AB$63,28,FALSE),
IF(OR(AND('Soil results'!H$7="ammonium nitrate (ADAS)",'Soil results'!H51&lt;241),AND('Soil results'!H$7="modified Morgan (SAC)",'Soil results'!H51&lt;201)),VLOOKUP(Calc!BI46,'Fertiliser recommendations'!$A$4:$Z$63,26,FALSE)+VLOOKUP(Calc!BI46,'Fertiliser recommendations'!$A$4:$AC$63,29,FALSE),
IF(OR(AND('Soil results'!H$7="ammonium nitrate (ADAS)",'Soil results'!H51&lt;=400),AND('Soil results'!H$7="modified Morgan (SAC)",'Soil results'!H51&lt;=400)),VLOOKUP(Calc!BI46,'Fertiliser recommendations'!$A$4:$Z$63,26,FALSE)+VLOOKUP(Calc!BI46,'Fertiliser recommendations'!$A$4:$AD$63,30,FALSE),
"??"))))))))</f>
        <v/>
      </c>
      <c r="Q48" s="91" t="str">
        <f t="shared" ca="1" si="2"/>
        <v/>
      </c>
      <c r="R48" s="9" t="str">
        <f ca="1">IF(B48="","",
IF(OR(O48="data missing",P48="data missing"),"data missing",
IF(Calc!BF46=0,"n/a",
IF(P48=0, "no requirement",
IF(O48&lt;0.1*P48,"no benefit",
IF(O48&lt;0.3*P48,"limited benefit",
IF(O48&gt;1.25*P48,"excessive",
"benefit")))))))</f>
        <v/>
      </c>
      <c r="T48" s="91" t="str">
        <f ca="1">IF(B48="","",
IF(AND('Field information 2'!$O$5="", 'Field information 2'!$Q$5=""),
   IF('Waste results'!$S$21&lt;&gt;"data missing", Calc!BC46*'Waste results'!$S$21, "data missing"),
IF('Field information 2'!$Q$5="",
   IF(Calc!BD46=0,
     IF('Waste results'!$S$21&lt;&gt;"data missing", Calc!BC46*'Waste results'!$S$21, "data missing"),
   IF(Calc!BC46=0,
     IF('Waste results'!$S$57&lt;&gt;"data missing", Calc!BD46*'Waste results'!$S$57, "data missing"),
   IF(OR('Waste results'!$S$21&lt;&gt;"data missing", 'Waste results'!$S$57&lt;&gt;"data missing"), Calc!BC46*'Waste results'!$S$21+ Calc!BD46*'Waste results'!$S$57, "data missing"))),
IF(AND('Field information 2'!$M$5&lt;&gt;"", 'Field information 2'!$O$5&lt;&gt;"", 'Field information 2'!$Q$5&lt;&gt;""),
   IF(AND(Calc!BD46=0,Calc!BE46=0),
     IF('Waste results'!$S$21&lt;&gt;"data missing", Calc!BC46*'Waste results'!$S$21, "data missing"),
   IF(AND(Calc!BC46=0,Calc!BE46=0),
     IF('Waste results'!$S$57&lt;&gt;"data missing", Calc!BD46*'Waste results'!$S$57, "data missing"),
   IF(AND(Calc!BC46=0,Calc!BD46=0),
     IF('Waste results'!$S$93&lt;&gt;"data missing", Calc!BE46*'Waste results'!$S$93, "data missing"),
   IF(Calc!BE46=0,
     IF(OR('Waste results'!$S$21&lt;&gt;"data missing", 'Waste results'!$S$57&lt;&gt;"data missing"), Calc!BC46*'Waste results'!$S$21+ Calc!BD46*'Waste results'!$S$57, "data missing"),
   IF(Calc!BD46=0,
     IF(OR('Waste results'!$S$21&lt;&gt;"data missing", 'Waste results'!$S$93&lt;&gt;"data missing"), Calc!BC46*'Waste results'!$S$21+ Calc!BE46*'Waste results'!$S$93, "data missing"),
   IF(Calc!BC46=0,
     IF(OR('Waste results'!$S$57&lt;&gt;"data missing", 'Waste results'!$S$93&lt;&gt;"data missing"), Calc!BD46*'Waste results'!$S$57+Calc!BE46*'Waste results'!$S$93, "data missing"),
   IF(OR('Waste results'!$S$21&lt;&gt;"data missing", 'Waste results'!$S$57&lt;&gt;"data missing", 'Waste results'!$S$93&lt;&gt;"data missing"), Calc!BC46*'Waste results'!$S$21+Calc!BD46*'Waste results'!$S$57+ Calc!BE46*'Waste results'!$S$93, "data missing")))))))))))</f>
        <v/>
      </c>
      <c r="U48" s="7" t="str">
        <f ca="1">IF(B48="","",
IF(OR(ISBLANK('Soil results'!I$7),ISBLANK('Soil results'!I51)),"data missing",
IF(OR(AND('Soil results'!I$7="ammonium nitrate (ADAS)",'Soil results'!I51&gt;51),AND('Soil results'!I$7="modified Morgan (SAC)",'Soil results'!I51&gt;61)),0,
IF(OR(AND('Soil results'!I$7="ammonium nitrate (ADAS)",'Soil results'!I51&lt;25),AND('Soil results'!I$7="modified Morgan (SAC)",'Soil results'!I51&lt;19)),VLOOKUP(Calc!BI46,'Fertiliser recommendations'!$A$4:$AH$63,34,FALSE),
IF(OR(AND('Soil results'!I$7="ammonium nitrate (ADAS)",'Soil results'!I51&lt;=51),AND('Soil results'!I$7="modified Morgan (SAC)",'Soil results'!I51&lt;=61)),VLOOKUP(Calc!BI46,'Fertiliser recommendations'!$A$4:$AI$63,35,FALSE),
"")))))</f>
        <v/>
      </c>
      <c r="V48" s="91" t="str">
        <f t="shared" ca="1" si="3"/>
        <v/>
      </c>
      <c r="W48" s="9" t="str">
        <f ca="1">IF(B48="","",
IF(OR(T48="data missing",U48="data missing"),"data missing",
IF(Calc!BF46=0,"n/a",
IF(U48=0,"no requirement",
IF(T48&lt;0.1*U48,"no benefit",
IF(T48&lt;0.3*U48,"limited benefit",
IF(OR(T48&gt;1.5*U48,AND(Calc!BJ46="g",T48&gt;100)),"excessive",
"benefit")))))))</f>
        <v/>
      </c>
      <c r="Y48" s="91" t="str">
        <f ca="1">IF(B48="","",
IF(AND('Field information 2'!$O$5="", 'Field information 2'!$Q$5=""),
   IF('Waste results'!$P$23&lt;&gt;"", Calc!BC46*'Waste results'!$P$23, "no data"),
IF('Field information 2'!$Q$5="",
   IF(Calc!BD46=0,
     IF('Waste results'!$P$23&lt;&gt;"", Calc!BC46*'Waste results'!$P$23, "no data"),
   IF(Calc!BC46=0,
     IF('Waste results'!$P$59&lt;&gt;"", Calc!BD46*'Waste results'!$P$59, "no data"),
   IF(OR('Waste results'!$P$23&lt;&gt;"", 'Waste results'!$P$59&lt;&gt;""), Calc!BC46*'Waste results'!$P$23+ Calc!BD46*'Waste results'!$P$59, "no data"))),
IF(AND('Field information 2'!$M$5&lt;&gt;"", 'Field information 2'!$O$5&lt;&gt;"", 'Field information 2'!$Q$5&lt;&gt;""),
   IF(AND(Calc!BD46=0,Calc!BE46=0),
     IF('Waste results'!$P$23&lt;&gt;"", Calc!BC46*'Waste results'!$P$23, "no data"),
   IF(AND(Calc!BC46=0,Calc!BE46=0),
     IF('Waste results'!$P$59&lt;&gt;"", Calc!BD46*'Waste results'!$P$59, "no data"),
   IF(AND(Calc!BC46=0,Calc!BD46=0),
     IF('Waste results'!$P$95&lt;&gt;"", Calc!BE46*'Waste results'!$P$95, "no data"),
   IF(Calc!BE46=0,
     IF(OR('Waste results'!$P$23&lt;&gt;"", 'Waste results'!$P$59&lt;&gt;""), Calc!BC46*'Waste results'!$P$23+ Calc!BD46*'Waste results'!$P$59, "no data"),
   IF(Calc!BD46=0,
     IF(OR('Waste results'!$P$23&lt;&gt;"", 'Waste results'!$P$95&lt;&gt;""), Calc!BC46*'Waste results'!$P$23+ Calc!BE46*'Waste results'!$P$95, "no data"),
   IF(Calc!BC46=0,
     IF(OR('Waste results'!$P$59&lt;&gt;"", 'Waste results'!$P$95&lt;&gt;""), Calc!BD46*'Waste results'!$P$59+Calc!BE46*'Waste results'!$P$95, "no data"),
   IF(OR('Waste results'!$P$23&lt;&gt;"", 'Waste results'!$P$59&lt;&gt;"", 'Waste results'!$P$95&lt;&gt;""), Calc!BC46*'Waste results'!$P$23+Calc!BD46*'Waste results'!$P$59+ Calc!BE46*'Waste results'!$P$95, "no data")))))))))))</f>
        <v/>
      </c>
      <c r="Z48" s="7" t="str">
        <f ca="1">IF(OR(ISBLANK('Soil results'!I$7),ISBLANK('Soil results'!I51),'Soil results'!B51=""),"",
VLOOKUP(Calc!BI46,'Fertiliser recommendations'!$A$4:$AM$63,39,FALSE))</f>
        <v/>
      </c>
      <c r="AA48" s="91" t="str">
        <f t="shared" ca="1" si="4"/>
        <v/>
      </c>
      <c r="AB48" s="9" t="str">
        <f t="shared" ca="1" si="5"/>
        <v/>
      </c>
      <c r="AD48" s="48" t="str">
        <f>IF(ISBLANK('Soil results'!F51),"",'Soil results'!F51)</f>
        <v/>
      </c>
      <c r="AE48" s="49" t="str">
        <f ca="1">IF(B48="","",
IF(AND(Calc!BJ46="g", VLOOKUP(LEFT($B48,LEN($B48)-2),'Field information 2'!$B$12:$P$111,9,FALSE)&lt;&gt;"yes"),
 IF(Calc!BG46="10-25% OM", 5.9, IF(Calc!BG46="&gt;25% OM", 5.5, 6.2)),
IF(OR(Calc!BJ46="a", VLOOKUP(LEFT($B48,LEN($B48)-2),'Field information 2'!$B$12:$P$111,9,FALSE)="yes"),
 IF(Calc!BG46="10-25% OM", 6.4, IF(Calc!BG46="&gt;25% OM", 6, 6.7)), "")))</f>
        <v/>
      </c>
      <c r="AF48" s="91" t="str">
        <f ca="1">IF(B48="","",
IF('Waste results'!$Q$33="","no (significant) liming properties",
IF('Waste results'!Q$33&gt;100,"no (significant) liming properties",
IF(AD48="","",
IF(AD48&gt;=AE48,0,ROUNDDOWN((AE48-AD48)*Calc!BK46*'Waste results'!$Q$33+0.2,0))))))</f>
        <v/>
      </c>
      <c r="AG48" s="9" t="str">
        <f ca="1">IF(B48="","",
IF(T48=0,"n/a",
IF(AD48="","data missing",
IF(AND(AD48&lt;5,AF48="no (significant) liming properties"),"no waste application - pH too low",
IF(AND(AD48&gt;5.1,AF48="no (significant) liming properties",Calc!BH46&gt;25, LEFT(Calc!BI46,4)="graz"),"ok",
IF(AND(AD48&lt;=5.2,AF48="no (significant) liming properties"),"liming highly recommended",
IF(AF48=0,"no waste application - liming not required",
IF(AF48&lt;Calc!BC46,"application rate too high - exceeds liming requirement",
"ok"))))))))</f>
        <v/>
      </c>
      <c r="AI48" s="91" t="str">
        <f ca="1">IF(B48="","",
IF(AND('Field information 2'!$O$5="", 'Field information 2'!$Q$5=""),
   IF('Waste results'!$P$10&lt;&gt;"data missing", Calc!BC46*'Waste results'!$P$10, "data missing"),
IF('Field information 2'!$Q$5="",
   IF(Calc!BD46=0,
     IF('Waste results'!$P$10&lt;&gt;"data missing", Calc!BC46*'Waste results'!$P$10, "data missing"),
   IF(Calc!BC46=0,
     IF('Waste results'!$P$45&lt;&gt;"data missing", Calc!BD46*'Waste results'!$P$45, "data missing"),
   IF(OR('Waste results'!$P$10&lt;&gt;"data missing", 'Waste results'!$P$45&lt;&gt;"data missing"), Calc!BC46*'Waste results'!$P$10+ Calc!BD46*'Waste results'!$P$45, "data missing"))),
IF(AND('Field information 2'!$M$5&lt;&gt;"", 'Field information 2'!$O$5&lt;&gt;"", 'Field information 2'!$Q$5&lt;&gt;""),
   IF(AND(Calc!BD46=0,Calc!BE46=0),
     IF('Waste results'!$P$10&lt;&gt;"data missing", Calc!BC46*'Waste results'!$P$10, "data missing"),
   IF(AND(Calc!BC46=0,Calc!BE46=0),
     IF('Waste results'!$P$45&lt;&gt;"data missing", Calc!BD46*'Waste results'!$P$45, "data missing"),
   IF(AND(Calc!BC46=0,Calc!BD46=0),
     IF('Waste results'!$P$82&lt;&gt;"data missing", Calc!BE46*'Waste results'!$P$82, "data missing"),
   IF(Calc!BE46=0,
     IF(OR('Waste results'!$P$10&lt;&gt;"data missing", 'Waste results'!$P$45&lt;&gt;"data missing"), Calc!BC46*'Waste results'!$P$10+ Calc!BD46*'Waste results'!$P$45, "data missing"),
   IF(Calc!BD46=0,
     IF(OR('Waste results'!$P$10&lt;&gt;"data missing", 'Waste results'!$P$82&lt;&gt;"data missing"), Calc!BC46*'Waste results'!$P$10+ Calc!BE46*'Waste results'!$P$82, "data missing"),
   IF(Calc!BC46=0,
     IF(OR('Waste results'!$P$45&lt;&gt;"data missing", 'Waste results'!$P$82&lt;&gt;"data missing"), Calc!BD46*'Waste results'!$P$45+Calc!BE46*'Waste results'!$P$82, "data missing"),
   IF(OR('Waste results'!$P$10&lt;&gt;"data missing", 'Waste results'!$P$45&lt;&gt;"data missing", 'Waste results'!$P$82&lt;&gt;"data missing"), Calc!BC46*'Waste results'!$P$10+Calc!BD46*'Waste results'!$P$45+ Calc!BE46*'Waste results'!$P$82, "data missing")))))))))))</f>
        <v/>
      </c>
      <c r="AJ48" s="237" t="str">
        <f ca="1">IF(B48="","",
IF(AI48="data missing","data missing",
IF(Calc!BF46=0,"n/a",
IF(AND(Calc!BH46&gt;=8,AI48&lt;500),"no benefit",
IF(OR(AND(Calc!BH46&lt;=4,AI48&gt;=500),AND(Calc!BH46&lt;8,AI48&gt;5000)),"benefit",
"limited benefit")))))</f>
        <v/>
      </c>
      <c r="AL48" s="238" t="str">
        <f ca="1">IF(B48="","",
IF(AND('Field information 2'!$O$5="", 'Field information 2'!$Q$5=""),
   IF('Waste results'!$S$25&lt;&gt;"data missing", Calc!BC46*'Waste results'!$S$25, "data missing"),
IF('Field information 2'!$Q$5="",
   IF(Calc!BD46=0,
     IF('Waste results'!$S$25&lt;&gt;"data missing", Calc!BC46*'Waste results'!$S$25, "data missing"),
   IF(Calc!BC46=0,
     IF('Waste results'!$S$61&lt;&gt;"data missing", Calc!BD46*'Waste results'!$S$61, "data missing"),
   IF(OR('Waste results'!$S$25&lt;&gt;"data missing", 'Waste results'!$S$61&lt;&gt;"data missing"), Calc!BC46*'Waste results'!$S$25+ Calc!BD46*'Waste results'!$S$61, "data missing"))),
IF(AND('Field information 2'!$M$5&lt;&gt;"", 'Field information 2'!$O$5&lt;&gt;"", 'Field information 2'!$Q$5&lt;&gt;""),
   IF(AND(Calc!BD46=0,Calc!BE46=0),
     IF('Waste results'!$S$25&lt;&gt;"data missing", Calc!BC46*'Waste results'!$S$25, "data missing"),
   IF(AND(Calc!BC46=0,Calc!BE46=0),
     IF('Waste results'!$S$61&lt;&gt;"data missing", Calc!BD46*'Waste results'!$S$61, "data missing"),
   IF(AND(Calc!BC46=0,Calc!BD46=0),
     IF('Waste results'!$S$97&lt;&gt;"data missing", Calc!BE46*'Waste results'!$S$97, "data missing"),
   IF(Calc!BE46=0,
     IF(OR('Waste results'!$S$25&lt;&gt;"data missing", 'Waste results'!$S$61&lt;&gt;"data missing"), Calc!BC46*'Waste results'!$S$25+ Calc!BD46*'Waste results'!$S$61, "data missing"),
   IF(Calc!BD46=0,
     IF(OR('Waste results'!$S$25&lt;&gt;"data missing", 'Waste results'!$S$97&lt;&gt;"data missing"), Calc!BC46*'Waste results'!$S$25+ Calc!BE46*'Waste results'!$S$97, "data missing"),
   IF(Calc!BC46=0,
     IF(OR('Waste results'!$S$61&lt;&gt;"data missing", 'Waste results'!$S$97&lt;&gt;"data missing"), Calc!BD46*'Waste results'!$S$61+Calc!BE46*'Waste results'!$S$97, "data missing"),
   IF(OR('Waste results'!$S$25&lt;&gt;"data missing", 'Waste results'!$S$61&lt;&gt;"data missing", 'Waste results'!$S$97&lt;&gt;"data missing"), Calc!BC46*'Waste results'!$S$25+Calc!BD46*'Waste results'!$S$61+ Calc!BE46*'Waste results'!$S$97, "data missing")))))))))))</f>
        <v/>
      </c>
      <c r="AM48" s="239" t="str">
        <f ca="1">IF($B48="","",
IF(ISBLANK('Soil results'!K51),"data missing",'Soil results'!K51))</f>
        <v/>
      </c>
      <c r="AN48" s="239" t="str">
        <f t="shared" ca="1" si="6"/>
        <v/>
      </c>
      <c r="AO48" s="9" t="str">
        <f t="shared" ca="1" si="7"/>
        <v/>
      </c>
      <c r="AQ48" s="240" t="str">
        <f ca="1">IF(B48="","",
IF(AND('Field information 2'!$O$5="", 'Field information 2'!$Q$5=""),
   IF('Waste results'!$S$26&lt;&gt;"data missing", Calc!BC46*'Waste results'!$S$26, "data missing"),
IF('Field information 2'!$Q$5="",
   IF(Calc!BD46=0,
     IF('Waste results'!$S$26&lt;&gt;"data missing", Calc!BC46*'Waste results'!$S$26, "data missing"),
   IF(Calc!BC46=0,
     IF('Waste results'!$S$62&lt;&gt;"data missing", Calc!BD46*'Waste results'!$S$62, "data missing"),
   IF(OR('Waste results'!$S$26&lt;&gt;"data missing", 'Waste results'!$S$62&lt;&gt;"data missing"), Calc!BC46*'Waste results'!$S$26+ Calc!BD46*'Waste results'!$S$62, "data missing"))),
IF(AND('Field information 2'!$M$5&lt;&gt;"", 'Field information 2'!$O$5&lt;&gt;"", 'Field information 2'!$Q$5&lt;&gt;""),
   IF(AND(Calc!BD46=0,Calc!BE46=0),
     IF('Waste results'!$S$26&lt;&gt;"data missing", Calc!BC46*'Waste results'!$S$26, "data missing"),
   IF(AND(Calc!BC46=0,Calc!BE46=0),
     IF('Waste results'!$S$62&lt;&gt;"data missing", Calc!BD46*'Waste results'!$S$62, "data missing"),
   IF(AND(Calc!BC46=0,Calc!BD46=0),
     IF('Waste results'!$S$98&lt;&gt;"data missing", Calc!BE46*'Waste results'!$S$98, "data missing"),
   IF(Calc!BE46=0,
     IF(OR('Waste results'!$S$26&lt;&gt;"data missing", 'Waste results'!$S$62&lt;&gt;"data missing"), Calc!BC46*'Waste results'!$S$26+ Calc!BD46*'Waste results'!$S$62, "data missing"),
   IF(Calc!BD46=0,
     IF(OR('Waste results'!$S$26&lt;&gt;"data missing", 'Waste results'!$S$98&lt;&gt;"data missing"), Calc!BC46*'Waste results'!$S$26+ Calc!BE46*'Waste results'!$S$98, "data missing"),
   IF(Calc!BC46=0,
     IF(OR('Waste results'!$S$62&lt;&gt;"data missing", 'Waste results'!$S$98&lt;&gt;"data missing"), Calc!BD46*'Waste results'!$S$62+Calc!BE46*'Waste results'!$S$98, "data missing"),
   IF(OR('Waste results'!$S$26&lt;&gt;"data missing", 'Waste results'!$S$62&lt;&gt;"data missing", 'Waste results'!$S$98&lt;&gt;"data missing"), Calc!BC46*'Waste results'!$S$26+Calc!BD46*'Waste results'!$S$62+ Calc!BE46*'Waste results'!$S$98, "data missing")))))))))))</f>
        <v/>
      </c>
      <c r="AR48" s="241" t="str">
        <f ca="1">IF($B48="","",
IF(ISBLANK('Soil results'!L51),"data missing",'Soil results'!L51))</f>
        <v/>
      </c>
      <c r="AS48" s="241" t="str">
        <f t="shared" ca="1" si="8"/>
        <v/>
      </c>
      <c r="AT48" s="66" t="str">
        <f t="shared" ca="1" si="9"/>
        <v/>
      </c>
      <c r="AV48" s="238" t="str">
        <f ca="1">IF(B48="","",
IF(AND('Field information 2'!$O$5="", 'Field information 2'!$Q$5=""),
   IF('Waste results'!$S$27&lt;&gt;"data missing", Calc!BC46*'Waste results'!$S$27, "data missing"),
IF('Field information 2'!$Q$5="",
   IF(Calc!BD46=0,
     IF('Waste results'!$S$27&lt;&gt;"data missing", Calc!BC46*'Waste results'!$S$27, "data missing"),
   IF(Calc!BC46=0,
     IF('Waste results'!$S$63&lt;&gt;"data missing", Calc!BD46*'Waste results'!$S$63, "data missing"),
   IF(OR('Waste results'!$S$27&lt;&gt;"data missing", 'Waste results'!$S$63&lt;&gt;"data missing"), Calc!BC46*'Waste results'!$S$27+ Calc!BD46*'Waste results'!$S$63, "data missing"))),
IF(AND('Field information 2'!$M$5&lt;&gt;"", 'Field information 2'!$O$5&lt;&gt;"", 'Field information 2'!$Q$5&lt;&gt;""),
   IF(AND(Calc!BD46=0,Calc!BE46=0),
     IF('Waste results'!$S$27&lt;&gt;"data missing", Calc!BC46*'Waste results'!$S$27, "data missing"),
   IF(AND(Calc!BC46=0,Calc!BE46=0),
     IF('Waste results'!$S$63&lt;&gt;"data missing", Calc!BD46*'Waste results'!$S$63, "data missing"),
   IF(AND(Calc!BC46=0,Calc!BD46=0),
     IF('Waste results'!$S$99&lt;&gt;"data missing", Calc!BE46*'Waste results'!$S$99, "data missing"),
   IF(Calc!BE46=0,
     IF(OR('Waste results'!$S$27&lt;&gt;"data missing", 'Waste results'!$S$63&lt;&gt;"data missing"), Calc!BC46*'Waste results'!$S$27+ Calc!BD46*'Waste results'!$S$63, "data missing"),
   IF(Calc!BD46=0,
     IF(OR('Waste results'!$S$27&lt;&gt;"data missing", 'Waste results'!$S$99&lt;&gt;"data missing"), Calc!BC46*'Waste results'!$S$27+ Calc!BE46*'Waste results'!$S$99, "data missing"),
   IF(Calc!BC46=0,
     IF(OR('Waste results'!$S$63&lt;&gt;"data missing", 'Waste results'!$S$99&lt;&gt;"data missing"), Calc!BD46*'Waste results'!$S$63+Calc!BE46*'Waste results'!$S$99, "data missing"),
   IF(OR('Waste results'!$S$27&lt;&gt;"data missing", 'Waste results'!$S$63&lt;&gt;"data missing", 'Waste results'!$S$99&lt;&gt;"data missing"), Calc!BC46*'Waste results'!$S$27+Calc!BD46*'Waste results'!$S$63+ Calc!BE46*'Waste results'!$S$99, "data missing")))))))))))</f>
        <v/>
      </c>
      <c r="AW48" s="239" t="str">
        <f ca="1">IF($B48="","",
IF(ISBLANK('Soil results'!M51),"data missing",'Soil results'!M51))</f>
        <v/>
      </c>
      <c r="AX48" s="239" t="str">
        <f t="shared" ca="1" si="10"/>
        <v/>
      </c>
      <c r="AY48" s="9" t="str">
        <f ca="1">IF(B48="","",
IF(AV48=0,"n/a",
IF(OR(AV48="data missing",AW48="data missing"),"data missing",
IF(AV48&gt;7.5,"application rate too high - permissible rate exceeds limit",
IF('Soil results'!$F51&lt;=5.5,
  IF(AW48&gt;80,"no application - soil conc. already above limit",
  IF(AX48&gt;80,"application rate too high - soil conc. will exceed limit",
  IF(AW48&gt;80*0.9,"soil conc. is at or above 90% of the limit",
  IF(10*AV48*1000/3000+AW48&gt;80,"soil limit likely to be exceeded in 10yrs",
  IF(50*AV48*1000/3000+AW48&gt;80,"soil limit likely to be exceeded in 50yrs","ok"))))),
IF('Soil results'!$F51&lt;=6,
  IF(AW48&gt;100,"no application - soil conc. already above limit",
  IF(AX48&gt;100,"application rate too high - soil conc. will exceed limit",
  IF(AW48&gt;100*0.9,"soil conc. is at or above 90% of the limit",
  IF(10*AV48*1000/3000+AW48&gt;100,"soil limit likely to be exceeded in 10yrs",
  IF(50*AV48*1000/3000+AW48&gt;100,"soil limit likely to be exceeded in 50yrs","ok"))))),
IF('Soil results'!$F51&lt;=7,
  IF(AW48&gt;135,"no application - soil conc. already above limit",
  IF(AX48&gt;135,"application rate too high - soil conc. will exceed limit",
  IF(AW48&gt;135*0.9,"soil conc. is at or above 90% of the limit",
  IF(10*AV48*1000/3000+AW48&gt;135,"soil limit likely to be exceeded in 10yrs",
  IF(50*AV48*1000/3000+AW48&gt;135,"soil limit likely to be exceeded in 50yrs","ok"))))),
IF('Soil results'!$F51&gt;7,
  IF(AW48&gt;200,"no application - soil conc. already above limit",
  IF(AX48&gt;200,"application too high - soil conc. will exceed limit",
  IF(AW48&gt;200*0.9,"soil conc. is at or above 90% of the limit",
  IF(10*AV48*1000/3000+AW48&gt;200,"soil limit likely to be exceeded in 10yrs",
  IF(50*AV48*1000/3000+AW48&gt;200,"soil limit likely to be exceeded in 50yrs","ok")))))
))))))))</f>
        <v/>
      </c>
      <c r="BA48" s="238" t="str">
        <f ca="1">IF(B48="","",
IF(AND('Field information 2'!$O$5="", 'Field information 2'!$Q$5=""),
   IF('Waste results'!$S$28&lt;&gt;"data missing", Calc!BC46*'Waste results'!$S$28, "data missing"),
IF('Field information 2'!$Q$5="",
   IF(Calc!BD46=0,
     IF('Waste results'!$S$28&lt;&gt;"data missing", Calc!BC46*'Waste results'!$S$28, "data missing"),
   IF(Calc!BC46=0,
     IF('Waste results'!$S$64&lt;&gt;"data missing", Calc!BD46*'Waste results'!$S$64, "data missing"),
   IF(OR('Waste results'!$S$28&lt;&gt;"data missing", 'Waste results'!$S$64&lt;&gt;"data missing"), Calc!BC46*'Waste results'!$S$28+ Calc!BD46*'Waste results'!$S$64, "data missing"))),
IF(AND('Field information 2'!$M$5&lt;&gt;"", 'Field information 2'!$O$5&lt;&gt;"", 'Field information 2'!$Q$5&lt;&gt;""),
   IF(AND(Calc!BD46=0,Calc!BE46=0),
     IF('Waste results'!$S$28&lt;&gt;"data missing", Calc!BC46*'Waste results'!$S$28, "data missing"),
   IF(AND(Calc!BC46=0,Calc!BE46=0),
     IF('Waste results'!$S$64&lt;&gt;"data missing", Calc!BD46*'Waste results'!$S$64, "data missing"),
   IF(AND(Calc!BC46=0,Calc!BD46=0),
     IF('Waste results'!$S$100&lt;&gt;"data missing", Calc!BE46*'Waste results'!$S$100, "data missing"),
   IF(Calc!BE46=0,
     IF(OR('Waste results'!$S$28&lt;&gt;"data missing", 'Waste results'!$S$64&lt;&gt;"data missing"), Calc!BC46*'Waste results'!$S$28+ Calc!BD46*'Waste results'!$S$64, "data missing"),
   IF(Calc!BD46=0,
     IF(OR('Waste results'!$S$28&lt;&gt;"data missing", 'Waste results'!$S$100&lt;&gt;"data missing"), Calc!BC46*'Waste results'!$S$28+ Calc!BE46*'Waste results'!$S$100, "data missing"),
   IF(Calc!BC46=0,
     IF(OR('Waste results'!$S$64&lt;&gt;"data missing", 'Waste results'!$S$100&lt;&gt;"data missing"), Calc!BD46*'Waste results'!$S$64+Calc!BE46*'Waste results'!$S$100, "data missing"),
   IF(OR('Waste results'!$S$28&lt;&gt;"data missing", 'Waste results'!$S$64&lt;&gt;"data missing", 'Waste results'!$S$100&lt;&gt;"data missing"), Calc!BC46*'Waste results'!$S$28+Calc!BD46*'Waste results'!$S$64+ Calc!BE46*'Waste results'!$S$100, "data missing")))))))))))</f>
        <v/>
      </c>
      <c r="BB48" s="239" t="str">
        <f ca="1">IF($B48="","",
IF(ISBLANK('Soil results'!N51),"data missing",'Soil results'!N51))</f>
        <v/>
      </c>
      <c r="BC48" s="239" t="str">
        <f t="shared" ca="1" si="11"/>
        <v/>
      </c>
      <c r="BD48" s="9" t="str">
        <f t="shared" ca="1" si="12"/>
        <v/>
      </c>
      <c r="BF48" s="238" t="str">
        <f ca="1">IF(B48="","",
IF(AND('Field information 2'!$O$5="", 'Field information 2'!$Q$5=""),
   IF('Waste results'!$S$29&lt;&gt;"data missing", Calc!BC46*'Waste results'!$S$29, "data missing"),
IF('Field information 2'!$Q$5="",
   IF(Calc!BD46=0,
     IF('Waste results'!$S$29&lt;&gt;"data missing", Calc!BC46*'Waste results'!$S$29, "data missing"),
   IF(Calc!BC46=0,
     IF('Waste results'!$S$65&lt;&gt;"data missing", Calc!BD46*'Waste results'!$S$65, "data missing"),
   IF(OR('Waste results'!$S$29&lt;&gt;"data missing", 'Waste results'!$S$65&lt;&gt;"data missing"), Calc!BC46*'Waste results'!$S$29+ Calc!BD46*'Waste results'!$S$65, "data missing"))),
IF(AND('Field information 2'!$M$5&lt;&gt;"", 'Field information 2'!$O$5&lt;&gt;"", 'Field information 2'!$Q$5&lt;&gt;""),
   IF(AND(Calc!BD46=0,Calc!BE46=0),
     IF('Waste results'!$S$29&lt;&gt;"data missing", Calc!BC46*'Waste results'!$S$29, "data missing"),
   IF(AND(Calc!BC46=0,Calc!BE46=0),
     IF('Waste results'!$S$65&lt;&gt;"data missing", Calc!BD46*'Waste results'!$S$65, "data missing"),
   IF(AND(Calc!BC46=0,Calc!BD46=0),
     IF('Waste results'!$S$101&lt;&gt;"data missing", Calc!BE46*'Waste results'!$S$101, "data missing"),
   IF(Calc!BE46=0,
     IF(OR('Waste results'!$S$29&lt;&gt;"data missing", 'Waste results'!$S$65&lt;&gt;"data missing"), Calc!BC46*'Waste results'!$S$29+ Calc!BD46*'Waste results'!$S$65, "data missing"),
   IF(Calc!BD46=0,
     IF(OR('Waste results'!$S$29&lt;&gt;"data missing", 'Waste results'!$S$101&lt;&gt;"data missing"), Calc!BC46*'Waste results'!$S$29+ Calc!BE46*'Waste results'!$S$101, "data missing"),
   IF(Calc!BC46=0,
     IF(OR('Waste results'!$S$65&lt;&gt;"data missing", 'Waste results'!$S$101&lt;&gt;"data missing"), Calc!BD46*'Waste results'!$S$65+Calc!BE46*'Waste results'!$S$101, "data missing"),
   IF(OR('Waste results'!$S$29&lt;&gt;"data missing", 'Waste results'!$S$65&lt;&gt;"data missing", 'Waste results'!$S$101&lt;&gt;"data missing"), Calc!BC46*'Waste results'!$S$29+Calc!BD46*'Waste results'!$S$65+ Calc!BE46*'Waste results'!$S$101, "data missing")))))))))))</f>
        <v/>
      </c>
      <c r="BG48" s="239" t="str">
        <f ca="1">IF($B48="","",
IF(ISBLANK('Soil results'!O51),"data missing",'Soil results'!O51))</f>
        <v/>
      </c>
      <c r="BH48" s="239" t="str">
        <f t="shared" ca="1" si="13"/>
        <v/>
      </c>
      <c r="BI48" s="9" t="str">
        <f ca="1">IF(B48="","",
IF(BF48=0,"n/a",
IF(OR(BF48="data missing",BG48="data missing"),"data missing",
IF(BF48&gt;3,"application rate too high - permissible rate exceeds limit",
IF('Soil results'!F51&lt;=5.5,
  IF(BG48&gt;50,"no application - soil conc. already above limit",
  IF(BH48&gt;50,"application rate too high - soil conc. will exceed limit",
  IF(BG48&gt;50*0.9,"soil conc. is at or above 90% of the limit",
  IF(10*BF48*1000/3000+BG48&gt;50,"soil limit likely to be exceeded in 10yrs",
  IF(50*BF48*1000/3000+BG48&gt;50,"soil limit likely to be exceeded in 50yrs","ok"))))),
IF('Soil results'!F51&lt;=6,
  IF(BG48&gt;60,"no application - soil conc. already above limit",
  IF(BH48&gt;60,"application rate too high - soil conc. will exceed limit",
  IF(BG48&gt;60*0.9,"soil conc. is at or above 90% of the limit",
  IF(10*BF48*1000/3000+BG48&gt;60,"soil limit likely to be exceeded in 10yrs",
  IF(50*BF48*1000/3000+BG48&gt;60,"soil limit likely to be exceeded in 50yrs","ok"))))),
IF('Soil results'!F51&lt;=7,
  IF(BG48&gt;75,"no application - soil conc. already above limit",
  IF(BH48&gt;75,"application rate too high - soil conc. will exceed limit",
  IF(BG48&gt;75*0.9,"soil conc. is at or above 90% of the limit",
  IF(10*BF48*1000/3000+BG48&gt;75,"soil limit likely to be exceeded in 10yrs",
  IF(50*BF48*1000/3000+BG48&gt;75,"soil limit likely to be exceeded in 50yrs","ok"))))),
IF('Soil results'!F51&gt;7,
  IF(BG48&gt;100,"no application - soil conc. already above limit",
  IF(BH48&gt;100,"application rate too high - soil conc. will exceed limit",
  IF(BG48&gt;100*0.9,"soil conc. is at or above 90% of the limit",
  IF(10*BF48*1000/3000+BG48&gt;100,"soil limit likely to be exceeded in 10yrs",
  IF(50*BF48*1000/3000+BG48&gt;100,"soil limit likely to beexceeded in 50yrs","ok")))))
))))))))</f>
        <v/>
      </c>
      <c r="BK48" s="240" t="str">
        <f ca="1">IF(B48="","",
IF(AND('Field information 2'!$O$5="", 'Field information 2'!$Q$5=""),
   IF('Waste results'!$S$30&lt;&gt;"data missing", Calc!BC46*'Waste results'!$S$30, "data missing"),
IF('Field information 2'!$Q$5="",
   IF(Calc!BD46=0,
     IF('Waste results'!$S$30&lt;&gt;"data missing", Calc!BC46*'Waste results'!$S$30, "data missing"),
   IF(Calc!BC46=0,
     IF('Waste results'!$S$66&lt;&gt;"data missing", Calc!BD46*'Waste results'!$S$66, "data missing"),
   IF(OR('Waste results'!$S$30&lt;&gt;"data missing", 'Waste results'!$S$66&lt;&gt;"data missing"), Calc!BC46*'Waste results'!$S$30+ Calc!BD46*'Waste results'!$S$66, "data missing"))),
IF(AND('Field information 2'!$M$5&lt;&gt;"", 'Field information 2'!$O$5&lt;&gt;"", 'Field information 2'!$Q$5&lt;&gt;""),
   IF(AND(Calc!BD46=0,Calc!BE46=0),
     IF('Waste results'!$S$30&lt;&gt;"data missing", Calc!BC46*'Waste results'!$S$30, "data missing"),
   IF(AND(Calc!BC46=0,Calc!BE46=0),
     IF('Waste results'!$S$66&lt;&gt;"data missing", Calc!BD46*'Waste results'!$S$66, "data missing"),
   IF(AND(Calc!BC46=0,Calc!BD46=0),
     IF('Waste results'!$S$102&lt;&gt;"data missing", Calc!BE46*'Waste results'!$S$102, "data missing"),
   IF(Calc!BE46=0,
     IF(OR('Waste results'!$S$30&lt;&gt;"data missing", 'Waste results'!$S$66&lt;&gt;"data missing"), Calc!BC46*'Waste results'!$S$30+ Calc!BD46*'Waste results'!$S$66, "data missing"),
   IF(Calc!BD46=0,
     IF(OR('Waste results'!$S$30&lt;&gt;"data missing", 'Waste results'!$S$102&lt;&gt;"data missing"), Calc!BC46*'Waste results'!$S$30+ Calc!BE46*'Waste results'!$S$102, "data missing"),
   IF(Calc!BC46=0,
     IF(OR('Waste results'!$S$66&lt;&gt;"data missing", 'Waste results'!$S$102&lt;&gt;"data missing"), Calc!BD46*'Waste results'!$S$66+Calc!BE46*'Waste results'!$S$102, "data missing"),
   IF(OR('Waste results'!$S$30&lt;&gt;"data missing", 'Waste results'!$S$66&lt;&gt;"data missing", 'Waste results'!$S$102&lt;&gt;"data missing"), Calc!BC46*'Waste results'!$S$30+Calc!BD46*'Waste results'!$S$66+ Calc!BE46*'Waste results'!$S$102, "data missing")))))))))))</f>
        <v/>
      </c>
      <c r="BL48" s="241" t="str">
        <f ca="1">IF($B48="","",
IF(ISBLANK('Soil results'!P51),"data missing",'Soil results'!P51))</f>
        <v/>
      </c>
      <c r="BM48" s="241" t="str">
        <f t="shared" ca="1" si="14"/>
        <v/>
      </c>
      <c r="BN48" s="66" t="str">
        <f t="shared" ca="1" si="15"/>
        <v/>
      </c>
      <c r="BP48" s="238" t="str">
        <f ca="1">IF(B48="","",
IF(AND('Field information 2'!$O$5="", 'Field information 2'!$Q$5=""),
   IF('Waste results'!$S$31&lt;&gt;"data missing", Calc!BC46*'Waste results'!$S$31, "data missing"),
IF('Field information 2'!$Q$5="",
   IF(Calc!BD46=0,
     IF('Waste results'!$S$31&lt;&gt;"data missing", Calc!BC46*'Waste results'!$S$31, "data missing"),
   IF(Calc!BC46=0,
     IF('Waste results'!$S$67&lt;&gt;"data missing", Calc!BD46*'Waste results'!$S$67, "data missing"),
   IF(OR('Waste results'!$S$31&lt;&gt;"data missing", 'Waste results'!$S$67&lt;&gt;"data missing"), Calc!BC46*'Waste results'!$S$31+ Calc!BD46*'Waste results'!$S$67, "data missing"))),
IF(AND('Field information 2'!$M$5&lt;&gt;"", 'Field information 2'!$O$5&lt;&gt;"", 'Field information 2'!$Q$5&lt;&gt;""),
   IF(AND(Calc!BD46=0,Calc!BE46=0),
     IF('Waste results'!$S$31&lt;&gt;"data missing", Calc!BC46*'Waste results'!$S$31, "data missing"),
   IF(AND(Calc!BC46=0,Calc!BE46=0),
     IF('Waste results'!$S$67&lt;&gt;"data missing", Calc!BD46*'Waste results'!$S$67, "data missing"),
   IF(AND(Calc!BC46=0,Calc!BD46=0),
     IF('Waste results'!$S$103&lt;&gt;"data missing", Calc!BE46*'Waste results'!$S$103, "data missing"),
   IF(Calc!BE46=0,
     IF(OR('Waste results'!$S$31&lt;&gt;"data missing", 'Waste results'!$S$67&lt;&gt;"data missing"), Calc!BC46*'Waste results'!$S$31+ Calc!BD46*'Waste results'!$S$67, "data missing"),
   IF(Calc!BD46=0,
     IF(OR('Waste results'!$S$31&lt;&gt;"data missing", 'Waste results'!$S$103&lt;&gt;"data missing"), Calc!BC46*'Waste results'!$S$31+ Calc!BE46*'Waste results'!$S$103, "data missing"),
   IF(Calc!BC46=0,
     IF(OR('Waste results'!$S$67&lt;&gt;"data missing", 'Waste results'!$S$103&lt;&gt;"data missing"), Calc!BD46*'Waste results'!$S$67+Calc!BE46*'Waste results'!$S$103, "data missing"),
   IF(OR('Waste results'!$S$31&lt;&gt;"data missing", 'Waste results'!$S$67&lt;&gt;"data missing", 'Waste results'!$S$103&lt;&gt;"data missing"), Calc!BC46*'Waste results'!$S$31+Calc!BD46*'Waste results'!$S$67+ Calc!BE46*'Waste results'!$S$103, "data missing")))))))))))</f>
        <v/>
      </c>
      <c r="BQ48" s="239" t="str">
        <f ca="1">IF($B48="","",
IF(ISBLANK('Soil results'!Q51),"data missing",'Soil results'!Q51))</f>
        <v/>
      </c>
      <c r="BR48" s="239" t="str">
        <f t="shared" ca="1" si="16"/>
        <v/>
      </c>
      <c r="BS48" s="9" t="str">
        <f ca="1">IF(B48="","",
IF(BP48=0,"n/a",
IF(OR(BP48="data missing",BQ48=""),"data missing",
IF(BP48&gt;15,"application rate too high - permissible rate exceeds limit",
IF('Soil results'!F51&lt;=5.5,
  IF(BQ48&gt;200,"no application - soil conc. already above limit",
  IF(BR48&gt;200,"application rate too high - soil conc. will exceed limit",
  IF(BQ48&gt;200*0.9,"soil conc. is at or above 90% of the limit",
  IF(10*BP48*1000/3000+BQ48&gt;200,"soil limit likely to be exceeded in 10yrs",
  IF(50*BP48*1000/3000+BQ48&gt;200,"soil limit likely to be exceeded in 50yrs","ok"))))),
IF('Soil results'!F51&lt;=6,
  IF(BQ48&gt;250,"no application - soil conc. already above limit",
  IF(BR48&gt;250,"application rate too high - soil conc. will exceed limit",
  IF(BQ48&gt;250*0.9,"soil conc. is at or above 90% of the limit",
  IF(10*BP48*1000/3000+BQ48&gt;250,"soil limit likely to be exceeded in 10yrs",
  IF(50*BP48*1000/3000+BQ48&gt;250,"soil limit likely to be exceeded in 50yrs","ok"))))),
IF('Soil results'!F51&lt;=7,
  IF(BQ48&gt;300,"no application - soil conc. already above limit",
  IF(BR48&gt;300,"application rate too high - soil conc. will exceed limit",
  IF(BQ48&gt;300*0.9,"soil conc. is at or above 90% of the limit",
  IF(10*BP48*1000/3000+BQ48&gt;300,"soil limit likey to be exceeded in 10yrs",
  IF(50*BP48*1000/3000+BQ48&gt;300,"soil limit likely to be exceeded in 50yrs","ok"))))),
IF('Soil results'!F51&gt;7,
  IF(BQ48&gt;450,"no application - soil conc. already above limit",
  IF(BR48&gt;450,"application rate too high - soil conc. will exceed limit",
  IF(AW48&gt;450*0.9,"soil conc. is at or above 90% of the limit",
  IF(10*BP48*1000/3000+BQ48&gt;450,"soil limit likely to be exceeded in 10yrs",
  IF(50*BP48*1000/3000+BQ48&gt;450,"soil limit likely to be exceeded in 50yrs","ok")))))
))))))))</f>
        <v/>
      </c>
    </row>
    <row r="49" spans="2:71" s="9" customFormat="1" ht="15" x14ac:dyDescent="0.25">
      <c r="B49" s="236" t="str">
        <f ca="1">'Soil results'!B52</f>
        <v/>
      </c>
      <c r="C49" s="91" t="str">
        <f ca="1">IF(B49="","",
IF(AND('Field information 2'!$O$5="", 'Field information 2'!$Q$5=""),
   IF('Waste results'!$S$12&lt;&gt;"data missing", Calc!BC47*'Waste results'!$S$12, "data missing"),
IF('Field information 2'!$Q$5="",
   IF(Calc!BD47=0,
     IF('Waste results'!$S$12&lt;&gt;"data missing", Calc!BC47*'Waste results'!$S$12, "data missing"),
   IF(Calc!BC47=0,
     IF('Waste results'!$S$48&lt;&gt;"data missing", Calc!BD47*'Waste results'!$S$48, "data missing"),
   IF(OR('Waste results'!$S$12&lt;&gt;"data missing", 'Waste results'!$S$48&lt;&gt;"data missing"), Calc!BC47*'Waste results'!$S$12+ Calc!BD47*'Waste results'!$S$48, "data missing"))),
IF(AND('Field information 2'!$M$5&lt;&gt;"", 'Field information 2'!$O$5&lt;&gt;"", 'Field information 2'!$Q$5&lt;&gt;""),
   IF(AND(Calc!BD47=0,Calc!BE47=0),
     IF('Waste results'!$S$12&lt;&gt;"data missing", Calc!BC47*'Waste results'!$S$12, "data missing"),
   IF(AND(Calc!BC47=0,Calc!BE47=0),
     IF('Waste results'!$S$48&lt;&gt;"data missing", Calc!BD47*'Waste results'!$S$48, "data missing"),
   IF(AND(Calc!BC47=0,Calc!BD47=0),
     IF('Waste results'!$S$84&lt;&gt;"data missing", Calc!BE47*'Waste results'!$S$84, "data missing"),
   IF(Calc!BE47=0,
     IF(OR('Waste results'!$S$12&lt;&gt;"data missing", 'Waste results'!$S$48&lt;&gt;"data missing"), Calc!BC47*'Waste results'!$S$12+ Calc!BD47*'Waste results'!$S$48, "data missing"),
   IF(Calc!BD47=0,
     IF(OR('Waste results'!$S$12&lt;&gt;"data missing", 'Waste results'!$S$84&lt;&gt;"data missing"), Calc!BC47*'Waste results'!$S$12+ Calc!BE47*'Waste results'!$S$84, "data missing"),
   IF(Calc!BC47=0,
     IF(OR('Waste results'!$S$48&lt;&gt;"data missing", 'Waste results'!$S$84&lt;&gt;"data missing"), Calc!BD47*'Waste results'!$S$48+Calc!BE47*'Waste results'!$S$84, "data missing"),
   IF(OR('Waste results'!$S$12&lt;&gt;"data missing", 'Waste results'!$S$48&lt;&gt;"data missing", 'Waste results'!$S$84&lt;&gt;"data missing"), Calc!BC47*'Waste results'!$S$12+Calc!BD47*'Waste results'!$S$48+ Calc!BE47*'Waste results'!$S$84, "data missing")))))))))))</f>
        <v/>
      </c>
      <c r="D49" s="161" t="str">
        <f ca="1">IF(B49="","",
IF(Calc!BG47="","soil texture missing",
IF(OR(Calc!BG47="SL; SZL; ZL",Calc!BG47="SCL; CL; ZCL; SC; ZC; C"),VLOOKUP(Calc!BI47,'Fertiliser recommendations'!$A$4:$C$63,3,FALSE),
IF(Calc!BG47="S; LS",VLOOKUP(Calc!BI47,'Fertiliser recommendations'!$A$4:$C$63,3,FALSE)+VLOOKUP(Calc!BI47,'Fertiliser recommendations'!$A$4:$D$63,4,FALSE),
IF(Calc!BG47="10-25% OM",VLOOKUP(Calc!BI47,'Fertiliser recommendations'!$A$4:$C$63,3,FALSE)+VLOOKUP(Calc!BI47,'Fertiliser recommendations'!$A$4:$E$63,5,FALSE),
IF(Calc!BG47="&gt;25% OM",VLOOKUP(Calc!BI47,'Fertiliser recommendations'!$A$4:$C$63,3,FALSE)+VLOOKUP(Calc!BI47,'Fertiliser recommendations'!$A$4:$F$63,6,FALSE),
""))))))</f>
        <v/>
      </c>
      <c r="E49" s="91" t="str">
        <f t="shared" ca="1" si="0"/>
        <v/>
      </c>
      <c r="F49" s="9" t="str">
        <f ca="1">IF(B49="","",
IF(OR(C49="data missing",D49="soil texture missing"),"data missing",
IF(Calc!BF47=0,"n/a",
IF(C49&lt;0.1*D49,"no benefit",
IF(C49&lt;0.3*D49,"limited benefit",
IF(C49&gt;250,"exceeds limit",
IF(OR(AND(D49=0,C49&gt;75),C49&gt;1.25*D49),"excessive",
IF(D49=0, "no requirement",
"benefit"))))))))</f>
        <v/>
      </c>
      <c r="H49" s="91" t="str">
        <f ca="1">IF(B49="","",
IF(AND('Field information 2'!$O$5="", 'Field information 2'!$Q$5=""),
   IF('Waste results'!$S$17&lt;&gt;"data missing", Calc!BC47*'Waste results'!$S$17, "data missing"),
IF('Field information 2'!$Q$5="",
   IF(Calc!BD47=0,
     IF('Waste results'!$S$17&lt;&gt;"data missing", Calc!BC47*'Waste results'!$S$17, "data missing"),
   IF(Calc!BC47=0,
     IF('Waste results'!$S$53&lt;&gt;"data missing", Calc!BD47*'Waste results'!$S$53, "data missing"),
   IF(OR('Waste results'!$S$17&lt;&gt;"data missing", 'Waste results'!$S$53&lt;&gt;"data missing"), Calc!BC47*'Waste results'!$S$17+ Calc!BD47*'Waste results'!$S$53, "data missing"))),
IF(AND('Field information 2'!$M$5&lt;&gt;"", 'Field information 2'!$O$5&lt;&gt;"", 'Field information 2'!$Q$5&lt;&gt;""),
   IF(AND(Calc!BD47=0,Calc!BE47=0),
     IF('Waste results'!$S$17&lt;&gt;"data missing", Calc!BC47*'Waste results'!$S$17, "data missing"),
   IF(AND(Calc!BC47=0,Calc!BE47=0),
     IF('Waste results'!$S$53&lt;&gt;"data missing", Calc!BD47*'Waste results'!$S$53, "data missing"),
   IF(AND(Calc!BC47=0,Calc!BD47=0),
     IF('Waste results'!$S$89&lt;&gt;"data missing", Calc!BE47*'Waste results'!$S$89, "data missing"),
   IF(Calc!BE47=0,
     IF(OR('Waste results'!$S$17&lt;&gt;"data missing", 'Waste results'!$S$53&lt;&gt;"data missing"), Calc!BC47*'Waste results'!$S$17+ Calc!BD47*'Waste results'!$S$53, "data missing"),
   IF(Calc!BD47=0,
     IF(OR('Waste results'!$S$17&lt;&gt;"data missing", 'Waste results'!$S$89&lt;&gt;"data missing"), Calc!BC47*'Waste results'!$S$17+ Calc!BE47*'Waste results'!$S$89, "data missing"),
   IF(Calc!BC47=0,
     IF(OR('Waste results'!$S$53&lt;&gt;"data missing", 'Waste results'!$S$89&lt;&gt;"data missing"), Calc!BD47*'Waste results'!$S$53+Calc!BE47*'Waste results'!$S$89, "data missing"),
   IF(OR('Waste results'!$S$17&lt;&gt;"data missing", 'Waste results'!$S$53&lt;&gt;"data missing", 'Waste results'!$S$89&lt;&gt;"data missing"), Calc!BC47*'Waste results'!$S$17+Calc!BD47*'Waste results'!$S$53+ Calc!BE47*'Waste results'!$S$89, "data missing")))))))))))</f>
        <v/>
      </c>
      <c r="I49" s="195" t="str">
        <f ca="1">IF(B49="","",
IF(OR(ISBLANK('Soil results'!G52), ISBLANK('Soil results'!G$7)),"data missing",
IF(OR(AND('Soil results'!G$7="Olsen (ADAS)",'Soil results'!G52&lt;16),AND('Soil results'!G$7="modified Morgan (SAC)",'Soil results'!G52&lt;4.5)),50,100)))</f>
        <v/>
      </c>
      <c r="J49" s="49" t="str">
        <f ca="1">IF(B49="","",
IF(OR(ISBLANK('Soil results'!G$7),ISBLANK('Soil results'!G52)),"data missing",
IF(OR(AND('Soil results'!G$7="Olsen (ADAS)",'Soil results'!G52&gt;45),AND('Soil results'!G$7="modified Morgan (SAC)",'Soil results'!G52&gt;30)),0,
IF(OR(AND('Soil results'!G$7="Olsen (ADAS)",'Soil results'!G52&gt;=16,'Soil results'!G52&lt;=20),AND('Soil results'!G$7="modified Morgan (SAC)",'Soil results'!G52&gt;=4.5,'Soil results'!G52&lt;=9.4)),VLOOKUP(Calc!BI47,'Fertiliser recommendations'!$A$4:$I$63,9,FALSE),
IF(OR(AND('Soil results'!G$7="Olsen (ADAS)",'Soil results'!G52&lt;10),AND('Soil results'!G$7="modified Morgan (SAC)",'Soil results'!G52&lt;1.8)),VLOOKUP(Calc!BI47,'Fertiliser recommendations'!$A$4:$I$63,9,FALSE)+VLOOKUP(Calc!BI47,'Fertiliser recommendations'!$A$4:$J$63,10,FALSE),
IF(OR(AND('Soil results'!G$7="Olsen (ADAS)",'Soil results'!G52&lt;16),AND('Soil results'!G$7="modified Morgan (SAC)",'Soil results'!G52&lt;4.5)),VLOOKUP(Calc!BI47,'Fertiliser recommendations'!$A$4:$I$63,9,FALSE)+VLOOKUP(Calc!BI47,'Fertiliser recommendations'!$A$4:$K$63,11,FALSE),
IF(OR(AND('Soil results'!G$7="Olsen (ADAS)",'Soil results'!G52&lt;26),AND('Soil results'!G$7="modified Morgan (SAC)",'Soil results'!G52&lt;13.5)),VLOOKUP(Calc!BI47,'Fertiliser recommendations'!$A$4:$I$63,9,FALSE)+VLOOKUP(Calc!BI47,'Fertiliser recommendations'!$A$4:$L$63,12,FALSE),
IF(OR(AND('Soil results'!G$7="Olsen (ADAS)",'Soil results'!G52&lt;=45),AND('Soil results'!G$7="modified Morgan (SAC)",'Soil results'!G52&lt;=30)),VLOOKUP(Calc!BI47,'Fertiliser recommendations'!$A$4:$I$63,9,FALSE)+VLOOKUP(Calc!BI47,'Fertiliser recommendations'!$A$4:$M$63,13,FALSE),
""))))))))</f>
        <v/>
      </c>
      <c r="K49" s="161" t="str">
        <f t="shared" ca="1" si="1"/>
        <v/>
      </c>
      <c r="L49" s="47" t="str">
        <f ca="1">IF(OR(ISBLANK('Soil results'!G$7),ISBLANK('Soil results'!G52),B49="", H49="data missing"),"",
IF('Soil results'!G$7="Olsen (ADAS)",
IF(((H49*Calc!BM47/2.291-(VLOOKUP(Calc!BI47,'Fertiliser recommendations'!$A$4:$I$63,9,FALSE))/2.291)*10/(400/2.291)+'Soil results'!G52)&lt;10,"0 (VL)",
IF(((H49*Calc!BM47/2.291-(VLOOKUP(Calc!BI47,'Fertiliser recommendations'!$A$4:$I$63,9,FALSE))/2.291)*10/(400/2.291)+'Soil results'!G52)&lt;16,"1 (L)",
IF(((H49*Calc!BM47/2.291-(VLOOKUP(Calc!BI47,'Fertiliser recommendations'!$A$4:$I$63,9,FALSE))/2.291)*10/(400/2.291)+'Soil results'!G52)&lt;21,"2 (M-)",
IF(((H49*Calc!BM47/2.291-(VLOOKUP(Calc!BI47,'Fertiliser recommendations'!$A$4:$I$63,9,FALSE))/2.291)*10/(400/2.291)+'Soil results'!G52)&lt;26,"2 (M+)",
IF(((H49*Calc!BM47/2.291-(VLOOKUP(Calc!BI47,'Fertiliser recommendations'!$A$4:$I$63,9,FALSE))/2.291)*10/(400/2.291)+'Soil results'!G52)&lt;45,"3 (H)","&gt;3 (VH)"))))),
IF('Soil results'!G$7="modified Morgan (SAC)",
IF('Soil results'!G52&gt;=6,
IF(((H49*Calc!BM47/2.291-(VLOOKUP(Calc!BI47,'Fertiliser recommendations'!$A$4:$I$63,9,FALSE))/2.291)*5/(147/2.291)+'Soil results'!G52)&lt;9.5,"2 (M-)",
IF(((H49*Calc!BM47/2.291-(VLOOKUP(Calc!BI47,'Fertiliser recommendations'!$A$4:$I$63,9,FALSE))/2.291)*5/(147/2.291)+'Soil results'!G52)&lt;13.5,"2 (M+)",
IF(((H49*Calc!BM47/2.291-(VLOOKUP(Calc!BI47,'Fertiliser recommendations'!$A$4:$I$63,9,FALSE))/2.291)*5/(147/2.291)+'Soil results'!G52)&lt;30,"3 (H)","4 (VH)"))),
IF(((H49*Calc!BM47/2.291-(VLOOKUP(Calc!BI47,'Fertiliser recommendations'!$A$4:$I$63,9,FALSE))/2.291)*5/(346/2.291)+'Soil results'!G52)&lt;1.8,"0 (VL)",
IF(((H49*Calc!BM47/2.291-(VLOOKUP(Calc!BI47,'Fertiliser recommendations'!$A$4:$I$63,9,FALSE))/2.291)*5/(147/2.291)+'Soil results'!G52)&lt;4.5,"1 (L)","2 (M-)"))))))</f>
        <v/>
      </c>
      <c r="M49" s="9" t="str">
        <f ca="1">IF(B49="","",
IF(OR(H49="data missing",I49="data missing",J49="data missing"),"data missing",
IF(Calc!BF47=0,"n/a",
IF(OR(AND('Soil results'!G$7="Olsen (ADAS)",'Soil results'!G52&gt;45),AND('Soil results'!G$7="modified Morgan (SAC)",'Soil results'!G52&gt;30)),
IF(H49&gt;2,"too high, not acceptable","no requirement"),IF(OR(AND('Soil results'!G$7="Olsen (ADAS)",'Soil results'!G52&gt;25),AND('Soil results'!G$7="modified Morgan (SAC)",'Soil results'!G52&gt;13.4)),
IF(H49*(I49/100)&lt;0.1*J49,"no benefit",
IF(H49*(I49/100)&lt;0.3*J49,"limited benefit",
IF(H49*(I49/100)&lt;1.1*J49,"benefit",
IF(H49*(I49/100)&lt;0.7*VLOOKUP(Calc!BI47,'Fertiliser recommendations'!$A$4:$I$63,9,FALSE),"excessive","too high, not acceptable")))),
IF(OR(AND('Soil results'!G$7="Olsen (ADAS)",'Soil results'!G52&gt;20),AND('Soil results'!G$7="modified Morgan (SAC)",'Soil results'!G52&gt;9.4)),
IF(H49*Calc!BM47*(I49/100)&lt;0.1*J49,"no benefit",
IF(H49*Calc!BM47*(I49/100)&lt;0.3*J49,"limited benefit",
IF(H49*Calc!BM47*(I49/100)&lt;1.1*J49,"benefit",
IF(L49="3 (H)","too high, not acceptable","excessive")))),
IF(OR(AND('Soil results'!G$7="Olsen (ADAS)",'Soil results'!G52&gt;15),AND('Soil results'!G$7="modified Morgan (SAC)",'Soil results'!G52&gt;4.4)),
IF(H49*Calc!BM47*(I49/100)&lt;0.1*VLOOKUP(Calc!BI47,'Fertiliser recommendations'!$A$4:$I$63,9,FALSE),"no benefit",
IF(H49*Calc!BM47*(I49/100)&lt;0.3*VLOOKUP(Calc!BI47,'Fertiliser recommendations'!$A$4:$I$63,9,FALSE),"limited benefit",
IF(H49*Calc!BM47*(I49/100)&lt;1.1*VLOOKUP(Calc!BI47,'Fertiliser recommendations'!$A$4:$I$63,9,FALSE),"benefit",
IF(L49="3 (H)", "too high, not acceptable", "excessive")))),
IF(OR(AND('Soil results'!G$7="Olsen (ADAS)",'Soil results'!G52&lt;=15),AND('Soil results'!G$7="modified Morgan (SAC)",'Soil results'!G52&lt;=4.4)),
IF(H49*Calc!BM47*(I49/100)&lt;0.1*VLOOKUP(Calc!BI47,'Fertiliser recommendations'!$A$4:$I$63,9,FALSE),"no benefit",
IF(H49*Calc!BM47*(I49/100)&lt;0.3*VLOOKUP(Calc!BI47,'Fertiliser recommendations'!$A$4:$I$63,9,FALSE),"limited benefit",
IF(H49*Calc!BM47*(I49/100)&lt;1.1*J49,"benefit","excessive")))))))))))</f>
        <v/>
      </c>
      <c r="O49" s="91" t="str">
        <f ca="1">IF(B49="","",
IF(AND('Field information 2'!$O$5="", 'Field information 2'!$Q$5=""),
   IF('Waste results'!$S$19&lt;&gt;"data missing", Calc!BC47*'Waste results'!$S$19, "data missing"),
IF('Field information 2'!$Q$5="",
   IF(Calc!BD47=0,
     IF('Waste results'!$S$19&lt;&gt;"data missing", Calc!BC47*'Waste results'!$S$19, "data missing"),
   IF(Calc!BC47=0,
     IF('Waste results'!$S$55&lt;&gt;"data missing", Calc!BD47*'Waste results'!$S$55, "data missing"),
   IF(OR('Waste results'!$S$19&lt;&gt;"data missing", 'Waste results'!$S$55&lt;&gt;"data missing"), Calc!BC47*'Waste results'!$S$19+ Calc!BD47*'Waste results'!$S$55, "data missing"))),
IF(AND('Field information 2'!$M$5&lt;&gt;"", 'Field information 2'!$O$5&lt;&gt;"", 'Field information 2'!$Q$5&lt;&gt;""),
   IF(AND(Calc!BD47=0,Calc!BE47=0),
     IF('Waste results'!$S$19&lt;&gt;"data missing", Calc!BC47*'Waste results'!$S$19, "data missing"),
   IF(AND(Calc!BC47=0,Calc!BE47=0),
     IF('Waste results'!$S$55&lt;&gt;"data missing", Calc!BD47*'Waste results'!$S$55, "data missing"),
   IF(AND(Calc!BC47=0,Calc!BD47=0),
     IF('Waste results'!$S$91&lt;&gt;"data missing", Calc!BE47*'Waste results'!$S$91, "data missing"),
   IF(Calc!BE47=0,
     IF(OR('Waste results'!$S$19&lt;&gt;"data missing", 'Waste results'!$S$55&lt;&gt;"data missing"), Calc!BC47*'Waste results'!$S$19+ Calc!BD47*'Waste results'!$S$55, "data missing"),
   IF(Calc!BD47=0,
     IF(OR('Waste results'!$S$19&lt;&gt;"data missing", 'Waste results'!$S$91&lt;&gt;"data missing"), Calc!BC47*'Waste results'!$S$19+ Calc!BE47*'Waste results'!$S$91, "data missing"),
   IF(Calc!BC47=0,
     IF(OR('Waste results'!$S$55&lt;&gt;"data missing", 'Waste results'!$S$91&lt;&gt;"data missing"), Calc!BD47*'Waste results'!$S$55+Calc!BE47*'Waste results'!$S$91, "data missing"),
   IF(OR('Waste results'!$S$19&lt;&gt;"data missing", 'Waste results'!$S$55&lt;&gt;"data missing", 'Waste results'!$S$91&lt;&gt;"data missing"), Calc!BC47*'Waste results'!$S$19+Calc!BD47*'Waste results'!$S$55+ Calc!BE47*'Waste results'!$S$91, "data missing")))))))))))</f>
        <v/>
      </c>
      <c r="P49" s="91" t="str">
        <f ca="1">IF(B49="","",
IF(OR(ISBLANK('Soil results'!H$7),ISBLANK('Soil results'!H52)),"data missing",
IF(OR(AND('Soil results'!H$7="ammonium nitrate (ADAS)",'Soil results'!H52&gt;400),AND('Soil results'!H$7="modified Morgan (SAC)",'Soil results'!H52&gt;400)),0,
IF(OR(AND('Soil results'!H$7="ammonium nitrate (ADAS)",'Soil results'!H52&gt;=121,'Soil results'!H52&lt;=180),AND('Soil results'!H$7="modified Morgan (SAC)",'Soil results'!H52&gt;=76,'Soil results'!H52&lt;=140)),VLOOKUP(Calc!BI47,'Fertiliser recommendations'!$A$4:$Z$63,26,FALSE),
IF(OR(AND('Soil results'!H$7="ammonium nitrate (ADAS)",'Soil results'!H52&lt;61),AND('Soil results'!H$7="modified Morgan (SAC)",'Soil results'!H52&lt;40)),VLOOKUP(Calc!BI47,'Fertiliser recommendations'!$A$4:$Z$63,26,FALSE)+VLOOKUP(Calc!BI47,'Fertiliser recommendations'!$A$4:$AA$63,27,FALSE),
IF(OR(AND('Soil results'!H$7="ammonium nitrate (ADAS)",'Soil results'!H52&lt;121),AND('Soil results'!H$7="modified Morgan (SAC)",'Soil results'!H52&lt;76)),VLOOKUP(Calc!BI47,'Fertiliser recommendations'!$A$4:$Z$63,26,FALSE)+VLOOKUP(Calc!BI47,'Fertiliser recommendations'!$A$4:$AB$63,28,FALSE),
IF(OR(AND('Soil results'!H$7="ammonium nitrate (ADAS)",'Soil results'!H52&lt;241),AND('Soil results'!H$7="modified Morgan (SAC)",'Soil results'!H52&lt;201)),VLOOKUP(Calc!BI47,'Fertiliser recommendations'!$A$4:$Z$63,26,FALSE)+VLOOKUP(Calc!BI47,'Fertiliser recommendations'!$A$4:$AC$63,29,FALSE),
IF(OR(AND('Soil results'!H$7="ammonium nitrate (ADAS)",'Soil results'!H52&lt;=400),AND('Soil results'!H$7="modified Morgan (SAC)",'Soil results'!H52&lt;=400)),VLOOKUP(Calc!BI47,'Fertiliser recommendations'!$A$4:$Z$63,26,FALSE)+VLOOKUP(Calc!BI47,'Fertiliser recommendations'!$A$4:$AD$63,30,FALSE),
"??"))))))))</f>
        <v/>
      </c>
      <c r="Q49" s="91" t="str">
        <f t="shared" ca="1" si="2"/>
        <v/>
      </c>
      <c r="R49" s="9" t="str">
        <f ca="1">IF(B49="","",
IF(OR(O49="data missing",P49="data missing"),"data missing",
IF(Calc!BF47=0,"n/a",
IF(P49=0, "no requirement",
IF(O49&lt;0.1*P49,"no benefit",
IF(O49&lt;0.3*P49,"limited benefit",
IF(O49&gt;1.25*P49,"excessive",
"benefit")))))))</f>
        <v/>
      </c>
      <c r="T49" s="91" t="str">
        <f ca="1">IF(B49="","",
IF(AND('Field information 2'!$O$5="", 'Field information 2'!$Q$5=""),
   IF('Waste results'!$S$21&lt;&gt;"data missing", Calc!BC47*'Waste results'!$S$21, "data missing"),
IF('Field information 2'!$Q$5="",
   IF(Calc!BD47=0,
     IF('Waste results'!$S$21&lt;&gt;"data missing", Calc!BC47*'Waste results'!$S$21, "data missing"),
   IF(Calc!BC47=0,
     IF('Waste results'!$S$57&lt;&gt;"data missing", Calc!BD47*'Waste results'!$S$57, "data missing"),
   IF(OR('Waste results'!$S$21&lt;&gt;"data missing", 'Waste results'!$S$57&lt;&gt;"data missing"), Calc!BC47*'Waste results'!$S$21+ Calc!BD47*'Waste results'!$S$57, "data missing"))),
IF(AND('Field information 2'!$M$5&lt;&gt;"", 'Field information 2'!$O$5&lt;&gt;"", 'Field information 2'!$Q$5&lt;&gt;""),
   IF(AND(Calc!BD47=0,Calc!BE47=0),
     IF('Waste results'!$S$21&lt;&gt;"data missing", Calc!BC47*'Waste results'!$S$21, "data missing"),
   IF(AND(Calc!BC47=0,Calc!BE47=0),
     IF('Waste results'!$S$57&lt;&gt;"data missing", Calc!BD47*'Waste results'!$S$57, "data missing"),
   IF(AND(Calc!BC47=0,Calc!BD47=0),
     IF('Waste results'!$S$93&lt;&gt;"data missing", Calc!BE47*'Waste results'!$S$93, "data missing"),
   IF(Calc!BE47=0,
     IF(OR('Waste results'!$S$21&lt;&gt;"data missing", 'Waste results'!$S$57&lt;&gt;"data missing"), Calc!BC47*'Waste results'!$S$21+ Calc!BD47*'Waste results'!$S$57, "data missing"),
   IF(Calc!BD47=0,
     IF(OR('Waste results'!$S$21&lt;&gt;"data missing", 'Waste results'!$S$93&lt;&gt;"data missing"), Calc!BC47*'Waste results'!$S$21+ Calc!BE47*'Waste results'!$S$93, "data missing"),
   IF(Calc!BC47=0,
     IF(OR('Waste results'!$S$57&lt;&gt;"data missing", 'Waste results'!$S$93&lt;&gt;"data missing"), Calc!BD47*'Waste results'!$S$57+Calc!BE47*'Waste results'!$S$93, "data missing"),
   IF(OR('Waste results'!$S$21&lt;&gt;"data missing", 'Waste results'!$S$57&lt;&gt;"data missing", 'Waste results'!$S$93&lt;&gt;"data missing"), Calc!BC47*'Waste results'!$S$21+Calc!BD47*'Waste results'!$S$57+ Calc!BE47*'Waste results'!$S$93, "data missing")))))))))))</f>
        <v/>
      </c>
      <c r="U49" s="7" t="str">
        <f ca="1">IF(B49="","",
IF(OR(ISBLANK('Soil results'!I$7),ISBLANK('Soil results'!I52)),"data missing",
IF(OR(AND('Soil results'!I$7="ammonium nitrate (ADAS)",'Soil results'!I52&gt;51),AND('Soil results'!I$7="modified Morgan (SAC)",'Soil results'!I52&gt;61)),0,
IF(OR(AND('Soil results'!I$7="ammonium nitrate (ADAS)",'Soil results'!I52&lt;25),AND('Soil results'!I$7="modified Morgan (SAC)",'Soil results'!I52&lt;19)),VLOOKUP(Calc!BI47,'Fertiliser recommendations'!$A$4:$AH$63,34,FALSE),
IF(OR(AND('Soil results'!I$7="ammonium nitrate (ADAS)",'Soil results'!I52&lt;=51),AND('Soil results'!I$7="modified Morgan (SAC)",'Soil results'!I52&lt;=61)),VLOOKUP(Calc!BI47,'Fertiliser recommendations'!$A$4:$AI$63,35,FALSE),
"")))))</f>
        <v/>
      </c>
      <c r="V49" s="91" t="str">
        <f t="shared" ca="1" si="3"/>
        <v/>
      </c>
      <c r="W49" s="9" t="str">
        <f ca="1">IF(B49="","",
IF(OR(T49="data missing",U49="data missing"),"data missing",
IF(Calc!BF47=0,"n/a",
IF(U49=0,"no requirement",
IF(T49&lt;0.1*U49,"no benefit",
IF(T49&lt;0.3*U49,"limited benefit",
IF(OR(T49&gt;1.5*U49,AND(Calc!BJ47="g",T49&gt;100)),"excessive",
"benefit")))))))</f>
        <v/>
      </c>
      <c r="Y49" s="91" t="str">
        <f ca="1">IF(B49="","",
IF(AND('Field information 2'!$O$5="", 'Field information 2'!$Q$5=""),
   IF('Waste results'!$P$23&lt;&gt;"", Calc!BC47*'Waste results'!$P$23, "no data"),
IF('Field information 2'!$Q$5="",
   IF(Calc!BD47=0,
     IF('Waste results'!$P$23&lt;&gt;"", Calc!BC47*'Waste results'!$P$23, "no data"),
   IF(Calc!BC47=0,
     IF('Waste results'!$P$59&lt;&gt;"", Calc!BD47*'Waste results'!$P$59, "no data"),
   IF(OR('Waste results'!$P$23&lt;&gt;"", 'Waste results'!$P$59&lt;&gt;""), Calc!BC47*'Waste results'!$P$23+ Calc!BD47*'Waste results'!$P$59, "no data"))),
IF(AND('Field information 2'!$M$5&lt;&gt;"", 'Field information 2'!$O$5&lt;&gt;"", 'Field information 2'!$Q$5&lt;&gt;""),
   IF(AND(Calc!BD47=0,Calc!BE47=0),
     IF('Waste results'!$P$23&lt;&gt;"", Calc!BC47*'Waste results'!$P$23, "no data"),
   IF(AND(Calc!BC47=0,Calc!BE47=0),
     IF('Waste results'!$P$59&lt;&gt;"", Calc!BD47*'Waste results'!$P$59, "no data"),
   IF(AND(Calc!BC47=0,Calc!BD47=0),
     IF('Waste results'!$P$95&lt;&gt;"", Calc!BE47*'Waste results'!$P$95, "no data"),
   IF(Calc!BE47=0,
     IF(OR('Waste results'!$P$23&lt;&gt;"", 'Waste results'!$P$59&lt;&gt;""), Calc!BC47*'Waste results'!$P$23+ Calc!BD47*'Waste results'!$P$59, "no data"),
   IF(Calc!BD47=0,
     IF(OR('Waste results'!$P$23&lt;&gt;"", 'Waste results'!$P$95&lt;&gt;""), Calc!BC47*'Waste results'!$P$23+ Calc!BE47*'Waste results'!$P$95, "no data"),
   IF(Calc!BC47=0,
     IF(OR('Waste results'!$P$59&lt;&gt;"", 'Waste results'!$P$95&lt;&gt;""), Calc!BD47*'Waste results'!$P$59+Calc!BE47*'Waste results'!$P$95, "no data"),
   IF(OR('Waste results'!$P$23&lt;&gt;"", 'Waste results'!$P$59&lt;&gt;"", 'Waste results'!$P$95&lt;&gt;""), Calc!BC47*'Waste results'!$P$23+Calc!BD47*'Waste results'!$P$59+ Calc!BE47*'Waste results'!$P$95, "no data")))))))))))</f>
        <v/>
      </c>
      <c r="Z49" s="7" t="str">
        <f ca="1">IF(OR(ISBLANK('Soil results'!I$7),ISBLANK('Soil results'!I52),'Soil results'!B52=""),"",
VLOOKUP(Calc!BI47,'Fertiliser recommendations'!$A$4:$AM$63,39,FALSE))</f>
        <v/>
      </c>
      <c r="AA49" s="91" t="str">
        <f t="shared" ca="1" si="4"/>
        <v/>
      </c>
      <c r="AB49" s="9" t="str">
        <f t="shared" ca="1" si="5"/>
        <v/>
      </c>
      <c r="AD49" s="48" t="str">
        <f>IF(ISBLANK('Soil results'!F52),"",'Soil results'!F52)</f>
        <v/>
      </c>
      <c r="AE49" s="49" t="str">
        <f ca="1">IF(B49="","",
IF(AND(Calc!BJ47="g", VLOOKUP(LEFT($B49,LEN($B49)-2),'Field information 2'!$B$12:$P$111,9,FALSE)&lt;&gt;"yes"),
 IF(Calc!BG47="10-25% OM", 5.9, IF(Calc!BG47="&gt;25% OM", 5.5, 6.2)),
IF(OR(Calc!BJ47="a", VLOOKUP(LEFT($B49,LEN($B49)-2),'Field information 2'!$B$12:$P$111,9,FALSE)="yes"),
 IF(Calc!BG47="10-25% OM", 6.4, IF(Calc!BG47="&gt;25% OM", 6, 6.7)), "")))</f>
        <v/>
      </c>
      <c r="AF49" s="91" t="str">
        <f ca="1">IF(B49="","",
IF('Waste results'!$Q$33="","no (significant) liming properties",
IF('Waste results'!Q$33&gt;100,"no (significant) liming properties",
IF(AD49="","",
IF(AD49&gt;=AE49,0,ROUNDDOWN((AE49-AD49)*Calc!BK47*'Waste results'!$Q$33+0.2,0))))))</f>
        <v/>
      </c>
      <c r="AG49" s="9" t="str">
        <f ca="1">IF(B49="","",
IF(T49=0,"n/a",
IF(AD49="","data missing",
IF(AND(AD49&lt;5,AF49="no (significant) liming properties"),"no waste application - pH too low",
IF(AND(AD49&gt;5.1,AF49="no (significant) liming properties",Calc!BH47&gt;25, LEFT(Calc!BI47,4)="graz"),"ok",
IF(AND(AD49&lt;=5.2,AF49="no (significant) liming properties"),"liming highly recommended",
IF(AF49=0,"no waste application - liming not required",
IF(AF49&lt;Calc!BC47,"application rate too high - exceeds liming requirement",
"ok"))))))))</f>
        <v/>
      </c>
      <c r="AI49" s="91" t="str">
        <f ca="1">IF(B49="","",
IF(AND('Field information 2'!$O$5="", 'Field information 2'!$Q$5=""),
   IF('Waste results'!$P$10&lt;&gt;"data missing", Calc!BC47*'Waste results'!$P$10, "data missing"),
IF('Field information 2'!$Q$5="",
   IF(Calc!BD47=0,
     IF('Waste results'!$P$10&lt;&gt;"data missing", Calc!BC47*'Waste results'!$P$10, "data missing"),
   IF(Calc!BC47=0,
     IF('Waste results'!$P$45&lt;&gt;"data missing", Calc!BD47*'Waste results'!$P$45, "data missing"),
   IF(OR('Waste results'!$P$10&lt;&gt;"data missing", 'Waste results'!$P$45&lt;&gt;"data missing"), Calc!BC47*'Waste results'!$P$10+ Calc!BD47*'Waste results'!$P$45, "data missing"))),
IF(AND('Field information 2'!$M$5&lt;&gt;"", 'Field information 2'!$O$5&lt;&gt;"", 'Field information 2'!$Q$5&lt;&gt;""),
   IF(AND(Calc!BD47=0,Calc!BE47=0),
     IF('Waste results'!$P$10&lt;&gt;"data missing", Calc!BC47*'Waste results'!$P$10, "data missing"),
   IF(AND(Calc!BC47=0,Calc!BE47=0),
     IF('Waste results'!$P$45&lt;&gt;"data missing", Calc!BD47*'Waste results'!$P$45, "data missing"),
   IF(AND(Calc!BC47=0,Calc!BD47=0),
     IF('Waste results'!$P$82&lt;&gt;"data missing", Calc!BE47*'Waste results'!$P$82, "data missing"),
   IF(Calc!BE47=0,
     IF(OR('Waste results'!$P$10&lt;&gt;"data missing", 'Waste results'!$P$45&lt;&gt;"data missing"), Calc!BC47*'Waste results'!$P$10+ Calc!BD47*'Waste results'!$P$45, "data missing"),
   IF(Calc!BD47=0,
     IF(OR('Waste results'!$P$10&lt;&gt;"data missing", 'Waste results'!$P$82&lt;&gt;"data missing"), Calc!BC47*'Waste results'!$P$10+ Calc!BE47*'Waste results'!$P$82, "data missing"),
   IF(Calc!BC47=0,
     IF(OR('Waste results'!$P$45&lt;&gt;"data missing", 'Waste results'!$P$82&lt;&gt;"data missing"), Calc!BD47*'Waste results'!$P$45+Calc!BE47*'Waste results'!$P$82, "data missing"),
   IF(OR('Waste results'!$P$10&lt;&gt;"data missing", 'Waste results'!$P$45&lt;&gt;"data missing", 'Waste results'!$P$82&lt;&gt;"data missing"), Calc!BC47*'Waste results'!$P$10+Calc!BD47*'Waste results'!$P$45+ Calc!BE47*'Waste results'!$P$82, "data missing")))))))))))</f>
        <v/>
      </c>
      <c r="AJ49" s="237" t="str">
        <f ca="1">IF(B49="","",
IF(AI49="data missing","data missing",
IF(Calc!BF47=0,"n/a",
IF(AND(Calc!BH47&gt;=8,AI49&lt;500),"no benefit",
IF(OR(AND(Calc!BH47&lt;=4,AI49&gt;=500),AND(Calc!BH47&lt;8,AI49&gt;5000)),"benefit",
"limited benefit")))))</f>
        <v/>
      </c>
      <c r="AL49" s="238" t="str">
        <f ca="1">IF(B49="","",
IF(AND('Field information 2'!$O$5="", 'Field information 2'!$Q$5=""),
   IF('Waste results'!$S$25&lt;&gt;"data missing", Calc!BC47*'Waste results'!$S$25, "data missing"),
IF('Field information 2'!$Q$5="",
   IF(Calc!BD47=0,
     IF('Waste results'!$S$25&lt;&gt;"data missing", Calc!BC47*'Waste results'!$S$25, "data missing"),
   IF(Calc!BC47=0,
     IF('Waste results'!$S$61&lt;&gt;"data missing", Calc!BD47*'Waste results'!$S$61, "data missing"),
   IF(OR('Waste results'!$S$25&lt;&gt;"data missing", 'Waste results'!$S$61&lt;&gt;"data missing"), Calc!BC47*'Waste results'!$S$25+ Calc!BD47*'Waste results'!$S$61, "data missing"))),
IF(AND('Field information 2'!$M$5&lt;&gt;"", 'Field information 2'!$O$5&lt;&gt;"", 'Field information 2'!$Q$5&lt;&gt;""),
   IF(AND(Calc!BD47=0,Calc!BE47=0),
     IF('Waste results'!$S$25&lt;&gt;"data missing", Calc!BC47*'Waste results'!$S$25, "data missing"),
   IF(AND(Calc!BC47=0,Calc!BE47=0),
     IF('Waste results'!$S$61&lt;&gt;"data missing", Calc!BD47*'Waste results'!$S$61, "data missing"),
   IF(AND(Calc!BC47=0,Calc!BD47=0),
     IF('Waste results'!$S$97&lt;&gt;"data missing", Calc!BE47*'Waste results'!$S$97, "data missing"),
   IF(Calc!BE47=0,
     IF(OR('Waste results'!$S$25&lt;&gt;"data missing", 'Waste results'!$S$61&lt;&gt;"data missing"), Calc!BC47*'Waste results'!$S$25+ Calc!BD47*'Waste results'!$S$61, "data missing"),
   IF(Calc!BD47=0,
     IF(OR('Waste results'!$S$25&lt;&gt;"data missing", 'Waste results'!$S$97&lt;&gt;"data missing"), Calc!BC47*'Waste results'!$S$25+ Calc!BE47*'Waste results'!$S$97, "data missing"),
   IF(Calc!BC47=0,
     IF(OR('Waste results'!$S$61&lt;&gt;"data missing", 'Waste results'!$S$97&lt;&gt;"data missing"), Calc!BD47*'Waste results'!$S$61+Calc!BE47*'Waste results'!$S$97, "data missing"),
   IF(OR('Waste results'!$S$25&lt;&gt;"data missing", 'Waste results'!$S$61&lt;&gt;"data missing", 'Waste results'!$S$97&lt;&gt;"data missing"), Calc!BC47*'Waste results'!$S$25+Calc!BD47*'Waste results'!$S$61+ Calc!BE47*'Waste results'!$S$97, "data missing")))))))))))</f>
        <v/>
      </c>
      <c r="AM49" s="239" t="str">
        <f ca="1">IF($B49="","",
IF(ISBLANK('Soil results'!K52),"data missing",'Soil results'!K52))</f>
        <v/>
      </c>
      <c r="AN49" s="239" t="str">
        <f t="shared" ca="1" si="6"/>
        <v/>
      </c>
      <c r="AO49" s="9" t="str">
        <f t="shared" ca="1" si="7"/>
        <v/>
      </c>
      <c r="AQ49" s="240" t="str">
        <f ca="1">IF(B49="","",
IF(AND('Field information 2'!$O$5="", 'Field information 2'!$Q$5=""),
   IF('Waste results'!$S$26&lt;&gt;"data missing", Calc!BC47*'Waste results'!$S$26, "data missing"),
IF('Field information 2'!$Q$5="",
   IF(Calc!BD47=0,
     IF('Waste results'!$S$26&lt;&gt;"data missing", Calc!BC47*'Waste results'!$S$26, "data missing"),
   IF(Calc!BC47=0,
     IF('Waste results'!$S$62&lt;&gt;"data missing", Calc!BD47*'Waste results'!$S$62, "data missing"),
   IF(OR('Waste results'!$S$26&lt;&gt;"data missing", 'Waste results'!$S$62&lt;&gt;"data missing"), Calc!BC47*'Waste results'!$S$26+ Calc!BD47*'Waste results'!$S$62, "data missing"))),
IF(AND('Field information 2'!$M$5&lt;&gt;"", 'Field information 2'!$O$5&lt;&gt;"", 'Field information 2'!$Q$5&lt;&gt;""),
   IF(AND(Calc!BD47=0,Calc!BE47=0),
     IF('Waste results'!$S$26&lt;&gt;"data missing", Calc!BC47*'Waste results'!$S$26, "data missing"),
   IF(AND(Calc!BC47=0,Calc!BE47=0),
     IF('Waste results'!$S$62&lt;&gt;"data missing", Calc!BD47*'Waste results'!$S$62, "data missing"),
   IF(AND(Calc!BC47=0,Calc!BD47=0),
     IF('Waste results'!$S$98&lt;&gt;"data missing", Calc!BE47*'Waste results'!$S$98, "data missing"),
   IF(Calc!BE47=0,
     IF(OR('Waste results'!$S$26&lt;&gt;"data missing", 'Waste results'!$S$62&lt;&gt;"data missing"), Calc!BC47*'Waste results'!$S$26+ Calc!BD47*'Waste results'!$S$62, "data missing"),
   IF(Calc!BD47=0,
     IF(OR('Waste results'!$S$26&lt;&gt;"data missing", 'Waste results'!$S$98&lt;&gt;"data missing"), Calc!BC47*'Waste results'!$S$26+ Calc!BE47*'Waste results'!$S$98, "data missing"),
   IF(Calc!BC47=0,
     IF(OR('Waste results'!$S$62&lt;&gt;"data missing", 'Waste results'!$S$98&lt;&gt;"data missing"), Calc!BD47*'Waste results'!$S$62+Calc!BE47*'Waste results'!$S$98, "data missing"),
   IF(OR('Waste results'!$S$26&lt;&gt;"data missing", 'Waste results'!$S$62&lt;&gt;"data missing", 'Waste results'!$S$98&lt;&gt;"data missing"), Calc!BC47*'Waste results'!$S$26+Calc!BD47*'Waste results'!$S$62+ Calc!BE47*'Waste results'!$S$98, "data missing")))))))))))</f>
        <v/>
      </c>
      <c r="AR49" s="241" t="str">
        <f ca="1">IF($B49="","",
IF(ISBLANK('Soil results'!L52),"data missing",'Soil results'!L52))</f>
        <v/>
      </c>
      <c r="AS49" s="241" t="str">
        <f t="shared" ca="1" si="8"/>
        <v/>
      </c>
      <c r="AT49" s="66" t="str">
        <f t="shared" ca="1" si="9"/>
        <v/>
      </c>
      <c r="AV49" s="238" t="str">
        <f ca="1">IF(B49="","",
IF(AND('Field information 2'!$O$5="", 'Field information 2'!$Q$5=""),
   IF('Waste results'!$S$27&lt;&gt;"data missing", Calc!BC47*'Waste results'!$S$27, "data missing"),
IF('Field information 2'!$Q$5="",
   IF(Calc!BD47=0,
     IF('Waste results'!$S$27&lt;&gt;"data missing", Calc!BC47*'Waste results'!$S$27, "data missing"),
   IF(Calc!BC47=0,
     IF('Waste results'!$S$63&lt;&gt;"data missing", Calc!BD47*'Waste results'!$S$63, "data missing"),
   IF(OR('Waste results'!$S$27&lt;&gt;"data missing", 'Waste results'!$S$63&lt;&gt;"data missing"), Calc!BC47*'Waste results'!$S$27+ Calc!BD47*'Waste results'!$S$63, "data missing"))),
IF(AND('Field information 2'!$M$5&lt;&gt;"", 'Field information 2'!$O$5&lt;&gt;"", 'Field information 2'!$Q$5&lt;&gt;""),
   IF(AND(Calc!BD47=0,Calc!BE47=0),
     IF('Waste results'!$S$27&lt;&gt;"data missing", Calc!BC47*'Waste results'!$S$27, "data missing"),
   IF(AND(Calc!BC47=0,Calc!BE47=0),
     IF('Waste results'!$S$63&lt;&gt;"data missing", Calc!BD47*'Waste results'!$S$63, "data missing"),
   IF(AND(Calc!BC47=0,Calc!BD47=0),
     IF('Waste results'!$S$99&lt;&gt;"data missing", Calc!BE47*'Waste results'!$S$99, "data missing"),
   IF(Calc!BE47=0,
     IF(OR('Waste results'!$S$27&lt;&gt;"data missing", 'Waste results'!$S$63&lt;&gt;"data missing"), Calc!BC47*'Waste results'!$S$27+ Calc!BD47*'Waste results'!$S$63, "data missing"),
   IF(Calc!BD47=0,
     IF(OR('Waste results'!$S$27&lt;&gt;"data missing", 'Waste results'!$S$99&lt;&gt;"data missing"), Calc!BC47*'Waste results'!$S$27+ Calc!BE47*'Waste results'!$S$99, "data missing"),
   IF(Calc!BC47=0,
     IF(OR('Waste results'!$S$63&lt;&gt;"data missing", 'Waste results'!$S$99&lt;&gt;"data missing"), Calc!BD47*'Waste results'!$S$63+Calc!BE47*'Waste results'!$S$99, "data missing"),
   IF(OR('Waste results'!$S$27&lt;&gt;"data missing", 'Waste results'!$S$63&lt;&gt;"data missing", 'Waste results'!$S$99&lt;&gt;"data missing"), Calc!BC47*'Waste results'!$S$27+Calc!BD47*'Waste results'!$S$63+ Calc!BE47*'Waste results'!$S$99, "data missing")))))))))))</f>
        <v/>
      </c>
      <c r="AW49" s="239" t="str">
        <f ca="1">IF($B49="","",
IF(ISBLANK('Soil results'!M52),"data missing",'Soil results'!M52))</f>
        <v/>
      </c>
      <c r="AX49" s="239" t="str">
        <f t="shared" ca="1" si="10"/>
        <v/>
      </c>
      <c r="AY49" s="9" t="str">
        <f ca="1">IF(B49="","",
IF(AV49=0,"n/a",
IF(OR(AV49="data missing",AW49="data missing"),"data missing",
IF(AV49&gt;7.5,"application rate too high - permissible rate exceeds limit",
IF('Soil results'!$F52&lt;=5.5,
  IF(AW49&gt;80,"no application - soil conc. already above limit",
  IF(AX49&gt;80,"application rate too high - soil conc. will exceed limit",
  IF(AW49&gt;80*0.9,"soil conc. is at or above 90% of the limit",
  IF(10*AV49*1000/3000+AW49&gt;80,"soil limit likely to be exceeded in 10yrs",
  IF(50*AV49*1000/3000+AW49&gt;80,"soil limit likely to be exceeded in 50yrs","ok"))))),
IF('Soil results'!$F52&lt;=6,
  IF(AW49&gt;100,"no application - soil conc. already above limit",
  IF(AX49&gt;100,"application rate too high - soil conc. will exceed limit",
  IF(AW49&gt;100*0.9,"soil conc. is at or above 90% of the limit",
  IF(10*AV49*1000/3000+AW49&gt;100,"soil limit likely to be exceeded in 10yrs",
  IF(50*AV49*1000/3000+AW49&gt;100,"soil limit likely to be exceeded in 50yrs","ok"))))),
IF('Soil results'!$F52&lt;=7,
  IF(AW49&gt;135,"no application - soil conc. already above limit",
  IF(AX49&gt;135,"application rate too high - soil conc. will exceed limit",
  IF(AW49&gt;135*0.9,"soil conc. is at or above 90% of the limit",
  IF(10*AV49*1000/3000+AW49&gt;135,"soil limit likely to be exceeded in 10yrs",
  IF(50*AV49*1000/3000+AW49&gt;135,"soil limit likely to be exceeded in 50yrs","ok"))))),
IF('Soil results'!$F52&gt;7,
  IF(AW49&gt;200,"no application - soil conc. already above limit",
  IF(AX49&gt;200,"application too high - soil conc. will exceed limit",
  IF(AW49&gt;200*0.9,"soil conc. is at or above 90% of the limit",
  IF(10*AV49*1000/3000+AW49&gt;200,"soil limit likely to be exceeded in 10yrs",
  IF(50*AV49*1000/3000+AW49&gt;200,"soil limit likely to be exceeded in 50yrs","ok")))))
))))))))</f>
        <v/>
      </c>
      <c r="BA49" s="238" t="str">
        <f ca="1">IF(B49="","",
IF(AND('Field information 2'!$O$5="", 'Field information 2'!$Q$5=""),
   IF('Waste results'!$S$28&lt;&gt;"data missing", Calc!BC47*'Waste results'!$S$28, "data missing"),
IF('Field information 2'!$Q$5="",
   IF(Calc!BD47=0,
     IF('Waste results'!$S$28&lt;&gt;"data missing", Calc!BC47*'Waste results'!$S$28, "data missing"),
   IF(Calc!BC47=0,
     IF('Waste results'!$S$64&lt;&gt;"data missing", Calc!BD47*'Waste results'!$S$64, "data missing"),
   IF(OR('Waste results'!$S$28&lt;&gt;"data missing", 'Waste results'!$S$64&lt;&gt;"data missing"), Calc!BC47*'Waste results'!$S$28+ Calc!BD47*'Waste results'!$S$64, "data missing"))),
IF(AND('Field information 2'!$M$5&lt;&gt;"", 'Field information 2'!$O$5&lt;&gt;"", 'Field information 2'!$Q$5&lt;&gt;""),
   IF(AND(Calc!BD47=0,Calc!BE47=0),
     IF('Waste results'!$S$28&lt;&gt;"data missing", Calc!BC47*'Waste results'!$S$28, "data missing"),
   IF(AND(Calc!BC47=0,Calc!BE47=0),
     IF('Waste results'!$S$64&lt;&gt;"data missing", Calc!BD47*'Waste results'!$S$64, "data missing"),
   IF(AND(Calc!BC47=0,Calc!BD47=0),
     IF('Waste results'!$S$100&lt;&gt;"data missing", Calc!BE47*'Waste results'!$S$100, "data missing"),
   IF(Calc!BE47=0,
     IF(OR('Waste results'!$S$28&lt;&gt;"data missing", 'Waste results'!$S$64&lt;&gt;"data missing"), Calc!BC47*'Waste results'!$S$28+ Calc!BD47*'Waste results'!$S$64, "data missing"),
   IF(Calc!BD47=0,
     IF(OR('Waste results'!$S$28&lt;&gt;"data missing", 'Waste results'!$S$100&lt;&gt;"data missing"), Calc!BC47*'Waste results'!$S$28+ Calc!BE47*'Waste results'!$S$100, "data missing"),
   IF(Calc!BC47=0,
     IF(OR('Waste results'!$S$64&lt;&gt;"data missing", 'Waste results'!$S$100&lt;&gt;"data missing"), Calc!BD47*'Waste results'!$S$64+Calc!BE47*'Waste results'!$S$100, "data missing"),
   IF(OR('Waste results'!$S$28&lt;&gt;"data missing", 'Waste results'!$S$64&lt;&gt;"data missing", 'Waste results'!$S$100&lt;&gt;"data missing"), Calc!BC47*'Waste results'!$S$28+Calc!BD47*'Waste results'!$S$64+ Calc!BE47*'Waste results'!$S$100, "data missing")))))))))))</f>
        <v/>
      </c>
      <c r="BB49" s="239" t="str">
        <f ca="1">IF($B49="","",
IF(ISBLANK('Soil results'!N52),"data missing",'Soil results'!N52))</f>
        <v/>
      </c>
      <c r="BC49" s="239" t="str">
        <f t="shared" ca="1" si="11"/>
        <v/>
      </c>
      <c r="BD49" s="9" t="str">
        <f t="shared" ca="1" si="12"/>
        <v/>
      </c>
      <c r="BF49" s="238" t="str">
        <f ca="1">IF(B49="","",
IF(AND('Field information 2'!$O$5="", 'Field information 2'!$Q$5=""),
   IF('Waste results'!$S$29&lt;&gt;"data missing", Calc!BC47*'Waste results'!$S$29, "data missing"),
IF('Field information 2'!$Q$5="",
   IF(Calc!BD47=0,
     IF('Waste results'!$S$29&lt;&gt;"data missing", Calc!BC47*'Waste results'!$S$29, "data missing"),
   IF(Calc!BC47=0,
     IF('Waste results'!$S$65&lt;&gt;"data missing", Calc!BD47*'Waste results'!$S$65, "data missing"),
   IF(OR('Waste results'!$S$29&lt;&gt;"data missing", 'Waste results'!$S$65&lt;&gt;"data missing"), Calc!BC47*'Waste results'!$S$29+ Calc!BD47*'Waste results'!$S$65, "data missing"))),
IF(AND('Field information 2'!$M$5&lt;&gt;"", 'Field information 2'!$O$5&lt;&gt;"", 'Field information 2'!$Q$5&lt;&gt;""),
   IF(AND(Calc!BD47=0,Calc!BE47=0),
     IF('Waste results'!$S$29&lt;&gt;"data missing", Calc!BC47*'Waste results'!$S$29, "data missing"),
   IF(AND(Calc!BC47=0,Calc!BE47=0),
     IF('Waste results'!$S$65&lt;&gt;"data missing", Calc!BD47*'Waste results'!$S$65, "data missing"),
   IF(AND(Calc!BC47=0,Calc!BD47=0),
     IF('Waste results'!$S$101&lt;&gt;"data missing", Calc!BE47*'Waste results'!$S$101, "data missing"),
   IF(Calc!BE47=0,
     IF(OR('Waste results'!$S$29&lt;&gt;"data missing", 'Waste results'!$S$65&lt;&gt;"data missing"), Calc!BC47*'Waste results'!$S$29+ Calc!BD47*'Waste results'!$S$65, "data missing"),
   IF(Calc!BD47=0,
     IF(OR('Waste results'!$S$29&lt;&gt;"data missing", 'Waste results'!$S$101&lt;&gt;"data missing"), Calc!BC47*'Waste results'!$S$29+ Calc!BE47*'Waste results'!$S$101, "data missing"),
   IF(Calc!BC47=0,
     IF(OR('Waste results'!$S$65&lt;&gt;"data missing", 'Waste results'!$S$101&lt;&gt;"data missing"), Calc!BD47*'Waste results'!$S$65+Calc!BE47*'Waste results'!$S$101, "data missing"),
   IF(OR('Waste results'!$S$29&lt;&gt;"data missing", 'Waste results'!$S$65&lt;&gt;"data missing", 'Waste results'!$S$101&lt;&gt;"data missing"), Calc!BC47*'Waste results'!$S$29+Calc!BD47*'Waste results'!$S$65+ Calc!BE47*'Waste results'!$S$101, "data missing")))))))))))</f>
        <v/>
      </c>
      <c r="BG49" s="239" t="str">
        <f ca="1">IF($B49="","",
IF(ISBLANK('Soil results'!O52),"data missing",'Soil results'!O52))</f>
        <v/>
      </c>
      <c r="BH49" s="239" t="str">
        <f t="shared" ca="1" si="13"/>
        <v/>
      </c>
      <c r="BI49" s="9" t="str">
        <f ca="1">IF(B49="","",
IF(BF49=0,"n/a",
IF(OR(BF49="data missing",BG49="data missing"),"data missing",
IF(BF49&gt;3,"application rate too high - permissible rate exceeds limit",
IF('Soil results'!F52&lt;=5.5,
  IF(BG49&gt;50,"no application - soil conc. already above limit",
  IF(BH49&gt;50,"application rate too high - soil conc. will exceed limit",
  IF(BG49&gt;50*0.9,"soil conc. is at or above 90% of the limit",
  IF(10*BF49*1000/3000+BG49&gt;50,"soil limit likely to be exceeded in 10yrs",
  IF(50*BF49*1000/3000+BG49&gt;50,"soil limit likely to be exceeded in 50yrs","ok"))))),
IF('Soil results'!F52&lt;=6,
  IF(BG49&gt;60,"no application - soil conc. already above limit",
  IF(BH49&gt;60,"application rate too high - soil conc. will exceed limit",
  IF(BG49&gt;60*0.9,"soil conc. is at or above 90% of the limit",
  IF(10*BF49*1000/3000+BG49&gt;60,"soil limit likely to be exceeded in 10yrs",
  IF(50*BF49*1000/3000+BG49&gt;60,"soil limit likely to be exceeded in 50yrs","ok"))))),
IF('Soil results'!F52&lt;=7,
  IF(BG49&gt;75,"no application - soil conc. already above limit",
  IF(BH49&gt;75,"application rate too high - soil conc. will exceed limit",
  IF(BG49&gt;75*0.9,"soil conc. is at or above 90% of the limit",
  IF(10*BF49*1000/3000+BG49&gt;75,"soil limit likely to be exceeded in 10yrs",
  IF(50*BF49*1000/3000+BG49&gt;75,"soil limit likely to be exceeded in 50yrs","ok"))))),
IF('Soil results'!F52&gt;7,
  IF(BG49&gt;100,"no application - soil conc. already above limit",
  IF(BH49&gt;100,"application rate too high - soil conc. will exceed limit",
  IF(BG49&gt;100*0.9,"soil conc. is at or above 90% of the limit",
  IF(10*BF49*1000/3000+BG49&gt;100,"soil limit likely to be exceeded in 10yrs",
  IF(50*BF49*1000/3000+BG49&gt;100,"soil limit likely to beexceeded in 50yrs","ok")))))
))))))))</f>
        <v/>
      </c>
      <c r="BK49" s="240" t="str">
        <f ca="1">IF(B49="","",
IF(AND('Field information 2'!$O$5="", 'Field information 2'!$Q$5=""),
   IF('Waste results'!$S$30&lt;&gt;"data missing", Calc!BC47*'Waste results'!$S$30, "data missing"),
IF('Field information 2'!$Q$5="",
   IF(Calc!BD47=0,
     IF('Waste results'!$S$30&lt;&gt;"data missing", Calc!BC47*'Waste results'!$S$30, "data missing"),
   IF(Calc!BC47=0,
     IF('Waste results'!$S$66&lt;&gt;"data missing", Calc!BD47*'Waste results'!$S$66, "data missing"),
   IF(OR('Waste results'!$S$30&lt;&gt;"data missing", 'Waste results'!$S$66&lt;&gt;"data missing"), Calc!BC47*'Waste results'!$S$30+ Calc!BD47*'Waste results'!$S$66, "data missing"))),
IF(AND('Field information 2'!$M$5&lt;&gt;"", 'Field information 2'!$O$5&lt;&gt;"", 'Field information 2'!$Q$5&lt;&gt;""),
   IF(AND(Calc!BD47=0,Calc!BE47=0),
     IF('Waste results'!$S$30&lt;&gt;"data missing", Calc!BC47*'Waste results'!$S$30, "data missing"),
   IF(AND(Calc!BC47=0,Calc!BE47=0),
     IF('Waste results'!$S$66&lt;&gt;"data missing", Calc!BD47*'Waste results'!$S$66, "data missing"),
   IF(AND(Calc!BC47=0,Calc!BD47=0),
     IF('Waste results'!$S$102&lt;&gt;"data missing", Calc!BE47*'Waste results'!$S$102, "data missing"),
   IF(Calc!BE47=0,
     IF(OR('Waste results'!$S$30&lt;&gt;"data missing", 'Waste results'!$S$66&lt;&gt;"data missing"), Calc!BC47*'Waste results'!$S$30+ Calc!BD47*'Waste results'!$S$66, "data missing"),
   IF(Calc!BD47=0,
     IF(OR('Waste results'!$S$30&lt;&gt;"data missing", 'Waste results'!$S$102&lt;&gt;"data missing"), Calc!BC47*'Waste results'!$S$30+ Calc!BE47*'Waste results'!$S$102, "data missing"),
   IF(Calc!BC47=0,
     IF(OR('Waste results'!$S$66&lt;&gt;"data missing", 'Waste results'!$S$102&lt;&gt;"data missing"), Calc!BD47*'Waste results'!$S$66+Calc!BE47*'Waste results'!$S$102, "data missing"),
   IF(OR('Waste results'!$S$30&lt;&gt;"data missing", 'Waste results'!$S$66&lt;&gt;"data missing", 'Waste results'!$S$102&lt;&gt;"data missing"), Calc!BC47*'Waste results'!$S$30+Calc!BD47*'Waste results'!$S$66+ Calc!BE47*'Waste results'!$S$102, "data missing")))))))))))</f>
        <v/>
      </c>
      <c r="BL49" s="241" t="str">
        <f ca="1">IF($B49="","",
IF(ISBLANK('Soil results'!P52),"data missing",'Soil results'!P52))</f>
        <v/>
      </c>
      <c r="BM49" s="241" t="str">
        <f t="shared" ca="1" si="14"/>
        <v/>
      </c>
      <c r="BN49" s="66" t="str">
        <f t="shared" ca="1" si="15"/>
        <v/>
      </c>
      <c r="BP49" s="238" t="str">
        <f ca="1">IF(B49="","",
IF(AND('Field information 2'!$O$5="", 'Field information 2'!$Q$5=""),
   IF('Waste results'!$S$31&lt;&gt;"data missing", Calc!BC47*'Waste results'!$S$31, "data missing"),
IF('Field information 2'!$Q$5="",
   IF(Calc!BD47=0,
     IF('Waste results'!$S$31&lt;&gt;"data missing", Calc!BC47*'Waste results'!$S$31, "data missing"),
   IF(Calc!BC47=0,
     IF('Waste results'!$S$67&lt;&gt;"data missing", Calc!BD47*'Waste results'!$S$67, "data missing"),
   IF(OR('Waste results'!$S$31&lt;&gt;"data missing", 'Waste results'!$S$67&lt;&gt;"data missing"), Calc!BC47*'Waste results'!$S$31+ Calc!BD47*'Waste results'!$S$67, "data missing"))),
IF(AND('Field information 2'!$M$5&lt;&gt;"", 'Field information 2'!$O$5&lt;&gt;"", 'Field information 2'!$Q$5&lt;&gt;""),
   IF(AND(Calc!BD47=0,Calc!BE47=0),
     IF('Waste results'!$S$31&lt;&gt;"data missing", Calc!BC47*'Waste results'!$S$31, "data missing"),
   IF(AND(Calc!BC47=0,Calc!BE47=0),
     IF('Waste results'!$S$67&lt;&gt;"data missing", Calc!BD47*'Waste results'!$S$67, "data missing"),
   IF(AND(Calc!BC47=0,Calc!BD47=0),
     IF('Waste results'!$S$103&lt;&gt;"data missing", Calc!BE47*'Waste results'!$S$103, "data missing"),
   IF(Calc!BE47=0,
     IF(OR('Waste results'!$S$31&lt;&gt;"data missing", 'Waste results'!$S$67&lt;&gt;"data missing"), Calc!BC47*'Waste results'!$S$31+ Calc!BD47*'Waste results'!$S$67, "data missing"),
   IF(Calc!BD47=0,
     IF(OR('Waste results'!$S$31&lt;&gt;"data missing", 'Waste results'!$S$103&lt;&gt;"data missing"), Calc!BC47*'Waste results'!$S$31+ Calc!BE47*'Waste results'!$S$103, "data missing"),
   IF(Calc!BC47=0,
     IF(OR('Waste results'!$S$67&lt;&gt;"data missing", 'Waste results'!$S$103&lt;&gt;"data missing"), Calc!BD47*'Waste results'!$S$67+Calc!BE47*'Waste results'!$S$103, "data missing"),
   IF(OR('Waste results'!$S$31&lt;&gt;"data missing", 'Waste results'!$S$67&lt;&gt;"data missing", 'Waste results'!$S$103&lt;&gt;"data missing"), Calc!BC47*'Waste results'!$S$31+Calc!BD47*'Waste results'!$S$67+ Calc!BE47*'Waste results'!$S$103, "data missing")))))))))))</f>
        <v/>
      </c>
      <c r="BQ49" s="239" t="str">
        <f ca="1">IF($B49="","",
IF(ISBLANK('Soil results'!Q52),"data missing",'Soil results'!Q52))</f>
        <v/>
      </c>
      <c r="BR49" s="239" t="str">
        <f t="shared" ca="1" si="16"/>
        <v/>
      </c>
      <c r="BS49" s="9" t="str">
        <f ca="1">IF(B49="","",
IF(BP49=0,"n/a",
IF(OR(BP49="data missing",BQ49=""),"data missing",
IF(BP49&gt;15,"application rate too high - permissible rate exceeds limit",
IF('Soil results'!F52&lt;=5.5,
  IF(BQ49&gt;200,"no application - soil conc. already above limit",
  IF(BR49&gt;200,"application rate too high - soil conc. will exceed limit",
  IF(BQ49&gt;200*0.9,"soil conc. is at or above 90% of the limit",
  IF(10*BP49*1000/3000+BQ49&gt;200,"soil limit likely to be exceeded in 10yrs",
  IF(50*BP49*1000/3000+BQ49&gt;200,"soil limit likely to be exceeded in 50yrs","ok"))))),
IF('Soil results'!F52&lt;=6,
  IF(BQ49&gt;250,"no application - soil conc. already above limit",
  IF(BR49&gt;250,"application rate too high - soil conc. will exceed limit",
  IF(BQ49&gt;250*0.9,"soil conc. is at or above 90% of the limit",
  IF(10*BP49*1000/3000+BQ49&gt;250,"soil limit likely to be exceeded in 10yrs",
  IF(50*BP49*1000/3000+BQ49&gt;250,"soil limit likely to be exceeded in 50yrs","ok"))))),
IF('Soil results'!F52&lt;=7,
  IF(BQ49&gt;300,"no application - soil conc. already above limit",
  IF(BR49&gt;300,"application rate too high - soil conc. will exceed limit",
  IF(BQ49&gt;300*0.9,"soil conc. is at or above 90% of the limit",
  IF(10*BP49*1000/3000+BQ49&gt;300,"soil limit likey to be exceeded in 10yrs",
  IF(50*BP49*1000/3000+BQ49&gt;300,"soil limit likely to be exceeded in 50yrs","ok"))))),
IF('Soil results'!F52&gt;7,
  IF(BQ49&gt;450,"no application - soil conc. already above limit",
  IF(BR49&gt;450,"application rate too high - soil conc. will exceed limit",
  IF(AW49&gt;450*0.9,"soil conc. is at or above 90% of the limit",
  IF(10*BP49*1000/3000+BQ49&gt;450,"soil limit likely to be exceeded in 10yrs",
  IF(50*BP49*1000/3000+BQ49&gt;450,"soil limit likely to be exceeded in 50yrs","ok")))))
))))))))</f>
        <v/>
      </c>
    </row>
    <row r="50" spans="2:71" s="9" customFormat="1" ht="15" x14ac:dyDescent="0.25">
      <c r="B50" s="236" t="str">
        <f ca="1">'Soil results'!B53</f>
        <v/>
      </c>
      <c r="C50" s="91" t="str">
        <f ca="1">IF(B50="","",
IF(AND('Field information 2'!$O$5="", 'Field information 2'!$Q$5=""),
   IF('Waste results'!$S$12&lt;&gt;"data missing", Calc!BC48*'Waste results'!$S$12, "data missing"),
IF('Field information 2'!$Q$5="",
   IF(Calc!BD48=0,
     IF('Waste results'!$S$12&lt;&gt;"data missing", Calc!BC48*'Waste results'!$S$12, "data missing"),
   IF(Calc!BC48=0,
     IF('Waste results'!$S$48&lt;&gt;"data missing", Calc!BD48*'Waste results'!$S$48, "data missing"),
   IF(OR('Waste results'!$S$12&lt;&gt;"data missing", 'Waste results'!$S$48&lt;&gt;"data missing"), Calc!BC48*'Waste results'!$S$12+ Calc!BD48*'Waste results'!$S$48, "data missing"))),
IF(AND('Field information 2'!$M$5&lt;&gt;"", 'Field information 2'!$O$5&lt;&gt;"", 'Field information 2'!$Q$5&lt;&gt;""),
   IF(AND(Calc!BD48=0,Calc!BE48=0),
     IF('Waste results'!$S$12&lt;&gt;"data missing", Calc!BC48*'Waste results'!$S$12, "data missing"),
   IF(AND(Calc!BC48=0,Calc!BE48=0),
     IF('Waste results'!$S$48&lt;&gt;"data missing", Calc!BD48*'Waste results'!$S$48, "data missing"),
   IF(AND(Calc!BC48=0,Calc!BD48=0),
     IF('Waste results'!$S$84&lt;&gt;"data missing", Calc!BE48*'Waste results'!$S$84, "data missing"),
   IF(Calc!BE48=0,
     IF(OR('Waste results'!$S$12&lt;&gt;"data missing", 'Waste results'!$S$48&lt;&gt;"data missing"), Calc!BC48*'Waste results'!$S$12+ Calc!BD48*'Waste results'!$S$48, "data missing"),
   IF(Calc!BD48=0,
     IF(OR('Waste results'!$S$12&lt;&gt;"data missing", 'Waste results'!$S$84&lt;&gt;"data missing"), Calc!BC48*'Waste results'!$S$12+ Calc!BE48*'Waste results'!$S$84, "data missing"),
   IF(Calc!BC48=0,
     IF(OR('Waste results'!$S$48&lt;&gt;"data missing", 'Waste results'!$S$84&lt;&gt;"data missing"), Calc!BD48*'Waste results'!$S$48+Calc!BE48*'Waste results'!$S$84, "data missing"),
   IF(OR('Waste results'!$S$12&lt;&gt;"data missing", 'Waste results'!$S$48&lt;&gt;"data missing", 'Waste results'!$S$84&lt;&gt;"data missing"), Calc!BC48*'Waste results'!$S$12+Calc!BD48*'Waste results'!$S$48+ Calc!BE48*'Waste results'!$S$84, "data missing")))))))))))</f>
        <v/>
      </c>
      <c r="D50" s="161" t="str">
        <f ca="1">IF(B50="","",
IF(Calc!BG48="","soil texture missing",
IF(OR(Calc!BG48="SL; SZL; ZL",Calc!BG48="SCL; CL; ZCL; SC; ZC; C"),VLOOKUP(Calc!BI48,'Fertiliser recommendations'!$A$4:$C$63,3,FALSE),
IF(Calc!BG48="S; LS",VLOOKUP(Calc!BI48,'Fertiliser recommendations'!$A$4:$C$63,3,FALSE)+VLOOKUP(Calc!BI48,'Fertiliser recommendations'!$A$4:$D$63,4,FALSE),
IF(Calc!BG48="10-25% OM",VLOOKUP(Calc!BI48,'Fertiliser recommendations'!$A$4:$C$63,3,FALSE)+VLOOKUP(Calc!BI48,'Fertiliser recommendations'!$A$4:$E$63,5,FALSE),
IF(Calc!BG48="&gt;25% OM",VLOOKUP(Calc!BI48,'Fertiliser recommendations'!$A$4:$C$63,3,FALSE)+VLOOKUP(Calc!BI48,'Fertiliser recommendations'!$A$4:$F$63,6,FALSE),
""))))))</f>
        <v/>
      </c>
      <c r="E50" s="91" t="str">
        <f t="shared" ca="1" si="0"/>
        <v/>
      </c>
      <c r="F50" s="9" t="str">
        <f ca="1">IF(B50="","",
IF(OR(C50="data missing",D50="soil texture missing"),"data missing",
IF(Calc!BF48=0,"n/a",
IF(C50&lt;0.1*D50,"no benefit",
IF(C50&lt;0.3*D50,"limited benefit",
IF(C50&gt;250,"exceeds limit",
IF(OR(AND(D50=0,C50&gt;75),C50&gt;1.25*D50),"excessive",
IF(D50=0, "no requirement",
"benefit"))))))))</f>
        <v/>
      </c>
      <c r="H50" s="91" t="str">
        <f ca="1">IF(B50="","",
IF(AND('Field information 2'!$O$5="", 'Field information 2'!$Q$5=""),
   IF('Waste results'!$S$17&lt;&gt;"data missing", Calc!BC48*'Waste results'!$S$17, "data missing"),
IF('Field information 2'!$Q$5="",
   IF(Calc!BD48=0,
     IF('Waste results'!$S$17&lt;&gt;"data missing", Calc!BC48*'Waste results'!$S$17, "data missing"),
   IF(Calc!BC48=0,
     IF('Waste results'!$S$53&lt;&gt;"data missing", Calc!BD48*'Waste results'!$S$53, "data missing"),
   IF(OR('Waste results'!$S$17&lt;&gt;"data missing", 'Waste results'!$S$53&lt;&gt;"data missing"), Calc!BC48*'Waste results'!$S$17+ Calc!BD48*'Waste results'!$S$53, "data missing"))),
IF(AND('Field information 2'!$M$5&lt;&gt;"", 'Field information 2'!$O$5&lt;&gt;"", 'Field information 2'!$Q$5&lt;&gt;""),
   IF(AND(Calc!BD48=0,Calc!BE48=0),
     IF('Waste results'!$S$17&lt;&gt;"data missing", Calc!BC48*'Waste results'!$S$17, "data missing"),
   IF(AND(Calc!BC48=0,Calc!BE48=0),
     IF('Waste results'!$S$53&lt;&gt;"data missing", Calc!BD48*'Waste results'!$S$53, "data missing"),
   IF(AND(Calc!BC48=0,Calc!BD48=0),
     IF('Waste results'!$S$89&lt;&gt;"data missing", Calc!BE48*'Waste results'!$S$89, "data missing"),
   IF(Calc!BE48=0,
     IF(OR('Waste results'!$S$17&lt;&gt;"data missing", 'Waste results'!$S$53&lt;&gt;"data missing"), Calc!BC48*'Waste results'!$S$17+ Calc!BD48*'Waste results'!$S$53, "data missing"),
   IF(Calc!BD48=0,
     IF(OR('Waste results'!$S$17&lt;&gt;"data missing", 'Waste results'!$S$89&lt;&gt;"data missing"), Calc!BC48*'Waste results'!$S$17+ Calc!BE48*'Waste results'!$S$89, "data missing"),
   IF(Calc!BC48=0,
     IF(OR('Waste results'!$S$53&lt;&gt;"data missing", 'Waste results'!$S$89&lt;&gt;"data missing"), Calc!BD48*'Waste results'!$S$53+Calc!BE48*'Waste results'!$S$89, "data missing"),
   IF(OR('Waste results'!$S$17&lt;&gt;"data missing", 'Waste results'!$S$53&lt;&gt;"data missing", 'Waste results'!$S$89&lt;&gt;"data missing"), Calc!BC48*'Waste results'!$S$17+Calc!BD48*'Waste results'!$S$53+ Calc!BE48*'Waste results'!$S$89, "data missing")))))))))))</f>
        <v/>
      </c>
      <c r="I50" s="195" t="str">
        <f ca="1">IF(B50="","",
IF(OR(ISBLANK('Soil results'!G53), ISBLANK('Soil results'!G$7)),"data missing",
IF(OR(AND('Soil results'!G$7="Olsen (ADAS)",'Soil results'!G53&lt;16),AND('Soil results'!G$7="modified Morgan (SAC)",'Soil results'!G53&lt;4.5)),50,100)))</f>
        <v/>
      </c>
      <c r="J50" s="49" t="str">
        <f ca="1">IF(B50="","",
IF(OR(ISBLANK('Soil results'!G$7),ISBLANK('Soil results'!G53)),"data missing",
IF(OR(AND('Soil results'!G$7="Olsen (ADAS)",'Soil results'!G53&gt;45),AND('Soil results'!G$7="modified Morgan (SAC)",'Soil results'!G53&gt;30)),0,
IF(OR(AND('Soil results'!G$7="Olsen (ADAS)",'Soil results'!G53&gt;=16,'Soil results'!G53&lt;=20),AND('Soil results'!G$7="modified Morgan (SAC)",'Soil results'!G53&gt;=4.5,'Soil results'!G53&lt;=9.4)),VLOOKUP(Calc!BI48,'Fertiliser recommendations'!$A$4:$I$63,9,FALSE),
IF(OR(AND('Soil results'!G$7="Olsen (ADAS)",'Soil results'!G53&lt;10),AND('Soil results'!G$7="modified Morgan (SAC)",'Soil results'!G53&lt;1.8)),VLOOKUP(Calc!BI48,'Fertiliser recommendations'!$A$4:$I$63,9,FALSE)+VLOOKUP(Calc!BI48,'Fertiliser recommendations'!$A$4:$J$63,10,FALSE),
IF(OR(AND('Soil results'!G$7="Olsen (ADAS)",'Soil results'!G53&lt;16),AND('Soil results'!G$7="modified Morgan (SAC)",'Soil results'!G53&lt;4.5)),VLOOKUP(Calc!BI48,'Fertiliser recommendations'!$A$4:$I$63,9,FALSE)+VLOOKUP(Calc!BI48,'Fertiliser recommendations'!$A$4:$K$63,11,FALSE),
IF(OR(AND('Soil results'!G$7="Olsen (ADAS)",'Soil results'!G53&lt;26),AND('Soil results'!G$7="modified Morgan (SAC)",'Soil results'!G53&lt;13.5)),VLOOKUP(Calc!BI48,'Fertiliser recommendations'!$A$4:$I$63,9,FALSE)+VLOOKUP(Calc!BI48,'Fertiliser recommendations'!$A$4:$L$63,12,FALSE),
IF(OR(AND('Soil results'!G$7="Olsen (ADAS)",'Soil results'!G53&lt;=45),AND('Soil results'!G$7="modified Morgan (SAC)",'Soil results'!G53&lt;=30)),VLOOKUP(Calc!BI48,'Fertiliser recommendations'!$A$4:$I$63,9,FALSE)+VLOOKUP(Calc!BI48,'Fertiliser recommendations'!$A$4:$M$63,13,FALSE),
""))))))))</f>
        <v/>
      </c>
      <c r="K50" s="161" t="str">
        <f t="shared" ca="1" si="1"/>
        <v/>
      </c>
      <c r="L50" s="47" t="str">
        <f ca="1">IF(OR(ISBLANK('Soil results'!G$7),ISBLANK('Soil results'!G53),B50="", H50="data missing"),"",
IF('Soil results'!G$7="Olsen (ADAS)",
IF(((H50*Calc!BM48/2.291-(VLOOKUP(Calc!BI48,'Fertiliser recommendations'!$A$4:$I$63,9,FALSE))/2.291)*10/(400/2.291)+'Soil results'!G53)&lt;10,"0 (VL)",
IF(((H50*Calc!BM48/2.291-(VLOOKUP(Calc!BI48,'Fertiliser recommendations'!$A$4:$I$63,9,FALSE))/2.291)*10/(400/2.291)+'Soil results'!G53)&lt;16,"1 (L)",
IF(((H50*Calc!BM48/2.291-(VLOOKUP(Calc!BI48,'Fertiliser recommendations'!$A$4:$I$63,9,FALSE))/2.291)*10/(400/2.291)+'Soil results'!G53)&lt;21,"2 (M-)",
IF(((H50*Calc!BM48/2.291-(VLOOKUP(Calc!BI48,'Fertiliser recommendations'!$A$4:$I$63,9,FALSE))/2.291)*10/(400/2.291)+'Soil results'!G53)&lt;26,"2 (M+)",
IF(((H50*Calc!BM48/2.291-(VLOOKUP(Calc!BI48,'Fertiliser recommendations'!$A$4:$I$63,9,FALSE))/2.291)*10/(400/2.291)+'Soil results'!G53)&lt;45,"3 (H)","&gt;3 (VH)"))))),
IF('Soil results'!G$7="modified Morgan (SAC)",
IF('Soil results'!G53&gt;=6,
IF(((H50*Calc!BM48/2.291-(VLOOKUP(Calc!BI48,'Fertiliser recommendations'!$A$4:$I$63,9,FALSE))/2.291)*5/(147/2.291)+'Soil results'!G53)&lt;9.5,"2 (M-)",
IF(((H50*Calc!BM48/2.291-(VLOOKUP(Calc!BI48,'Fertiliser recommendations'!$A$4:$I$63,9,FALSE))/2.291)*5/(147/2.291)+'Soil results'!G53)&lt;13.5,"2 (M+)",
IF(((H50*Calc!BM48/2.291-(VLOOKUP(Calc!BI48,'Fertiliser recommendations'!$A$4:$I$63,9,FALSE))/2.291)*5/(147/2.291)+'Soil results'!G53)&lt;30,"3 (H)","4 (VH)"))),
IF(((H50*Calc!BM48/2.291-(VLOOKUP(Calc!BI48,'Fertiliser recommendations'!$A$4:$I$63,9,FALSE))/2.291)*5/(346/2.291)+'Soil results'!G53)&lt;1.8,"0 (VL)",
IF(((H50*Calc!BM48/2.291-(VLOOKUP(Calc!BI48,'Fertiliser recommendations'!$A$4:$I$63,9,FALSE))/2.291)*5/(147/2.291)+'Soil results'!G53)&lt;4.5,"1 (L)","2 (M-)"))))))</f>
        <v/>
      </c>
      <c r="M50" s="9" t="str">
        <f ca="1">IF(B50="","",
IF(OR(H50="data missing",I50="data missing",J50="data missing"),"data missing",
IF(Calc!BF48=0,"n/a",
IF(OR(AND('Soil results'!G$7="Olsen (ADAS)",'Soil results'!G53&gt;45),AND('Soil results'!G$7="modified Morgan (SAC)",'Soil results'!G53&gt;30)),
IF(H50&gt;2,"too high, not acceptable","no requirement"),IF(OR(AND('Soil results'!G$7="Olsen (ADAS)",'Soil results'!G53&gt;25),AND('Soil results'!G$7="modified Morgan (SAC)",'Soil results'!G53&gt;13.4)),
IF(H50*(I50/100)&lt;0.1*J50,"no benefit",
IF(H50*(I50/100)&lt;0.3*J50,"limited benefit",
IF(H50*(I50/100)&lt;1.1*J50,"benefit",
IF(H50*(I50/100)&lt;0.7*VLOOKUP(Calc!BI48,'Fertiliser recommendations'!$A$4:$I$63,9,FALSE),"excessive","too high, not acceptable")))),
IF(OR(AND('Soil results'!G$7="Olsen (ADAS)",'Soil results'!G53&gt;20),AND('Soil results'!G$7="modified Morgan (SAC)",'Soil results'!G53&gt;9.4)),
IF(H50*Calc!BM48*(I50/100)&lt;0.1*J50,"no benefit",
IF(H50*Calc!BM48*(I50/100)&lt;0.3*J50,"limited benefit",
IF(H50*Calc!BM48*(I50/100)&lt;1.1*J50,"benefit",
IF(L50="3 (H)","too high, not acceptable","excessive")))),
IF(OR(AND('Soil results'!G$7="Olsen (ADAS)",'Soil results'!G53&gt;15),AND('Soil results'!G$7="modified Morgan (SAC)",'Soil results'!G53&gt;4.4)),
IF(H50*Calc!BM48*(I50/100)&lt;0.1*VLOOKUP(Calc!BI48,'Fertiliser recommendations'!$A$4:$I$63,9,FALSE),"no benefit",
IF(H50*Calc!BM48*(I50/100)&lt;0.3*VLOOKUP(Calc!BI48,'Fertiliser recommendations'!$A$4:$I$63,9,FALSE),"limited benefit",
IF(H50*Calc!BM48*(I50/100)&lt;1.1*VLOOKUP(Calc!BI48,'Fertiliser recommendations'!$A$4:$I$63,9,FALSE),"benefit",
IF(L50="3 (H)", "too high, not acceptable", "excessive")))),
IF(OR(AND('Soil results'!G$7="Olsen (ADAS)",'Soil results'!G53&lt;=15),AND('Soil results'!G$7="modified Morgan (SAC)",'Soil results'!G53&lt;=4.4)),
IF(H50*Calc!BM48*(I50/100)&lt;0.1*VLOOKUP(Calc!BI48,'Fertiliser recommendations'!$A$4:$I$63,9,FALSE),"no benefit",
IF(H50*Calc!BM48*(I50/100)&lt;0.3*VLOOKUP(Calc!BI48,'Fertiliser recommendations'!$A$4:$I$63,9,FALSE),"limited benefit",
IF(H50*Calc!BM48*(I50/100)&lt;1.1*J50,"benefit","excessive")))))))))))</f>
        <v/>
      </c>
      <c r="O50" s="91" t="str">
        <f ca="1">IF(B50="","",
IF(AND('Field information 2'!$O$5="", 'Field information 2'!$Q$5=""),
   IF('Waste results'!$S$19&lt;&gt;"data missing", Calc!BC48*'Waste results'!$S$19, "data missing"),
IF('Field information 2'!$Q$5="",
   IF(Calc!BD48=0,
     IF('Waste results'!$S$19&lt;&gt;"data missing", Calc!BC48*'Waste results'!$S$19, "data missing"),
   IF(Calc!BC48=0,
     IF('Waste results'!$S$55&lt;&gt;"data missing", Calc!BD48*'Waste results'!$S$55, "data missing"),
   IF(OR('Waste results'!$S$19&lt;&gt;"data missing", 'Waste results'!$S$55&lt;&gt;"data missing"), Calc!BC48*'Waste results'!$S$19+ Calc!BD48*'Waste results'!$S$55, "data missing"))),
IF(AND('Field information 2'!$M$5&lt;&gt;"", 'Field information 2'!$O$5&lt;&gt;"", 'Field information 2'!$Q$5&lt;&gt;""),
   IF(AND(Calc!BD48=0,Calc!BE48=0),
     IF('Waste results'!$S$19&lt;&gt;"data missing", Calc!BC48*'Waste results'!$S$19, "data missing"),
   IF(AND(Calc!BC48=0,Calc!BE48=0),
     IF('Waste results'!$S$55&lt;&gt;"data missing", Calc!BD48*'Waste results'!$S$55, "data missing"),
   IF(AND(Calc!BC48=0,Calc!BD48=0),
     IF('Waste results'!$S$91&lt;&gt;"data missing", Calc!BE48*'Waste results'!$S$91, "data missing"),
   IF(Calc!BE48=0,
     IF(OR('Waste results'!$S$19&lt;&gt;"data missing", 'Waste results'!$S$55&lt;&gt;"data missing"), Calc!BC48*'Waste results'!$S$19+ Calc!BD48*'Waste results'!$S$55, "data missing"),
   IF(Calc!BD48=0,
     IF(OR('Waste results'!$S$19&lt;&gt;"data missing", 'Waste results'!$S$91&lt;&gt;"data missing"), Calc!BC48*'Waste results'!$S$19+ Calc!BE48*'Waste results'!$S$91, "data missing"),
   IF(Calc!BC48=0,
     IF(OR('Waste results'!$S$55&lt;&gt;"data missing", 'Waste results'!$S$91&lt;&gt;"data missing"), Calc!BD48*'Waste results'!$S$55+Calc!BE48*'Waste results'!$S$91, "data missing"),
   IF(OR('Waste results'!$S$19&lt;&gt;"data missing", 'Waste results'!$S$55&lt;&gt;"data missing", 'Waste results'!$S$91&lt;&gt;"data missing"), Calc!BC48*'Waste results'!$S$19+Calc!BD48*'Waste results'!$S$55+ Calc!BE48*'Waste results'!$S$91, "data missing")))))))))))</f>
        <v/>
      </c>
      <c r="P50" s="91" t="str">
        <f ca="1">IF(B50="","",
IF(OR(ISBLANK('Soil results'!H$7),ISBLANK('Soil results'!H53)),"data missing",
IF(OR(AND('Soil results'!H$7="ammonium nitrate (ADAS)",'Soil results'!H53&gt;400),AND('Soil results'!H$7="modified Morgan (SAC)",'Soil results'!H53&gt;400)),0,
IF(OR(AND('Soil results'!H$7="ammonium nitrate (ADAS)",'Soil results'!H53&gt;=121,'Soil results'!H53&lt;=180),AND('Soil results'!H$7="modified Morgan (SAC)",'Soil results'!H53&gt;=76,'Soil results'!H53&lt;=140)),VLOOKUP(Calc!BI48,'Fertiliser recommendations'!$A$4:$Z$63,26,FALSE),
IF(OR(AND('Soil results'!H$7="ammonium nitrate (ADAS)",'Soil results'!H53&lt;61),AND('Soil results'!H$7="modified Morgan (SAC)",'Soil results'!H53&lt;40)),VLOOKUP(Calc!BI48,'Fertiliser recommendations'!$A$4:$Z$63,26,FALSE)+VLOOKUP(Calc!BI48,'Fertiliser recommendations'!$A$4:$AA$63,27,FALSE),
IF(OR(AND('Soil results'!H$7="ammonium nitrate (ADAS)",'Soil results'!H53&lt;121),AND('Soil results'!H$7="modified Morgan (SAC)",'Soil results'!H53&lt;76)),VLOOKUP(Calc!BI48,'Fertiliser recommendations'!$A$4:$Z$63,26,FALSE)+VLOOKUP(Calc!BI48,'Fertiliser recommendations'!$A$4:$AB$63,28,FALSE),
IF(OR(AND('Soil results'!H$7="ammonium nitrate (ADAS)",'Soil results'!H53&lt;241),AND('Soil results'!H$7="modified Morgan (SAC)",'Soil results'!H53&lt;201)),VLOOKUP(Calc!BI48,'Fertiliser recommendations'!$A$4:$Z$63,26,FALSE)+VLOOKUP(Calc!BI48,'Fertiliser recommendations'!$A$4:$AC$63,29,FALSE),
IF(OR(AND('Soil results'!H$7="ammonium nitrate (ADAS)",'Soil results'!H53&lt;=400),AND('Soil results'!H$7="modified Morgan (SAC)",'Soil results'!H53&lt;=400)),VLOOKUP(Calc!BI48,'Fertiliser recommendations'!$A$4:$Z$63,26,FALSE)+VLOOKUP(Calc!BI48,'Fertiliser recommendations'!$A$4:$AD$63,30,FALSE),
"??"))))))))</f>
        <v/>
      </c>
      <c r="Q50" s="91" t="str">
        <f t="shared" ca="1" si="2"/>
        <v/>
      </c>
      <c r="R50" s="9" t="str">
        <f ca="1">IF(B50="","",
IF(OR(O50="data missing",P50="data missing"),"data missing",
IF(Calc!BF48=0,"n/a",
IF(P50=0, "no requirement",
IF(O50&lt;0.1*P50,"no benefit",
IF(O50&lt;0.3*P50,"limited benefit",
IF(O50&gt;1.25*P50,"excessive",
"benefit")))))))</f>
        <v/>
      </c>
      <c r="T50" s="91" t="str">
        <f ca="1">IF(B50="","",
IF(AND('Field information 2'!$O$5="", 'Field information 2'!$Q$5=""),
   IF('Waste results'!$S$21&lt;&gt;"data missing", Calc!BC48*'Waste results'!$S$21, "data missing"),
IF('Field information 2'!$Q$5="",
   IF(Calc!BD48=0,
     IF('Waste results'!$S$21&lt;&gt;"data missing", Calc!BC48*'Waste results'!$S$21, "data missing"),
   IF(Calc!BC48=0,
     IF('Waste results'!$S$57&lt;&gt;"data missing", Calc!BD48*'Waste results'!$S$57, "data missing"),
   IF(OR('Waste results'!$S$21&lt;&gt;"data missing", 'Waste results'!$S$57&lt;&gt;"data missing"), Calc!BC48*'Waste results'!$S$21+ Calc!BD48*'Waste results'!$S$57, "data missing"))),
IF(AND('Field information 2'!$M$5&lt;&gt;"", 'Field information 2'!$O$5&lt;&gt;"", 'Field information 2'!$Q$5&lt;&gt;""),
   IF(AND(Calc!BD48=0,Calc!BE48=0),
     IF('Waste results'!$S$21&lt;&gt;"data missing", Calc!BC48*'Waste results'!$S$21, "data missing"),
   IF(AND(Calc!BC48=0,Calc!BE48=0),
     IF('Waste results'!$S$57&lt;&gt;"data missing", Calc!BD48*'Waste results'!$S$57, "data missing"),
   IF(AND(Calc!BC48=0,Calc!BD48=0),
     IF('Waste results'!$S$93&lt;&gt;"data missing", Calc!BE48*'Waste results'!$S$93, "data missing"),
   IF(Calc!BE48=0,
     IF(OR('Waste results'!$S$21&lt;&gt;"data missing", 'Waste results'!$S$57&lt;&gt;"data missing"), Calc!BC48*'Waste results'!$S$21+ Calc!BD48*'Waste results'!$S$57, "data missing"),
   IF(Calc!BD48=0,
     IF(OR('Waste results'!$S$21&lt;&gt;"data missing", 'Waste results'!$S$93&lt;&gt;"data missing"), Calc!BC48*'Waste results'!$S$21+ Calc!BE48*'Waste results'!$S$93, "data missing"),
   IF(Calc!BC48=0,
     IF(OR('Waste results'!$S$57&lt;&gt;"data missing", 'Waste results'!$S$93&lt;&gt;"data missing"), Calc!BD48*'Waste results'!$S$57+Calc!BE48*'Waste results'!$S$93, "data missing"),
   IF(OR('Waste results'!$S$21&lt;&gt;"data missing", 'Waste results'!$S$57&lt;&gt;"data missing", 'Waste results'!$S$93&lt;&gt;"data missing"), Calc!BC48*'Waste results'!$S$21+Calc!BD48*'Waste results'!$S$57+ Calc!BE48*'Waste results'!$S$93, "data missing")))))))))))</f>
        <v/>
      </c>
      <c r="U50" s="7" t="str">
        <f ca="1">IF(B50="","",
IF(OR(ISBLANK('Soil results'!I$7),ISBLANK('Soil results'!I53)),"data missing",
IF(OR(AND('Soil results'!I$7="ammonium nitrate (ADAS)",'Soil results'!I53&gt;51),AND('Soil results'!I$7="modified Morgan (SAC)",'Soil results'!I53&gt;61)),0,
IF(OR(AND('Soil results'!I$7="ammonium nitrate (ADAS)",'Soil results'!I53&lt;25),AND('Soil results'!I$7="modified Morgan (SAC)",'Soil results'!I53&lt;19)),VLOOKUP(Calc!BI48,'Fertiliser recommendations'!$A$4:$AH$63,34,FALSE),
IF(OR(AND('Soil results'!I$7="ammonium nitrate (ADAS)",'Soil results'!I53&lt;=51),AND('Soil results'!I$7="modified Morgan (SAC)",'Soil results'!I53&lt;=61)),VLOOKUP(Calc!BI48,'Fertiliser recommendations'!$A$4:$AI$63,35,FALSE),
"")))))</f>
        <v/>
      </c>
      <c r="V50" s="91" t="str">
        <f t="shared" ca="1" si="3"/>
        <v/>
      </c>
      <c r="W50" s="9" t="str">
        <f ca="1">IF(B50="","",
IF(OR(T50="data missing",U50="data missing"),"data missing",
IF(Calc!BF48=0,"n/a",
IF(U50=0,"no requirement",
IF(T50&lt;0.1*U50,"no benefit",
IF(T50&lt;0.3*U50,"limited benefit",
IF(OR(T50&gt;1.5*U50,AND(Calc!BJ48="g",T50&gt;100)),"excessive",
"benefit")))))))</f>
        <v/>
      </c>
      <c r="Y50" s="91" t="str">
        <f ca="1">IF(B50="","",
IF(AND('Field information 2'!$O$5="", 'Field information 2'!$Q$5=""),
   IF('Waste results'!$P$23&lt;&gt;"", Calc!BC48*'Waste results'!$P$23, "no data"),
IF('Field information 2'!$Q$5="",
   IF(Calc!BD48=0,
     IF('Waste results'!$P$23&lt;&gt;"", Calc!BC48*'Waste results'!$P$23, "no data"),
   IF(Calc!BC48=0,
     IF('Waste results'!$P$59&lt;&gt;"", Calc!BD48*'Waste results'!$P$59, "no data"),
   IF(OR('Waste results'!$P$23&lt;&gt;"", 'Waste results'!$P$59&lt;&gt;""), Calc!BC48*'Waste results'!$P$23+ Calc!BD48*'Waste results'!$P$59, "no data"))),
IF(AND('Field information 2'!$M$5&lt;&gt;"", 'Field information 2'!$O$5&lt;&gt;"", 'Field information 2'!$Q$5&lt;&gt;""),
   IF(AND(Calc!BD48=0,Calc!BE48=0),
     IF('Waste results'!$P$23&lt;&gt;"", Calc!BC48*'Waste results'!$P$23, "no data"),
   IF(AND(Calc!BC48=0,Calc!BE48=0),
     IF('Waste results'!$P$59&lt;&gt;"", Calc!BD48*'Waste results'!$P$59, "no data"),
   IF(AND(Calc!BC48=0,Calc!BD48=0),
     IF('Waste results'!$P$95&lt;&gt;"", Calc!BE48*'Waste results'!$P$95, "no data"),
   IF(Calc!BE48=0,
     IF(OR('Waste results'!$P$23&lt;&gt;"", 'Waste results'!$P$59&lt;&gt;""), Calc!BC48*'Waste results'!$P$23+ Calc!BD48*'Waste results'!$P$59, "no data"),
   IF(Calc!BD48=0,
     IF(OR('Waste results'!$P$23&lt;&gt;"", 'Waste results'!$P$95&lt;&gt;""), Calc!BC48*'Waste results'!$P$23+ Calc!BE48*'Waste results'!$P$95, "no data"),
   IF(Calc!BC48=0,
     IF(OR('Waste results'!$P$59&lt;&gt;"", 'Waste results'!$P$95&lt;&gt;""), Calc!BD48*'Waste results'!$P$59+Calc!BE48*'Waste results'!$P$95, "no data"),
   IF(OR('Waste results'!$P$23&lt;&gt;"", 'Waste results'!$P$59&lt;&gt;"", 'Waste results'!$P$95&lt;&gt;""), Calc!BC48*'Waste results'!$P$23+Calc!BD48*'Waste results'!$P$59+ Calc!BE48*'Waste results'!$P$95, "no data")))))))))))</f>
        <v/>
      </c>
      <c r="Z50" s="7" t="str">
        <f ca="1">IF(OR(ISBLANK('Soil results'!I$7),ISBLANK('Soil results'!I53),'Soil results'!B53=""),"",
VLOOKUP(Calc!BI48,'Fertiliser recommendations'!$A$4:$AM$63,39,FALSE))</f>
        <v/>
      </c>
      <c r="AA50" s="91" t="str">
        <f t="shared" ca="1" si="4"/>
        <v/>
      </c>
      <c r="AB50" s="9" t="str">
        <f t="shared" ca="1" si="5"/>
        <v/>
      </c>
      <c r="AD50" s="48" t="str">
        <f>IF(ISBLANK('Soil results'!F53),"",'Soil results'!F53)</f>
        <v/>
      </c>
      <c r="AE50" s="49" t="str">
        <f ca="1">IF(B50="","",
IF(AND(Calc!BJ48="g", VLOOKUP(LEFT($B50,LEN($B50)-2),'Field information 2'!$B$12:$P$111,9,FALSE)&lt;&gt;"yes"),
 IF(Calc!BG48="10-25% OM", 5.9, IF(Calc!BG48="&gt;25% OM", 5.5, 6.2)),
IF(OR(Calc!BJ48="a", VLOOKUP(LEFT($B50,LEN($B50)-2),'Field information 2'!$B$12:$P$111,9,FALSE)="yes"),
 IF(Calc!BG48="10-25% OM", 6.4, IF(Calc!BG48="&gt;25% OM", 6, 6.7)), "")))</f>
        <v/>
      </c>
      <c r="AF50" s="91" t="str">
        <f ca="1">IF(B50="","",
IF('Waste results'!$Q$33="","no (significant) liming properties",
IF('Waste results'!Q$33&gt;100,"no (significant) liming properties",
IF(AD50="","",
IF(AD50&gt;=AE50,0,ROUNDDOWN((AE50-AD50)*Calc!BK48*'Waste results'!$Q$33+0.2,0))))))</f>
        <v/>
      </c>
      <c r="AG50" s="9" t="str">
        <f ca="1">IF(B50="","",
IF(T50=0,"n/a",
IF(AD50="","data missing",
IF(AND(AD50&lt;5,AF50="no (significant) liming properties"),"no waste application - pH too low",
IF(AND(AD50&gt;5.1,AF50="no (significant) liming properties",Calc!BH48&gt;25, LEFT(Calc!BI48,4)="graz"),"ok",
IF(AND(AD50&lt;=5.2,AF50="no (significant) liming properties"),"liming highly recommended",
IF(AF50=0,"no waste application - liming not required",
IF(AF50&lt;Calc!BC48,"application rate too high - exceeds liming requirement",
"ok"))))))))</f>
        <v/>
      </c>
      <c r="AI50" s="91" t="str">
        <f ca="1">IF(B50="","",
IF(AND('Field information 2'!$O$5="", 'Field information 2'!$Q$5=""),
   IF('Waste results'!$P$10&lt;&gt;"data missing", Calc!BC48*'Waste results'!$P$10, "data missing"),
IF('Field information 2'!$Q$5="",
   IF(Calc!BD48=0,
     IF('Waste results'!$P$10&lt;&gt;"data missing", Calc!BC48*'Waste results'!$P$10, "data missing"),
   IF(Calc!BC48=0,
     IF('Waste results'!$P$45&lt;&gt;"data missing", Calc!BD48*'Waste results'!$P$45, "data missing"),
   IF(OR('Waste results'!$P$10&lt;&gt;"data missing", 'Waste results'!$P$45&lt;&gt;"data missing"), Calc!BC48*'Waste results'!$P$10+ Calc!BD48*'Waste results'!$P$45, "data missing"))),
IF(AND('Field information 2'!$M$5&lt;&gt;"", 'Field information 2'!$O$5&lt;&gt;"", 'Field information 2'!$Q$5&lt;&gt;""),
   IF(AND(Calc!BD48=0,Calc!BE48=0),
     IF('Waste results'!$P$10&lt;&gt;"data missing", Calc!BC48*'Waste results'!$P$10, "data missing"),
   IF(AND(Calc!BC48=0,Calc!BE48=0),
     IF('Waste results'!$P$45&lt;&gt;"data missing", Calc!BD48*'Waste results'!$P$45, "data missing"),
   IF(AND(Calc!BC48=0,Calc!BD48=0),
     IF('Waste results'!$P$82&lt;&gt;"data missing", Calc!BE48*'Waste results'!$P$82, "data missing"),
   IF(Calc!BE48=0,
     IF(OR('Waste results'!$P$10&lt;&gt;"data missing", 'Waste results'!$P$45&lt;&gt;"data missing"), Calc!BC48*'Waste results'!$P$10+ Calc!BD48*'Waste results'!$P$45, "data missing"),
   IF(Calc!BD48=0,
     IF(OR('Waste results'!$P$10&lt;&gt;"data missing", 'Waste results'!$P$82&lt;&gt;"data missing"), Calc!BC48*'Waste results'!$P$10+ Calc!BE48*'Waste results'!$P$82, "data missing"),
   IF(Calc!BC48=0,
     IF(OR('Waste results'!$P$45&lt;&gt;"data missing", 'Waste results'!$P$82&lt;&gt;"data missing"), Calc!BD48*'Waste results'!$P$45+Calc!BE48*'Waste results'!$P$82, "data missing"),
   IF(OR('Waste results'!$P$10&lt;&gt;"data missing", 'Waste results'!$P$45&lt;&gt;"data missing", 'Waste results'!$P$82&lt;&gt;"data missing"), Calc!BC48*'Waste results'!$P$10+Calc!BD48*'Waste results'!$P$45+ Calc!BE48*'Waste results'!$P$82, "data missing")))))))))))</f>
        <v/>
      </c>
      <c r="AJ50" s="237" t="str">
        <f ca="1">IF(B50="","",
IF(AI50="data missing","data missing",
IF(Calc!BF48=0,"n/a",
IF(AND(Calc!BH48&gt;=8,AI50&lt;500),"no benefit",
IF(OR(AND(Calc!BH48&lt;=4,AI50&gt;=500),AND(Calc!BH48&lt;8,AI50&gt;5000)),"benefit",
"limited benefit")))))</f>
        <v/>
      </c>
      <c r="AL50" s="238" t="str">
        <f ca="1">IF(B50="","",
IF(AND('Field information 2'!$O$5="", 'Field information 2'!$Q$5=""),
   IF('Waste results'!$S$25&lt;&gt;"data missing", Calc!BC48*'Waste results'!$S$25, "data missing"),
IF('Field information 2'!$Q$5="",
   IF(Calc!BD48=0,
     IF('Waste results'!$S$25&lt;&gt;"data missing", Calc!BC48*'Waste results'!$S$25, "data missing"),
   IF(Calc!BC48=0,
     IF('Waste results'!$S$61&lt;&gt;"data missing", Calc!BD48*'Waste results'!$S$61, "data missing"),
   IF(OR('Waste results'!$S$25&lt;&gt;"data missing", 'Waste results'!$S$61&lt;&gt;"data missing"), Calc!BC48*'Waste results'!$S$25+ Calc!BD48*'Waste results'!$S$61, "data missing"))),
IF(AND('Field information 2'!$M$5&lt;&gt;"", 'Field information 2'!$O$5&lt;&gt;"", 'Field information 2'!$Q$5&lt;&gt;""),
   IF(AND(Calc!BD48=0,Calc!BE48=0),
     IF('Waste results'!$S$25&lt;&gt;"data missing", Calc!BC48*'Waste results'!$S$25, "data missing"),
   IF(AND(Calc!BC48=0,Calc!BE48=0),
     IF('Waste results'!$S$61&lt;&gt;"data missing", Calc!BD48*'Waste results'!$S$61, "data missing"),
   IF(AND(Calc!BC48=0,Calc!BD48=0),
     IF('Waste results'!$S$97&lt;&gt;"data missing", Calc!BE48*'Waste results'!$S$97, "data missing"),
   IF(Calc!BE48=0,
     IF(OR('Waste results'!$S$25&lt;&gt;"data missing", 'Waste results'!$S$61&lt;&gt;"data missing"), Calc!BC48*'Waste results'!$S$25+ Calc!BD48*'Waste results'!$S$61, "data missing"),
   IF(Calc!BD48=0,
     IF(OR('Waste results'!$S$25&lt;&gt;"data missing", 'Waste results'!$S$97&lt;&gt;"data missing"), Calc!BC48*'Waste results'!$S$25+ Calc!BE48*'Waste results'!$S$97, "data missing"),
   IF(Calc!BC48=0,
     IF(OR('Waste results'!$S$61&lt;&gt;"data missing", 'Waste results'!$S$97&lt;&gt;"data missing"), Calc!BD48*'Waste results'!$S$61+Calc!BE48*'Waste results'!$S$97, "data missing"),
   IF(OR('Waste results'!$S$25&lt;&gt;"data missing", 'Waste results'!$S$61&lt;&gt;"data missing", 'Waste results'!$S$97&lt;&gt;"data missing"), Calc!BC48*'Waste results'!$S$25+Calc!BD48*'Waste results'!$S$61+ Calc!BE48*'Waste results'!$S$97, "data missing")))))))))))</f>
        <v/>
      </c>
      <c r="AM50" s="239" t="str">
        <f ca="1">IF($B50="","",
IF(ISBLANK('Soil results'!K53),"data missing",'Soil results'!K53))</f>
        <v/>
      </c>
      <c r="AN50" s="239" t="str">
        <f t="shared" ca="1" si="6"/>
        <v/>
      </c>
      <c r="AO50" s="9" t="str">
        <f t="shared" ca="1" si="7"/>
        <v/>
      </c>
      <c r="AQ50" s="240" t="str">
        <f ca="1">IF(B50="","",
IF(AND('Field information 2'!$O$5="", 'Field information 2'!$Q$5=""),
   IF('Waste results'!$S$26&lt;&gt;"data missing", Calc!BC48*'Waste results'!$S$26, "data missing"),
IF('Field information 2'!$Q$5="",
   IF(Calc!BD48=0,
     IF('Waste results'!$S$26&lt;&gt;"data missing", Calc!BC48*'Waste results'!$S$26, "data missing"),
   IF(Calc!BC48=0,
     IF('Waste results'!$S$62&lt;&gt;"data missing", Calc!BD48*'Waste results'!$S$62, "data missing"),
   IF(OR('Waste results'!$S$26&lt;&gt;"data missing", 'Waste results'!$S$62&lt;&gt;"data missing"), Calc!BC48*'Waste results'!$S$26+ Calc!BD48*'Waste results'!$S$62, "data missing"))),
IF(AND('Field information 2'!$M$5&lt;&gt;"", 'Field information 2'!$O$5&lt;&gt;"", 'Field information 2'!$Q$5&lt;&gt;""),
   IF(AND(Calc!BD48=0,Calc!BE48=0),
     IF('Waste results'!$S$26&lt;&gt;"data missing", Calc!BC48*'Waste results'!$S$26, "data missing"),
   IF(AND(Calc!BC48=0,Calc!BE48=0),
     IF('Waste results'!$S$62&lt;&gt;"data missing", Calc!BD48*'Waste results'!$S$62, "data missing"),
   IF(AND(Calc!BC48=0,Calc!BD48=0),
     IF('Waste results'!$S$98&lt;&gt;"data missing", Calc!BE48*'Waste results'!$S$98, "data missing"),
   IF(Calc!BE48=0,
     IF(OR('Waste results'!$S$26&lt;&gt;"data missing", 'Waste results'!$S$62&lt;&gt;"data missing"), Calc!BC48*'Waste results'!$S$26+ Calc!BD48*'Waste results'!$S$62, "data missing"),
   IF(Calc!BD48=0,
     IF(OR('Waste results'!$S$26&lt;&gt;"data missing", 'Waste results'!$S$98&lt;&gt;"data missing"), Calc!BC48*'Waste results'!$S$26+ Calc!BE48*'Waste results'!$S$98, "data missing"),
   IF(Calc!BC48=0,
     IF(OR('Waste results'!$S$62&lt;&gt;"data missing", 'Waste results'!$S$98&lt;&gt;"data missing"), Calc!BD48*'Waste results'!$S$62+Calc!BE48*'Waste results'!$S$98, "data missing"),
   IF(OR('Waste results'!$S$26&lt;&gt;"data missing", 'Waste results'!$S$62&lt;&gt;"data missing", 'Waste results'!$S$98&lt;&gt;"data missing"), Calc!BC48*'Waste results'!$S$26+Calc!BD48*'Waste results'!$S$62+ Calc!BE48*'Waste results'!$S$98, "data missing")))))))))))</f>
        <v/>
      </c>
      <c r="AR50" s="241" t="str">
        <f ca="1">IF($B50="","",
IF(ISBLANK('Soil results'!L53),"data missing",'Soil results'!L53))</f>
        <v/>
      </c>
      <c r="AS50" s="241" t="str">
        <f t="shared" ca="1" si="8"/>
        <v/>
      </c>
      <c r="AT50" s="66" t="str">
        <f t="shared" ca="1" si="9"/>
        <v/>
      </c>
      <c r="AV50" s="238" t="str">
        <f ca="1">IF(B50="","",
IF(AND('Field information 2'!$O$5="", 'Field information 2'!$Q$5=""),
   IF('Waste results'!$S$27&lt;&gt;"data missing", Calc!BC48*'Waste results'!$S$27, "data missing"),
IF('Field information 2'!$Q$5="",
   IF(Calc!BD48=0,
     IF('Waste results'!$S$27&lt;&gt;"data missing", Calc!BC48*'Waste results'!$S$27, "data missing"),
   IF(Calc!BC48=0,
     IF('Waste results'!$S$63&lt;&gt;"data missing", Calc!BD48*'Waste results'!$S$63, "data missing"),
   IF(OR('Waste results'!$S$27&lt;&gt;"data missing", 'Waste results'!$S$63&lt;&gt;"data missing"), Calc!BC48*'Waste results'!$S$27+ Calc!BD48*'Waste results'!$S$63, "data missing"))),
IF(AND('Field information 2'!$M$5&lt;&gt;"", 'Field information 2'!$O$5&lt;&gt;"", 'Field information 2'!$Q$5&lt;&gt;""),
   IF(AND(Calc!BD48=0,Calc!BE48=0),
     IF('Waste results'!$S$27&lt;&gt;"data missing", Calc!BC48*'Waste results'!$S$27, "data missing"),
   IF(AND(Calc!BC48=0,Calc!BE48=0),
     IF('Waste results'!$S$63&lt;&gt;"data missing", Calc!BD48*'Waste results'!$S$63, "data missing"),
   IF(AND(Calc!BC48=0,Calc!BD48=0),
     IF('Waste results'!$S$99&lt;&gt;"data missing", Calc!BE48*'Waste results'!$S$99, "data missing"),
   IF(Calc!BE48=0,
     IF(OR('Waste results'!$S$27&lt;&gt;"data missing", 'Waste results'!$S$63&lt;&gt;"data missing"), Calc!BC48*'Waste results'!$S$27+ Calc!BD48*'Waste results'!$S$63, "data missing"),
   IF(Calc!BD48=0,
     IF(OR('Waste results'!$S$27&lt;&gt;"data missing", 'Waste results'!$S$99&lt;&gt;"data missing"), Calc!BC48*'Waste results'!$S$27+ Calc!BE48*'Waste results'!$S$99, "data missing"),
   IF(Calc!BC48=0,
     IF(OR('Waste results'!$S$63&lt;&gt;"data missing", 'Waste results'!$S$99&lt;&gt;"data missing"), Calc!BD48*'Waste results'!$S$63+Calc!BE48*'Waste results'!$S$99, "data missing"),
   IF(OR('Waste results'!$S$27&lt;&gt;"data missing", 'Waste results'!$S$63&lt;&gt;"data missing", 'Waste results'!$S$99&lt;&gt;"data missing"), Calc!BC48*'Waste results'!$S$27+Calc!BD48*'Waste results'!$S$63+ Calc!BE48*'Waste results'!$S$99, "data missing")))))))))))</f>
        <v/>
      </c>
      <c r="AW50" s="239" t="str">
        <f ca="1">IF($B50="","",
IF(ISBLANK('Soil results'!M53),"data missing",'Soil results'!M53))</f>
        <v/>
      </c>
      <c r="AX50" s="239" t="str">
        <f t="shared" ca="1" si="10"/>
        <v/>
      </c>
      <c r="AY50" s="9" t="str">
        <f ca="1">IF(B50="","",
IF(AV50=0,"n/a",
IF(OR(AV50="data missing",AW50="data missing"),"data missing",
IF(AV50&gt;7.5,"application rate too high - permissible rate exceeds limit",
IF('Soil results'!$F53&lt;=5.5,
  IF(AW50&gt;80,"no application - soil conc. already above limit",
  IF(AX50&gt;80,"application rate too high - soil conc. will exceed limit",
  IF(AW50&gt;80*0.9,"soil conc. is at or above 90% of the limit",
  IF(10*AV50*1000/3000+AW50&gt;80,"soil limit likely to be exceeded in 10yrs",
  IF(50*AV50*1000/3000+AW50&gt;80,"soil limit likely to be exceeded in 50yrs","ok"))))),
IF('Soil results'!$F53&lt;=6,
  IF(AW50&gt;100,"no application - soil conc. already above limit",
  IF(AX50&gt;100,"application rate too high - soil conc. will exceed limit",
  IF(AW50&gt;100*0.9,"soil conc. is at or above 90% of the limit",
  IF(10*AV50*1000/3000+AW50&gt;100,"soil limit likely to be exceeded in 10yrs",
  IF(50*AV50*1000/3000+AW50&gt;100,"soil limit likely to be exceeded in 50yrs","ok"))))),
IF('Soil results'!$F53&lt;=7,
  IF(AW50&gt;135,"no application - soil conc. already above limit",
  IF(AX50&gt;135,"application rate too high - soil conc. will exceed limit",
  IF(AW50&gt;135*0.9,"soil conc. is at or above 90% of the limit",
  IF(10*AV50*1000/3000+AW50&gt;135,"soil limit likely to be exceeded in 10yrs",
  IF(50*AV50*1000/3000+AW50&gt;135,"soil limit likely to be exceeded in 50yrs","ok"))))),
IF('Soil results'!$F53&gt;7,
  IF(AW50&gt;200,"no application - soil conc. already above limit",
  IF(AX50&gt;200,"application too high - soil conc. will exceed limit",
  IF(AW50&gt;200*0.9,"soil conc. is at or above 90% of the limit",
  IF(10*AV50*1000/3000+AW50&gt;200,"soil limit likely to be exceeded in 10yrs",
  IF(50*AV50*1000/3000+AW50&gt;200,"soil limit likely to be exceeded in 50yrs","ok")))))
))))))))</f>
        <v/>
      </c>
      <c r="BA50" s="238" t="str">
        <f ca="1">IF(B50="","",
IF(AND('Field information 2'!$O$5="", 'Field information 2'!$Q$5=""),
   IF('Waste results'!$S$28&lt;&gt;"data missing", Calc!BC48*'Waste results'!$S$28, "data missing"),
IF('Field information 2'!$Q$5="",
   IF(Calc!BD48=0,
     IF('Waste results'!$S$28&lt;&gt;"data missing", Calc!BC48*'Waste results'!$S$28, "data missing"),
   IF(Calc!BC48=0,
     IF('Waste results'!$S$64&lt;&gt;"data missing", Calc!BD48*'Waste results'!$S$64, "data missing"),
   IF(OR('Waste results'!$S$28&lt;&gt;"data missing", 'Waste results'!$S$64&lt;&gt;"data missing"), Calc!BC48*'Waste results'!$S$28+ Calc!BD48*'Waste results'!$S$64, "data missing"))),
IF(AND('Field information 2'!$M$5&lt;&gt;"", 'Field information 2'!$O$5&lt;&gt;"", 'Field information 2'!$Q$5&lt;&gt;""),
   IF(AND(Calc!BD48=0,Calc!BE48=0),
     IF('Waste results'!$S$28&lt;&gt;"data missing", Calc!BC48*'Waste results'!$S$28, "data missing"),
   IF(AND(Calc!BC48=0,Calc!BE48=0),
     IF('Waste results'!$S$64&lt;&gt;"data missing", Calc!BD48*'Waste results'!$S$64, "data missing"),
   IF(AND(Calc!BC48=0,Calc!BD48=0),
     IF('Waste results'!$S$100&lt;&gt;"data missing", Calc!BE48*'Waste results'!$S$100, "data missing"),
   IF(Calc!BE48=0,
     IF(OR('Waste results'!$S$28&lt;&gt;"data missing", 'Waste results'!$S$64&lt;&gt;"data missing"), Calc!BC48*'Waste results'!$S$28+ Calc!BD48*'Waste results'!$S$64, "data missing"),
   IF(Calc!BD48=0,
     IF(OR('Waste results'!$S$28&lt;&gt;"data missing", 'Waste results'!$S$100&lt;&gt;"data missing"), Calc!BC48*'Waste results'!$S$28+ Calc!BE48*'Waste results'!$S$100, "data missing"),
   IF(Calc!BC48=0,
     IF(OR('Waste results'!$S$64&lt;&gt;"data missing", 'Waste results'!$S$100&lt;&gt;"data missing"), Calc!BD48*'Waste results'!$S$64+Calc!BE48*'Waste results'!$S$100, "data missing"),
   IF(OR('Waste results'!$S$28&lt;&gt;"data missing", 'Waste results'!$S$64&lt;&gt;"data missing", 'Waste results'!$S$100&lt;&gt;"data missing"), Calc!BC48*'Waste results'!$S$28+Calc!BD48*'Waste results'!$S$64+ Calc!BE48*'Waste results'!$S$100, "data missing")))))))))))</f>
        <v/>
      </c>
      <c r="BB50" s="239" t="str">
        <f ca="1">IF($B50="","",
IF(ISBLANK('Soil results'!N53),"data missing",'Soil results'!N53))</f>
        <v/>
      </c>
      <c r="BC50" s="239" t="str">
        <f t="shared" ca="1" si="11"/>
        <v/>
      </c>
      <c r="BD50" s="9" t="str">
        <f t="shared" ca="1" si="12"/>
        <v/>
      </c>
      <c r="BF50" s="238" t="str">
        <f ca="1">IF(B50="","",
IF(AND('Field information 2'!$O$5="", 'Field information 2'!$Q$5=""),
   IF('Waste results'!$S$29&lt;&gt;"data missing", Calc!BC48*'Waste results'!$S$29, "data missing"),
IF('Field information 2'!$Q$5="",
   IF(Calc!BD48=0,
     IF('Waste results'!$S$29&lt;&gt;"data missing", Calc!BC48*'Waste results'!$S$29, "data missing"),
   IF(Calc!BC48=0,
     IF('Waste results'!$S$65&lt;&gt;"data missing", Calc!BD48*'Waste results'!$S$65, "data missing"),
   IF(OR('Waste results'!$S$29&lt;&gt;"data missing", 'Waste results'!$S$65&lt;&gt;"data missing"), Calc!BC48*'Waste results'!$S$29+ Calc!BD48*'Waste results'!$S$65, "data missing"))),
IF(AND('Field information 2'!$M$5&lt;&gt;"", 'Field information 2'!$O$5&lt;&gt;"", 'Field information 2'!$Q$5&lt;&gt;""),
   IF(AND(Calc!BD48=0,Calc!BE48=0),
     IF('Waste results'!$S$29&lt;&gt;"data missing", Calc!BC48*'Waste results'!$S$29, "data missing"),
   IF(AND(Calc!BC48=0,Calc!BE48=0),
     IF('Waste results'!$S$65&lt;&gt;"data missing", Calc!BD48*'Waste results'!$S$65, "data missing"),
   IF(AND(Calc!BC48=0,Calc!BD48=0),
     IF('Waste results'!$S$101&lt;&gt;"data missing", Calc!BE48*'Waste results'!$S$101, "data missing"),
   IF(Calc!BE48=0,
     IF(OR('Waste results'!$S$29&lt;&gt;"data missing", 'Waste results'!$S$65&lt;&gt;"data missing"), Calc!BC48*'Waste results'!$S$29+ Calc!BD48*'Waste results'!$S$65, "data missing"),
   IF(Calc!BD48=0,
     IF(OR('Waste results'!$S$29&lt;&gt;"data missing", 'Waste results'!$S$101&lt;&gt;"data missing"), Calc!BC48*'Waste results'!$S$29+ Calc!BE48*'Waste results'!$S$101, "data missing"),
   IF(Calc!BC48=0,
     IF(OR('Waste results'!$S$65&lt;&gt;"data missing", 'Waste results'!$S$101&lt;&gt;"data missing"), Calc!BD48*'Waste results'!$S$65+Calc!BE48*'Waste results'!$S$101, "data missing"),
   IF(OR('Waste results'!$S$29&lt;&gt;"data missing", 'Waste results'!$S$65&lt;&gt;"data missing", 'Waste results'!$S$101&lt;&gt;"data missing"), Calc!BC48*'Waste results'!$S$29+Calc!BD48*'Waste results'!$S$65+ Calc!BE48*'Waste results'!$S$101, "data missing")))))))))))</f>
        <v/>
      </c>
      <c r="BG50" s="239" t="str">
        <f ca="1">IF($B50="","",
IF(ISBLANK('Soil results'!O53),"data missing",'Soil results'!O53))</f>
        <v/>
      </c>
      <c r="BH50" s="239" t="str">
        <f t="shared" ca="1" si="13"/>
        <v/>
      </c>
      <c r="BI50" s="9" t="str">
        <f ca="1">IF(B50="","",
IF(BF50=0,"n/a",
IF(OR(BF50="data missing",BG50="data missing"),"data missing",
IF(BF50&gt;3,"application rate too high - permissible rate exceeds limit",
IF('Soil results'!F53&lt;=5.5,
  IF(BG50&gt;50,"no application - soil conc. already above limit",
  IF(BH50&gt;50,"application rate too high - soil conc. will exceed limit",
  IF(BG50&gt;50*0.9,"soil conc. is at or above 90% of the limit",
  IF(10*BF50*1000/3000+BG50&gt;50,"soil limit likely to be exceeded in 10yrs",
  IF(50*BF50*1000/3000+BG50&gt;50,"soil limit likely to be exceeded in 50yrs","ok"))))),
IF('Soil results'!F53&lt;=6,
  IF(BG50&gt;60,"no application - soil conc. already above limit",
  IF(BH50&gt;60,"application rate too high - soil conc. will exceed limit",
  IF(BG50&gt;60*0.9,"soil conc. is at or above 90% of the limit",
  IF(10*BF50*1000/3000+BG50&gt;60,"soil limit likely to be exceeded in 10yrs",
  IF(50*BF50*1000/3000+BG50&gt;60,"soil limit likely to be exceeded in 50yrs","ok"))))),
IF('Soil results'!F53&lt;=7,
  IF(BG50&gt;75,"no application - soil conc. already above limit",
  IF(BH50&gt;75,"application rate too high - soil conc. will exceed limit",
  IF(BG50&gt;75*0.9,"soil conc. is at or above 90% of the limit",
  IF(10*BF50*1000/3000+BG50&gt;75,"soil limit likely to be exceeded in 10yrs",
  IF(50*BF50*1000/3000+BG50&gt;75,"soil limit likely to be exceeded in 50yrs","ok"))))),
IF('Soil results'!F53&gt;7,
  IF(BG50&gt;100,"no application - soil conc. already above limit",
  IF(BH50&gt;100,"application rate too high - soil conc. will exceed limit",
  IF(BG50&gt;100*0.9,"soil conc. is at or above 90% of the limit",
  IF(10*BF50*1000/3000+BG50&gt;100,"soil limit likely to be exceeded in 10yrs",
  IF(50*BF50*1000/3000+BG50&gt;100,"soil limit likely to beexceeded in 50yrs","ok")))))
))))))))</f>
        <v/>
      </c>
      <c r="BK50" s="240" t="str">
        <f ca="1">IF(B50="","",
IF(AND('Field information 2'!$O$5="", 'Field information 2'!$Q$5=""),
   IF('Waste results'!$S$30&lt;&gt;"data missing", Calc!BC48*'Waste results'!$S$30, "data missing"),
IF('Field information 2'!$Q$5="",
   IF(Calc!BD48=0,
     IF('Waste results'!$S$30&lt;&gt;"data missing", Calc!BC48*'Waste results'!$S$30, "data missing"),
   IF(Calc!BC48=0,
     IF('Waste results'!$S$66&lt;&gt;"data missing", Calc!BD48*'Waste results'!$S$66, "data missing"),
   IF(OR('Waste results'!$S$30&lt;&gt;"data missing", 'Waste results'!$S$66&lt;&gt;"data missing"), Calc!BC48*'Waste results'!$S$30+ Calc!BD48*'Waste results'!$S$66, "data missing"))),
IF(AND('Field information 2'!$M$5&lt;&gt;"", 'Field information 2'!$O$5&lt;&gt;"", 'Field information 2'!$Q$5&lt;&gt;""),
   IF(AND(Calc!BD48=0,Calc!BE48=0),
     IF('Waste results'!$S$30&lt;&gt;"data missing", Calc!BC48*'Waste results'!$S$30, "data missing"),
   IF(AND(Calc!BC48=0,Calc!BE48=0),
     IF('Waste results'!$S$66&lt;&gt;"data missing", Calc!BD48*'Waste results'!$S$66, "data missing"),
   IF(AND(Calc!BC48=0,Calc!BD48=0),
     IF('Waste results'!$S$102&lt;&gt;"data missing", Calc!BE48*'Waste results'!$S$102, "data missing"),
   IF(Calc!BE48=0,
     IF(OR('Waste results'!$S$30&lt;&gt;"data missing", 'Waste results'!$S$66&lt;&gt;"data missing"), Calc!BC48*'Waste results'!$S$30+ Calc!BD48*'Waste results'!$S$66, "data missing"),
   IF(Calc!BD48=0,
     IF(OR('Waste results'!$S$30&lt;&gt;"data missing", 'Waste results'!$S$102&lt;&gt;"data missing"), Calc!BC48*'Waste results'!$S$30+ Calc!BE48*'Waste results'!$S$102, "data missing"),
   IF(Calc!BC48=0,
     IF(OR('Waste results'!$S$66&lt;&gt;"data missing", 'Waste results'!$S$102&lt;&gt;"data missing"), Calc!BD48*'Waste results'!$S$66+Calc!BE48*'Waste results'!$S$102, "data missing"),
   IF(OR('Waste results'!$S$30&lt;&gt;"data missing", 'Waste results'!$S$66&lt;&gt;"data missing", 'Waste results'!$S$102&lt;&gt;"data missing"), Calc!BC48*'Waste results'!$S$30+Calc!BD48*'Waste results'!$S$66+ Calc!BE48*'Waste results'!$S$102, "data missing")))))))))))</f>
        <v/>
      </c>
      <c r="BL50" s="241" t="str">
        <f ca="1">IF($B50="","",
IF(ISBLANK('Soil results'!P53),"data missing",'Soil results'!P53))</f>
        <v/>
      </c>
      <c r="BM50" s="241" t="str">
        <f t="shared" ca="1" si="14"/>
        <v/>
      </c>
      <c r="BN50" s="66" t="str">
        <f t="shared" ca="1" si="15"/>
        <v/>
      </c>
      <c r="BP50" s="238" t="str">
        <f ca="1">IF(B50="","",
IF(AND('Field information 2'!$O$5="", 'Field information 2'!$Q$5=""),
   IF('Waste results'!$S$31&lt;&gt;"data missing", Calc!BC48*'Waste results'!$S$31, "data missing"),
IF('Field information 2'!$Q$5="",
   IF(Calc!BD48=0,
     IF('Waste results'!$S$31&lt;&gt;"data missing", Calc!BC48*'Waste results'!$S$31, "data missing"),
   IF(Calc!BC48=0,
     IF('Waste results'!$S$67&lt;&gt;"data missing", Calc!BD48*'Waste results'!$S$67, "data missing"),
   IF(OR('Waste results'!$S$31&lt;&gt;"data missing", 'Waste results'!$S$67&lt;&gt;"data missing"), Calc!BC48*'Waste results'!$S$31+ Calc!BD48*'Waste results'!$S$67, "data missing"))),
IF(AND('Field information 2'!$M$5&lt;&gt;"", 'Field information 2'!$O$5&lt;&gt;"", 'Field information 2'!$Q$5&lt;&gt;""),
   IF(AND(Calc!BD48=0,Calc!BE48=0),
     IF('Waste results'!$S$31&lt;&gt;"data missing", Calc!BC48*'Waste results'!$S$31, "data missing"),
   IF(AND(Calc!BC48=0,Calc!BE48=0),
     IF('Waste results'!$S$67&lt;&gt;"data missing", Calc!BD48*'Waste results'!$S$67, "data missing"),
   IF(AND(Calc!BC48=0,Calc!BD48=0),
     IF('Waste results'!$S$103&lt;&gt;"data missing", Calc!BE48*'Waste results'!$S$103, "data missing"),
   IF(Calc!BE48=0,
     IF(OR('Waste results'!$S$31&lt;&gt;"data missing", 'Waste results'!$S$67&lt;&gt;"data missing"), Calc!BC48*'Waste results'!$S$31+ Calc!BD48*'Waste results'!$S$67, "data missing"),
   IF(Calc!BD48=0,
     IF(OR('Waste results'!$S$31&lt;&gt;"data missing", 'Waste results'!$S$103&lt;&gt;"data missing"), Calc!BC48*'Waste results'!$S$31+ Calc!BE48*'Waste results'!$S$103, "data missing"),
   IF(Calc!BC48=0,
     IF(OR('Waste results'!$S$67&lt;&gt;"data missing", 'Waste results'!$S$103&lt;&gt;"data missing"), Calc!BD48*'Waste results'!$S$67+Calc!BE48*'Waste results'!$S$103, "data missing"),
   IF(OR('Waste results'!$S$31&lt;&gt;"data missing", 'Waste results'!$S$67&lt;&gt;"data missing", 'Waste results'!$S$103&lt;&gt;"data missing"), Calc!BC48*'Waste results'!$S$31+Calc!BD48*'Waste results'!$S$67+ Calc!BE48*'Waste results'!$S$103, "data missing")))))))))))</f>
        <v/>
      </c>
      <c r="BQ50" s="239" t="str">
        <f ca="1">IF($B50="","",
IF(ISBLANK('Soil results'!Q53),"data missing",'Soil results'!Q53))</f>
        <v/>
      </c>
      <c r="BR50" s="239" t="str">
        <f t="shared" ca="1" si="16"/>
        <v/>
      </c>
      <c r="BS50" s="9" t="str">
        <f ca="1">IF(B50="","",
IF(BP50=0,"n/a",
IF(OR(BP50="data missing",BQ50=""),"data missing",
IF(BP50&gt;15,"application rate too high - permissible rate exceeds limit",
IF('Soil results'!F53&lt;=5.5,
  IF(BQ50&gt;200,"no application - soil conc. already above limit",
  IF(BR50&gt;200,"application rate too high - soil conc. will exceed limit",
  IF(BQ50&gt;200*0.9,"soil conc. is at or above 90% of the limit",
  IF(10*BP50*1000/3000+BQ50&gt;200,"soil limit likely to be exceeded in 10yrs",
  IF(50*BP50*1000/3000+BQ50&gt;200,"soil limit likely to be exceeded in 50yrs","ok"))))),
IF('Soil results'!F53&lt;=6,
  IF(BQ50&gt;250,"no application - soil conc. already above limit",
  IF(BR50&gt;250,"application rate too high - soil conc. will exceed limit",
  IF(BQ50&gt;250*0.9,"soil conc. is at or above 90% of the limit",
  IF(10*BP50*1000/3000+BQ50&gt;250,"soil limit likely to be exceeded in 10yrs",
  IF(50*BP50*1000/3000+BQ50&gt;250,"soil limit likely to be exceeded in 50yrs","ok"))))),
IF('Soil results'!F53&lt;=7,
  IF(BQ50&gt;300,"no application - soil conc. already above limit",
  IF(BR50&gt;300,"application rate too high - soil conc. will exceed limit",
  IF(BQ50&gt;300*0.9,"soil conc. is at or above 90% of the limit",
  IF(10*BP50*1000/3000+BQ50&gt;300,"soil limit likey to be exceeded in 10yrs",
  IF(50*BP50*1000/3000+BQ50&gt;300,"soil limit likely to be exceeded in 50yrs","ok"))))),
IF('Soil results'!F53&gt;7,
  IF(BQ50&gt;450,"no application - soil conc. already above limit",
  IF(BR50&gt;450,"application rate too high - soil conc. will exceed limit",
  IF(AW50&gt;450*0.9,"soil conc. is at or above 90% of the limit",
  IF(10*BP50*1000/3000+BQ50&gt;450,"soil limit likely to be exceeded in 10yrs",
  IF(50*BP50*1000/3000+BQ50&gt;450,"soil limit likely to be exceeded in 50yrs","ok")))))
))))))))</f>
        <v/>
      </c>
    </row>
    <row r="51" spans="2:71" s="9" customFormat="1" ht="15" x14ac:dyDescent="0.25">
      <c r="B51" s="236" t="str">
        <f ca="1">'Soil results'!B54</f>
        <v/>
      </c>
      <c r="C51" s="91" t="str">
        <f ca="1">IF(B51="","",
IF(AND('Field information 2'!$O$5="", 'Field information 2'!$Q$5=""),
   IF('Waste results'!$S$12&lt;&gt;"data missing", Calc!BC49*'Waste results'!$S$12, "data missing"),
IF('Field information 2'!$Q$5="",
   IF(Calc!BD49=0,
     IF('Waste results'!$S$12&lt;&gt;"data missing", Calc!BC49*'Waste results'!$S$12, "data missing"),
   IF(Calc!BC49=0,
     IF('Waste results'!$S$48&lt;&gt;"data missing", Calc!BD49*'Waste results'!$S$48, "data missing"),
   IF(OR('Waste results'!$S$12&lt;&gt;"data missing", 'Waste results'!$S$48&lt;&gt;"data missing"), Calc!BC49*'Waste results'!$S$12+ Calc!BD49*'Waste results'!$S$48, "data missing"))),
IF(AND('Field information 2'!$M$5&lt;&gt;"", 'Field information 2'!$O$5&lt;&gt;"", 'Field information 2'!$Q$5&lt;&gt;""),
   IF(AND(Calc!BD49=0,Calc!BE49=0),
     IF('Waste results'!$S$12&lt;&gt;"data missing", Calc!BC49*'Waste results'!$S$12, "data missing"),
   IF(AND(Calc!BC49=0,Calc!BE49=0),
     IF('Waste results'!$S$48&lt;&gt;"data missing", Calc!BD49*'Waste results'!$S$48, "data missing"),
   IF(AND(Calc!BC49=0,Calc!BD49=0),
     IF('Waste results'!$S$84&lt;&gt;"data missing", Calc!BE49*'Waste results'!$S$84, "data missing"),
   IF(Calc!BE49=0,
     IF(OR('Waste results'!$S$12&lt;&gt;"data missing", 'Waste results'!$S$48&lt;&gt;"data missing"), Calc!BC49*'Waste results'!$S$12+ Calc!BD49*'Waste results'!$S$48, "data missing"),
   IF(Calc!BD49=0,
     IF(OR('Waste results'!$S$12&lt;&gt;"data missing", 'Waste results'!$S$84&lt;&gt;"data missing"), Calc!BC49*'Waste results'!$S$12+ Calc!BE49*'Waste results'!$S$84, "data missing"),
   IF(Calc!BC49=0,
     IF(OR('Waste results'!$S$48&lt;&gt;"data missing", 'Waste results'!$S$84&lt;&gt;"data missing"), Calc!BD49*'Waste results'!$S$48+Calc!BE49*'Waste results'!$S$84, "data missing"),
   IF(OR('Waste results'!$S$12&lt;&gt;"data missing", 'Waste results'!$S$48&lt;&gt;"data missing", 'Waste results'!$S$84&lt;&gt;"data missing"), Calc!BC49*'Waste results'!$S$12+Calc!BD49*'Waste results'!$S$48+ Calc!BE49*'Waste results'!$S$84, "data missing")))))))))))</f>
        <v/>
      </c>
      <c r="D51" s="161" t="str">
        <f ca="1">IF(B51="","",
IF(Calc!BG49="","soil texture missing",
IF(OR(Calc!BG49="SL; SZL; ZL",Calc!BG49="SCL; CL; ZCL; SC; ZC; C"),VLOOKUP(Calc!BI49,'Fertiliser recommendations'!$A$4:$C$63,3,FALSE),
IF(Calc!BG49="S; LS",VLOOKUP(Calc!BI49,'Fertiliser recommendations'!$A$4:$C$63,3,FALSE)+VLOOKUP(Calc!BI49,'Fertiliser recommendations'!$A$4:$D$63,4,FALSE),
IF(Calc!BG49="10-25% OM",VLOOKUP(Calc!BI49,'Fertiliser recommendations'!$A$4:$C$63,3,FALSE)+VLOOKUP(Calc!BI49,'Fertiliser recommendations'!$A$4:$E$63,5,FALSE),
IF(Calc!BG49="&gt;25% OM",VLOOKUP(Calc!BI49,'Fertiliser recommendations'!$A$4:$C$63,3,FALSE)+VLOOKUP(Calc!BI49,'Fertiliser recommendations'!$A$4:$F$63,6,FALSE),
""))))))</f>
        <v/>
      </c>
      <c r="E51" s="91" t="str">
        <f t="shared" ca="1" si="0"/>
        <v/>
      </c>
      <c r="F51" s="9" t="str">
        <f ca="1">IF(B51="","",
IF(OR(C51="data missing",D51="soil texture missing"),"data missing",
IF(Calc!BF49=0,"n/a",
IF(C51&lt;0.1*D51,"no benefit",
IF(C51&lt;0.3*D51,"limited benefit",
IF(C51&gt;250,"exceeds limit",
IF(OR(AND(D51=0,C51&gt;75),C51&gt;1.25*D51),"excessive",
IF(D51=0, "no requirement",
"benefit"))))))))</f>
        <v/>
      </c>
      <c r="H51" s="91" t="str">
        <f ca="1">IF(B51="","",
IF(AND('Field information 2'!$O$5="", 'Field information 2'!$Q$5=""),
   IF('Waste results'!$S$17&lt;&gt;"data missing", Calc!BC49*'Waste results'!$S$17, "data missing"),
IF('Field information 2'!$Q$5="",
   IF(Calc!BD49=0,
     IF('Waste results'!$S$17&lt;&gt;"data missing", Calc!BC49*'Waste results'!$S$17, "data missing"),
   IF(Calc!BC49=0,
     IF('Waste results'!$S$53&lt;&gt;"data missing", Calc!BD49*'Waste results'!$S$53, "data missing"),
   IF(OR('Waste results'!$S$17&lt;&gt;"data missing", 'Waste results'!$S$53&lt;&gt;"data missing"), Calc!BC49*'Waste results'!$S$17+ Calc!BD49*'Waste results'!$S$53, "data missing"))),
IF(AND('Field information 2'!$M$5&lt;&gt;"", 'Field information 2'!$O$5&lt;&gt;"", 'Field information 2'!$Q$5&lt;&gt;""),
   IF(AND(Calc!BD49=0,Calc!BE49=0),
     IF('Waste results'!$S$17&lt;&gt;"data missing", Calc!BC49*'Waste results'!$S$17, "data missing"),
   IF(AND(Calc!BC49=0,Calc!BE49=0),
     IF('Waste results'!$S$53&lt;&gt;"data missing", Calc!BD49*'Waste results'!$S$53, "data missing"),
   IF(AND(Calc!BC49=0,Calc!BD49=0),
     IF('Waste results'!$S$89&lt;&gt;"data missing", Calc!BE49*'Waste results'!$S$89, "data missing"),
   IF(Calc!BE49=0,
     IF(OR('Waste results'!$S$17&lt;&gt;"data missing", 'Waste results'!$S$53&lt;&gt;"data missing"), Calc!BC49*'Waste results'!$S$17+ Calc!BD49*'Waste results'!$S$53, "data missing"),
   IF(Calc!BD49=0,
     IF(OR('Waste results'!$S$17&lt;&gt;"data missing", 'Waste results'!$S$89&lt;&gt;"data missing"), Calc!BC49*'Waste results'!$S$17+ Calc!BE49*'Waste results'!$S$89, "data missing"),
   IF(Calc!BC49=0,
     IF(OR('Waste results'!$S$53&lt;&gt;"data missing", 'Waste results'!$S$89&lt;&gt;"data missing"), Calc!BD49*'Waste results'!$S$53+Calc!BE49*'Waste results'!$S$89, "data missing"),
   IF(OR('Waste results'!$S$17&lt;&gt;"data missing", 'Waste results'!$S$53&lt;&gt;"data missing", 'Waste results'!$S$89&lt;&gt;"data missing"), Calc!BC49*'Waste results'!$S$17+Calc!BD49*'Waste results'!$S$53+ Calc!BE49*'Waste results'!$S$89, "data missing")))))))))))</f>
        <v/>
      </c>
      <c r="I51" s="195" t="str">
        <f ca="1">IF(B51="","",
IF(OR(ISBLANK('Soil results'!G54), ISBLANK('Soil results'!G$7)),"data missing",
IF(OR(AND('Soil results'!G$7="Olsen (ADAS)",'Soil results'!G54&lt;16),AND('Soil results'!G$7="modified Morgan (SAC)",'Soil results'!G54&lt;4.5)),50,100)))</f>
        <v/>
      </c>
      <c r="J51" s="49" t="str">
        <f ca="1">IF(B51="","",
IF(OR(ISBLANK('Soil results'!G$7),ISBLANK('Soil results'!G54)),"data missing",
IF(OR(AND('Soil results'!G$7="Olsen (ADAS)",'Soil results'!G54&gt;45),AND('Soil results'!G$7="modified Morgan (SAC)",'Soil results'!G54&gt;30)),0,
IF(OR(AND('Soil results'!G$7="Olsen (ADAS)",'Soil results'!G54&gt;=16,'Soil results'!G54&lt;=20),AND('Soil results'!G$7="modified Morgan (SAC)",'Soil results'!G54&gt;=4.5,'Soil results'!G54&lt;=9.4)),VLOOKUP(Calc!BI49,'Fertiliser recommendations'!$A$4:$I$63,9,FALSE),
IF(OR(AND('Soil results'!G$7="Olsen (ADAS)",'Soil results'!G54&lt;10),AND('Soil results'!G$7="modified Morgan (SAC)",'Soil results'!G54&lt;1.8)),VLOOKUP(Calc!BI49,'Fertiliser recommendations'!$A$4:$I$63,9,FALSE)+VLOOKUP(Calc!BI49,'Fertiliser recommendations'!$A$4:$J$63,10,FALSE),
IF(OR(AND('Soil results'!G$7="Olsen (ADAS)",'Soil results'!G54&lt;16),AND('Soil results'!G$7="modified Morgan (SAC)",'Soil results'!G54&lt;4.5)),VLOOKUP(Calc!BI49,'Fertiliser recommendations'!$A$4:$I$63,9,FALSE)+VLOOKUP(Calc!BI49,'Fertiliser recommendations'!$A$4:$K$63,11,FALSE),
IF(OR(AND('Soil results'!G$7="Olsen (ADAS)",'Soil results'!G54&lt;26),AND('Soil results'!G$7="modified Morgan (SAC)",'Soil results'!G54&lt;13.5)),VLOOKUP(Calc!BI49,'Fertiliser recommendations'!$A$4:$I$63,9,FALSE)+VLOOKUP(Calc!BI49,'Fertiliser recommendations'!$A$4:$L$63,12,FALSE),
IF(OR(AND('Soil results'!G$7="Olsen (ADAS)",'Soil results'!G54&lt;=45),AND('Soil results'!G$7="modified Morgan (SAC)",'Soil results'!G54&lt;=30)),VLOOKUP(Calc!BI49,'Fertiliser recommendations'!$A$4:$I$63,9,FALSE)+VLOOKUP(Calc!BI49,'Fertiliser recommendations'!$A$4:$M$63,13,FALSE),
""))))))))</f>
        <v/>
      </c>
      <c r="K51" s="161" t="str">
        <f t="shared" ca="1" si="1"/>
        <v/>
      </c>
      <c r="L51" s="47" t="str">
        <f ca="1">IF(OR(ISBLANK('Soil results'!G$7),ISBLANK('Soil results'!G54),B51="", H51="data missing"),"",
IF('Soil results'!G$7="Olsen (ADAS)",
IF(((H51*Calc!BM49/2.291-(VLOOKUP(Calc!BI49,'Fertiliser recommendations'!$A$4:$I$63,9,FALSE))/2.291)*10/(400/2.291)+'Soil results'!G54)&lt;10,"0 (VL)",
IF(((H51*Calc!BM49/2.291-(VLOOKUP(Calc!BI49,'Fertiliser recommendations'!$A$4:$I$63,9,FALSE))/2.291)*10/(400/2.291)+'Soil results'!G54)&lt;16,"1 (L)",
IF(((H51*Calc!BM49/2.291-(VLOOKUP(Calc!BI49,'Fertiliser recommendations'!$A$4:$I$63,9,FALSE))/2.291)*10/(400/2.291)+'Soil results'!G54)&lt;21,"2 (M-)",
IF(((H51*Calc!BM49/2.291-(VLOOKUP(Calc!BI49,'Fertiliser recommendations'!$A$4:$I$63,9,FALSE))/2.291)*10/(400/2.291)+'Soil results'!G54)&lt;26,"2 (M+)",
IF(((H51*Calc!BM49/2.291-(VLOOKUP(Calc!BI49,'Fertiliser recommendations'!$A$4:$I$63,9,FALSE))/2.291)*10/(400/2.291)+'Soil results'!G54)&lt;45,"3 (H)","&gt;3 (VH)"))))),
IF('Soil results'!G$7="modified Morgan (SAC)",
IF('Soil results'!G54&gt;=6,
IF(((H51*Calc!BM49/2.291-(VLOOKUP(Calc!BI49,'Fertiliser recommendations'!$A$4:$I$63,9,FALSE))/2.291)*5/(147/2.291)+'Soil results'!G54)&lt;9.5,"2 (M-)",
IF(((H51*Calc!BM49/2.291-(VLOOKUP(Calc!BI49,'Fertiliser recommendations'!$A$4:$I$63,9,FALSE))/2.291)*5/(147/2.291)+'Soil results'!G54)&lt;13.5,"2 (M+)",
IF(((H51*Calc!BM49/2.291-(VLOOKUP(Calc!BI49,'Fertiliser recommendations'!$A$4:$I$63,9,FALSE))/2.291)*5/(147/2.291)+'Soil results'!G54)&lt;30,"3 (H)","4 (VH)"))),
IF(((H51*Calc!BM49/2.291-(VLOOKUP(Calc!BI49,'Fertiliser recommendations'!$A$4:$I$63,9,FALSE))/2.291)*5/(346/2.291)+'Soil results'!G54)&lt;1.8,"0 (VL)",
IF(((H51*Calc!BM49/2.291-(VLOOKUP(Calc!BI49,'Fertiliser recommendations'!$A$4:$I$63,9,FALSE))/2.291)*5/(147/2.291)+'Soil results'!G54)&lt;4.5,"1 (L)","2 (M-)"))))))</f>
        <v/>
      </c>
      <c r="M51" s="9" t="str">
        <f ca="1">IF(B51="","",
IF(OR(H51="data missing",I51="data missing",J51="data missing"),"data missing",
IF(Calc!BF49=0,"n/a",
IF(OR(AND('Soil results'!G$7="Olsen (ADAS)",'Soil results'!G54&gt;45),AND('Soil results'!G$7="modified Morgan (SAC)",'Soil results'!G54&gt;30)),
IF(H51&gt;2,"too high, not acceptable","no requirement"),IF(OR(AND('Soil results'!G$7="Olsen (ADAS)",'Soil results'!G54&gt;25),AND('Soil results'!G$7="modified Morgan (SAC)",'Soil results'!G54&gt;13.4)),
IF(H51*(I51/100)&lt;0.1*J51,"no benefit",
IF(H51*(I51/100)&lt;0.3*J51,"limited benefit",
IF(H51*(I51/100)&lt;1.1*J51,"benefit",
IF(H51*(I51/100)&lt;0.7*VLOOKUP(Calc!BI49,'Fertiliser recommendations'!$A$4:$I$63,9,FALSE),"excessive","too high, not acceptable")))),
IF(OR(AND('Soil results'!G$7="Olsen (ADAS)",'Soil results'!G54&gt;20),AND('Soil results'!G$7="modified Morgan (SAC)",'Soil results'!G54&gt;9.4)),
IF(H51*Calc!BM49*(I51/100)&lt;0.1*J51,"no benefit",
IF(H51*Calc!BM49*(I51/100)&lt;0.3*J51,"limited benefit",
IF(H51*Calc!BM49*(I51/100)&lt;1.1*J51,"benefit",
IF(L51="3 (H)","too high, not acceptable","excessive")))),
IF(OR(AND('Soil results'!G$7="Olsen (ADAS)",'Soil results'!G54&gt;15),AND('Soil results'!G$7="modified Morgan (SAC)",'Soil results'!G54&gt;4.4)),
IF(H51*Calc!BM49*(I51/100)&lt;0.1*VLOOKUP(Calc!BI49,'Fertiliser recommendations'!$A$4:$I$63,9,FALSE),"no benefit",
IF(H51*Calc!BM49*(I51/100)&lt;0.3*VLOOKUP(Calc!BI49,'Fertiliser recommendations'!$A$4:$I$63,9,FALSE),"limited benefit",
IF(H51*Calc!BM49*(I51/100)&lt;1.1*VLOOKUP(Calc!BI49,'Fertiliser recommendations'!$A$4:$I$63,9,FALSE),"benefit",
IF(L51="3 (H)", "too high, not acceptable", "excessive")))),
IF(OR(AND('Soil results'!G$7="Olsen (ADAS)",'Soil results'!G54&lt;=15),AND('Soil results'!G$7="modified Morgan (SAC)",'Soil results'!G54&lt;=4.4)),
IF(H51*Calc!BM49*(I51/100)&lt;0.1*VLOOKUP(Calc!BI49,'Fertiliser recommendations'!$A$4:$I$63,9,FALSE),"no benefit",
IF(H51*Calc!BM49*(I51/100)&lt;0.3*VLOOKUP(Calc!BI49,'Fertiliser recommendations'!$A$4:$I$63,9,FALSE),"limited benefit",
IF(H51*Calc!BM49*(I51/100)&lt;1.1*J51,"benefit","excessive")))))))))))</f>
        <v/>
      </c>
      <c r="O51" s="91" t="str">
        <f ca="1">IF(B51="","",
IF(AND('Field information 2'!$O$5="", 'Field information 2'!$Q$5=""),
   IF('Waste results'!$S$19&lt;&gt;"data missing", Calc!BC49*'Waste results'!$S$19, "data missing"),
IF('Field information 2'!$Q$5="",
   IF(Calc!BD49=0,
     IF('Waste results'!$S$19&lt;&gt;"data missing", Calc!BC49*'Waste results'!$S$19, "data missing"),
   IF(Calc!BC49=0,
     IF('Waste results'!$S$55&lt;&gt;"data missing", Calc!BD49*'Waste results'!$S$55, "data missing"),
   IF(OR('Waste results'!$S$19&lt;&gt;"data missing", 'Waste results'!$S$55&lt;&gt;"data missing"), Calc!BC49*'Waste results'!$S$19+ Calc!BD49*'Waste results'!$S$55, "data missing"))),
IF(AND('Field information 2'!$M$5&lt;&gt;"", 'Field information 2'!$O$5&lt;&gt;"", 'Field information 2'!$Q$5&lt;&gt;""),
   IF(AND(Calc!BD49=0,Calc!BE49=0),
     IF('Waste results'!$S$19&lt;&gt;"data missing", Calc!BC49*'Waste results'!$S$19, "data missing"),
   IF(AND(Calc!BC49=0,Calc!BE49=0),
     IF('Waste results'!$S$55&lt;&gt;"data missing", Calc!BD49*'Waste results'!$S$55, "data missing"),
   IF(AND(Calc!BC49=0,Calc!BD49=0),
     IF('Waste results'!$S$91&lt;&gt;"data missing", Calc!BE49*'Waste results'!$S$91, "data missing"),
   IF(Calc!BE49=0,
     IF(OR('Waste results'!$S$19&lt;&gt;"data missing", 'Waste results'!$S$55&lt;&gt;"data missing"), Calc!BC49*'Waste results'!$S$19+ Calc!BD49*'Waste results'!$S$55, "data missing"),
   IF(Calc!BD49=0,
     IF(OR('Waste results'!$S$19&lt;&gt;"data missing", 'Waste results'!$S$91&lt;&gt;"data missing"), Calc!BC49*'Waste results'!$S$19+ Calc!BE49*'Waste results'!$S$91, "data missing"),
   IF(Calc!BC49=0,
     IF(OR('Waste results'!$S$55&lt;&gt;"data missing", 'Waste results'!$S$91&lt;&gt;"data missing"), Calc!BD49*'Waste results'!$S$55+Calc!BE49*'Waste results'!$S$91, "data missing"),
   IF(OR('Waste results'!$S$19&lt;&gt;"data missing", 'Waste results'!$S$55&lt;&gt;"data missing", 'Waste results'!$S$91&lt;&gt;"data missing"), Calc!BC49*'Waste results'!$S$19+Calc!BD49*'Waste results'!$S$55+ Calc!BE49*'Waste results'!$S$91, "data missing")))))))))))</f>
        <v/>
      </c>
      <c r="P51" s="91" t="str">
        <f ca="1">IF(B51="","",
IF(OR(ISBLANK('Soil results'!H$7),ISBLANK('Soil results'!H54)),"data missing",
IF(OR(AND('Soil results'!H$7="ammonium nitrate (ADAS)",'Soil results'!H54&gt;400),AND('Soil results'!H$7="modified Morgan (SAC)",'Soil results'!H54&gt;400)),0,
IF(OR(AND('Soil results'!H$7="ammonium nitrate (ADAS)",'Soil results'!H54&gt;=121,'Soil results'!H54&lt;=180),AND('Soil results'!H$7="modified Morgan (SAC)",'Soil results'!H54&gt;=76,'Soil results'!H54&lt;=140)),VLOOKUP(Calc!BI49,'Fertiliser recommendations'!$A$4:$Z$63,26,FALSE),
IF(OR(AND('Soil results'!H$7="ammonium nitrate (ADAS)",'Soil results'!H54&lt;61),AND('Soil results'!H$7="modified Morgan (SAC)",'Soil results'!H54&lt;40)),VLOOKUP(Calc!BI49,'Fertiliser recommendations'!$A$4:$Z$63,26,FALSE)+VLOOKUP(Calc!BI49,'Fertiliser recommendations'!$A$4:$AA$63,27,FALSE),
IF(OR(AND('Soil results'!H$7="ammonium nitrate (ADAS)",'Soil results'!H54&lt;121),AND('Soil results'!H$7="modified Morgan (SAC)",'Soil results'!H54&lt;76)),VLOOKUP(Calc!BI49,'Fertiliser recommendations'!$A$4:$Z$63,26,FALSE)+VLOOKUP(Calc!BI49,'Fertiliser recommendations'!$A$4:$AB$63,28,FALSE),
IF(OR(AND('Soil results'!H$7="ammonium nitrate (ADAS)",'Soil results'!H54&lt;241),AND('Soil results'!H$7="modified Morgan (SAC)",'Soil results'!H54&lt;201)),VLOOKUP(Calc!BI49,'Fertiliser recommendations'!$A$4:$Z$63,26,FALSE)+VLOOKUP(Calc!BI49,'Fertiliser recommendations'!$A$4:$AC$63,29,FALSE),
IF(OR(AND('Soil results'!H$7="ammonium nitrate (ADAS)",'Soil results'!H54&lt;=400),AND('Soil results'!H$7="modified Morgan (SAC)",'Soil results'!H54&lt;=400)),VLOOKUP(Calc!BI49,'Fertiliser recommendations'!$A$4:$Z$63,26,FALSE)+VLOOKUP(Calc!BI49,'Fertiliser recommendations'!$A$4:$AD$63,30,FALSE),
"??"))))))))</f>
        <v/>
      </c>
      <c r="Q51" s="91" t="str">
        <f t="shared" ca="1" si="2"/>
        <v/>
      </c>
      <c r="R51" s="9" t="str">
        <f ca="1">IF(B51="","",
IF(OR(O51="data missing",P51="data missing"),"data missing",
IF(Calc!BF49=0,"n/a",
IF(P51=0, "no requirement",
IF(O51&lt;0.1*P51,"no benefit",
IF(O51&lt;0.3*P51,"limited benefit",
IF(O51&gt;1.25*P51,"excessive",
"benefit")))))))</f>
        <v/>
      </c>
      <c r="T51" s="91" t="str">
        <f ca="1">IF(B51="","",
IF(AND('Field information 2'!$O$5="", 'Field information 2'!$Q$5=""),
   IF('Waste results'!$S$21&lt;&gt;"data missing", Calc!BC49*'Waste results'!$S$21, "data missing"),
IF('Field information 2'!$Q$5="",
   IF(Calc!BD49=0,
     IF('Waste results'!$S$21&lt;&gt;"data missing", Calc!BC49*'Waste results'!$S$21, "data missing"),
   IF(Calc!BC49=0,
     IF('Waste results'!$S$57&lt;&gt;"data missing", Calc!BD49*'Waste results'!$S$57, "data missing"),
   IF(OR('Waste results'!$S$21&lt;&gt;"data missing", 'Waste results'!$S$57&lt;&gt;"data missing"), Calc!BC49*'Waste results'!$S$21+ Calc!BD49*'Waste results'!$S$57, "data missing"))),
IF(AND('Field information 2'!$M$5&lt;&gt;"", 'Field information 2'!$O$5&lt;&gt;"", 'Field information 2'!$Q$5&lt;&gt;""),
   IF(AND(Calc!BD49=0,Calc!BE49=0),
     IF('Waste results'!$S$21&lt;&gt;"data missing", Calc!BC49*'Waste results'!$S$21, "data missing"),
   IF(AND(Calc!BC49=0,Calc!BE49=0),
     IF('Waste results'!$S$57&lt;&gt;"data missing", Calc!BD49*'Waste results'!$S$57, "data missing"),
   IF(AND(Calc!BC49=0,Calc!BD49=0),
     IF('Waste results'!$S$93&lt;&gt;"data missing", Calc!BE49*'Waste results'!$S$93, "data missing"),
   IF(Calc!BE49=0,
     IF(OR('Waste results'!$S$21&lt;&gt;"data missing", 'Waste results'!$S$57&lt;&gt;"data missing"), Calc!BC49*'Waste results'!$S$21+ Calc!BD49*'Waste results'!$S$57, "data missing"),
   IF(Calc!BD49=0,
     IF(OR('Waste results'!$S$21&lt;&gt;"data missing", 'Waste results'!$S$93&lt;&gt;"data missing"), Calc!BC49*'Waste results'!$S$21+ Calc!BE49*'Waste results'!$S$93, "data missing"),
   IF(Calc!BC49=0,
     IF(OR('Waste results'!$S$57&lt;&gt;"data missing", 'Waste results'!$S$93&lt;&gt;"data missing"), Calc!BD49*'Waste results'!$S$57+Calc!BE49*'Waste results'!$S$93, "data missing"),
   IF(OR('Waste results'!$S$21&lt;&gt;"data missing", 'Waste results'!$S$57&lt;&gt;"data missing", 'Waste results'!$S$93&lt;&gt;"data missing"), Calc!BC49*'Waste results'!$S$21+Calc!BD49*'Waste results'!$S$57+ Calc!BE49*'Waste results'!$S$93, "data missing")))))))))))</f>
        <v/>
      </c>
      <c r="U51" s="7" t="str">
        <f ca="1">IF(B51="","",
IF(OR(ISBLANK('Soil results'!I$7),ISBLANK('Soil results'!I54)),"data missing",
IF(OR(AND('Soil results'!I$7="ammonium nitrate (ADAS)",'Soil results'!I54&gt;51),AND('Soil results'!I$7="modified Morgan (SAC)",'Soil results'!I54&gt;61)),0,
IF(OR(AND('Soil results'!I$7="ammonium nitrate (ADAS)",'Soil results'!I54&lt;25),AND('Soil results'!I$7="modified Morgan (SAC)",'Soil results'!I54&lt;19)),VLOOKUP(Calc!BI49,'Fertiliser recommendations'!$A$4:$AH$63,34,FALSE),
IF(OR(AND('Soil results'!I$7="ammonium nitrate (ADAS)",'Soil results'!I54&lt;=51),AND('Soil results'!I$7="modified Morgan (SAC)",'Soil results'!I54&lt;=61)),VLOOKUP(Calc!BI49,'Fertiliser recommendations'!$A$4:$AI$63,35,FALSE),
"")))))</f>
        <v/>
      </c>
      <c r="V51" s="91" t="str">
        <f t="shared" ca="1" si="3"/>
        <v/>
      </c>
      <c r="W51" s="9" t="str">
        <f ca="1">IF(B51="","",
IF(OR(T51="data missing",U51="data missing"),"data missing",
IF(Calc!BF49=0,"n/a",
IF(U51=0,"no requirement",
IF(T51&lt;0.1*U51,"no benefit",
IF(T51&lt;0.3*U51,"limited benefit",
IF(OR(T51&gt;1.5*U51,AND(Calc!BJ49="g",T51&gt;100)),"excessive",
"benefit")))))))</f>
        <v/>
      </c>
      <c r="Y51" s="91" t="str">
        <f ca="1">IF(B51="","",
IF(AND('Field information 2'!$O$5="", 'Field information 2'!$Q$5=""),
   IF('Waste results'!$P$23&lt;&gt;"", Calc!BC49*'Waste results'!$P$23, "no data"),
IF('Field information 2'!$Q$5="",
   IF(Calc!BD49=0,
     IF('Waste results'!$P$23&lt;&gt;"", Calc!BC49*'Waste results'!$P$23, "no data"),
   IF(Calc!BC49=0,
     IF('Waste results'!$P$59&lt;&gt;"", Calc!BD49*'Waste results'!$P$59, "no data"),
   IF(OR('Waste results'!$P$23&lt;&gt;"", 'Waste results'!$P$59&lt;&gt;""), Calc!BC49*'Waste results'!$P$23+ Calc!BD49*'Waste results'!$P$59, "no data"))),
IF(AND('Field information 2'!$M$5&lt;&gt;"", 'Field information 2'!$O$5&lt;&gt;"", 'Field information 2'!$Q$5&lt;&gt;""),
   IF(AND(Calc!BD49=0,Calc!BE49=0),
     IF('Waste results'!$P$23&lt;&gt;"", Calc!BC49*'Waste results'!$P$23, "no data"),
   IF(AND(Calc!BC49=0,Calc!BE49=0),
     IF('Waste results'!$P$59&lt;&gt;"", Calc!BD49*'Waste results'!$P$59, "no data"),
   IF(AND(Calc!BC49=0,Calc!BD49=0),
     IF('Waste results'!$P$95&lt;&gt;"", Calc!BE49*'Waste results'!$P$95, "no data"),
   IF(Calc!BE49=0,
     IF(OR('Waste results'!$P$23&lt;&gt;"", 'Waste results'!$P$59&lt;&gt;""), Calc!BC49*'Waste results'!$P$23+ Calc!BD49*'Waste results'!$P$59, "no data"),
   IF(Calc!BD49=0,
     IF(OR('Waste results'!$P$23&lt;&gt;"", 'Waste results'!$P$95&lt;&gt;""), Calc!BC49*'Waste results'!$P$23+ Calc!BE49*'Waste results'!$P$95, "no data"),
   IF(Calc!BC49=0,
     IF(OR('Waste results'!$P$59&lt;&gt;"", 'Waste results'!$P$95&lt;&gt;""), Calc!BD49*'Waste results'!$P$59+Calc!BE49*'Waste results'!$P$95, "no data"),
   IF(OR('Waste results'!$P$23&lt;&gt;"", 'Waste results'!$P$59&lt;&gt;"", 'Waste results'!$P$95&lt;&gt;""), Calc!BC49*'Waste results'!$P$23+Calc!BD49*'Waste results'!$P$59+ Calc!BE49*'Waste results'!$P$95, "no data")))))))))))</f>
        <v/>
      </c>
      <c r="Z51" s="7" t="str">
        <f ca="1">IF(OR(ISBLANK('Soil results'!I$7),ISBLANK('Soil results'!I54),'Soil results'!B54=""),"",
VLOOKUP(Calc!BI49,'Fertiliser recommendations'!$A$4:$AM$63,39,FALSE))</f>
        <v/>
      </c>
      <c r="AA51" s="91" t="str">
        <f t="shared" ca="1" si="4"/>
        <v/>
      </c>
      <c r="AB51" s="9" t="str">
        <f t="shared" ca="1" si="5"/>
        <v/>
      </c>
      <c r="AD51" s="48" t="str">
        <f>IF(ISBLANK('Soil results'!F54),"",'Soil results'!F54)</f>
        <v/>
      </c>
      <c r="AE51" s="49" t="str">
        <f ca="1">IF(B51="","",
IF(AND(Calc!BJ49="g", VLOOKUP(LEFT($B51,LEN($B51)-2),'Field information 2'!$B$12:$P$111,9,FALSE)&lt;&gt;"yes"),
 IF(Calc!BG49="10-25% OM", 5.9, IF(Calc!BG49="&gt;25% OM", 5.5, 6.2)),
IF(OR(Calc!BJ49="a", VLOOKUP(LEFT($B51,LEN($B51)-2),'Field information 2'!$B$12:$P$111,9,FALSE)="yes"),
 IF(Calc!BG49="10-25% OM", 6.4, IF(Calc!BG49="&gt;25% OM", 6, 6.7)), "")))</f>
        <v/>
      </c>
      <c r="AF51" s="91" t="str">
        <f ca="1">IF(B51="","",
IF('Waste results'!$Q$33="","no (significant) liming properties",
IF('Waste results'!Q$33&gt;100,"no (significant) liming properties",
IF(AD51="","",
IF(AD51&gt;=AE51,0,ROUNDDOWN((AE51-AD51)*Calc!BK49*'Waste results'!$Q$33+0.2,0))))))</f>
        <v/>
      </c>
      <c r="AG51" s="9" t="str">
        <f ca="1">IF(B51="","",
IF(T51=0,"n/a",
IF(AD51="","data missing",
IF(AND(AD51&lt;5,AF51="no (significant) liming properties"),"no waste application - pH too low",
IF(AND(AD51&gt;5.1,AF51="no (significant) liming properties",Calc!BH49&gt;25, LEFT(Calc!BI49,4)="graz"),"ok",
IF(AND(AD51&lt;=5.2,AF51="no (significant) liming properties"),"liming highly recommended",
IF(AF51=0,"no waste application - liming not required",
IF(AF51&lt;Calc!BC49,"application rate too high - exceeds liming requirement",
"ok"))))))))</f>
        <v/>
      </c>
      <c r="AI51" s="91" t="str">
        <f ca="1">IF(B51="","",
IF(AND('Field information 2'!$O$5="", 'Field information 2'!$Q$5=""),
   IF('Waste results'!$P$10&lt;&gt;"data missing", Calc!BC49*'Waste results'!$P$10, "data missing"),
IF('Field information 2'!$Q$5="",
   IF(Calc!BD49=0,
     IF('Waste results'!$P$10&lt;&gt;"data missing", Calc!BC49*'Waste results'!$P$10, "data missing"),
   IF(Calc!BC49=0,
     IF('Waste results'!$P$45&lt;&gt;"data missing", Calc!BD49*'Waste results'!$P$45, "data missing"),
   IF(OR('Waste results'!$P$10&lt;&gt;"data missing", 'Waste results'!$P$45&lt;&gt;"data missing"), Calc!BC49*'Waste results'!$P$10+ Calc!BD49*'Waste results'!$P$45, "data missing"))),
IF(AND('Field information 2'!$M$5&lt;&gt;"", 'Field information 2'!$O$5&lt;&gt;"", 'Field information 2'!$Q$5&lt;&gt;""),
   IF(AND(Calc!BD49=0,Calc!BE49=0),
     IF('Waste results'!$P$10&lt;&gt;"data missing", Calc!BC49*'Waste results'!$P$10, "data missing"),
   IF(AND(Calc!BC49=0,Calc!BE49=0),
     IF('Waste results'!$P$45&lt;&gt;"data missing", Calc!BD49*'Waste results'!$P$45, "data missing"),
   IF(AND(Calc!BC49=0,Calc!BD49=0),
     IF('Waste results'!$P$82&lt;&gt;"data missing", Calc!BE49*'Waste results'!$P$82, "data missing"),
   IF(Calc!BE49=0,
     IF(OR('Waste results'!$P$10&lt;&gt;"data missing", 'Waste results'!$P$45&lt;&gt;"data missing"), Calc!BC49*'Waste results'!$P$10+ Calc!BD49*'Waste results'!$P$45, "data missing"),
   IF(Calc!BD49=0,
     IF(OR('Waste results'!$P$10&lt;&gt;"data missing", 'Waste results'!$P$82&lt;&gt;"data missing"), Calc!BC49*'Waste results'!$P$10+ Calc!BE49*'Waste results'!$P$82, "data missing"),
   IF(Calc!BC49=0,
     IF(OR('Waste results'!$P$45&lt;&gt;"data missing", 'Waste results'!$P$82&lt;&gt;"data missing"), Calc!BD49*'Waste results'!$P$45+Calc!BE49*'Waste results'!$P$82, "data missing"),
   IF(OR('Waste results'!$P$10&lt;&gt;"data missing", 'Waste results'!$P$45&lt;&gt;"data missing", 'Waste results'!$P$82&lt;&gt;"data missing"), Calc!BC49*'Waste results'!$P$10+Calc!BD49*'Waste results'!$P$45+ Calc!BE49*'Waste results'!$P$82, "data missing")))))))))))</f>
        <v/>
      </c>
      <c r="AJ51" s="237" t="str">
        <f ca="1">IF(B51="","",
IF(AI51="data missing","data missing",
IF(Calc!BF49=0,"n/a",
IF(AND(Calc!BH49&gt;=8,AI51&lt;500),"no benefit",
IF(OR(AND(Calc!BH49&lt;=4,AI51&gt;=500),AND(Calc!BH49&lt;8,AI51&gt;5000)),"benefit",
"limited benefit")))))</f>
        <v/>
      </c>
      <c r="AL51" s="238" t="str">
        <f ca="1">IF(B51="","",
IF(AND('Field information 2'!$O$5="", 'Field information 2'!$Q$5=""),
   IF('Waste results'!$S$25&lt;&gt;"data missing", Calc!BC49*'Waste results'!$S$25, "data missing"),
IF('Field information 2'!$Q$5="",
   IF(Calc!BD49=0,
     IF('Waste results'!$S$25&lt;&gt;"data missing", Calc!BC49*'Waste results'!$S$25, "data missing"),
   IF(Calc!BC49=0,
     IF('Waste results'!$S$61&lt;&gt;"data missing", Calc!BD49*'Waste results'!$S$61, "data missing"),
   IF(OR('Waste results'!$S$25&lt;&gt;"data missing", 'Waste results'!$S$61&lt;&gt;"data missing"), Calc!BC49*'Waste results'!$S$25+ Calc!BD49*'Waste results'!$S$61, "data missing"))),
IF(AND('Field information 2'!$M$5&lt;&gt;"", 'Field information 2'!$O$5&lt;&gt;"", 'Field information 2'!$Q$5&lt;&gt;""),
   IF(AND(Calc!BD49=0,Calc!BE49=0),
     IF('Waste results'!$S$25&lt;&gt;"data missing", Calc!BC49*'Waste results'!$S$25, "data missing"),
   IF(AND(Calc!BC49=0,Calc!BE49=0),
     IF('Waste results'!$S$61&lt;&gt;"data missing", Calc!BD49*'Waste results'!$S$61, "data missing"),
   IF(AND(Calc!BC49=0,Calc!BD49=0),
     IF('Waste results'!$S$97&lt;&gt;"data missing", Calc!BE49*'Waste results'!$S$97, "data missing"),
   IF(Calc!BE49=0,
     IF(OR('Waste results'!$S$25&lt;&gt;"data missing", 'Waste results'!$S$61&lt;&gt;"data missing"), Calc!BC49*'Waste results'!$S$25+ Calc!BD49*'Waste results'!$S$61, "data missing"),
   IF(Calc!BD49=0,
     IF(OR('Waste results'!$S$25&lt;&gt;"data missing", 'Waste results'!$S$97&lt;&gt;"data missing"), Calc!BC49*'Waste results'!$S$25+ Calc!BE49*'Waste results'!$S$97, "data missing"),
   IF(Calc!BC49=0,
     IF(OR('Waste results'!$S$61&lt;&gt;"data missing", 'Waste results'!$S$97&lt;&gt;"data missing"), Calc!BD49*'Waste results'!$S$61+Calc!BE49*'Waste results'!$S$97, "data missing"),
   IF(OR('Waste results'!$S$25&lt;&gt;"data missing", 'Waste results'!$S$61&lt;&gt;"data missing", 'Waste results'!$S$97&lt;&gt;"data missing"), Calc!BC49*'Waste results'!$S$25+Calc!BD49*'Waste results'!$S$61+ Calc!BE49*'Waste results'!$S$97, "data missing")))))))))))</f>
        <v/>
      </c>
      <c r="AM51" s="239" t="str">
        <f ca="1">IF($B51="","",
IF(ISBLANK('Soil results'!K54),"data missing",'Soil results'!K54))</f>
        <v/>
      </c>
      <c r="AN51" s="239" t="str">
        <f t="shared" ca="1" si="6"/>
        <v/>
      </c>
      <c r="AO51" s="9" t="str">
        <f t="shared" ca="1" si="7"/>
        <v/>
      </c>
      <c r="AQ51" s="240" t="str">
        <f ca="1">IF(B51="","",
IF(AND('Field information 2'!$O$5="", 'Field information 2'!$Q$5=""),
   IF('Waste results'!$S$26&lt;&gt;"data missing", Calc!BC49*'Waste results'!$S$26, "data missing"),
IF('Field information 2'!$Q$5="",
   IF(Calc!BD49=0,
     IF('Waste results'!$S$26&lt;&gt;"data missing", Calc!BC49*'Waste results'!$S$26, "data missing"),
   IF(Calc!BC49=0,
     IF('Waste results'!$S$62&lt;&gt;"data missing", Calc!BD49*'Waste results'!$S$62, "data missing"),
   IF(OR('Waste results'!$S$26&lt;&gt;"data missing", 'Waste results'!$S$62&lt;&gt;"data missing"), Calc!BC49*'Waste results'!$S$26+ Calc!BD49*'Waste results'!$S$62, "data missing"))),
IF(AND('Field information 2'!$M$5&lt;&gt;"", 'Field information 2'!$O$5&lt;&gt;"", 'Field information 2'!$Q$5&lt;&gt;""),
   IF(AND(Calc!BD49=0,Calc!BE49=0),
     IF('Waste results'!$S$26&lt;&gt;"data missing", Calc!BC49*'Waste results'!$S$26, "data missing"),
   IF(AND(Calc!BC49=0,Calc!BE49=0),
     IF('Waste results'!$S$62&lt;&gt;"data missing", Calc!BD49*'Waste results'!$S$62, "data missing"),
   IF(AND(Calc!BC49=0,Calc!BD49=0),
     IF('Waste results'!$S$98&lt;&gt;"data missing", Calc!BE49*'Waste results'!$S$98, "data missing"),
   IF(Calc!BE49=0,
     IF(OR('Waste results'!$S$26&lt;&gt;"data missing", 'Waste results'!$S$62&lt;&gt;"data missing"), Calc!BC49*'Waste results'!$S$26+ Calc!BD49*'Waste results'!$S$62, "data missing"),
   IF(Calc!BD49=0,
     IF(OR('Waste results'!$S$26&lt;&gt;"data missing", 'Waste results'!$S$98&lt;&gt;"data missing"), Calc!BC49*'Waste results'!$S$26+ Calc!BE49*'Waste results'!$S$98, "data missing"),
   IF(Calc!BC49=0,
     IF(OR('Waste results'!$S$62&lt;&gt;"data missing", 'Waste results'!$S$98&lt;&gt;"data missing"), Calc!BD49*'Waste results'!$S$62+Calc!BE49*'Waste results'!$S$98, "data missing"),
   IF(OR('Waste results'!$S$26&lt;&gt;"data missing", 'Waste results'!$S$62&lt;&gt;"data missing", 'Waste results'!$S$98&lt;&gt;"data missing"), Calc!BC49*'Waste results'!$S$26+Calc!BD49*'Waste results'!$S$62+ Calc!BE49*'Waste results'!$S$98, "data missing")))))))))))</f>
        <v/>
      </c>
      <c r="AR51" s="241" t="str">
        <f ca="1">IF($B51="","",
IF(ISBLANK('Soil results'!L54),"data missing",'Soil results'!L54))</f>
        <v/>
      </c>
      <c r="AS51" s="241" t="str">
        <f t="shared" ca="1" si="8"/>
        <v/>
      </c>
      <c r="AT51" s="66" t="str">
        <f t="shared" ca="1" si="9"/>
        <v/>
      </c>
      <c r="AV51" s="238" t="str">
        <f ca="1">IF(B51="","",
IF(AND('Field information 2'!$O$5="", 'Field information 2'!$Q$5=""),
   IF('Waste results'!$S$27&lt;&gt;"data missing", Calc!BC49*'Waste results'!$S$27, "data missing"),
IF('Field information 2'!$Q$5="",
   IF(Calc!BD49=0,
     IF('Waste results'!$S$27&lt;&gt;"data missing", Calc!BC49*'Waste results'!$S$27, "data missing"),
   IF(Calc!BC49=0,
     IF('Waste results'!$S$63&lt;&gt;"data missing", Calc!BD49*'Waste results'!$S$63, "data missing"),
   IF(OR('Waste results'!$S$27&lt;&gt;"data missing", 'Waste results'!$S$63&lt;&gt;"data missing"), Calc!BC49*'Waste results'!$S$27+ Calc!BD49*'Waste results'!$S$63, "data missing"))),
IF(AND('Field information 2'!$M$5&lt;&gt;"", 'Field information 2'!$O$5&lt;&gt;"", 'Field information 2'!$Q$5&lt;&gt;""),
   IF(AND(Calc!BD49=0,Calc!BE49=0),
     IF('Waste results'!$S$27&lt;&gt;"data missing", Calc!BC49*'Waste results'!$S$27, "data missing"),
   IF(AND(Calc!BC49=0,Calc!BE49=0),
     IF('Waste results'!$S$63&lt;&gt;"data missing", Calc!BD49*'Waste results'!$S$63, "data missing"),
   IF(AND(Calc!BC49=0,Calc!BD49=0),
     IF('Waste results'!$S$99&lt;&gt;"data missing", Calc!BE49*'Waste results'!$S$99, "data missing"),
   IF(Calc!BE49=0,
     IF(OR('Waste results'!$S$27&lt;&gt;"data missing", 'Waste results'!$S$63&lt;&gt;"data missing"), Calc!BC49*'Waste results'!$S$27+ Calc!BD49*'Waste results'!$S$63, "data missing"),
   IF(Calc!BD49=0,
     IF(OR('Waste results'!$S$27&lt;&gt;"data missing", 'Waste results'!$S$99&lt;&gt;"data missing"), Calc!BC49*'Waste results'!$S$27+ Calc!BE49*'Waste results'!$S$99, "data missing"),
   IF(Calc!BC49=0,
     IF(OR('Waste results'!$S$63&lt;&gt;"data missing", 'Waste results'!$S$99&lt;&gt;"data missing"), Calc!BD49*'Waste results'!$S$63+Calc!BE49*'Waste results'!$S$99, "data missing"),
   IF(OR('Waste results'!$S$27&lt;&gt;"data missing", 'Waste results'!$S$63&lt;&gt;"data missing", 'Waste results'!$S$99&lt;&gt;"data missing"), Calc!BC49*'Waste results'!$S$27+Calc!BD49*'Waste results'!$S$63+ Calc!BE49*'Waste results'!$S$99, "data missing")))))))))))</f>
        <v/>
      </c>
      <c r="AW51" s="239" t="str">
        <f ca="1">IF($B51="","",
IF(ISBLANK('Soil results'!M54),"data missing",'Soil results'!M54))</f>
        <v/>
      </c>
      <c r="AX51" s="239" t="str">
        <f t="shared" ca="1" si="10"/>
        <v/>
      </c>
      <c r="AY51" s="9" t="str">
        <f ca="1">IF(B51="","",
IF(AV51=0,"n/a",
IF(OR(AV51="data missing",AW51="data missing"),"data missing",
IF(AV51&gt;7.5,"application rate too high - permissible rate exceeds limit",
IF('Soil results'!$F54&lt;=5.5,
  IF(AW51&gt;80,"no application - soil conc. already above limit",
  IF(AX51&gt;80,"application rate too high - soil conc. will exceed limit",
  IF(AW51&gt;80*0.9,"soil conc. is at or above 90% of the limit",
  IF(10*AV51*1000/3000+AW51&gt;80,"soil limit likely to be exceeded in 10yrs",
  IF(50*AV51*1000/3000+AW51&gt;80,"soil limit likely to be exceeded in 50yrs","ok"))))),
IF('Soil results'!$F54&lt;=6,
  IF(AW51&gt;100,"no application - soil conc. already above limit",
  IF(AX51&gt;100,"application rate too high - soil conc. will exceed limit",
  IF(AW51&gt;100*0.9,"soil conc. is at or above 90% of the limit",
  IF(10*AV51*1000/3000+AW51&gt;100,"soil limit likely to be exceeded in 10yrs",
  IF(50*AV51*1000/3000+AW51&gt;100,"soil limit likely to be exceeded in 50yrs","ok"))))),
IF('Soil results'!$F54&lt;=7,
  IF(AW51&gt;135,"no application - soil conc. already above limit",
  IF(AX51&gt;135,"application rate too high - soil conc. will exceed limit",
  IF(AW51&gt;135*0.9,"soil conc. is at or above 90% of the limit",
  IF(10*AV51*1000/3000+AW51&gt;135,"soil limit likely to be exceeded in 10yrs",
  IF(50*AV51*1000/3000+AW51&gt;135,"soil limit likely to be exceeded in 50yrs","ok"))))),
IF('Soil results'!$F54&gt;7,
  IF(AW51&gt;200,"no application - soil conc. already above limit",
  IF(AX51&gt;200,"application too high - soil conc. will exceed limit",
  IF(AW51&gt;200*0.9,"soil conc. is at or above 90% of the limit",
  IF(10*AV51*1000/3000+AW51&gt;200,"soil limit likely to be exceeded in 10yrs",
  IF(50*AV51*1000/3000+AW51&gt;200,"soil limit likely to be exceeded in 50yrs","ok")))))
))))))))</f>
        <v/>
      </c>
      <c r="BA51" s="238" t="str">
        <f ca="1">IF(B51="","",
IF(AND('Field information 2'!$O$5="", 'Field information 2'!$Q$5=""),
   IF('Waste results'!$S$28&lt;&gt;"data missing", Calc!BC49*'Waste results'!$S$28, "data missing"),
IF('Field information 2'!$Q$5="",
   IF(Calc!BD49=0,
     IF('Waste results'!$S$28&lt;&gt;"data missing", Calc!BC49*'Waste results'!$S$28, "data missing"),
   IF(Calc!BC49=0,
     IF('Waste results'!$S$64&lt;&gt;"data missing", Calc!BD49*'Waste results'!$S$64, "data missing"),
   IF(OR('Waste results'!$S$28&lt;&gt;"data missing", 'Waste results'!$S$64&lt;&gt;"data missing"), Calc!BC49*'Waste results'!$S$28+ Calc!BD49*'Waste results'!$S$64, "data missing"))),
IF(AND('Field information 2'!$M$5&lt;&gt;"", 'Field information 2'!$O$5&lt;&gt;"", 'Field information 2'!$Q$5&lt;&gt;""),
   IF(AND(Calc!BD49=0,Calc!BE49=0),
     IF('Waste results'!$S$28&lt;&gt;"data missing", Calc!BC49*'Waste results'!$S$28, "data missing"),
   IF(AND(Calc!BC49=0,Calc!BE49=0),
     IF('Waste results'!$S$64&lt;&gt;"data missing", Calc!BD49*'Waste results'!$S$64, "data missing"),
   IF(AND(Calc!BC49=0,Calc!BD49=0),
     IF('Waste results'!$S$100&lt;&gt;"data missing", Calc!BE49*'Waste results'!$S$100, "data missing"),
   IF(Calc!BE49=0,
     IF(OR('Waste results'!$S$28&lt;&gt;"data missing", 'Waste results'!$S$64&lt;&gt;"data missing"), Calc!BC49*'Waste results'!$S$28+ Calc!BD49*'Waste results'!$S$64, "data missing"),
   IF(Calc!BD49=0,
     IF(OR('Waste results'!$S$28&lt;&gt;"data missing", 'Waste results'!$S$100&lt;&gt;"data missing"), Calc!BC49*'Waste results'!$S$28+ Calc!BE49*'Waste results'!$S$100, "data missing"),
   IF(Calc!BC49=0,
     IF(OR('Waste results'!$S$64&lt;&gt;"data missing", 'Waste results'!$S$100&lt;&gt;"data missing"), Calc!BD49*'Waste results'!$S$64+Calc!BE49*'Waste results'!$S$100, "data missing"),
   IF(OR('Waste results'!$S$28&lt;&gt;"data missing", 'Waste results'!$S$64&lt;&gt;"data missing", 'Waste results'!$S$100&lt;&gt;"data missing"), Calc!BC49*'Waste results'!$S$28+Calc!BD49*'Waste results'!$S$64+ Calc!BE49*'Waste results'!$S$100, "data missing")))))))))))</f>
        <v/>
      </c>
      <c r="BB51" s="239" t="str">
        <f ca="1">IF($B51="","",
IF(ISBLANK('Soil results'!N54),"data missing",'Soil results'!N54))</f>
        <v/>
      </c>
      <c r="BC51" s="239" t="str">
        <f t="shared" ca="1" si="11"/>
        <v/>
      </c>
      <c r="BD51" s="9" t="str">
        <f t="shared" ca="1" si="12"/>
        <v/>
      </c>
      <c r="BF51" s="238" t="str">
        <f ca="1">IF(B51="","",
IF(AND('Field information 2'!$O$5="", 'Field information 2'!$Q$5=""),
   IF('Waste results'!$S$29&lt;&gt;"data missing", Calc!BC49*'Waste results'!$S$29, "data missing"),
IF('Field information 2'!$Q$5="",
   IF(Calc!BD49=0,
     IF('Waste results'!$S$29&lt;&gt;"data missing", Calc!BC49*'Waste results'!$S$29, "data missing"),
   IF(Calc!BC49=0,
     IF('Waste results'!$S$65&lt;&gt;"data missing", Calc!BD49*'Waste results'!$S$65, "data missing"),
   IF(OR('Waste results'!$S$29&lt;&gt;"data missing", 'Waste results'!$S$65&lt;&gt;"data missing"), Calc!BC49*'Waste results'!$S$29+ Calc!BD49*'Waste results'!$S$65, "data missing"))),
IF(AND('Field information 2'!$M$5&lt;&gt;"", 'Field information 2'!$O$5&lt;&gt;"", 'Field information 2'!$Q$5&lt;&gt;""),
   IF(AND(Calc!BD49=0,Calc!BE49=0),
     IF('Waste results'!$S$29&lt;&gt;"data missing", Calc!BC49*'Waste results'!$S$29, "data missing"),
   IF(AND(Calc!BC49=0,Calc!BE49=0),
     IF('Waste results'!$S$65&lt;&gt;"data missing", Calc!BD49*'Waste results'!$S$65, "data missing"),
   IF(AND(Calc!BC49=0,Calc!BD49=0),
     IF('Waste results'!$S$101&lt;&gt;"data missing", Calc!BE49*'Waste results'!$S$101, "data missing"),
   IF(Calc!BE49=0,
     IF(OR('Waste results'!$S$29&lt;&gt;"data missing", 'Waste results'!$S$65&lt;&gt;"data missing"), Calc!BC49*'Waste results'!$S$29+ Calc!BD49*'Waste results'!$S$65, "data missing"),
   IF(Calc!BD49=0,
     IF(OR('Waste results'!$S$29&lt;&gt;"data missing", 'Waste results'!$S$101&lt;&gt;"data missing"), Calc!BC49*'Waste results'!$S$29+ Calc!BE49*'Waste results'!$S$101, "data missing"),
   IF(Calc!BC49=0,
     IF(OR('Waste results'!$S$65&lt;&gt;"data missing", 'Waste results'!$S$101&lt;&gt;"data missing"), Calc!BD49*'Waste results'!$S$65+Calc!BE49*'Waste results'!$S$101, "data missing"),
   IF(OR('Waste results'!$S$29&lt;&gt;"data missing", 'Waste results'!$S$65&lt;&gt;"data missing", 'Waste results'!$S$101&lt;&gt;"data missing"), Calc!BC49*'Waste results'!$S$29+Calc!BD49*'Waste results'!$S$65+ Calc!BE49*'Waste results'!$S$101, "data missing")))))))))))</f>
        <v/>
      </c>
      <c r="BG51" s="239" t="str">
        <f ca="1">IF($B51="","",
IF(ISBLANK('Soil results'!O54),"data missing",'Soil results'!O54))</f>
        <v/>
      </c>
      <c r="BH51" s="239" t="str">
        <f t="shared" ca="1" si="13"/>
        <v/>
      </c>
      <c r="BI51" s="9" t="str">
        <f ca="1">IF(B51="","",
IF(BF51=0,"n/a",
IF(OR(BF51="data missing",BG51="data missing"),"data missing",
IF(BF51&gt;3,"application rate too high - permissible rate exceeds limit",
IF('Soil results'!F54&lt;=5.5,
  IF(BG51&gt;50,"no application - soil conc. already above limit",
  IF(BH51&gt;50,"application rate too high - soil conc. will exceed limit",
  IF(BG51&gt;50*0.9,"soil conc. is at or above 90% of the limit",
  IF(10*BF51*1000/3000+BG51&gt;50,"soil limit likely to be exceeded in 10yrs",
  IF(50*BF51*1000/3000+BG51&gt;50,"soil limit likely to be exceeded in 50yrs","ok"))))),
IF('Soil results'!F54&lt;=6,
  IF(BG51&gt;60,"no application - soil conc. already above limit",
  IF(BH51&gt;60,"application rate too high - soil conc. will exceed limit",
  IF(BG51&gt;60*0.9,"soil conc. is at or above 90% of the limit",
  IF(10*BF51*1000/3000+BG51&gt;60,"soil limit likely to be exceeded in 10yrs",
  IF(50*BF51*1000/3000+BG51&gt;60,"soil limit likely to be exceeded in 50yrs","ok"))))),
IF('Soil results'!F54&lt;=7,
  IF(BG51&gt;75,"no application - soil conc. already above limit",
  IF(BH51&gt;75,"application rate too high - soil conc. will exceed limit",
  IF(BG51&gt;75*0.9,"soil conc. is at or above 90% of the limit",
  IF(10*BF51*1000/3000+BG51&gt;75,"soil limit likely to be exceeded in 10yrs",
  IF(50*BF51*1000/3000+BG51&gt;75,"soil limit likely to be exceeded in 50yrs","ok"))))),
IF('Soil results'!F54&gt;7,
  IF(BG51&gt;100,"no application - soil conc. already above limit",
  IF(BH51&gt;100,"application rate too high - soil conc. will exceed limit",
  IF(BG51&gt;100*0.9,"soil conc. is at or above 90% of the limit",
  IF(10*BF51*1000/3000+BG51&gt;100,"soil limit likely to be exceeded in 10yrs",
  IF(50*BF51*1000/3000+BG51&gt;100,"soil limit likely to beexceeded in 50yrs","ok")))))
))))))))</f>
        <v/>
      </c>
      <c r="BK51" s="240" t="str">
        <f ca="1">IF(B51="","",
IF(AND('Field information 2'!$O$5="", 'Field information 2'!$Q$5=""),
   IF('Waste results'!$S$30&lt;&gt;"data missing", Calc!BC49*'Waste results'!$S$30, "data missing"),
IF('Field information 2'!$Q$5="",
   IF(Calc!BD49=0,
     IF('Waste results'!$S$30&lt;&gt;"data missing", Calc!BC49*'Waste results'!$S$30, "data missing"),
   IF(Calc!BC49=0,
     IF('Waste results'!$S$66&lt;&gt;"data missing", Calc!BD49*'Waste results'!$S$66, "data missing"),
   IF(OR('Waste results'!$S$30&lt;&gt;"data missing", 'Waste results'!$S$66&lt;&gt;"data missing"), Calc!BC49*'Waste results'!$S$30+ Calc!BD49*'Waste results'!$S$66, "data missing"))),
IF(AND('Field information 2'!$M$5&lt;&gt;"", 'Field information 2'!$O$5&lt;&gt;"", 'Field information 2'!$Q$5&lt;&gt;""),
   IF(AND(Calc!BD49=0,Calc!BE49=0),
     IF('Waste results'!$S$30&lt;&gt;"data missing", Calc!BC49*'Waste results'!$S$30, "data missing"),
   IF(AND(Calc!BC49=0,Calc!BE49=0),
     IF('Waste results'!$S$66&lt;&gt;"data missing", Calc!BD49*'Waste results'!$S$66, "data missing"),
   IF(AND(Calc!BC49=0,Calc!BD49=0),
     IF('Waste results'!$S$102&lt;&gt;"data missing", Calc!BE49*'Waste results'!$S$102, "data missing"),
   IF(Calc!BE49=0,
     IF(OR('Waste results'!$S$30&lt;&gt;"data missing", 'Waste results'!$S$66&lt;&gt;"data missing"), Calc!BC49*'Waste results'!$S$30+ Calc!BD49*'Waste results'!$S$66, "data missing"),
   IF(Calc!BD49=0,
     IF(OR('Waste results'!$S$30&lt;&gt;"data missing", 'Waste results'!$S$102&lt;&gt;"data missing"), Calc!BC49*'Waste results'!$S$30+ Calc!BE49*'Waste results'!$S$102, "data missing"),
   IF(Calc!BC49=0,
     IF(OR('Waste results'!$S$66&lt;&gt;"data missing", 'Waste results'!$S$102&lt;&gt;"data missing"), Calc!BD49*'Waste results'!$S$66+Calc!BE49*'Waste results'!$S$102, "data missing"),
   IF(OR('Waste results'!$S$30&lt;&gt;"data missing", 'Waste results'!$S$66&lt;&gt;"data missing", 'Waste results'!$S$102&lt;&gt;"data missing"), Calc!BC49*'Waste results'!$S$30+Calc!BD49*'Waste results'!$S$66+ Calc!BE49*'Waste results'!$S$102, "data missing")))))))))))</f>
        <v/>
      </c>
      <c r="BL51" s="241" t="str">
        <f ca="1">IF($B51="","",
IF(ISBLANK('Soil results'!P54),"data missing",'Soil results'!P54))</f>
        <v/>
      </c>
      <c r="BM51" s="241" t="str">
        <f t="shared" ca="1" si="14"/>
        <v/>
      </c>
      <c r="BN51" s="66" t="str">
        <f t="shared" ca="1" si="15"/>
        <v/>
      </c>
      <c r="BP51" s="238" t="str">
        <f ca="1">IF(B51="","",
IF(AND('Field information 2'!$O$5="", 'Field information 2'!$Q$5=""),
   IF('Waste results'!$S$31&lt;&gt;"data missing", Calc!BC49*'Waste results'!$S$31, "data missing"),
IF('Field information 2'!$Q$5="",
   IF(Calc!BD49=0,
     IF('Waste results'!$S$31&lt;&gt;"data missing", Calc!BC49*'Waste results'!$S$31, "data missing"),
   IF(Calc!BC49=0,
     IF('Waste results'!$S$67&lt;&gt;"data missing", Calc!BD49*'Waste results'!$S$67, "data missing"),
   IF(OR('Waste results'!$S$31&lt;&gt;"data missing", 'Waste results'!$S$67&lt;&gt;"data missing"), Calc!BC49*'Waste results'!$S$31+ Calc!BD49*'Waste results'!$S$67, "data missing"))),
IF(AND('Field information 2'!$M$5&lt;&gt;"", 'Field information 2'!$O$5&lt;&gt;"", 'Field information 2'!$Q$5&lt;&gt;""),
   IF(AND(Calc!BD49=0,Calc!BE49=0),
     IF('Waste results'!$S$31&lt;&gt;"data missing", Calc!BC49*'Waste results'!$S$31, "data missing"),
   IF(AND(Calc!BC49=0,Calc!BE49=0),
     IF('Waste results'!$S$67&lt;&gt;"data missing", Calc!BD49*'Waste results'!$S$67, "data missing"),
   IF(AND(Calc!BC49=0,Calc!BD49=0),
     IF('Waste results'!$S$103&lt;&gt;"data missing", Calc!BE49*'Waste results'!$S$103, "data missing"),
   IF(Calc!BE49=0,
     IF(OR('Waste results'!$S$31&lt;&gt;"data missing", 'Waste results'!$S$67&lt;&gt;"data missing"), Calc!BC49*'Waste results'!$S$31+ Calc!BD49*'Waste results'!$S$67, "data missing"),
   IF(Calc!BD49=0,
     IF(OR('Waste results'!$S$31&lt;&gt;"data missing", 'Waste results'!$S$103&lt;&gt;"data missing"), Calc!BC49*'Waste results'!$S$31+ Calc!BE49*'Waste results'!$S$103, "data missing"),
   IF(Calc!BC49=0,
     IF(OR('Waste results'!$S$67&lt;&gt;"data missing", 'Waste results'!$S$103&lt;&gt;"data missing"), Calc!BD49*'Waste results'!$S$67+Calc!BE49*'Waste results'!$S$103, "data missing"),
   IF(OR('Waste results'!$S$31&lt;&gt;"data missing", 'Waste results'!$S$67&lt;&gt;"data missing", 'Waste results'!$S$103&lt;&gt;"data missing"), Calc!BC49*'Waste results'!$S$31+Calc!BD49*'Waste results'!$S$67+ Calc!BE49*'Waste results'!$S$103, "data missing")))))))))))</f>
        <v/>
      </c>
      <c r="BQ51" s="239" t="str">
        <f ca="1">IF($B51="","",
IF(ISBLANK('Soil results'!Q54),"data missing",'Soil results'!Q54))</f>
        <v/>
      </c>
      <c r="BR51" s="239" t="str">
        <f t="shared" ca="1" si="16"/>
        <v/>
      </c>
      <c r="BS51" s="9" t="str">
        <f ca="1">IF(B51="","",
IF(BP51=0,"n/a",
IF(OR(BP51="data missing",BQ51=""),"data missing",
IF(BP51&gt;15,"application rate too high - permissible rate exceeds limit",
IF('Soil results'!F54&lt;=5.5,
  IF(BQ51&gt;200,"no application - soil conc. already above limit",
  IF(BR51&gt;200,"application rate too high - soil conc. will exceed limit",
  IF(BQ51&gt;200*0.9,"soil conc. is at or above 90% of the limit",
  IF(10*BP51*1000/3000+BQ51&gt;200,"soil limit likely to be exceeded in 10yrs",
  IF(50*BP51*1000/3000+BQ51&gt;200,"soil limit likely to be exceeded in 50yrs","ok"))))),
IF('Soil results'!F54&lt;=6,
  IF(BQ51&gt;250,"no application - soil conc. already above limit",
  IF(BR51&gt;250,"application rate too high - soil conc. will exceed limit",
  IF(BQ51&gt;250*0.9,"soil conc. is at or above 90% of the limit",
  IF(10*BP51*1000/3000+BQ51&gt;250,"soil limit likely to be exceeded in 10yrs",
  IF(50*BP51*1000/3000+BQ51&gt;250,"soil limit likely to be exceeded in 50yrs","ok"))))),
IF('Soil results'!F54&lt;=7,
  IF(BQ51&gt;300,"no application - soil conc. already above limit",
  IF(BR51&gt;300,"application rate too high - soil conc. will exceed limit",
  IF(BQ51&gt;300*0.9,"soil conc. is at or above 90% of the limit",
  IF(10*BP51*1000/3000+BQ51&gt;300,"soil limit likey to be exceeded in 10yrs",
  IF(50*BP51*1000/3000+BQ51&gt;300,"soil limit likely to be exceeded in 50yrs","ok"))))),
IF('Soil results'!F54&gt;7,
  IF(BQ51&gt;450,"no application - soil conc. already above limit",
  IF(BR51&gt;450,"application rate too high - soil conc. will exceed limit",
  IF(AW51&gt;450*0.9,"soil conc. is at or above 90% of the limit",
  IF(10*BP51*1000/3000+BQ51&gt;450,"soil limit likely to be exceeded in 10yrs",
  IF(50*BP51*1000/3000+BQ51&gt;450,"soil limit likely to be exceeded in 50yrs","ok")))))
))))))))</f>
        <v/>
      </c>
    </row>
    <row r="52" spans="2:71" s="9" customFormat="1" ht="15" x14ac:dyDescent="0.25">
      <c r="B52" s="236" t="str">
        <f ca="1">'Soil results'!B55</f>
        <v/>
      </c>
      <c r="C52" s="91" t="str">
        <f ca="1">IF(B52="","",
IF(AND('Field information 2'!$O$5="", 'Field information 2'!$Q$5=""),
   IF('Waste results'!$S$12&lt;&gt;"data missing", Calc!BC50*'Waste results'!$S$12, "data missing"),
IF('Field information 2'!$Q$5="",
   IF(Calc!BD50=0,
     IF('Waste results'!$S$12&lt;&gt;"data missing", Calc!BC50*'Waste results'!$S$12, "data missing"),
   IF(Calc!BC50=0,
     IF('Waste results'!$S$48&lt;&gt;"data missing", Calc!BD50*'Waste results'!$S$48, "data missing"),
   IF(OR('Waste results'!$S$12&lt;&gt;"data missing", 'Waste results'!$S$48&lt;&gt;"data missing"), Calc!BC50*'Waste results'!$S$12+ Calc!BD50*'Waste results'!$S$48, "data missing"))),
IF(AND('Field information 2'!$M$5&lt;&gt;"", 'Field information 2'!$O$5&lt;&gt;"", 'Field information 2'!$Q$5&lt;&gt;""),
   IF(AND(Calc!BD50=0,Calc!BE50=0),
     IF('Waste results'!$S$12&lt;&gt;"data missing", Calc!BC50*'Waste results'!$S$12, "data missing"),
   IF(AND(Calc!BC50=0,Calc!BE50=0),
     IF('Waste results'!$S$48&lt;&gt;"data missing", Calc!BD50*'Waste results'!$S$48, "data missing"),
   IF(AND(Calc!BC50=0,Calc!BD50=0),
     IF('Waste results'!$S$84&lt;&gt;"data missing", Calc!BE50*'Waste results'!$S$84, "data missing"),
   IF(Calc!BE50=0,
     IF(OR('Waste results'!$S$12&lt;&gt;"data missing", 'Waste results'!$S$48&lt;&gt;"data missing"), Calc!BC50*'Waste results'!$S$12+ Calc!BD50*'Waste results'!$S$48, "data missing"),
   IF(Calc!BD50=0,
     IF(OR('Waste results'!$S$12&lt;&gt;"data missing", 'Waste results'!$S$84&lt;&gt;"data missing"), Calc!BC50*'Waste results'!$S$12+ Calc!BE50*'Waste results'!$S$84, "data missing"),
   IF(Calc!BC50=0,
     IF(OR('Waste results'!$S$48&lt;&gt;"data missing", 'Waste results'!$S$84&lt;&gt;"data missing"), Calc!BD50*'Waste results'!$S$48+Calc!BE50*'Waste results'!$S$84, "data missing"),
   IF(OR('Waste results'!$S$12&lt;&gt;"data missing", 'Waste results'!$S$48&lt;&gt;"data missing", 'Waste results'!$S$84&lt;&gt;"data missing"), Calc!BC50*'Waste results'!$S$12+Calc!BD50*'Waste results'!$S$48+ Calc!BE50*'Waste results'!$S$84, "data missing")))))))))))</f>
        <v/>
      </c>
      <c r="D52" s="161" t="str">
        <f ca="1">IF(B52="","",
IF(Calc!BG50="","soil texture missing",
IF(OR(Calc!BG50="SL; SZL; ZL",Calc!BG50="SCL; CL; ZCL; SC; ZC; C"),VLOOKUP(Calc!BI50,'Fertiliser recommendations'!$A$4:$C$63,3,FALSE),
IF(Calc!BG50="S; LS",VLOOKUP(Calc!BI50,'Fertiliser recommendations'!$A$4:$C$63,3,FALSE)+VLOOKUP(Calc!BI50,'Fertiliser recommendations'!$A$4:$D$63,4,FALSE),
IF(Calc!BG50="10-25% OM",VLOOKUP(Calc!BI50,'Fertiliser recommendations'!$A$4:$C$63,3,FALSE)+VLOOKUP(Calc!BI50,'Fertiliser recommendations'!$A$4:$E$63,5,FALSE),
IF(Calc!BG50="&gt;25% OM",VLOOKUP(Calc!BI50,'Fertiliser recommendations'!$A$4:$C$63,3,FALSE)+VLOOKUP(Calc!BI50,'Fertiliser recommendations'!$A$4:$F$63,6,FALSE),
""))))))</f>
        <v/>
      </c>
      <c r="E52" s="91" t="str">
        <f t="shared" ca="1" si="0"/>
        <v/>
      </c>
      <c r="F52" s="9" t="str">
        <f ca="1">IF(B52="","",
IF(OR(C52="data missing",D52="soil texture missing"),"data missing",
IF(Calc!BF50=0,"n/a",
IF(C52&lt;0.1*D52,"no benefit",
IF(C52&lt;0.3*D52,"limited benefit",
IF(C52&gt;250,"exceeds limit",
IF(OR(AND(D52=0,C52&gt;75),C52&gt;1.25*D52),"excessive",
IF(D52=0, "no requirement",
"benefit"))))))))</f>
        <v/>
      </c>
      <c r="H52" s="91" t="str">
        <f ca="1">IF(B52="","",
IF(AND('Field information 2'!$O$5="", 'Field information 2'!$Q$5=""),
   IF('Waste results'!$S$17&lt;&gt;"data missing", Calc!BC50*'Waste results'!$S$17, "data missing"),
IF('Field information 2'!$Q$5="",
   IF(Calc!BD50=0,
     IF('Waste results'!$S$17&lt;&gt;"data missing", Calc!BC50*'Waste results'!$S$17, "data missing"),
   IF(Calc!BC50=0,
     IF('Waste results'!$S$53&lt;&gt;"data missing", Calc!BD50*'Waste results'!$S$53, "data missing"),
   IF(OR('Waste results'!$S$17&lt;&gt;"data missing", 'Waste results'!$S$53&lt;&gt;"data missing"), Calc!BC50*'Waste results'!$S$17+ Calc!BD50*'Waste results'!$S$53, "data missing"))),
IF(AND('Field information 2'!$M$5&lt;&gt;"", 'Field information 2'!$O$5&lt;&gt;"", 'Field information 2'!$Q$5&lt;&gt;""),
   IF(AND(Calc!BD50=0,Calc!BE50=0),
     IF('Waste results'!$S$17&lt;&gt;"data missing", Calc!BC50*'Waste results'!$S$17, "data missing"),
   IF(AND(Calc!BC50=0,Calc!BE50=0),
     IF('Waste results'!$S$53&lt;&gt;"data missing", Calc!BD50*'Waste results'!$S$53, "data missing"),
   IF(AND(Calc!BC50=0,Calc!BD50=0),
     IF('Waste results'!$S$89&lt;&gt;"data missing", Calc!BE50*'Waste results'!$S$89, "data missing"),
   IF(Calc!BE50=0,
     IF(OR('Waste results'!$S$17&lt;&gt;"data missing", 'Waste results'!$S$53&lt;&gt;"data missing"), Calc!BC50*'Waste results'!$S$17+ Calc!BD50*'Waste results'!$S$53, "data missing"),
   IF(Calc!BD50=0,
     IF(OR('Waste results'!$S$17&lt;&gt;"data missing", 'Waste results'!$S$89&lt;&gt;"data missing"), Calc!BC50*'Waste results'!$S$17+ Calc!BE50*'Waste results'!$S$89, "data missing"),
   IF(Calc!BC50=0,
     IF(OR('Waste results'!$S$53&lt;&gt;"data missing", 'Waste results'!$S$89&lt;&gt;"data missing"), Calc!BD50*'Waste results'!$S$53+Calc!BE50*'Waste results'!$S$89, "data missing"),
   IF(OR('Waste results'!$S$17&lt;&gt;"data missing", 'Waste results'!$S$53&lt;&gt;"data missing", 'Waste results'!$S$89&lt;&gt;"data missing"), Calc!BC50*'Waste results'!$S$17+Calc!BD50*'Waste results'!$S$53+ Calc!BE50*'Waste results'!$S$89, "data missing")))))))))))</f>
        <v/>
      </c>
      <c r="I52" s="195" t="str">
        <f ca="1">IF(B52="","",
IF(OR(ISBLANK('Soil results'!G55), ISBLANK('Soil results'!G$7)),"data missing",
IF(OR(AND('Soil results'!G$7="Olsen (ADAS)",'Soil results'!G55&lt;16),AND('Soil results'!G$7="modified Morgan (SAC)",'Soil results'!G55&lt;4.5)),50,100)))</f>
        <v/>
      </c>
      <c r="J52" s="49" t="str">
        <f ca="1">IF(B52="","",
IF(OR(ISBLANK('Soil results'!G$7),ISBLANK('Soil results'!G55)),"data missing",
IF(OR(AND('Soil results'!G$7="Olsen (ADAS)",'Soil results'!G55&gt;45),AND('Soil results'!G$7="modified Morgan (SAC)",'Soil results'!G55&gt;30)),0,
IF(OR(AND('Soil results'!G$7="Olsen (ADAS)",'Soil results'!G55&gt;=16,'Soil results'!G55&lt;=20),AND('Soil results'!G$7="modified Morgan (SAC)",'Soil results'!G55&gt;=4.5,'Soil results'!G55&lt;=9.4)),VLOOKUP(Calc!BI50,'Fertiliser recommendations'!$A$4:$I$63,9,FALSE),
IF(OR(AND('Soil results'!G$7="Olsen (ADAS)",'Soil results'!G55&lt;10),AND('Soil results'!G$7="modified Morgan (SAC)",'Soil results'!G55&lt;1.8)),VLOOKUP(Calc!BI50,'Fertiliser recommendations'!$A$4:$I$63,9,FALSE)+VLOOKUP(Calc!BI50,'Fertiliser recommendations'!$A$4:$J$63,10,FALSE),
IF(OR(AND('Soil results'!G$7="Olsen (ADAS)",'Soil results'!G55&lt;16),AND('Soil results'!G$7="modified Morgan (SAC)",'Soil results'!G55&lt;4.5)),VLOOKUP(Calc!BI50,'Fertiliser recommendations'!$A$4:$I$63,9,FALSE)+VLOOKUP(Calc!BI50,'Fertiliser recommendations'!$A$4:$K$63,11,FALSE),
IF(OR(AND('Soil results'!G$7="Olsen (ADAS)",'Soil results'!G55&lt;26),AND('Soil results'!G$7="modified Morgan (SAC)",'Soil results'!G55&lt;13.5)),VLOOKUP(Calc!BI50,'Fertiliser recommendations'!$A$4:$I$63,9,FALSE)+VLOOKUP(Calc!BI50,'Fertiliser recommendations'!$A$4:$L$63,12,FALSE),
IF(OR(AND('Soil results'!G$7="Olsen (ADAS)",'Soil results'!G55&lt;=45),AND('Soil results'!G$7="modified Morgan (SAC)",'Soil results'!G55&lt;=30)),VLOOKUP(Calc!BI50,'Fertiliser recommendations'!$A$4:$I$63,9,FALSE)+VLOOKUP(Calc!BI50,'Fertiliser recommendations'!$A$4:$M$63,13,FALSE),
""))))))))</f>
        <v/>
      </c>
      <c r="K52" s="161" t="str">
        <f t="shared" ca="1" si="1"/>
        <v/>
      </c>
      <c r="L52" s="47" t="str">
        <f ca="1">IF(OR(ISBLANK('Soil results'!G$7),ISBLANK('Soil results'!G55),B52="", H52="data missing"),"",
IF('Soil results'!G$7="Olsen (ADAS)",
IF(((H52*Calc!BM50/2.291-(VLOOKUP(Calc!BI50,'Fertiliser recommendations'!$A$4:$I$63,9,FALSE))/2.291)*10/(400/2.291)+'Soil results'!G55)&lt;10,"0 (VL)",
IF(((H52*Calc!BM50/2.291-(VLOOKUP(Calc!BI50,'Fertiliser recommendations'!$A$4:$I$63,9,FALSE))/2.291)*10/(400/2.291)+'Soil results'!G55)&lt;16,"1 (L)",
IF(((H52*Calc!BM50/2.291-(VLOOKUP(Calc!BI50,'Fertiliser recommendations'!$A$4:$I$63,9,FALSE))/2.291)*10/(400/2.291)+'Soil results'!G55)&lt;21,"2 (M-)",
IF(((H52*Calc!BM50/2.291-(VLOOKUP(Calc!BI50,'Fertiliser recommendations'!$A$4:$I$63,9,FALSE))/2.291)*10/(400/2.291)+'Soil results'!G55)&lt;26,"2 (M+)",
IF(((H52*Calc!BM50/2.291-(VLOOKUP(Calc!BI50,'Fertiliser recommendations'!$A$4:$I$63,9,FALSE))/2.291)*10/(400/2.291)+'Soil results'!G55)&lt;45,"3 (H)","&gt;3 (VH)"))))),
IF('Soil results'!G$7="modified Morgan (SAC)",
IF('Soil results'!G55&gt;=6,
IF(((H52*Calc!BM50/2.291-(VLOOKUP(Calc!BI50,'Fertiliser recommendations'!$A$4:$I$63,9,FALSE))/2.291)*5/(147/2.291)+'Soil results'!G55)&lt;9.5,"2 (M-)",
IF(((H52*Calc!BM50/2.291-(VLOOKUP(Calc!BI50,'Fertiliser recommendations'!$A$4:$I$63,9,FALSE))/2.291)*5/(147/2.291)+'Soil results'!G55)&lt;13.5,"2 (M+)",
IF(((H52*Calc!BM50/2.291-(VLOOKUP(Calc!BI50,'Fertiliser recommendations'!$A$4:$I$63,9,FALSE))/2.291)*5/(147/2.291)+'Soil results'!G55)&lt;30,"3 (H)","4 (VH)"))),
IF(((H52*Calc!BM50/2.291-(VLOOKUP(Calc!BI50,'Fertiliser recommendations'!$A$4:$I$63,9,FALSE))/2.291)*5/(346/2.291)+'Soil results'!G55)&lt;1.8,"0 (VL)",
IF(((H52*Calc!BM50/2.291-(VLOOKUP(Calc!BI50,'Fertiliser recommendations'!$A$4:$I$63,9,FALSE))/2.291)*5/(147/2.291)+'Soil results'!G55)&lt;4.5,"1 (L)","2 (M-)"))))))</f>
        <v/>
      </c>
      <c r="M52" s="9" t="str">
        <f ca="1">IF(B52="","",
IF(OR(H52="data missing",I52="data missing",J52="data missing"),"data missing",
IF(Calc!BF50=0,"n/a",
IF(OR(AND('Soil results'!G$7="Olsen (ADAS)",'Soil results'!G55&gt;45),AND('Soil results'!G$7="modified Morgan (SAC)",'Soil results'!G55&gt;30)),
IF(H52&gt;2,"too high, not acceptable","no requirement"),IF(OR(AND('Soil results'!G$7="Olsen (ADAS)",'Soil results'!G55&gt;25),AND('Soil results'!G$7="modified Morgan (SAC)",'Soil results'!G55&gt;13.4)),
IF(H52*(I52/100)&lt;0.1*J52,"no benefit",
IF(H52*(I52/100)&lt;0.3*J52,"limited benefit",
IF(H52*(I52/100)&lt;1.1*J52,"benefit",
IF(H52*(I52/100)&lt;0.7*VLOOKUP(Calc!BI50,'Fertiliser recommendations'!$A$4:$I$63,9,FALSE),"excessive","too high, not acceptable")))),
IF(OR(AND('Soil results'!G$7="Olsen (ADAS)",'Soil results'!G55&gt;20),AND('Soil results'!G$7="modified Morgan (SAC)",'Soil results'!G55&gt;9.4)),
IF(H52*Calc!BM50*(I52/100)&lt;0.1*J52,"no benefit",
IF(H52*Calc!BM50*(I52/100)&lt;0.3*J52,"limited benefit",
IF(H52*Calc!BM50*(I52/100)&lt;1.1*J52,"benefit",
IF(L52="3 (H)","too high, not acceptable","excessive")))),
IF(OR(AND('Soil results'!G$7="Olsen (ADAS)",'Soil results'!G55&gt;15),AND('Soil results'!G$7="modified Morgan (SAC)",'Soil results'!G55&gt;4.4)),
IF(H52*Calc!BM50*(I52/100)&lt;0.1*VLOOKUP(Calc!BI50,'Fertiliser recommendations'!$A$4:$I$63,9,FALSE),"no benefit",
IF(H52*Calc!BM50*(I52/100)&lt;0.3*VLOOKUP(Calc!BI50,'Fertiliser recommendations'!$A$4:$I$63,9,FALSE),"limited benefit",
IF(H52*Calc!BM50*(I52/100)&lt;1.1*VLOOKUP(Calc!BI50,'Fertiliser recommendations'!$A$4:$I$63,9,FALSE),"benefit",
IF(L52="3 (H)", "too high, not acceptable", "excessive")))),
IF(OR(AND('Soil results'!G$7="Olsen (ADAS)",'Soil results'!G55&lt;=15),AND('Soil results'!G$7="modified Morgan (SAC)",'Soil results'!G55&lt;=4.4)),
IF(H52*Calc!BM50*(I52/100)&lt;0.1*VLOOKUP(Calc!BI50,'Fertiliser recommendations'!$A$4:$I$63,9,FALSE),"no benefit",
IF(H52*Calc!BM50*(I52/100)&lt;0.3*VLOOKUP(Calc!BI50,'Fertiliser recommendations'!$A$4:$I$63,9,FALSE),"limited benefit",
IF(H52*Calc!BM50*(I52/100)&lt;1.1*J52,"benefit","excessive")))))))))))</f>
        <v/>
      </c>
      <c r="O52" s="91" t="str">
        <f ca="1">IF(B52="","",
IF(AND('Field information 2'!$O$5="", 'Field information 2'!$Q$5=""),
   IF('Waste results'!$S$19&lt;&gt;"data missing", Calc!BC50*'Waste results'!$S$19, "data missing"),
IF('Field information 2'!$Q$5="",
   IF(Calc!BD50=0,
     IF('Waste results'!$S$19&lt;&gt;"data missing", Calc!BC50*'Waste results'!$S$19, "data missing"),
   IF(Calc!BC50=0,
     IF('Waste results'!$S$55&lt;&gt;"data missing", Calc!BD50*'Waste results'!$S$55, "data missing"),
   IF(OR('Waste results'!$S$19&lt;&gt;"data missing", 'Waste results'!$S$55&lt;&gt;"data missing"), Calc!BC50*'Waste results'!$S$19+ Calc!BD50*'Waste results'!$S$55, "data missing"))),
IF(AND('Field information 2'!$M$5&lt;&gt;"", 'Field information 2'!$O$5&lt;&gt;"", 'Field information 2'!$Q$5&lt;&gt;""),
   IF(AND(Calc!BD50=0,Calc!BE50=0),
     IF('Waste results'!$S$19&lt;&gt;"data missing", Calc!BC50*'Waste results'!$S$19, "data missing"),
   IF(AND(Calc!BC50=0,Calc!BE50=0),
     IF('Waste results'!$S$55&lt;&gt;"data missing", Calc!BD50*'Waste results'!$S$55, "data missing"),
   IF(AND(Calc!BC50=0,Calc!BD50=0),
     IF('Waste results'!$S$91&lt;&gt;"data missing", Calc!BE50*'Waste results'!$S$91, "data missing"),
   IF(Calc!BE50=0,
     IF(OR('Waste results'!$S$19&lt;&gt;"data missing", 'Waste results'!$S$55&lt;&gt;"data missing"), Calc!BC50*'Waste results'!$S$19+ Calc!BD50*'Waste results'!$S$55, "data missing"),
   IF(Calc!BD50=0,
     IF(OR('Waste results'!$S$19&lt;&gt;"data missing", 'Waste results'!$S$91&lt;&gt;"data missing"), Calc!BC50*'Waste results'!$S$19+ Calc!BE50*'Waste results'!$S$91, "data missing"),
   IF(Calc!BC50=0,
     IF(OR('Waste results'!$S$55&lt;&gt;"data missing", 'Waste results'!$S$91&lt;&gt;"data missing"), Calc!BD50*'Waste results'!$S$55+Calc!BE50*'Waste results'!$S$91, "data missing"),
   IF(OR('Waste results'!$S$19&lt;&gt;"data missing", 'Waste results'!$S$55&lt;&gt;"data missing", 'Waste results'!$S$91&lt;&gt;"data missing"), Calc!BC50*'Waste results'!$S$19+Calc!BD50*'Waste results'!$S$55+ Calc!BE50*'Waste results'!$S$91, "data missing")))))))))))</f>
        <v/>
      </c>
      <c r="P52" s="91" t="str">
        <f ca="1">IF(B52="","",
IF(OR(ISBLANK('Soil results'!H$7),ISBLANK('Soil results'!H55)),"data missing",
IF(OR(AND('Soil results'!H$7="ammonium nitrate (ADAS)",'Soil results'!H55&gt;400),AND('Soil results'!H$7="modified Morgan (SAC)",'Soil results'!H55&gt;400)),0,
IF(OR(AND('Soil results'!H$7="ammonium nitrate (ADAS)",'Soil results'!H55&gt;=121,'Soil results'!H55&lt;=180),AND('Soil results'!H$7="modified Morgan (SAC)",'Soil results'!H55&gt;=76,'Soil results'!H55&lt;=140)),VLOOKUP(Calc!BI50,'Fertiliser recommendations'!$A$4:$Z$63,26,FALSE),
IF(OR(AND('Soil results'!H$7="ammonium nitrate (ADAS)",'Soil results'!H55&lt;61),AND('Soil results'!H$7="modified Morgan (SAC)",'Soil results'!H55&lt;40)),VLOOKUP(Calc!BI50,'Fertiliser recommendations'!$A$4:$Z$63,26,FALSE)+VLOOKUP(Calc!BI50,'Fertiliser recommendations'!$A$4:$AA$63,27,FALSE),
IF(OR(AND('Soil results'!H$7="ammonium nitrate (ADAS)",'Soil results'!H55&lt;121),AND('Soil results'!H$7="modified Morgan (SAC)",'Soil results'!H55&lt;76)),VLOOKUP(Calc!BI50,'Fertiliser recommendations'!$A$4:$Z$63,26,FALSE)+VLOOKUP(Calc!BI50,'Fertiliser recommendations'!$A$4:$AB$63,28,FALSE),
IF(OR(AND('Soil results'!H$7="ammonium nitrate (ADAS)",'Soil results'!H55&lt;241),AND('Soil results'!H$7="modified Morgan (SAC)",'Soil results'!H55&lt;201)),VLOOKUP(Calc!BI50,'Fertiliser recommendations'!$A$4:$Z$63,26,FALSE)+VLOOKUP(Calc!BI50,'Fertiliser recommendations'!$A$4:$AC$63,29,FALSE),
IF(OR(AND('Soil results'!H$7="ammonium nitrate (ADAS)",'Soil results'!H55&lt;=400),AND('Soil results'!H$7="modified Morgan (SAC)",'Soil results'!H55&lt;=400)),VLOOKUP(Calc!BI50,'Fertiliser recommendations'!$A$4:$Z$63,26,FALSE)+VLOOKUP(Calc!BI50,'Fertiliser recommendations'!$A$4:$AD$63,30,FALSE),
"??"))))))))</f>
        <v/>
      </c>
      <c r="Q52" s="91" t="str">
        <f t="shared" ca="1" si="2"/>
        <v/>
      </c>
      <c r="R52" s="9" t="str">
        <f ca="1">IF(B52="","",
IF(OR(O52="data missing",P52="data missing"),"data missing",
IF(Calc!BF50=0,"n/a",
IF(P52=0, "no requirement",
IF(O52&lt;0.1*P52,"no benefit",
IF(O52&lt;0.3*P52,"limited benefit",
IF(O52&gt;1.25*P52,"excessive",
"benefit")))))))</f>
        <v/>
      </c>
      <c r="T52" s="91" t="str">
        <f ca="1">IF(B52="","",
IF(AND('Field information 2'!$O$5="", 'Field information 2'!$Q$5=""),
   IF('Waste results'!$S$21&lt;&gt;"data missing", Calc!BC50*'Waste results'!$S$21, "data missing"),
IF('Field information 2'!$Q$5="",
   IF(Calc!BD50=0,
     IF('Waste results'!$S$21&lt;&gt;"data missing", Calc!BC50*'Waste results'!$S$21, "data missing"),
   IF(Calc!BC50=0,
     IF('Waste results'!$S$57&lt;&gt;"data missing", Calc!BD50*'Waste results'!$S$57, "data missing"),
   IF(OR('Waste results'!$S$21&lt;&gt;"data missing", 'Waste results'!$S$57&lt;&gt;"data missing"), Calc!BC50*'Waste results'!$S$21+ Calc!BD50*'Waste results'!$S$57, "data missing"))),
IF(AND('Field information 2'!$M$5&lt;&gt;"", 'Field information 2'!$O$5&lt;&gt;"", 'Field information 2'!$Q$5&lt;&gt;""),
   IF(AND(Calc!BD50=0,Calc!BE50=0),
     IF('Waste results'!$S$21&lt;&gt;"data missing", Calc!BC50*'Waste results'!$S$21, "data missing"),
   IF(AND(Calc!BC50=0,Calc!BE50=0),
     IF('Waste results'!$S$57&lt;&gt;"data missing", Calc!BD50*'Waste results'!$S$57, "data missing"),
   IF(AND(Calc!BC50=0,Calc!BD50=0),
     IF('Waste results'!$S$93&lt;&gt;"data missing", Calc!BE50*'Waste results'!$S$93, "data missing"),
   IF(Calc!BE50=0,
     IF(OR('Waste results'!$S$21&lt;&gt;"data missing", 'Waste results'!$S$57&lt;&gt;"data missing"), Calc!BC50*'Waste results'!$S$21+ Calc!BD50*'Waste results'!$S$57, "data missing"),
   IF(Calc!BD50=0,
     IF(OR('Waste results'!$S$21&lt;&gt;"data missing", 'Waste results'!$S$93&lt;&gt;"data missing"), Calc!BC50*'Waste results'!$S$21+ Calc!BE50*'Waste results'!$S$93, "data missing"),
   IF(Calc!BC50=0,
     IF(OR('Waste results'!$S$57&lt;&gt;"data missing", 'Waste results'!$S$93&lt;&gt;"data missing"), Calc!BD50*'Waste results'!$S$57+Calc!BE50*'Waste results'!$S$93, "data missing"),
   IF(OR('Waste results'!$S$21&lt;&gt;"data missing", 'Waste results'!$S$57&lt;&gt;"data missing", 'Waste results'!$S$93&lt;&gt;"data missing"), Calc!BC50*'Waste results'!$S$21+Calc!BD50*'Waste results'!$S$57+ Calc!BE50*'Waste results'!$S$93, "data missing")))))))))))</f>
        <v/>
      </c>
      <c r="U52" s="7" t="str">
        <f ca="1">IF(B52="","",
IF(OR(ISBLANK('Soil results'!I$7),ISBLANK('Soil results'!I55)),"data missing",
IF(OR(AND('Soil results'!I$7="ammonium nitrate (ADAS)",'Soil results'!I55&gt;51),AND('Soil results'!I$7="modified Morgan (SAC)",'Soil results'!I55&gt;61)),0,
IF(OR(AND('Soil results'!I$7="ammonium nitrate (ADAS)",'Soil results'!I55&lt;25),AND('Soil results'!I$7="modified Morgan (SAC)",'Soil results'!I55&lt;19)),VLOOKUP(Calc!BI50,'Fertiliser recommendations'!$A$4:$AH$63,34,FALSE),
IF(OR(AND('Soil results'!I$7="ammonium nitrate (ADAS)",'Soil results'!I55&lt;=51),AND('Soil results'!I$7="modified Morgan (SAC)",'Soil results'!I55&lt;=61)),VLOOKUP(Calc!BI50,'Fertiliser recommendations'!$A$4:$AI$63,35,FALSE),
"")))))</f>
        <v/>
      </c>
      <c r="V52" s="91" t="str">
        <f t="shared" ca="1" si="3"/>
        <v/>
      </c>
      <c r="W52" s="9" t="str">
        <f ca="1">IF(B52="","",
IF(OR(T52="data missing",U52="data missing"),"data missing",
IF(Calc!BF50=0,"n/a",
IF(U52=0,"no requirement",
IF(T52&lt;0.1*U52,"no benefit",
IF(T52&lt;0.3*U52,"limited benefit",
IF(OR(T52&gt;1.5*U52,AND(Calc!BJ50="g",T52&gt;100)),"excessive",
"benefit")))))))</f>
        <v/>
      </c>
      <c r="Y52" s="91" t="str">
        <f ca="1">IF(B52="","",
IF(AND('Field information 2'!$O$5="", 'Field information 2'!$Q$5=""),
   IF('Waste results'!$P$23&lt;&gt;"", Calc!BC50*'Waste results'!$P$23, "no data"),
IF('Field information 2'!$Q$5="",
   IF(Calc!BD50=0,
     IF('Waste results'!$P$23&lt;&gt;"", Calc!BC50*'Waste results'!$P$23, "no data"),
   IF(Calc!BC50=0,
     IF('Waste results'!$P$59&lt;&gt;"", Calc!BD50*'Waste results'!$P$59, "no data"),
   IF(OR('Waste results'!$P$23&lt;&gt;"", 'Waste results'!$P$59&lt;&gt;""), Calc!BC50*'Waste results'!$P$23+ Calc!BD50*'Waste results'!$P$59, "no data"))),
IF(AND('Field information 2'!$M$5&lt;&gt;"", 'Field information 2'!$O$5&lt;&gt;"", 'Field information 2'!$Q$5&lt;&gt;""),
   IF(AND(Calc!BD50=0,Calc!BE50=0),
     IF('Waste results'!$P$23&lt;&gt;"", Calc!BC50*'Waste results'!$P$23, "no data"),
   IF(AND(Calc!BC50=0,Calc!BE50=0),
     IF('Waste results'!$P$59&lt;&gt;"", Calc!BD50*'Waste results'!$P$59, "no data"),
   IF(AND(Calc!BC50=0,Calc!BD50=0),
     IF('Waste results'!$P$95&lt;&gt;"", Calc!BE50*'Waste results'!$P$95, "no data"),
   IF(Calc!BE50=0,
     IF(OR('Waste results'!$P$23&lt;&gt;"", 'Waste results'!$P$59&lt;&gt;""), Calc!BC50*'Waste results'!$P$23+ Calc!BD50*'Waste results'!$P$59, "no data"),
   IF(Calc!BD50=0,
     IF(OR('Waste results'!$P$23&lt;&gt;"", 'Waste results'!$P$95&lt;&gt;""), Calc!BC50*'Waste results'!$P$23+ Calc!BE50*'Waste results'!$P$95, "no data"),
   IF(Calc!BC50=0,
     IF(OR('Waste results'!$P$59&lt;&gt;"", 'Waste results'!$P$95&lt;&gt;""), Calc!BD50*'Waste results'!$P$59+Calc!BE50*'Waste results'!$P$95, "no data"),
   IF(OR('Waste results'!$P$23&lt;&gt;"", 'Waste results'!$P$59&lt;&gt;"", 'Waste results'!$P$95&lt;&gt;""), Calc!BC50*'Waste results'!$P$23+Calc!BD50*'Waste results'!$P$59+ Calc!BE50*'Waste results'!$P$95, "no data")))))))))))</f>
        <v/>
      </c>
      <c r="Z52" s="7" t="str">
        <f ca="1">IF(OR(ISBLANK('Soil results'!I$7),ISBLANK('Soil results'!I55),'Soil results'!B55=""),"",
VLOOKUP(Calc!BI50,'Fertiliser recommendations'!$A$4:$AM$63,39,FALSE))</f>
        <v/>
      </c>
      <c r="AA52" s="91" t="str">
        <f t="shared" ca="1" si="4"/>
        <v/>
      </c>
      <c r="AB52" s="9" t="str">
        <f t="shared" ca="1" si="5"/>
        <v/>
      </c>
      <c r="AD52" s="48" t="str">
        <f>IF(ISBLANK('Soil results'!F55),"",'Soil results'!F55)</f>
        <v/>
      </c>
      <c r="AE52" s="49" t="str">
        <f ca="1">IF(B52="","",
IF(AND(Calc!BJ50="g", VLOOKUP(LEFT($B52,LEN($B52)-2),'Field information 2'!$B$12:$P$111,9,FALSE)&lt;&gt;"yes"),
 IF(Calc!BG50="10-25% OM", 5.9, IF(Calc!BG50="&gt;25% OM", 5.5, 6.2)),
IF(OR(Calc!BJ50="a", VLOOKUP(LEFT($B52,LEN($B52)-2),'Field information 2'!$B$12:$P$111,9,FALSE)="yes"),
 IF(Calc!BG50="10-25% OM", 6.4, IF(Calc!BG50="&gt;25% OM", 6, 6.7)), "")))</f>
        <v/>
      </c>
      <c r="AF52" s="91" t="str">
        <f ca="1">IF(B52="","",
IF('Waste results'!$Q$33="","no (significant) liming properties",
IF('Waste results'!Q$33&gt;100,"no (significant) liming properties",
IF(AD52="","",
IF(AD52&gt;=AE52,0,ROUNDDOWN((AE52-AD52)*Calc!BK50*'Waste results'!$Q$33+0.2,0))))))</f>
        <v/>
      </c>
      <c r="AG52" s="9" t="str">
        <f ca="1">IF(B52="","",
IF(T52=0,"n/a",
IF(AD52="","data missing",
IF(AND(AD52&lt;5,AF52="no (significant) liming properties"),"no waste application - pH too low",
IF(AND(AD52&gt;5.1,AF52="no (significant) liming properties",Calc!BH50&gt;25, LEFT(Calc!BI50,4)="graz"),"ok",
IF(AND(AD52&lt;=5.2,AF52="no (significant) liming properties"),"liming highly recommended",
IF(AF52=0,"no waste application - liming not required",
IF(AF52&lt;Calc!BC50,"application rate too high - exceeds liming requirement",
"ok"))))))))</f>
        <v/>
      </c>
      <c r="AI52" s="91" t="str">
        <f ca="1">IF(B52="","",
IF(AND('Field information 2'!$O$5="", 'Field information 2'!$Q$5=""),
   IF('Waste results'!$P$10&lt;&gt;"data missing", Calc!BC50*'Waste results'!$P$10, "data missing"),
IF('Field information 2'!$Q$5="",
   IF(Calc!BD50=0,
     IF('Waste results'!$P$10&lt;&gt;"data missing", Calc!BC50*'Waste results'!$P$10, "data missing"),
   IF(Calc!BC50=0,
     IF('Waste results'!$P$45&lt;&gt;"data missing", Calc!BD50*'Waste results'!$P$45, "data missing"),
   IF(OR('Waste results'!$P$10&lt;&gt;"data missing", 'Waste results'!$P$45&lt;&gt;"data missing"), Calc!BC50*'Waste results'!$P$10+ Calc!BD50*'Waste results'!$P$45, "data missing"))),
IF(AND('Field information 2'!$M$5&lt;&gt;"", 'Field information 2'!$O$5&lt;&gt;"", 'Field information 2'!$Q$5&lt;&gt;""),
   IF(AND(Calc!BD50=0,Calc!BE50=0),
     IF('Waste results'!$P$10&lt;&gt;"data missing", Calc!BC50*'Waste results'!$P$10, "data missing"),
   IF(AND(Calc!BC50=0,Calc!BE50=0),
     IF('Waste results'!$P$45&lt;&gt;"data missing", Calc!BD50*'Waste results'!$P$45, "data missing"),
   IF(AND(Calc!BC50=0,Calc!BD50=0),
     IF('Waste results'!$P$82&lt;&gt;"data missing", Calc!BE50*'Waste results'!$P$82, "data missing"),
   IF(Calc!BE50=0,
     IF(OR('Waste results'!$P$10&lt;&gt;"data missing", 'Waste results'!$P$45&lt;&gt;"data missing"), Calc!BC50*'Waste results'!$P$10+ Calc!BD50*'Waste results'!$P$45, "data missing"),
   IF(Calc!BD50=0,
     IF(OR('Waste results'!$P$10&lt;&gt;"data missing", 'Waste results'!$P$82&lt;&gt;"data missing"), Calc!BC50*'Waste results'!$P$10+ Calc!BE50*'Waste results'!$P$82, "data missing"),
   IF(Calc!BC50=0,
     IF(OR('Waste results'!$P$45&lt;&gt;"data missing", 'Waste results'!$P$82&lt;&gt;"data missing"), Calc!BD50*'Waste results'!$P$45+Calc!BE50*'Waste results'!$P$82, "data missing"),
   IF(OR('Waste results'!$P$10&lt;&gt;"data missing", 'Waste results'!$P$45&lt;&gt;"data missing", 'Waste results'!$P$82&lt;&gt;"data missing"), Calc!BC50*'Waste results'!$P$10+Calc!BD50*'Waste results'!$P$45+ Calc!BE50*'Waste results'!$P$82, "data missing")))))))))))</f>
        <v/>
      </c>
      <c r="AJ52" s="237" t="str">
        <f ca="1">IF(B52="","",
IF(AI52="data missing","data missing",
IF(Calc!BF50=0,"n/a",
IF(AND(Calc!BH50&gt;=8,AI52&lt;500),"no benefit",
IF(OR(AND(Calc!BH50&lt;=4,AI52&gt;=500),AND(Calc!BH50&lt;8,AI52&gt;5000)),"benefit",
"limited benefit")))))</f>
        <v/>
      </c>
      <c r="AL52" s="238" t="str">
        <f ca="1">IF(B52="","",
IF(AND('Field information 2'!$O$5="", 'Field information 2'!$Q$5=""),
   IF('Waste results'!$S$25&lt;&gt;"data missing", Calc!BC50*'Waste results'!$S$25, "data missing"),
IF('Field information 2'!$Q$5="",
   IF(Calc!BD50=0,
     IF('Waste results'!$S$25&lt;&gt;"data missing", Calc!BC50*'Waste results'!$S$25, "data missing"),
   IF(Calc!BC50=0,
     IF('Waste results'!$S$61&lt;&gt;"data missing", Calc!BD50*'Waste results'!$S$61, "data missing"),
   IF(OR('Waste results'!$S$25&lt;&gt;"data missing", 'Waste results'!$S$61&lt;&gt;"data missing"), Calc!BC50*'Waste results'!$S$25+ Calc!BD50*'Waste results'!$S$61, "data missing"))),
IF(AND('Field information 2'!$M$5&lt;&gt;"", 'Field information 2'!$O$5&lt;&gt;"", 'Field information 2'!$Q$5&lt;&gt;""),
   IF(AND(Calc!BD50=0,Calc!BE50=0),
     IF('Waste results'!$S$25&lt;&gt;"data missing", Calc!BC50*'Waste results'!$S$25, "data missing"),
   IF(AND(Calc!BC50=0,Calc!BE50=0),
     IF('Waste results'!$S$61&lt;&gt;"data missing", Calc!BD50*'Waste results'!$S$61, "data missing"),
   IF(AND(Calc!BC50=0,Calc!BD50=0),
     IF('Waste results'!$S$97&lt;&gt;"data missing", Calc!BE50*'Waste results'!$S$97, "data missing"),
   IF(Calc!BE50=0,
     IF(OR('Waste results'!$S$25&lt;&gt;"data missing", 'Waste results'!$S$61&lt;&gt;"data missing"), Calc!BC50*'Waste results'!$S$25+ Calc!BD50*'Waste results'!$S$61, "data missing"),
   IF(Calc!BD50=0,
     IF(OR('Waste results'!$S$25&lt;&gt;"data missing", 'Waste results'!$S$97&lt;&gt;"data missing"), Calc!BC50*'Waste results'!$S$25+ Calc!BE50*'Waste results'!$S$97, "data missing"),
   IF(Calc!BC50=0,
     IF(OR('Waste results'!$S$61&lt;&gt;"data missing", 'Waste results'!$S$97&lt;&gt;"data missing"), Calc!BD50*'Waste results'!$S$61+Calc!BE50*'Waste results'!$S$97, "data missing"),
   IF(OR('Waste results'!$S$25&lt;&gt;"data missing", 'Waste results'!$S$61&lt;&gt;"data missing", 'Waste results'!$S$97&lt;&gt;"data missing"), Calc!BC50*'Waste results'!$S$25+Calc!BD50*'Waste results'!$S$61+ Calc!BE50*'Waste results'!$S$97, "data missing")))))))))))</f>
        <v/>
      </c>
      <c r="AM52" s="239" t="str">
        <f ca="1">IF($B52="","",
IF(ISBLANK('Soil results'!K55),"data missing",'Soil results'!K55))</f>
        <v/>
      </c>
      <c r="AN52" s="239" t="str">
        <f t="shared" ca="1" si="6"/>
        <v/>
      </c>
      <c r="AO52" s="9" t="str">
        <f t="shared" ca="1" si="7"/>
        <v/>
      </c>
      <c r="AQ52" s="240" t="str">
        <f ca="1">IF(B52="","",
IF(AND('Field information 2'!$O$5="", 'Field information 2'!$Q$5=""),
   IF('Waste results'!$S$26&lt;&gt;"data missing", Calc!BC50*'Waste results'!$S$26, "data missing"),
IF('Field information 2'!$Q$5="",
   IF(Calc!BD50=0,
     IF('Waste results'!$S$26&lt;&gt;"data missing", Calc!BC50*'Waste results'!$S$26, "data missing"),
   IF(Calc!BC50=0,
     IF('Waste results'!$S$62&lt;&gt;"data missing", Calc!BD50*'Waste results'!$S$62, "data missing"),
   IF(OR('Waste results'!$S$26&lt;&gt;"data missing", 'Waste results'!$S$62&lt;&gt;"data missing"), Calc!BC50*'Waste results'!$S$26+ Calc!BD50*'Waste results'!$S$62, "data missing"))),
IF(AND('Field information 2'!$M$5&lt;&gt;"", 'Field information 2'!$O$5&lt;&gt;"", 'Field information 2'!$Q$5&lt;&gt;""),
   IF(AND(Calc!BD50=0,Calc!BE50=0),
     IF('Waste results'!$S$26&lt;&gt;"data missing", Calc!BC50*'Waste results'!$S$26, "data missing"),
   IF(AND(Calc!BC50=0,Calc!BE50=0),
     IF('Waste results'!$S$62&lt;&gt;"data missing", Calc!BD50*'Waste results'!$S$62, "data missing"),
   IF(AND(Calc!BC50=0,Calc!BD50=0),
     IF('Waste results'!$S$98&lt;&gt;"data missing", Calc!BE50*'Waste results'!$S$98, "data missing"),
   IF(Calc!BE50=0,
     IF(OR('Waste results'!$S$26&lt;&gt;"data missing", 'Waste results'!$S$62&lt;&gt;"data missing"), Calc!BC50*'Waste results'!$S$26+ Calc!BD50*'Waste results'!$S$62, "data missing"),
   IF(Calc!BD50=0,
     IF(OR('Waste results'!$S$26&lt;&gt;"data missing", 'Waste results'!$S$98&lt;&gt;"data missing"), Calc!BC50*'Waste results'!$S$26+ Calc!BE50*'Waste results'!$S$98, "data missing"),
   IF(Calc!BC50=0,
     IF(OR('Waste results'!$S$62&lt;&gt;"data missing", 'Waste results'!$S$98&lt;&gt;"data missing"), Calc!BD50*'Waste results'!$S$62+Calc!BE50*'Waste results'!$S$98, "data missing"),
   IF(OR('Waste results'!$S$26&lt;&gt;"data missing", 'Waste results'!$S$62&lt;&gt;"data missing", 'Waste results'!$S$98&lt;&gt;"data missing"), Calc!BC50*'Waste results'!$S$26+Calc!BD50*'Waste results'!$S$62+ Calc!BE50*'Waste results'!$S$98, "data missing")))))))))))</f>
        <v/>
      </c>
      <c r="AR52" s="241" t="str">
        <f ca="1">IF($B52="","",
IF(ISBLANK('Soil results'!L55),"data missing",'Soil results'!L55))</f>
        <v/>
      </c>
      <c r="AS52" s="241" t="str">
        <f t="shared" ca="1" si="8"/>
        <v/>
      </c>
      <c r="AT52" s="66" t="str">
        <f t="shared" ca="1" si="9"/>
        <v/>
      </c>
      <c r="AV52" s="238" t="str">
        <f ca="1">IF(B52="","",
IF(AND('Field information 2'!$O$5="", 'Field information 2'!$Q$5=""),
   IF('Waste results'!$S$27&lt;&gt;"data missing", Calc!BC50*'Waste results'!$S$27, "data missing"),
IF('Field information 2'!$Q$5="",
   IF(Calc!BD50=0,
     IF('Waste results'!$S$27&lt;&gt;"data missing", Calc!BC50*'Waste results'!$S$27, "data missing"),
   IF(Calc!BC50=0,
     IF('Waste results'!$S$63&lt;&gt;"data missing", Calc!BD50*'Waste results'!$S$63, "data missing"),
   IF(OR('Waste results'!$S$27&lt;&gt;"data missing", 'Waste results'!$S$63&lt;&gt;"data missing"), Calc!BC50*'Waste results'!$S$27+ Calc!BD50*'Waste results'!$S$63, "data missing"))),
IF(AND('Field information 2'!$M$5&lt;&gt;"", 'Field information 2'!$O$5&lt;&gt;"", 'Field information 2'!$Q$5&lt;&gt;""),
   IF(AND(Calc!BD50=0,Calc!BE50=0),
     IF('Waste results'!$S$27&lt;&gt;"data missing", Calc!BC50*'Waste results'!$S$27, "data missing"),
   IF(AND(Calc!BC50=0,Calc!BE50=0),
     IF('Waste results'!$S$63&lt;&gt;"data missing", Calc!BD50*'Waste results'!$S$63, "data missing"),
   IF(AND(Calc!BC50=0,Calc!BD50=0),
     IF('Waste results'!$S$99&lt;&gt;"data missing", Calc!BE50*'Waste results'!$S$99, "data missing"),
   IF(Calc!BE50=0,
     IF(OR('Waste results'!$S$27&lt;&gt;"data missing", 'Waste results'!$S$63&lt;&gt;"data missing"), Calc!BC50*'Waste results'!$S$27+ Calc!BD50*'Waste results'!$S$63, "data missing"),
   IF(Calc!BD50=0,
     IF(OR('Waste results'!$S$27&lt;&gt;"data missing", 'Waste results'!$S$99&lt;&gt;"data missing"), Calc!BC50*'Waste results'!$S$27+ Calc!BE50*'Waste results'!$S$99, "data missing"),
   IF(Calc!BC50=0,
     IF(OR('Waste results'!$S$63&lt;&gt;"data missing", 'Waste results'!$S$99&lt;&gt;"data missing"), Calc!BD50*'Waste results'!$S$63+Calc!BE50*'Waste results'!$S$99, "data missing"),
   IF(OR('Waste results'!$S$27&lt;&gt;"data missing", 'Waste results'!$S$63&lt;&gt;"data missing", 'Waste results'!$S$99&lt;&gt;"data missing"), Calc!BC50*'Waste results'!$S$27+Calc!BD50*'Waste results'!$S$63+ Calc!BE50*'Waste results'!$S$99, "data missing")))))))))))</f>
        <v/>
      </c>
      <c r="AW52" s="239" t="str">
        <f ca="1">IF($B52="","",
IF(ISBLANK('Soil results'!M55),"data missing",'Soil results'!M55))</f>
        <v/>
      </c>
      <c r="AX52" s="239" t="str">
        <f t="shared" ca="1" si="10"/>
        <v/>
      </c>
      <c r="AY52" s="9" t="str">
        <f ca="1">IF(B52="","",
IF(AV52=0,"n/a",
IF(OR(AV52="data missing",AW52="data missing"),"data missing",
IF(AV52&gt;7.5,"application rate too high - permissible rate exceeds limit",
IF('Soil results'!$F55&lt;=5.5,
  IF(AW52&gt;80,"no application - soil conc. already above limit",
  IF(AX52&gt;80,"application rate too high - soil conc. will exceed limit",
  IF(AW52&gt;80*0.9,"soil conc. is at or above 90% of the limit",
  IF(10*AV52*1000/3000+AW52&gt;80,"soil limit likely to be exceeded in 10yrs",
  IF(50*AV52*1000/3000+AW52&gt;80,"soil limit likely to be exceeded in 50yrs","ok"))))),
IF('Soil results'!$F55&lt;=6,
  IF(AW52&gt;100,"no application - soil conc. already above limit",
  IF(AX52&gt;100,"application rate too high - soil conc. will exceed limit",
  IF(AW52&gt;100*0.9,"soil conc. is at or above 90% of the limit",
  IF(10*AV52*1000/3000+AW52&gt;100,"soil limit likely to be exceeded in 10yrs",
  IF(50*AV52*1000/3000+AW52&gt;100,"soil limit likely to be exceeded in 50yrs","ok"))))),
IF('Soil results'!$F55&lt;=7,
  IF(AW52&gt;135,"no application - soil conc. already above limit",
  IF(AX52&gt;135,"application rate too high - soil conc. will exceed limit",
  IF(AW52&gt;135*0.9,"soil conc. is at or above 90% of the limit",
  IF(10*AV52*1000/3000+AW52&gt;135,"soil limit likely to be exceeded in 10yrs",
  IF(50*AV52*1000/3000+AW52&gt;135,"soil limit likely to be exceeded in 50yrs","ok"))))),
IF('Soil results'!$F55&gt;7,
  IF(AW52&gt;200,"no application - soil conc. already above limit",
  IF(AX52&gt;200,"application too high - soil conc. will exceed limit",
  IF(AW52&gt;200*0.9,"soil conc. is at or above 90% of the limit",
  IF(10*AV52*1000/3000+AW52&gt;200,"soil limit likely to be exceeded in 10yrs",
  IF(50*AV52*1000/3000+AW52&gt;200,"soil limit likely to be exceeded in 50yrs","ok")))))
))))))))</f>
        <v/>
      </c>
      <c r="BA52" s="238" t="str">
        <f ca="1">IF(B52="","",
IF(AND('Field information 2'!$O$5="", 'Field information 2'!$Q$5=""),
   IF('Waste results'!$S$28&lt;&gt;"data missing", Calc!BC50*'Waste results'!$S$28, "data missing"),
IF('Field information 2'!$Q$5="",
   IF(Calc!BD50=0,
     IF('Waste results'!$S$28&lt;&gt;"data missing", Calc!BC50*'Waste results'!$S$28, "data missing"),
   IF(Calc!BC50=0,
     IF('Waste results'!$S$64&lt;&gt;"data missing", Calc!BD50*'Waste results'!$S$64, "data missing"),
   IF(OR('Waste results'!$S$28&lt;&gt;"data missing", 'Waste results'!$S$64&lt;&gt;"data missing"), Calc!BC50*'Waste results'!$S$28+ Calc!BD50*'Waste results'!$S$64, "data missing"))),
IF(AND('Field information 2'!$M$5&lt;&gt;"", 'Field information 2'!$O$5&lt;&gt;"", 'Field information 2'!$Q$5&lt;&gt;""),
   IF(AND(Calc!BD50=0,Calc!BE50=0),
     IF('Waste results'!$S$28&lt;&gt;"data missing", Calc!BC50*'Waste results'!$S$28, "data missing"),
   IF(AND(Calc!BC50=0,Calc!BE50=0),
     IF('Waste results'!$S$64&lt;&gt;"data missing", Calc!BD50*'Waste results'!$S$64, "data missing"),
   IF(AND(Calc!BC50=0,Calc!BD50=0),
     IF('Waste results'!$S$100&lt;&gt;"data missing", Calc!BE50*'Waste results'!$S$100, "data missing"),
   IF(Calc!BE50=0,
     IF(OR('Waste results'!$S$28&lt;&gt;"data missing", 'Waste results'!$S$64&lt;&gt;"data missing"), Calc!BC50*'Waste results'!$S$28+ Calc!BD50*'Waste results'!$S$64, "data missing"),
   IF(Calc!BD50=0,
     IF(OR('Waste results'!$S$28&lt;&gt;"data missing", 'Waste results'!$S$100&lt;&gt;"data missing"), Calc!BC50*'Waste results'!$S$28+ Calc!BE50*'Waste results'!$S$100, "data missing"),
   IF(Calc!BC50=0,
     IF(OR('Waste results'!$S$64&lt;&gt;"data missing", 'Waste results'!$S$100&lt;&gt;"data missing"), Calc!BD50*'Waste results'!$S$64+Calc!BE50*'Waste results'!$S$100, "data missing"),
   IF(OR('Waste results'!$S$28&lt;&gt;"data missing", 'Waste results'!$S$64&lt;&gt;"data missing", 'Waste results'!$S$100&lt;&gt;"data missing"), Calc!BC50*'Waste results'!$S$28+Calc!BD50*'Waste results'!$S$64+ Calc!BE50*'Waste results'!$S$100, "data missing")))))))))))</f>
        <v/>
      </c>
      <c r="BB52" s="239" t="str">
        <f ca="1">IF($B52="","",
IF(ISBLANK('Soil results'!N55),"data missing",'Soil results'!N55))</f>
        <v/>
      </c>
      <c r="BC52" s="239" t="str">
        <f t="shared" ca="1" si="11"/>
        <v/>
      </c>
      <c r="BD52" s="9" t="str">
        <f t="shared" ca="1" si="12"/>
        <v/>
      </c>
      <c r="BF52" s="238" t="str">
        <f ca="1">IF(B52="","",
IF(AND('Field information 2'!$O$5="", 'Field information 2'!$Q$5=""),
   IF('Waste results'!$S$29&lt;&gt;"data missing", Calc!BC50*'Waste results'!$S$29, "data missing"),
IF('Field information 2'!$Q$5="",
   IF(Calc!BD50=0,
     IF('Waste results'!$S$29&lt;&gt;"data missing", Calc!BC50*'Waste results'!$S$29, "data missing"),
   IF(Calc!BC50=0,
     IF('Waste results'!$S$65&lt;&gt;"data missing", Calc!BD50*'Waste results'!$S$65, "data missing"),
   IF(OR('Waste results'!$S$29&lt;&gt;"data missing", 'Waste results'!$S$65&lt;&gt;"data missing"), Calc!BC50*'Waste results'!$S$29+ Calc!BD50*'Waste results'!$S$65, "data missing"))),
IF(AND('Field information 2'!$M$5&lt;&gt;"", 'Field information 2'!$O$5&lt;&gt;"", 'Field information 2'!$Q$5&lt;&gt;""),
   IF(AND(Calc!BD50=0,Calc!BE50=0),
     IF('Waste results'!$S$29&lt;&gt;"data missing", Calc!BC50*'Waste results'!$S$29, "data missing"),
   IF(AND(Calc!BC50=0,Calc!BE50=0),
     IF('Waste results'!$S$65&lt;&gt;"data missing", Calc!BD50*'Waste results'!$S$65, "data missing"),
   IF(AND(Calc!BC50=0,Calc!BD50=0),
     IF('Waste results'!$S$101&lt;&gt;"data missing", Calc!BE50*'Waste results'!$S$101, "data missing"),
   IF(Calc!BE50=0,
     IF(OR('Waste results'!$S$29&lt;&gt;"data missing", 'Waste results'!$S$65&lt;&gt;"data missing"), Calc!BC50*'Waste results'!$S$29+ Calc!BD50*'Waste results'!$S$65, "data missing"),
   IF(Calc!BD50=0,
     IF(OR('Waste results'!$S$29&lt;&gt;"data missing", 'Waste results'!$S$101&lt;&gt;"data missing"), Calc!BC50*'Waste results'!$S$29+ Calc!BE50*'Waste results'!$S$101, "data missing"),
   IF(Calc!BC50=0,
     IF(OR('Waste results'!$S$65&lt;&gt;"data missing", 'Waste results'!$S$101&lt;&gt;"data missing"), Calc!BD50*'Waste results'!$S$65+Calc!BE50*'Waste results'!$S$101, "data missing"),
   IF(OR('Waste results'!$S$29&lt;&gt;"data missing", 'Waste results'!$S$65&lt;&gt;"data missing", 'Waste results'!$S$101&lt;&gt;"data missing"), Calc!BC50*'Waste results'!$S$29+Calc!BD50*'Waste results'!$S$65+ Calc!BE50*'Waste results'!$S$101, "data missing")))))))))))</f>
        <v/>
      </c>
      <c r="BG52" s="239" t="str">
        <f ca="1">IF($B52="","",
IF(ISBLANK('Soil results'!O55),"data missing",'Soil results'!O55))</f>
        <v/>
      </c>
      <c r="BH52" s="239" t="str">
        <f t="shared" ca="1" si="13"/>
        <v/>
      </c>
      <c r="BI52" s="9" t="str">
        <f ca="1">IF(B52="","",
IF(BF52=0,"n/a",
IF(OR(BF52="data missing",BG52="data missing"),"data missing",
IF(BF52&gt;3,"application rate too high - permissible rate exceeds limit",
IF('Soil results'!F55&lt;=5.5,
  IF(BG52&gt;50,"no application - soil conc. already above limit",
  IF(BH52&gt;50,"application rate too high - soil conc. will exceed limit",
  IF(BG52&gt;50*0.9,"soil conc. is at or above 90% of the limit",
  IF(10*BF52*1000/3000+BG52&gt;50,"soil limit likely to be exceeded in 10yrs",
  IF(50*BF52*1000/3000+BG52&gt;50,"soil limit likely to be exceeded in 50yrs","ok"))))),
IF('Soil results'!F55&lt;=6,
  IF(BG52&gt;60,"no application - soil conc. already above limit",
  IF(BH52&gt;60,"application rate too high - soil conc. will exceed limit",
  IF(BG52&gt;60*0.9,"soil conc. is at or above 90% of the limit",
  IF(10*BF52*1000/3000+BG52&gt;60,"soil limit likely to be exceeded in 10yrs",
  IF(50*BF52*1000/3000+BG52&gt;60,"soil limit likely to be exceeded in 50yrs","ok"))))),
IF('Soil results'!F55&lt;=7,
  IF(BG52&gt;75,"no application - soil conc. already above limit",
  IF(BH52&gt;75,"application rate too high - soil conc. will exceed limit",
  IF(BG52&gt;75*0.9,"soil conc. is at or above 90% of the limit",
  IF(10*BF52*1000/3000+BG52&gt;75,"soil limit likely to be exceeded in 10yrs",
  IF(50*BF52*1000/3000+BG52&gt;75,"soil limit likely to be exceeded in 50yrs","ok"))))),
IF('Soil results'!F55&gt;7,
  IF(BG52&gt;100,"no application - soil conc. already above limit",
  IF(BH52&gt;100,"application rate too high - soil conc. will exceed limit",
  IF(BG52&gt;100*0.9,"soil conc. is at or above 90% of the limit",
  IF(10*BF52*1000/3000+BG52&gt;100,"soil limit likely to be exceeded in 10yrs",
  IF(50*BF52*1000/3000+BG52&gt;100,"soil limit likely to beexceeded in 50yrs","ok")))))
))))))))</f>
        <v/>
      </c>
      <c r="BK52" s="240" t="str">
        <f ca="1">IF(B52="","",
IF(AND('Field information 2'!$O$5="", 'Field information 2'!$Q$5=""),
   IF('Waste results'!$S$30&lt;&gt;"data missing", Calc!BC50*'Waste results'!$S$30, "data missing"),
IF('Field information 2'!$Q$5="",
   IF(Calc!BD50=0,
     IF('Waste results'!$S$30&lt;&gt;"data missing", Calc!BC50*'Waste results'!$S$30, "data missing"),
   IF(Calc!BC50=0,
     IF('Waste results'!$S$66&lt;&gt;"data missing", Calc!BD50*'Waste results'!$S$66, "data missing"),
   IF(OR('Waste results'!$S$30&lt;&gt;"data missing", 'Waste results'!$S$66&lt;&gt;"data missing"), Calc!BC50*'Waste results'!$S$30+ Calc!BD50*'Waste results'!$S$66, "data missing"))),
IF(AND('Field information 2'!$M$5&lt;&gt;"", 'Field information 2'!$O$5&lt;&gt;"", 'Field information 2'!$Q$5&lt;&gt;""),
   IF(AND(Calc!BD50=0,Calc!BE50=0),
     IF('Waste results'!$S$30&lt;&gt;"data missing", Calc!BC50*'Waste results'!$S$30, "data missing"),
   IF(AND(Calc!BC50=0,Calc!BE50=0),
     IF('Waste results'!$S$66&lt;&gt;"data missing", Calc!BD50*'Waste results'!$S$66, "data missing"),
   IF(AND(Calc!BC50=0,Calc!BD50=0),
     IF('Waste results'!$S$102&lt;&gt;"data missing", Calc!BE50*'Waste results'!$S$102, "data missing"),
   IF(Calc!BE50=0,
     IF(OR('Waste results'!$S$30&lt;&gt;"data missing", 'Waste results'!$S$66&lt;&gt;"data missing"), Calc!BC50*'Waste results'!$S$30+ Calc!BD50*'Waste results'!$S$66, "data missing"),
   IF(Calc!BD50=0,
     IF(OR('Waste results'!$S$30&lt;&gt;"data missing", 'Waste results'!$S$102&lt;&gt;"data missing"), Calc!BC50*'Waste results'!$S$30+ Calc!BE50*'Waste results'!$S$102, "data missing"),
   IF(Calc!BC50=0,
     IF(OR('Waste results'!$S$66&lt;&gt;"data missing", 'Waste results'!$S$102&lt;&gt;"data missing"), Calc!BD50*'Waste results'!$S$66+Calc!BE50*'Waste results'!$S$102, "data missing"),
   IF(OR('Waste results'!$S$30&lt;&gt;"data missing", 'Waste results'!$S$66&lt;&gt;"data missing", 'Waste results'!$S$102&lt;&gt;"data missing"), Calc!BC50*'Waste results'!$S$30+Calc!BD50*'Waste results'!$S$66+ Calc!BE50*'Waste results'!$S$102, "data missing")))))))))))</f>
        <v/>
      </c>
      <c r="BL52" s="241" t="str">
        <f ca="1">IF($B52="","",
IF(ISBLANK('Soil results'!P55),"data missing",'Soil results'!P55))</f>
        <v/>
      </c>
      <c r="BM52" s="241" t="str">
        <f t="shared" ca="1" si="14"/>
        <v/>
      </c>
      <c r="BN52" s="66" t="str">
        <f t="shared" ca="1" si="15"/>
        <v/>
      </c>
      <c r="BP52" s="238" t="str">
        <f ca="1">IF(B52="","",
IF(AND('Field information 2'!$O$5="", 'Field information 2'!$Q$5=""),
   IF('Waste results'!$S$31&lt;&gt;"data missing", Calc!BC50*'Waste results'!$S$31, "data missing"),
IF('Field information 2'!$Q$5="",
   IF(Calc!BD50=0,
     IF('Waste results'!$S$31&lt;&gt;"data missing", Calc!BC50*'Waste results'!$S$31, "data missing"),
   IF(Calc!BC50=0,
     IF('Waste results'!$S$67&lt;&gt;"data missing", Calc!BD50*'Waste results'!$S$67, "data missing"),
   IF(OR('Waste results'!$S$31&lt;&gt;"data missing", 'Waste results'!$S$67&lt;&gt;"data missing"), Calc!BC50*'Waste results'!$S$31+ Calc!BD50*'Waste results'!$S$67, "data missing"))),
IF(AND('Field information 2'!$M$5&lt;&gt;"", 'Field information 2'!$O$5&lt;&gt;"", 'Field information 2'!$Q$5&lt;&gt;""),
   IF(AND(Calc!BD50=0,Calc!BE50=0),
     IF('Waste results'!$S$31&lt;&gt;"data missing", Calc!BC50*'Waste results'!$S$31, "data missing"),
   IF(AND(Calc!BC50=0,Calc!BE50=0),
     IF('Waste results'!$S$67&lt;&gt;"data missing", Calc!BD50*'Waste results'!$S$67, "data missing"),
   IF(AND(Calc!BC50=0,Calc!BD50=0),
     IF('Waste results'!$S$103&lt;&gt;"data missing", Calc!BE50*'Waste results'!$S$103, "data missing"),
   IF(Calc!BE50=0,
     IF(OR('Waste results'!$S$31&lt;&gt;"data missing", 'Waste results'!$S$67&lt;&gt;"data missing"), Calc!BC50*'Waste results'!$S$31+ Calc!BD50*'Waste results'!$S$67, "data missing"),
   IF(Calc!BD50=0,
     IF(OR('Waste results'!$S$31&lt;&gt;"data missing", 'Waste results'!$S$103&lt;&gt;"data missing"), Calc!BC50*'Waste results'!$S$31+ Calc!BE50*'Waste results'!$S$103, "data missing"),
   IF(Calc!BC50=0,
     IF(OR('Waste results'!$S$67&lt;&gt;"data missing", 'Waste results'!$S$103&lt;&gt;"data missing"), Calc!BD50*'Waste results'!$S$67+Calc!BE50*'Waste results'!$S$103, "data missing"),
   IF(OR('Waste results'!$S$31&lt;&gt;"data missing", 'Waste results'!$S$67&lt;&gt;"data missing", 'Waste results'!$S$103&lt;&gt;"data missing"), Calc!BC50*'Waste results'!$S$31+Calc!BD50*'Waste results'!$S$67+ Calc!BE50*'Waste results'!$S$103, "data missing")))))))))))</f>
        <v/>
      </c>
      <c r="BQ52" s="239" t="str">
        <f ca="1">IF($B52="","",
IF(ISBLANK('Soil results'!Q55),"data missing",'Soil results'!Q55))</f>
        <v/>
      </c>
      <c r="BR52" s="239" t="str">
        <f t="shared" ca="1" si="16"/>
        <v/>
      </c>
      <c r="BS52" s="9" t="str">
        <f ca="1">IF(B52="","",
IF(BP52=0,"n/a",
IF(OR(BP52="data missing",BQ52=""),"data missing",
IF(BP52&gt;15,"application rate too high - permissible rate exceeds limit",
IF('Soil results'!F55&lt;=5.5,
  IF(BQ52&gt;200,"no application - soil conc. already above limit",
  IF(BR52&gt;200,"application rate too high - soil conc. will exceed limit",
  IF(BQ52&gt;200*0.9,"soil conc. is at or above 90% of the limit",
  IF(10*BP52*1000/3000+BQ52&gt;200,"soil limit likely to be exceeded in 10yrs",
  IF(50*BP52*1000/3000+BQ52&gt;200,"soil limit likely to be exceeded in 50yrs","ok"))))),
IF('Soil results'!F55&lt;=6,
  IF(BQ52&gt;250,"no application - soil conc. already above limit",
  IF(BR52&gt;250,"application rate too high - soil conc. will exceed limit",
  IF(BQ52&gt;250*0.9,"soil conc. is at or above 90% of the limit",
  IF(10*BP52*1000/3000+BQ52&gt;250,"soil limit likely to be exceeded in 10yrs",
  IF(50*BP52*1000/3000+BQ52&gt;250,"soil limit likely to be exceeded in 50yrs","ok"))))),
IF('Soil results'!F55&lt;=7,
  IF(BQ52&gt;300,"no application - soil conc. already above limit",
  IF(BR52&gt;300,"application rate too high - soil conc. will exceed limit",
  IF(BQ52&gt;300*0.9,"soil conc. is at or above 90% of the limit",
  IF(10*BP52*1000/3000+BQ52&gt;300,"soil limit likey to be exceeded in 10yrs",
  IF(50*BP52*1000/3000+BQ52&gt;300,"soil limit likely to be exceeded in 50yrs","ok"))))),
IF('Soil results'!F55&gt;7,
  IF(BQ52&gt;450,"no application - soil conc. already above limit",
  IF(BR52&gt;450,"application rate too high - soil conc. will exceed limit",
  IF(AW52&gt;450*0.9,"soil conc. is at or above 90% of the limit",
  IF(10*BP52*1000/3000+BQ52&gt;450,"soil limit likely to be exceeded in 10yrs",
  IF(50*BP52*1000/3000+BQ52&gt;450,"soil limit likely to be exceeded in 50yrs","ok")))))
))))))))</f>
        <v/>
      </c>
    </row>
    <row r="53" spans="2:71" s="9" customFormat="1" ht="15" x14ac:dyDescent="0.25">
      <c r="B53" s="236" t="str">
        <f ca="1">'Soil results'!B56</f>
        <v/>
      </c>
      <c r="C53" s="91" t="str">
        <f ca="1">IF(B53="","",
IF(AND('Field information 2'!$O$5="", 'Field information 2'!$Q$5=""),
   IF('Waste results'!$S$12&lt;&gt;"data missing", Calc!BC51*'Waste results'!$S$12, "data missing"),
IF('Field information 2'!$Q$5="",
   IF(Calc!BD51=0,
     IF('Waste results'!$S$12&lt;&gt;"data missing", Calc!BC51*'Waste results'!$S$12, "data missing"),
   IF(Calc!BC51=0,
     IF('Waste results'!$S$48&lt;&gt;"data missing", Calc!BD51*'Waste results'!$S$48, "data missing"),
   IF(OR('Waste results'!$S$12&lt;&gt;"data missing", 'Waste results'!$S$48&lt;&gt;"data missing"), Calc!BC51*'Waste results'!$S$12+ Calc!BD51*'Waste results'!$S$48, "data missing"))),
IF(AND('Field information 2'!$M$5&lt;&gt;"", 'Field information 2'!$O$5&lt;&gt;"", 'Field information 2'!$Q$5&lt;&gt;""),
   IF(AND(Calc!BD51=0,Calc!BE51=0),
     IF('Waste results'!$S$12&lt;&gt;"data missing", Calc!BC51*'Waste results'!$S$12, "data missing"),
   IF(AND(Calc!BC51=0,Calc!BE51=0),
     IF('Waste results'!$S$48&lt;&gt;"data missing", Calc!BD51*'Waste results'!$S$48, "data missing"),
   IF(AND(Calc!BC51=0,Calc!BD51=0),
     IF('Waste results'!$S$84&lt;&gt;"data missing", Calc!BE51*'Waste results'!$S$84, "data missing"),
   IF(Calc!BE51=0,
     IF(OR('Waste results'!$S$12&lt;&gt;"data missing", 'Waste results'!$S$48&lt;&gt;"data missing"), Calc!BC51*'Waste results'!$S$12+ Calc!BD51*'Waste results'!$S$48, "data missing"),
   IF(Calc!BD51=0,
     IF(OR('Waste results'!$S$12&lt;&gt;"data missing", 'Waste results'!$S$84&lt;&gt;"data missing"), Calc!BC51*'Waste results'!$S$12+ Calc!BE51*'Waste results'!$S$84, "data missing"),
   IF(Calc!BC51=0,
     IF(OR('Waste results'!$S$48&lt;&gt;"data missing", 'Waste results'!$S$84&lt;&gt;"data missing"), Calc!BD51*'Waste results'!$S$48+Calc!BE51*'Waste results'!$S$84, "data missing"),
   IF(OR('Waste results'!$S$12&lt;&gt;"data missing", 'Waste results'!$S$48&lt;&gt;"data missing", 'Waste results'!$S$84&lt;&gt;"data missing"), Calc!BC51*'Waste results'!$S$12+Calc!BD51*'Waste results'!$S$48+ Calc!BE51*'Waste results'!$S$84, "data missing")))))))))))</f>
        <v/>
      </c>
      <c r="D53" s="161" t="str">
        <f ca="1">IF(B53="","",
IF(Calc!BG51="","soil texture missing",
IF(OR(Calc!BG51="SL; SZL; ZL",Calc!BG51="SCL; CL; ZCL; SC; ZC; C"),VLOOKUP(Calc!BI51,'Fertiliser recommendations'!$A$4:$C$63,3,FALSE),
IF(Calc!BG51="S; LS",VLOOKUP(Calc!BI51,'Fertiliser recommendations'!$A$4:$C$63,3,FALSE)+VLOOKUP(Calc!BI51,'Fertiliser recommendations'!$A$4:$D$63,4,FALSE),
IF(Calc!BG51="10-25% OM",VLOOKUP(Calc!BI51,'Fertiliser recommendations'!$A$4:$C$63,3,FALSE)+VLOOKUP(Calc!BI51,'Fertiliser recommendations'!$A$4:$E$63,5,FALSE),
IF(Calc!BG51="&gt;25% OM",VLOOKUP(Calc!BI51,'Fertiliser recommendations'!$A$4:$C$63,3,FALSE)+VLOOKUP(Calc!BI51,'Fertiliser recommendations'!$A$4:$F$63,6,FALSE),
""))))))</f>
        <v/>
      </c>
      <c r="E53" s="91" t="str">
        <f t="shared" ca="1" si="0"/>
        <v/>
      </c>
      <c r="F53" s="9" t="str">
        <f ca="1">IF(B53="","",
IF(OR(C53="data missing",D53="soil texture missing"),"data missing",
IF(Calc!BF51=0,"n/a",
IF(C53&lt;0.1*D53,"no benefit",
IF(C53&lt;0.3*D53,"limited benefit",
IF(C53&gt;250,"exceeds limit",
IF(OR(AND(D53=0,C53&gt;75),C53&gt;1.25*D53),"excessive",
IF(D53=0, "no requirement",
"benefit"))))))))</f>
        <v/>
      </c>
      <c r="H53" s="91" t="str">
        <f ca="1">IF(B53="","",
IF(AND('Field information 2'!$O$5="", 'Field information 2'!$Q$5=""),
   IF('Waste results'!$S$17&lt;&gt;"data missing", Calc!BC51*'Waste results'!$S$17, "data missing"),
IF('Field information 2'!$Q$5="",
   IF(Calc!BD51=0,
     IF('Waste results'!$S$17&lt;&gt;"data missing", Calc!BC51*'Waste results'!$S$17, "data missing"),
   IF(Calc!BC51=0,
     IF('Waste results'!$S$53&lt;&gt;"data missing", Calc!BD51*'Waste results'!$S$53, "data missing"),
   IF(OR('Waste results'!$S$17&lt;&gt;"data missing", 'Waste results'!$S$53&lt;&gt;"data missing"), Calc!BC51*'Waste results'!$S$17+ Calc!BD51*'Waste results'!$S$53, "data missing"))),
IF(AND('Field information 2'!$M$5&lt;&gt;"", 'Field information 2'!$O$5&lt;&gt;"", 'Field information 2'!$Q$5&lt;&gt;""),
   IF(AND(Calc!BD51=0,Calc!BE51=0),
     IF('Waste results'!$S$17&lt;&gt;"data missing", Calc!BC51*'Waste results'!$S$17, "data missing"),
   IF(AND(Calc!BC51=0,Calc!BE51=0),
     IF('Waste results'!$S$53&lt;&gt;"data missing", Calc!BD51*'Waste results'!$S$53, "data missing"),
   IF(AND(Calc!BC51=0,Calc!BD51=0),
     IF('Waste results'!$S$89&lt;&gt;"data missing", Calc!BE51*'Waste results'!$S$89, "data missing"),
   IF(Calc!BE51=0,
     IF(OR('Waste results'!$S$17&lt;&gt;"data missing", 'Waste results'!$S$53&lt;&gt;"data missing"), Calc!BC51*'Waste results'!$S$17+ Calc!BD51*'Waste results'!$S$53, "data missing"),
   IF(Calc!BD51=0,
     IF(OR('Waste results'!$S$17&lt;&gt;"data missing", 'Waste results'!$S$89&lt;&gt;"data missing"), Calc!BC51*'Waste results'!$S$17+ Calc!BE51*'Waste results'!$S$89, "data missing"),
   IF(Calc!BC51=0,
     IF(OR('Waste results'!$S$53&lt;&gt;"data missing", 'Waste results'!$S$89&lt;&gt;"data missing"), Calc!BD51*'Waste results'!$S$53+Calc!BE51*'Waste results'!$S$89, "data missing"),
   IF(OR('Waste results'!$S$17&lt;&gt;"data missing", 'Waste results'!$S$53&lt;&gt;"data missing", 'Waste results'!$S$89&lt;&gt;"data missing"), Calc!BC51*'Waste results'!$S$17+Calc!BD51*'Waste results'!$S$53+ Calc!BE51*'Waste results'!$S$89, "data missing")))))))))))</f>
        <v/>
      </c>
      <c r="I53" s="195" t="str">
        <f ca="1">IF(B53="","",
IF(OR(ISBLANK('Soil results'!G56), ISBLANK('Soil results'!G$7)),"data missing",
IF(OR(AND('Soil results'!G$7="Olsen (ADAS)",'Soil results'!G56&lt;16),AND('Soil results'!G$7="modified Morgan (SAC)",'Soil results'!G56&lt;4.5)),50,100)))</f>
        <v/>
      </c>
      <c r="J53" s="49" t="str">
        <f ca="1">IF(B53="","",
IF(OR(ISBLANK('Soil results'!G$7),ISBLANK('Soil results'!G56)),"data missing",
IF(OR(AND('Soil results'!G$7="Olsen (ADAS)",'Soil results'!G56&gt;45),AND('Soil results'!G$7="modified Morgan (SAC)",'Soil results'!G56&gt;30)),0,
IF(OR(AND('Soil results'!G$7="Olsen (ADAS)",'Soil results'!G56&gt;=16,'Soil results'!G56&lt;=20),AND('Soil results'!G$7="modified Morgan (SAC)",'Soil results'!G56&gt;=4.5,'Soil results'!G56&lt;=9.4)),VLOOKUP(Calc!BI51,'Fertiliser recommendations'!$A$4:$I$63,9,FALSE),
IF(OR(AND('Soil results'!G$7="Olsen (ADAS)",'Soil results'!G56&lt;10),AND('Soil results'!G$7="modified Morgan (SAC)",'Soil results'!G56&lt;1.8)),VLOOKUP(Calc!BI51,'Fertiliser recommendations'!$A$4:$I$63,9,FALSE)+VLOOKUP(Calc!BI51,'Fertiliser recommendations'!$A$4:$J$63,10,FALSE),
IF(OR(AND('Soil results'!G$7="Olsen (ADAS)",'Soil results'!G56&lt;16),AND('Soil results'!G$7="modified Morgan (SAC)",'Soil results'!G56&lt;4.5)),VLOOKUP(Calc!BI51,'Fertiliser recommendations'!$A$4:$I$63,9,FALSE)+VLOOKUP(Calc!BI51,'Fertiliser recommendations'!$A$4:$K$63,11,FALSE),
IF(OR(AND('Soil results'!G$7="Olsen (ADAS)",'Soil results'!G56&lt;26),AND('Soil results'!G$7="modified Morgan (SAC)",'Soil results'!G56&lt;13.5)),VLOOKUP(Calc!BI51,'Fertiliser recommendations'!$A$4:$I$63,9,FALSE)+VLOOKUP(Calc!BI51,'Fertiliser recommendations'!$A$4:$L$63,12,FALSE),
IF(OR(AND('Soil results'!G$7="Olsen (ADAS)",'Soil results'!G56&lt;=45),AND('Soil results'!G$7="modified Morgan (SAC)",'Soil results'!G56&lt;=30)),VLOOKUP(Calc!BI51,'Fertiliser recommendations'!$A$4:$I$63,9,FALSE)+VLOOKUP(Calc!BI51,'Fertiliser recommendations'!$A$4:$M$63,13,FALSE),
""))))))))</f>
        <v/>
      </c>
      <c r="K53" s="161" t="str">
        <f t="shared" ca="1" si="1"/>
        <v/>
      </c>
      <c r="L53" s="47" t="str">
        <f ca="1">IF(OR(ISBLANK('Soil results'!G$7),ISBLANK('Soil results'!G56),B53="", H53="data missing"),"",
IF('Soil results'!G$7="Olsen (ADAS)",
IF(((H53*Calc!BM51/2.291-(VLOOKUP(Calc!BI51,'Fertiliser recommendations'!$A$4:$I$63,9,FALSE))/2.291)*10/(400/2.291)+'Soil results'!G56)&lt;10,"0 (VL)",
IF(((H53*Calc!BM51/2.291-(VLOOKUP(Calc!BI51,'Fertiliser recommendations'!$A$4:$I$63,9,FALSE))/2.291)*10/(400/2.291)+'Soil results'!G56)&lt;16,"1 (L)",
IF(((H53*Calc!BM51/2.291-(VLOOKUP(Calc!BI51,'Fertiliser recommendations'!$A$4:$I$63,9,FALSE))/2.291)*10/(400/2.291)+'Soil results'!G56)&lt;21,"2 (M-)",
IF(((H53*Calc!BM51/2.291-(VLOOKUP(Calc!BI51,'Fertiliser recommendations'!$A$4:$I$63,9,FALSE))/2.291)*10/(400/2.291)+'Soil results'!G56)&lt;26,"2 (M+)",
IF(((H53*Calc!BM51/2.291-(VLOOKUP(Calc!BI51,'Fertiliser recommendations'!$A$4:$I$63,9,FALSE))/2.291)*10/(400/2.291)+'Soil results'!G56)&lt;45,"3 (H)","&gt;3 (VH)"))))),
IF('Soil results'!G$7="modified Morgan (SAC)",
IF('Soil results'!G56&gt;=6,
IF(((H53*Calc!BM51/2.291-(VLOOKUP(Calc!BI51,'Fertiliser recommendations'!$A$4:$I$63,9,FALSE))/2.291)*5/(147/2.291)+'Soil results'!G56)&lt;9.5,"2 (M-)",
IF(((H53*Calc!BM51/2.291-(VLOOKUP(Calc!BI51,'Fertiliser recommendations'!$A$4:$I$63,9,FALSE))/2.291)*5/(147/2.291)+'Soil results'!G56)&lt;13.5,"2 (M+)",
IF(((H53*Calc!BM51/2.291-(VLOOKUP(Calc!BI51,'Fertiliser recommendations'!$A$4:$I$63,9,FALSE))/2.291)*5/(147/2.291)+'Soil results'!G56)&lt;30,"3 (H)","4 (VH)"))),
IF(((H53*Calc!BM51/2.291-(VLOOKUP(Calc!BI51,'Fertiliser recommendations'!$A$4:$I$63,9,FALSE))/2.291)*5/(346/2.291)+'Soil results'!G56)&lt;1.8,"0 (VL)",
IF(((H53*Calc!BM51/2.291-(VLOOKUP(Calc!BI51,'Fertiliser recommendations'!$A$4:$I$63,9,FALSE))/2.291)*5/(147/2.291)+'Soil results'!G56)&lt;4.5,"1 (L)","2 (M-)"))))))</f>
        <v/>
      </c>
      <c r="M53" s="9" t="str">
        <f ca="1">IF(B53="","",
IF(OR(H53="data missing",I53="data missing",J53="data missing"),"data missing",
IF(Calc!BF51=0,"n/a",
IF(OR(AND('Soil results'!G$7="Olsen (ADAS)",'Soil results'!G56&gt;45),AND('Soil results'!G$7="modified Morgan (SAC)",'Soil results'!G56&gt;30)),
IF(H53&gt;2,"too high, not acceptable","no requirement"),IF(OR(AND('Soil results'!G$7="Olsen (ADAS)",'Soil results'!G56&gt;25),AND('Soil results'!G$7="modified Morgan (SAC)",'Soil results'!G56&gt;13.4)),
IF(H53*(I53/100)&lt;0.1*J53,"no benefit",
IF(H53*(I53/100)&lt;0.3*J53,"limited benefit",
IF(H53*(I53/100)&lt;1.1*J53,"benefit",
IF(H53*(I53/100)&lt;0.7*VLOOKUP(Calc!BI51,'Fertiliser recommendations'!$A$4:$I$63,9,FALSE),"excessive","too high, not acceptable")))),
IF(OR(AND('Soil results'!G$7="Olsen (ADAS)",'Soil results'!G56&gt;20),AND('Soil results'!G$7="modified Morgan (SAC)",'Soil results'!G56&gt;9.4)),
IF(H53*Calc!BM51*(I53/100)&lt;0.1*J53,"no benefit",
IF(H53*Calc!BM51*(I53/100)&lt;0.3*J53,"limited benefit",
IF(H53*Calc!BM51*(I53/100)&lt;1.1*J53,"benefit",
IF(L53="3 (H)","too high, not acceptable","excessive")))),
IF(OR(AND('Soil results'!G$7="Olsen (ADAS)",'Soil results'!G56&gt;15),AND('Soil results'!G$7="modified Morgan (SAC)",'Soil results'!G56&gt;4.4)),
IF(H53*Calc!BM51*(I53/100)&lt;0.1*VLOOKUP(Calc!BI51,'Fertiliser recommendations'!$A$4:$I$63,9,FALSE),"no benefit",
IF(H53*Calc!BM51*(I53/100)&lt;0.3*VLOOKUP(Calc!BI51,'Fertiliser recommendations'!$A$4:$I$63,9,FALSE),"limited benefit",
IF(H53*Calc!BM51*(I53/100)&lt;1.1*VLOOKUP(Calc!BI51,'Fertiliser recommendations'!$A$4:$I$63,9,FALSE),"benefit",
IF(L53="3 (H)", "too high, not acceptable", "excessive")))),
IF(OR(AND('Soil results'!G$7="Olsen (ADAS)",'Soil results'!G56&lt;=15),AND('Soil results'!G$7="modified Morgan (SAC)",'Soil results'!G56&lt;=4.4)),
IF(H53*Calc!BM51*(I53/100)&lt;0.1*VLOOKUP(Calc!BI51,'Fertiliser recommendations'!$A$4:$I$63,9,FALSE),"no benefit",
IF(H53*Calc!BM51*(I53/100)&lt;0.3*VLOOKUP(Calc!BI51,'Fertiliser recommendations'!$A$4:$I$63,9,FALSE),"limited benefit",
IF(H53*Calc!BM51*(I53/100)&lt;1.1*J53,"benefit","excessive")))))))))))</f>
        <v/>
      </c>
      <c r="O53" s="91" t="str">
        <f ca="1">IF(B53="","",
IF(AND('Field information 2'!$O$5="", 'Field information 2'!$Q$5=""),
   IF('Waste results'!$S$19&lt;&gt;"data missing", Calc!BC51*'Waste results'!$S$19, "data missing"),
IF('Field information 2'!$Q$5="",
   IF(Calc!BD51=0,
     IF('Waste results'!$S$19&lt;&gt;"data missing", Calc!BC51*'Waste results'!$S$19, "data missing"),
   IF(Calc!BC51=0,
     IF('Waste results'!$S$55&lt;&gt;"data missing", Calc!BD51*'Waste results'!$S$55, "data missing"),
   IF(OR('Waste results'!$S$19&lt;&gt;"data missing", 'Waste results'!$S$55&lt;&gt;"data missing"), Calc!BC51*'Waste results'!$S$19+ Calc!BD51*'Waste results'!$S$55, "data missing"))),
IF(AND('Field information 2'!$M$5&lt;&gt;"", 'Field information 2'!$O$5&lt;&gt;"", 'Field information 2'!$Q$5&lt;&gt;""),
   IF(AND(Calc!BD51=0,Calc!BE51=0),
     IF('Waste results'!$S$19&lt;&gt;"data missing", Calc!BC51*'Waste results'!$S$19, "data missing"),
   IF(AND(Calc!BC51=0,Calc!BE51=0),
     IF('Waste results'!$S$55&lt;&gt;"data missing", Calc!BD51*'Waste results'!$S$55, "data missing"),
   IF(AND(Calc!BC51=0,Calc!BD51=0),
     IF('Waste results'!$S$91&lt;&gt;"data missing", Calc!BE51*'Waste results'!$S$91, "data missing"),
   IF(Calc!BE51=0,
     IF(OR('Waste results'!$S$19&lt;&gt;"data missing", 'Waste results'!$S$55&lt;&gt;"data missing"), Calc!BC51*'Waste results'!$S$19+ Calc!BD51*'Waste results'!$S$55, "data missing"),
   IF(Calc!BD51=0,
     IF(OR('Waste results'!$S$19&lt;&gt;"data missing", 'Waste results'!$S$91&lt;&gt;"data missing"), Calc!BC51*'Waste results'!$S$19+ Calc!BE51*'Waste results'!$S$91, "data missing"),
   IF(Calc!BC51=0,
     IF(OR('Waste results'!$S$55&lt;&gt;"data missing", 'Waste results'!$S$91&lt;&gt;"data missing"), Calc!BD51*'Waste results'!$S$55+Calc!BE51*'Waste results'!$S$91, "data missing"),
   IF(OR('Waste results'!$S$19&lt;&gt;"data missing", 'Waste results'!$S$55&lt;&gt;"data missing", 'Waste results'!$S$91&lt;&gt;"data missing"), Calc!BC51*'Waste results'!$S$19+Calc!BD51*'Waste results'!$S$55+ Calc!BE51*'Waste results'!$S$91, "data missing")))))))))))</f>
        <v/>
      </c>
      <c r="P53" s="91" t="str">
        <f ca="1">IF(B53="","",
IF(OR(ISBLANK('Soil results'!H$7),ISBLANK('Soil results'!H56)),"data missing",
IF(OR(AND('Soil results'!H$7="ammonium nitrate (ADAS)",'Soil results'!H56&gt;400),AND('Soil results'!H$7="modified Morgan (SAC)",'Soil results'!H56&gt;400)),0,
IF(OR(AND('Soil results'!H$7="ammonium nitrate (ADAS)",'Soil results'!H56&gt;=121,'Soil results'!H56&lt;=180),AND('Soil results'!H$7="modified Morgan (SAC)",'Soil results'!H56&gt;=76,'Soil results'!H56&lt;=140)),VLOOKUP(Calc!BI51,'Fertiliser recommendations'!$A$4:$Z$63,26,FALSE),
IF(OR(AND('Soil results'!H$7="ammonium nitrate (ADAS)",'Soil results'!H56&lt;61),AND('Soil results'!H$7="modified Morgan (SAC)",'Soil results'!H56&lt;40)),VLOOKUP(Calc!BI51,'Fertiliser recommendations'!$A$4:$Z$63,26,FALSE)+VLOOKUP(Calc!BI51,'Fertiliser recommendations'!$A$4:$AA$63,27,FALSE),
IF(OR(AND('Soil results'!H$7="ammonium nitrate (ADAS)",'Soil results'!H56&lt;121),AND('Soil results'!H$7="modified Morgan (SAC)",'Soil results'!H56&lt;76)),VLOOKUP(Calc!BI51,'Fertiliser recommendations'!$A$4:$Z$63,26,FALSE)+VLOOKUP(Calc!BI51,'Fertiliser recommendations'!$A$4:$AB$63,28,FALSE),
IF(OR(AND('Soil results'!H$7="ammonium nitrate (ADAS)",'Soil results'!H56&lt;241),AND('Soil results'!H$7="modified Morgan (SAC)",'Soil results'!H56&lt;201)),VLOOKUP(Calc!BI51,'Fertiliser recommendations'!$A$4:$Z$63,26,FALSE)+VLOOKUP(Calc!BI51,'Fertiliser recommendations'!$A$4:$AC$63,29,FALSE),
IF(OR(AND('Soil results'!H$7="ammonium nitrate (ADAS)",'Soil results'!H56&lt;=400),AND('Soil results'!H$7="modified Morgan (SAC)",'Soil results'!H56&lt;=400)),VLOOKUP(Calc!BI51,'Fertiliser recommendations'!$A$4:$Z$63,26,FALSE)+VLOOKUP(Calc!BI51,'Fertiliser recommendations'!$A$4:$AD$63,30,FALSE),
"??"))))))))</f>
        <v/>
      </c>
      <c r="Q53" s="91" t="str">
        <f t="shared" ca="1" si="2"/>
        <v/>
      </c>
      <c r="R53" s="9" t="str">
        <f ca="1">IF(B53="","",
IF(OR(O53="data missing",P53="data missing"),"data missing",
IF(Calc!BF51=0,"n/a",
IF(P53=0, "no requirement",
IF(O53&lt;0.1*P53,"no benefit",
IF(O53&lt;0.3*P53,"limited benefit",
IF(O53&gt;1.25*P53,"excessive",
"benefit")))))))</f>
        <v/>
      </c>
      <c r="T53" s="91" t="str">
        <f ca="1">IF(B53="","",
IF(AND('Field information 2'!$O$5="", 'Field information 2'!$Q$5=""),
   IF('Waste results'!$S$21&lt;&gt;"data missing", Calc!BC51*'Waste results'!$S$21, "data missing"),
IF('Field information 2'!$Q$5="",
   IF(Calc!BD51=0,
     IF('Waste results'!$S$21&lt;&gt;"data missing", Calc!BC51*'Waste results'!$S$21, "data missing"),
   IF(Calc!BC51=0,
     IF('Waste results'!$S$57&lt;&gt;"data missing", Calc!BD51*'Waste results'!$S$57, "data missing"),
   IF(OR('Waste results'!$S$21&lt;&gt;"data missing", 'Waste results'!$S$57&lt;&gt;"data missing"), Calc!BC51*'Waste results'!$S$21+ Calc!BD51*'Waste results'!$S$57, "data missing"))),
IF(AND('Field information 2'!$M$5&lt;&gt;"", 'Field information 2'!$O$5&lt;&gt;"", 'Field information 2'!$Q$5&lt;&gt;""),
   IF(AND(Calc!BD51=0,Calc!BE51=0),
     IF('Waste results'!$S$21&lt;&gt;"data missing", Calc!BC51*'Waste results'!$S$21, "data missing"),
   IF(AND(Calc!BC51=0,Calc!BE51=0),
     IF('Waste results'!$S$57&lt;&gt;"data missing", Calc!BD51*'Waste results'!$S$57, "data missing"),
   IF(AND(Calc!BC51=0,Calc!BD51=0),
     IF('Waste results'!$S$93&lt;&gt;"data missing", Calc!BE51*'Waste results'!$S$93, "data missing"),
   IF(Calc!BE51=0,
     IF(OR('Waste results'!$S$21&lt;&gt;"data missing", 'Waste results'!$S$57&lt;&gt;"data missing"), Calc!BC51*'Waste results'!$S$21+ Calc!BD51*'Waste results'!$S$57, "data missing"),
   IF(Calc!BD51=0,
     IF(OR('Waste results'!$S$21&lt;&gt;"data missing", 'Waste results'!$S$93&lt;&gt;"data missing"), Calc!BC51*'Waste results'!$S$21+ Calc!BE51*'Waste results'!$S$93, "data missing"),
   IF(Calc!BC51=0,
     IF(OR('Waste results'!$S$57&lt;&gt;"data missing", 'Waste results'!$S$93&lt;&gt;"data missing"), Calc!BD51*'Waste results'!$S$57+Calc!BE51*'Waste results'!$S$93, "data missing"),
   IF(OR('Waste results'!$S$21&lt;&gt;"data missing", 'Waste results'!$S$57&lt;&gt;"data missing", 'Waste results'!$S$93&lt;&gt;"data missing"), Calc!BC51*'Waste results'!$S$21+Calc!BD51*'Waste results'!$S$57+ Calc!BE51*'Waste results'!$S$93, "data missing")))))))))))</f>
        <v/>
      </c>
      <c r="U53" s="7" t="str">
        <f ca="1">IF(B53="","",
IF(OR(ISBLANK('Soil results'!I$7),ISBLANK('Soil results'!I56)),"data missing",
IF(OR(AND('Soil results'!I$7="ammonium nitrate (ADAS)",'Soil results'!I56&gt;51),AND('Soil results'!I$7="modified Morgan (SAC)",'Soil results'!I56&gt;61)),0,
IF(OR(AND('Soil results'!I$7="ammonium nitrate (ADAS)",'Soil results'!I56&lt;25),AND('Soil results'!I$7="modified Morgan (SAC)",'Soil results'!I56&lt;19)),VLOOKUP(Calc!BI51,'Fertiliser recommendations'!$A$4:$AH$63,34,FALSE),
IF(OR(AND('Soil results'!I$7="ammonium nitrate (ADAS)",'Soil results'!I56&lt;=51),AND('Soil results'!I$7="modified Morgan (SAC)",'Soil results'!I56&lt;=61)),VLOOKUP(Calc!BI51,'Fertiliser recommendations'!$A$4:$AI$63,35,FALSE),
"")))))</f>
        <v/>
      </c>
      <c r="V53" s="91" t="str">
        <f t="shared" ca="1" si="3"/>
        <v/>
      </c>
      <c r="W53" s="9" t="str">
        <f ca="1">IF(B53="","",
IF(OR(T53="data missing",U53="data missing"),"data missing",
IF(Calc!BF51=0,"n/a",
IF(U53=0,"no requirement",
IF(T53&lt;0.1*U53,"no benefit",
IF(T53&lt;0.3*U53,"limited benefit",
IF(OR(T53&gt;1.5*U53,AND(Calc!BJ51="g",T53&gt;100)),"excessive",
"benefit")))))))</f>
        <v/>
      </c>
      <c r="Y53" s="91" t="str">
        <f ca="1">IF(B53="","",
IF(AND('Field information 2'!$O$5="", 'Field information 2'!$Q$5=""),
   IF('Waste results'!$P$23&lt;&gt;"", Calc!BC51*'Waste results'!$P$23, "no data"),
IF('Field information 2'!$Q$5="",
   IF(Calc!BD51=0,
     IF('Waste results'!$P$23&lt;&gt;"", Calc!BC51*'Waste results'!$P$23, "no data"),
   IF(Calc!BC51=0,
     IF('Waste results'!$P$59&lt;&gt;"", Calc!BD51*'Waste results'!$P$59, "no data"),
   IF(OR('Waste results'!$P$23&lt;&gt;"", 'Waste results'!$P$59&lt;&gt;""), Calc!BC51*'Waste results'!$P$23+ Calc!BD51*'Waste results'!$P$59, "no data"))),
IF(AND('Field information 2'!$M$5&lt;&gt;"", 'Field information 2'!$O$5&lt;&gt;"", 'Field information 2'!$Q$5&lt;&gt;""),
   IF(AND(Calc!BD51=0,Calc!BE51=0),
     IF('Waste results'!$P$23&lt;&gt;"", Calc!BC51*'Waste results'!$P$23, "no data"),
   IF(AND(Calc!BC51=0,Calc!BE51=0),
     IF('Waste results'!$P$59&lt;&gt;"", Calc!BD51*'Waste results'!$P$59, "no data"),
   IF(AND(Calc!BC51=0,Calc!BD51=0),
     IF('Waste results'!$P$95&lt;&gt;"", Calc!BE51*'Waste results'!$P$95, "no data"),
   IF(Calc!BE51=0,
     IF(OR('Waste results'!$P$23&lt;&gt;"", 'Waste results'!$P$59&lt;&gt;""), Calc!BC51*'Waste results'!$P$23+ Calc!BD51*'Waste results'!$P$59, "no data"),
   IF(Calc!BD51=0,
     IF(OR('Waste results'!$P$23&lt;&gt;"", 'Waste results'!$P$95&lt;&gt;""), Calc!BC51*'Waste results'!$P$23+ Calc!BE51*'Waste results'!$P$95, "no data"),
   IF(Calc!BC51=0,
     IF(OR('Waste results'!$P$59&lt;&gt;"", 'Waste results'!$P$95&lt;&gt;""), Calc!BD51*'Waste results'!$P$59+Calc!BE51*'Waste results'!$P$95, "no data"),
   IF(OR('Waste results'!$P$23&lt;&gt;"", 'Waste results'!$P$59&lt;&gt;"", 'Waste results'!$P$95&lt;&gt;""), Calc!BC51*'Waste results'!$P$23+Calc!BD51*'Waste results'!$P$59+ Calc!BE51*'Waste results'!$P$95, "no data")))))))))))</f>
        <v/>
      </c>
      <c r="Z53" s="7" t="str">
        <f ca="1">IF(OR(ISBLANK('Soil results'!I$7),ISBLANK('Soil results'!I56),'Soil results'!B56=""),"",
VLOOKUP(Calc!BI51,'Fertiliser recommendations'!$A$4:$AM$63,39,FALSE))</f>
        <v/>
      </c>
      <c r="AA53" s="91" t="str">
        <f t="shared" ca="1" si="4"/>
        <v/>
      </c>
      <c r="AB53" s="9" t="str">
        <f t="shared" ca="1" si="5"/>
        <v/>
      </c>
      <c r="AD53" s="48" t="str">
        <f>IF(ISBLANK('Soil results'!F56),"",'Soil results'!F56)</f>
        <v/>
      </c>
      <c r="AE53" s="49" t="str">
        <f ca="1">IF(B53="","",
IF(AND(Calc!BJ51="g", VLOOKUP(LEFT($B53,LEN($B53)-2),'Field information 2'!$B$12:$P$111,9,FALSE)&lt;&gt;"yes"),
 IF(Calc!BG51="10-25% OM", 5.9, IF(Calc!BG51="&gt;25% OM", 5.5, 6.2)),
IF(OR(Calc!BJ51="a", VLOOKUP(LEFT($B53,LEN($B53)-2),'Field information 2'!$B$12:$P$111,9,FALSE)="yes"),
 IF(Calc!BG51="10-25% OM", 6.4, IF(Calc!BG51="&gt;25% OM", 6, 6.7)), "")))</f>
        <v/>
      </c>
      <c r="AF53" s="91" t="str">
        <f ca="1">IF(B53="","",
IF('Waste results'!$Q$33="","no (significant) liming properties",
IF('Waste results'!Q$33&gt;100,"no (significant) liming properties",
IF(AD53="","",
IF(AD53&gt;=AE53,0,ROUNDDOWN((AE53-AD53)*Calc!BK51*'Waste results'!$Q$33+0.2,0))))))</f>
        <v/>
      </c>
      <c r="AG53" s="9" t="str">
        <f ca="1">IF(B53="","",
IF(T53=0,"n/a",
IF(AD53="","data missing",
IF(AND(AD53&lt;5,AF53="no (significant) liming properties"),"no waste application - pH too low",
IF(AND(AD53&gt;5.1,AF53="no (significant) liming properties",Calc!BH51&gt;25, LEFT(Calc!BI51,4)="graz"),"ok",
IF(AND(AD53&lt;=5.2,AF53="no (significant) liming properties"),"liming highly recommended",
IF(AF53=0,"no waste application - liming not required",
IF(AF53&lt;Calc!BC51,"application rate too high - exceeds liming requirement",
"ok"))))))))</f>
        <v/>
      </c>
      <c r="AI53" s="91" t="str">
        <f ca="1">IF(B53="","",
IF(AND('Field information 2'!$O$5="", 'Field information 2'!$Q$5=""),
   IF('Waste results'!$P$10&lt;&gt;"data missing", Calc!BC51*'Waste results'!$P$10, "data missing"),
IF('Field information 2'!$Q$5="",
   IF(Calc!BD51=0,
     IF('Waste results'!$P$10&lt;&gt;"data missing", Calc!BC51*'Waste results'!$P$10, "data missing"),
   IF(Calc!BC51=0,
     IF('Waste results'!$P$45&lt;&gt;"data missing", Calc!BD51*'Waste results'!$P$45, "data missing"),
   IF(OR('Waste results'!$P$10&lt;&gt;"data missing", 'Waste results'!$P$45&lt;&gt;"data missing"), Calc!BC51*'Waste results'!$P$10+ Calc!BD51*'Waste results'!$P$45, "data missing"))),
IF(AND('Field information 2'!$M$5&lt;&gt;"", 'Field information 2'!$O$5&lt;&gt;"", 'Field information 2'!$Q$5&lt;&gt;""),
   IF(AND(Calc!BD51=0,Calc!BE51=0),
     IF('Waste results'!$P$10&lt;&gt;"data missing", Calc!BC51*'Waste results'!$P$10, "data missing"),
   IF(AND(Calc!BC51=0,Calc!BE51=0),
     IF('Waste results'!$P$45&lt;&gt;"data missing", Calc!BD51*'Waste results'!$P$45, "data missing"),
   IF(AND(Calc!BC51=0,Calc!BD51=0),
     IF('Waste results'!$P$82&lt;&gt;"data missing", Calc!BE51*'Waste results'!$P$82, "data missing"),
   IF(Calc!BE51=0,
     IF(OR('Waste results'!$P$10&lt;&gt;"data missing", 'Waste results'!$P$45&lt;&gt;"data missing"), Calc!BC51*'Waste results'!$P$10+ Calc!BD51*'Waste results'!$P$45, "data missing"),
   IF(Calc!BD51=0,
     IF(OR('Waste results'!$P$10&lt;&gt;"data missing", 'Waste results'!$P$82&lt;&gt;"data missing"), Calc!BC51*'Waste results'!$P$10+ Calc!BE51*'Waste results'!$P$82, "data missing"),
   IF(Calc!BC51=0,
     IF(OR('Waste results'!$P$45&lt;&gt;"data missing", 'Waste results'!$P$82&lt;&gt;"data missing"), Calc!BD51*'Waste results'!$P$45+Calc!BE51*'Waste results'!$P$82, "data missing"),
   IF(OR('Waste results'!$P$10&lt;&gt;"data missing", 'Waste results'!$P$45&lt;&gt;"data missing", 'Waste results'!$P$82&lt;&gt;"data missing"), Calc!BC51*'Waste results'!$P$10+Calc!BD51*'Waste results'!$P$45+ Calc!BE51*'Waste results'!$P$82, "data missing")))))))))))</f>
        <v/>
      </c>
      <c r="AJ53" s="237" t="str">
        <f ca="1">IF(B53="","",
IF(AI53="data missing","data missing",
IF(Calc!BF51=0,"n/a",
IF(AND(Calc!BH51&gt;=8,AI53&lt;500),"no benefit",
IF(OR(AND(Calc!BH51&lt;=4,AI53&gt;=500),AND(Calc!BH51&lt;8,AI53&gt;5000)),"benefit",
"limited benefit")))))</f>
        <v/>
      </c>
      <c r="AL53" s="238" t="str">
        <f ca="1">IF(B53="","",
IF(AND('Field information 2'!$O$5="", 'Field information 2'!$Q$5=""),
   IF('Waste results'!$S$25&lt;&gt;"data missing", Calc!BC51*'Waste results'!$S$25, "data missing"),
IF('Field information 2'!$Q$5="",
   IF(Calc!BD51=0,
     IF('Waste results'!$S$25&lt;&gt;"data missing", Calc!BC51*'Waste results'!$S$25, "data missing"),
   IF(Calc!BC51=0,
     IF('Waste results'!$S$61&lt;&gt;"data missing", Calc!BD51*'Waste results'!$S$61, "data missing"),
   IF(OR('Waste results'!$S$25&lt;&gt;"data missing", 'Waste results'!$S$61&lt;&gt;"data missing"), Calc!BC51*'Waste results'!$S$25+ Calc!BD51*'Waste results'!$S$61, "data missing"))),
IF(AND('Field information 2'!$M$5&lt;&gt;"", 'Field information 2'!$O$5&lt;&gt;"", 'Field information 2'!$Q$5&lt;&gt;""),
   IF(AND(Calc!BD51=0,Calc!BE51=0),
     IF('Waste results'!$S$25&lt;&gt;"data missing", Calc!BC51*'Waste results'!$S$25, "data missing"),
   IF(AND(Calc!BC51=0,Calc!BE51=0),
     IF('Waste results'!$S$61&lt;&gt;"data missing", Calc!BD51*'Waste results'!$S$61, "data missing"),
   IF(AND(Calc!BC51=0,Calc!BD51=0),
     IF('Waste results'!$S$97&lt;&gt;"data missing", Calc!BE51*'Waste results'!$S$97, "data missing"),
   IF(Calc!BE51=0,
     IF(OR('Waste results'!$S$25&lt;&gt;"data missing", 'Waste results'!$S$61&lt;&gt;"data missing"), Calc!BC51*'Waste results'!$S$25+ Calc!BD51*'Waste results'!$S$61, "data missing"),
   IF(Calc!BD51=0,
     IF(OR('Waste results'!$S$25&lt;&gt;"data missing", 'Waste results'!$S$97&lt;&gt;"data missing"), Calc!BC51*'Waste results'!$S$25+ Calc!BE51*'Waste results'!$S$97, "data missing"),
   IF(Calc!BC51=0,
     IF(OR('Waste results'!$S$61&lt;&gt;"data missing", 'Waste results'!$S$97&lt;&gt;"data missing"), Calc!BD51*'Waste results'!$S$61+Calc!BE51*'Waste results'!$S$97, "data missing"),
   IF(OR('Waste results'!$S$25&lt;&gt;"data missing", 'Waste results'!$S$61&lt;&gt;"data missing", 'Waste results'!$S$97&lt;&gt;"data missing"), Calc!BC51*'Waste results'!$S$25+Calc!BD51*'Waste results'!$S$61+ Calc!BE51*'Waste results'!$S$97, "data missing")))))))))))</f>
        <v/>
      </c>
      <c r="AM53" s="239" t="str">
        <f ca="1">IF($B53="","",
IF(ISBLANK('Soil results'!K56),"data missing",'Soil results'!K56))</f>
        <v/>
      </c>
      <c r="AN53" s="239" t="str">
        <f t="shared" ca="1" si="6"/>
        <v/>
      </c>
      <c r="AO53" s="9" t="str">
        <f t="shared" ca="1" si="7"/>
        <v/>
      </c>
      <c r="AQ53" s="240" t="str">
        <f ca="1">IF(B53="","",
IF(AND('Field information 2'!$O$5="", 'Field information 2'!$Q$5=""),
   IF('Waste results'!$S$26&lt;&gt;"data missing", Calc!BC51*'Waste results'!$S$26, "data missing"),
IF('Field information 2'!$Q$5="",
   IF(Calc!BD51=0,
     IF('Waste results'!$S$26&lt;&gt;"data missing", Calc!BC51*'Waste results'!$S$26, "data missing"),
   IF(Calc!BC51=0,
     IF('Waste results'!$S$62&lt;&gt;"data missing", Calc!BD51*'Waste results'!$S$62, "data missing"),
   IF(OR('Waste results'!$S$26&lt;&gt;"data missing", 'Waste results'!$S$62&lt;&gt;"data missing"), Calc!BC51*'Waste results'!$S$26+ Calc!BD51*'Waste results'!$S$62, "data missing"))),
IF(AND('Field information 2'!$M$5&lt;&gt;"", 'Field information 2'!$O$5&lt;&gt;"", 'Field information 2'!$Q$5&lt;&gt;""),
   IF(AND(Calc!BD51=0,Calc!BE51=0),
     IF('Waste results'!$S$26&lt;&gt;"data missing", Calc!BC51*'Waste results'!$S$26, "data missing"),
   IF(AND(Calc!BC51=0,Calc!BE51=0),
     IF('Waste results'!$S$62&lt;&gt;"data missing", Calc!BD51*'Waste results'!$S$62, "data missing"),
   IF(AND(Calc!BC51=0,Calc!BD51=0),
     IF('Waste results'!$S$98&lt;&gt;"data missing", Calc!BE51*'Waste results'!$S$98, "data missing"),
   IF(Calc!BE51=0,
     IF(OR('Waste results'!$S$26&lt;&gt;"data missing", 'Waste results'!$S$62&lt;&gt;"data missing"), Calc!BC51*'Waste results'!$S$26+ Calc!BD51*'Waste results'!$S$62, "data missing"),
   IF(Calc!BD51=0,
     IF(OR('Waste results'!$S$26&lt;&gt;"data missing", 'Waste results'!$S$98&lt;&gt;"data missing"), Calc!BC51*'Waste results'!$S$26+ Calc!BE51*'Waste results'!$S$98, "data missing"),
   IF(Calc!BC51=0,
     IF(OR('Waste results'!$S$62&lt;&gt;"data missing", 'Waste results'!$S$98&lt;&gt;"data missing"), Calc!BD51*'Waste results'!$S$62+Calc!BE51*'Waste results'!$S$98, "data missing"),
   IF(OR('Waste results'!$S$26&lt;&gt;"data missing", 'Waste results'!$S$62&lt;&gt;"data missing", 'Waste results'!$S$98&lt;&gt;"data missing"), Calc!BC51*'Waste results'!$S$26+Calc!BD51*'Waste results'!$S$62+ Calc!BE51*'Waste results'!$S$98, "data missing")))))))))))</f>
        <v/>
      </c>
      <c r="AR53" s="241" t="str">
        <f ca="1">IF($B53="","",
IF(ISBLANK('Soil results'!L56),"data missing",'Soil results'!L56))</f>
        <v/>
      </c>
      <c r="AS53" s="241" t="str">
        <f t="shared" ca="1" si="8"/>
        <v/>
      </c>
      <c r="AT53" s="66" t="str">
        <f t="shared" ca="1" si="9"/>
        <v/>
      </c>
      <c r="AV53" s="238" t="str">
        <f ca="1">IF(B53="","",
IF(AND('Field information 2'!$O$5="", 'Field information 2'!$Q$5=""),
   IF('Waste results'!$S$27&lt;&gt;"data missing", Calc!BC51*'Waste results'!$S$27, "data missing"),
IF('Field information 2'!$Q$5="",
   IF(Calc!BD51=0,
     IF('Waste results'!$S$27&lt;&gt;"data missing", Calc!BC51*'Waste results'!$S$27, "data missing"),
   IF(Calc!BC51=0,
     IF('Waste results'!$S$63&lt;&gt;"data missing", Calc!BD51*'Waste results'!$S$63, "data missing"),
   IF(OR('Waste results'!$S$27&lt;&gt;"data missing", 'Waste results'!$S$63&lt;&gt;"data missing"), Calc!BC51*'Waste results'!$S$27+ Calc!BD51*'Waste results'!$S$63, "data missing"))),
IF(AND('Field information 2'!$M$5&lt;&gt;"", 'Field information 2'!$O$5&lt;&gt;"", 'Field information 2'!$Q$5&lt;&gt;""),
   IF(AND(Calc!BD51=0,Calc!BE51=0),
     IF('Waste results'!$S$27&lt;&gt;"data missing", Calc!BC51*'Waste results'!$S$27, "data missing"),
   IF(AND(Calc!BC51=0,Calc!BE51=0),
     IF('Waste results'!$S$63&lt;&gt;"data missing", Calc!BD51*'Waste results'!$S$63, "data missing"),
   IF(AND(Calc!BC51=0,Calc!BD51=0),
     IF('Waste results'!$S$99&lt;&gt;"data missing", Calc!BE51*'Waste results'!$S$99, "data missing"),
   IF(Calc!BE51=0,
     IF(OR('Waste results'!$S$27&lt;&gt;"data missing", 'Waste results'!$S$63&lt;&gt;"data missing"), Calc!BC51*'Waste results'!$S$27+ Calc!BD51*'Waste results'!$S$63, "data missing"),
   IF(Calc!BD51=0,
     IF(OR('Waste results'!$S$27&lt;&gt;"data missing", 'Waste results'!$S$99&lt;&gt;"data missing"), Calc!BC51*'Waste results'!$S$27+ Calc!BE51*'Waste results'!$S$99, "data missing"),
   IF(Calc!BC51=0,
     IF(OR('Waste results'!$S$63&lt;&gt;"data missing", 'Waste results'!$S$99&lt;&gt;"data missing"), Calc!BD51*'Waste results'!$S$63+Calc!BE51*'Waste results'!$S$99, "data missing"),
   IF(OR('Waste results'!$S$27&lt;&gt;"data missing", 'Waste results'!$S$63&lt;&gt;"data missing", 'Waste results'!$S$99&lt;&gt;"data missing"), Calc!BC51*'Waste results'!$S$27+Calc!BD51*'Waste results'!$S$63+ Calc!BE51*'Waste results'!$S$99, "data missing")))))))))))</f>
        <v/>
      </c>
      <c r="AW53" s="239" t="str">
        <f ca="1">IF($B53="","",
IF(ISBLANK('Soil results'!M56),"data missing",'Soil results'!M56))</f>
        <v/>
      </c>
      <c r="AX53" s="239" t="str">
        <f t="shared" ca="1" si="10"/>
        <v/>
      </c>
      <c r="AY53" s="9" t="str">
        <f ca="1">IF(B53="","",
IF(AV53=0,"n/a",
IF(OR(AV53="data missing",AW53="data missing"),"data missing",
IF(AV53&gt;7.5,"application rate too high - permissible rate exceeds limit",
IF('Soil results'!$F56&lt;=5.5,
  IF(AW53&gt;80,"no application - soil conc. already above limit",
  IF(AX53&gt;80,"application rate too high - soil conc. will exceed limit",
  IF(AW53&gt;80*0.9,"soil conc. is at or above 90% of the limit",
  IF(10*AV53*1000/3000+AW53&gt;80,"soil limit likely to be exceeded in 10yrs",
  IF(50*AV53*1000/3000+AW53&gt;80,"soil limit likely to be exceeded in 50yrs","ok"))))),
IF('Soil results'!$F56&lt;=6,
  IF(AW53&gt;100,"no application - soil conc. already above limit",
  IF(AX53&gt;100,"application rate too high - soil conc. will exceed limit",
  IF(AW53&gt;100*0.9,"soil conc. is at or above 90% of the limit",
  IF(10*AV53*1000/3000+AW53&gt;100,"soil limit likely to be exceeded in 10yrs",
  IF(50*AV53*1000/3000+AW53&gt;100,"soil limit likely to be exceeded in 50yrs","ok"))))),
IF('Soil results'!$F56&lt;=7,
  IF(AW53&gt;135,"no application - soil conc. already above limit",
  IF(AX53&gt;135,"application rate too high - soil conc. will exceed limit",
  IF(AW53&gt;135*0.9,"soil conc. is at or above 90% of the limit",
  IF(10*AV53*1000/3000+AW53&gt;135,"soil limit likely to be exceeded in 10yrs",
  IF(50*AV53*1000/3000+AW53&gt;135,"soil limit likely to be exceeded in 50yrs","ok"))))),
IF('Soil results'!$F56&gt;7,
  IF(AW53&gt;200,"no application - soil conc. already above limit",
  IF(AX53&gt;200,"application too high - soil conc. will exceed limit",
  IF(AW53&gt;200*0.9,"soil conc. is at or above 90% of the limit",
  IF(10*AV53*1000/3000+AW53&gt;200,"soil limit likely to be exceeded in 10yrs",
  IF(50*AV53*1000/3000+AW53&gt;200,"soil limit likely to be exceeded in 50yrs","ok")))))
))))))))</f>
        <v/>
      </c>
      <c r="BA53" s="238" t="str">
        <f ca="1">IF(B53="","",
IF(AND('Field information 2'!$O$5="", 'Field information 2'!$Q$5=""),
   IF('Waste results'!$S$28&lt;&gt;"data missing", Calc!BC51*'Waste results'!$S$28, "data missing"),
IF('Field information 2'!$Q$5="",
   IF(Calc!BD51=0,
     IF('Waste results'!$S$28&lt;&gt;"data missing", Calc!BC51*'Waste results'!$S$28, "data missing"),
   IF(Calc!BC51=0,
     IF('Waste results'!$S$64&lt;&gt;"data missing", Calc!BD51*'Waste results'!$S$64, "data missing"),
   IF(OR('Waste results'!$S$28&lt;&gt;"data missing", 'Waste results'!$S$64&lt;&gt;"data missing"), Calc!BC51*'Waste results'!$S$28+ Calc!BD51*'Waste results'!$S$64, "data missing"))),
IF(AND('Field information 2'!$M$5&lt;&gt;"", 'Field information 2'!$O$5&lt;&gt;"", 'Field information 2'!$Q$5&lt;&gt;""),
   IF(AND(Calc!BD51=0,Calc!BE51=0),
     IF('Waste results'!$S$28&lt;&gt;"data missing", Calc!BC51*'Waste results'!$S$28, "data missing"),
   IF(AND(Calc!BC51=0,Calc!BE51=0),
     IF('Waste results'!$S$64&lt;&gt;"data missing", Calc!BD51*'Waste results'!$S$64, "data missing"),
   IF(AND(Calc!BC51=0,Calc!BD51=0),
     IF('Waste results'!$S$100&lt;&gt;"data missing", Calc!BE51*'Waste results'!$S$100, "data missing"),
   IF(Calc!BE51=0,
     IF(OR('Waste results'!$S$28&lt;&gt;"data missing", 'Waste results'!$S$64&lt;&gt;"data missing"), Calc!BC51*'Waste results'!$S$28+ Calc!BD51*'Waste results'!$S$64, "data missing"),
   IF(Calc!BD51=0,
     IF(OR('Waste results'!$S$28&lt;&gt;"data missing", 'Waste results'!$S$100&lt;&gt;"data missing"), Calc!BC51*'Waste results'!$S$28+ Calc!BE51*'Waste results'!$S$100, "data missing"),
   IF(Calc!BC51=0,
     IF(OR('Waste results'!$S$64&lt;&gt;"data missing", 'Waste results'!$S$100&lt;&gt;"data missing"), Calc!BD51*'Waste results'!$S$64+Calc!BE51*'Waste results'!$S$100, "data missing"),
   IF(OR('Waste results'!$S$28&lt;&gt;"data missing", 'Waste results'!$S$64&lt;&gt;"data missing", 'Waste results'!$S$100&lt;&gt;"data missing"), Calc!BC51*'Waste results'!$S$28+Calc!BD51*'Waste results'!$S$64+ Calc!BE51*'Waste results'!$S$100, "data missing")))))))))))</f>
        <v/>
      </c>
      <c r="BB53" s="239" t="str">
        <f ca="1">IF($B53="","",
IF(ISBLANK('Soil results'!N56),"data missing",'Soil results'!N56))</f>
        <v/>
      </c>
      <c r="BC53" s="239" t="str">
        <f t="shared" ca="1" si="11"/>
        <v/>
      </c>
      <c r="BD53" s="9" t="str">
        <f t="shared" ca="1" si="12"/>
        <v/>
      </c>
      <c r="BF53" s="238" t="str">
        <f ca="1">IF(B53="","",
IF(AND('Field information 2'!$O$5="", 'Field information 2'!$Q$5=""),
   IF('Waste results'!$S$29&lt;&gt;"data missing", Calc!BC51*'Waste results'!$S$29, "data missing"),
IF('Field information 2'!$Q$5="",
   IF(Calc!BD51=0,
     IF('Waste results'!$S$29&lt;&gt;"data missing", Calc!BC51*'Waste results'!$S$29, "data missing"),
   IF(Calc!BC51=0,
     IF('Waste results'!$S$65&lt;&gt;"data missing", Calc!BD51*'Waste results'!$S$65, "data missing"),
   IF(OR('Waste results'!$S$29&lt;&gt;"data missing", 'Waste results'!$S$65&lt;&gt;"data missing"), Calc!BC51*'Waste results'!$S$29+ Calc!BD51*'Waste results'!$S$65, "data missing"))),
IF(AND('Field information 2'!$M$5&lt;&gt;"", 'Field information 2'!$O$5&lt;&gt;"", 'Field information 2'!$Q$5&lt;&gt;""),
   IF(AND(Calc!BD51=0,Calc!BE51=0),
     IF('Waste results'!$S$29&lt;&gt;"data missing", Calc!BC51*'Waste results'!$S$29, "data missing"),
   IF(AND(Calc!BC51=0,Calc!BE51=0),
     IF('Waste results'!$S$65&lt;&gt;"data missing", Calc!BD51*'Waste results'!$S$65, "data missing"),
   IF(AND(Calc!BC51=0,Calc!BD51=0),
     IF('Waste results'!$S$101&lt;&gt;"data missing", Calc!BE51*'Waste results'!$S$101, "data missing"),
   IF(Calc!BE51=0,
     IF(OR('Waste results'!$S$29&lt;&gt;"data missing", 'Waste results'!$S$65&lt;&gt;"data missing"), Calc!BC51*'Waste results'!$S$29+ Calc!BD51*'Waste results'!$S$65, "data missing"),
   IF(Calc!BD51=0,
     IF(OR('Waste results'!$S$29&lt;&gt;"data missing", 'Waste results'!$S$101&lt;&gt;"data missing"), Calc!BC51*'Waste results'!$S$29+ Calc!BE51*'Waste results'!$S$101, "data missing"),
   IF(Calc!BC51=0,
     IF(OR('Waste results'!$S$65&lt;&gt;"data missing", 'Waste results'!$S$101&lt;&gt;"data missing"), Calc!BD51*'Waste results'!$S$65+Calc!BE51*'Waste results'!$S$101, "data missing"),
   IF(OR('Waste results'!$S$29&lt;&gt;"data missing", 'Waste results'!$S$65&lt;&gt;"data missing", 'Waste results'!$S$101&lt;&gt;"data missing"), Calc!BC51*'Waste results'!$S$29+Calc!BD51*'Waste results'!$S$65+ Calc!BE51*'Waste results'!$S$101, "data missing")))))))))))</f>
        <v/>
      </c>
      <c r="BG53" s="239" t="str">
        <f ca="1">IF($B53="","",
IF(ISBLANK('Soil results'!O56),"data missing",'Soil results'!O56))</f>
        <v/>
      </c>
      <c r="BH53" s="239" t="str">
        <f t="shared" ca="1" si="13"/>
        <v/>
      </c>
      <c r="BI53" s="9" t="str">
        <f ca="1">IF(B53="","",
IF(BF53=0,"n/a",
IF(OR(BF53="data missing",BG53="data missing"),"data missing",
IF(BF53&gt;3,"application rate too high - permissible rate exceeds limit",
IF('Soil results'!F56&lt;=5.5,
  IF(BG53&gt;50,"no application - soil conc. already above limit",
  IF(BH53&gt;50,"application rate too high - soil conc. will exceed limit",
  IF(BG53&gt;50*0.9,"soil conc. is at or above 90% of the limit",
  IF(10*BF53*1000/3000+BG53&gt;50,"soil limit likely to be exceeded in 10yrs",
  IF(50*BF53*1000/3000+BG53&gt;50,"soil limit likely to be exceeded in 50yrs","ok"))))),
IF('Soil results'!F56&lt;=6,
  IF(BG53&gt;60,"no application - soil conc. already above limit",
  IF(BH53&gt;60,"application rate too high - soil conc. will exceed limit",
  IF(BG53&gt;60*0.9,"soil conc. is at or above 90% of the limit",
  IF(10*BF53*1000/3000+BG53&gt;60,"soil limit likely to be exceeded in 10yrs",
  IF(50*BF53*1000/3000+BG53&gt;60,"soil limit likely to be exceeded in 50yrs","ok"))))),
IF('Soil results'!F56&lt;=7,
  IF(BG53&gt;75,"no application - soil conc. already above limit",
  IF(BH53&gt;75,"application rate too high - soil conc. will exceed limit",
  IF(BG53&gt;75*0.9,"soil conc. is at or above 90% of the limit",
  IF(10*BF53*1000/3000+BG53&gt;75,"soil limit likely to be exceeded in 10yrs",
  IF(50*BF53*1000/3000+BG53&gt;75,"soil limit likely to be exceeded in 50yrs","ok"))))),
IF('Soil results'!F56&gt;7,
  IF(BG53&gt;100,"no application - soil conc. already above limit",
  IF(BH53&gt;100,"application rate too high - soil conc. will exceed limit",
  IF(BG53&gt;100*0.9,"soil conc. is at or above 90% of the limit",
  IF(10*BF53*1000/3000+BG53&gt;100,"soil limit likely to be exceeded in 10yrs",
  IF(50*BF53*1000/3000+BG53&gt;100,"soil limit likely to beexceeded in 50yrs","ok")))))
))))))))</f>
        <v/>
      </c>
      <c r="BK53" s="240" t="str">
        <f ca="1">IF(B53="","",
IF(AND('Field information 2'!$O$5="", 'Field information 2'!$Q$5=""),
   IF('Waste results'!$S$30&lt;&gt;"data missing", Calc!BC51*'Waste results'!$S$30, "data missing"),
IF('Field information 2'!$Q$5="",
   IF(Calc!BD51=0,
     IF('Waste results'!$S$30&lt;&gt;"data missing", Calc!BC51*'Waste results'!$S$30, "data missing"),
   IF(Calc!BC51=0,
     IF('Waste results'!$S$66&lt;&gt;"data missing", Calc!BD51*'Waste results'!$S$66, "data missing"),
   IF(OR('Waste results'!$S$30&lt;&gt;"data missing", 'Waste results'!$S$66&lt;&gt;"data missing"), Calc!BC51*'Waste results'!$S$30+ Calc!BD51*'Waste results'!$S$66, "data missing"))),
IF(AND('Field information 2'!$M$5&lt;&gt;"", 'Field information 2'!$O$5&lt;&gt;"", 'Field information 2'!$Q$5&lt;&gt;""),
   IF(AND(Calc!BD51=0,Calc!BE51=0),
     IF('Waste results'!$S$30&lt;&gt;"data missing", Calc!BC51*'Waste results'!$S$30, "data missing"),
   IF(AND(Calc!BC51=0,Calc!BE51=0),
     IF('Waste results'!$S$66&lt;&gt;"data missing", Calc!BD51*'Waste results'!$S$66, "data missing"),
   IF(AND(Calc!BC51=0,Calc!BD51=0),
     IF('Waste results'!$S$102&lt;&gt;"data missing", Calc!BE51*'Waste results'!$S$102, "data missing"),
   IF(Calc!BE51=0,
     IF(OR('Waste results'!$S$30&lt;&gt;"data missing", 'Waste results'!$S$66&lt;&gt;"data missing"), Calc!BC51*'Waste results'!$S$30+ Calc!BD51*'Waste results'!$S$66, "data missing"),
   IF(Calc!BD51=0,
     IF(OR('Waste results'!$S$30&lt;&gt;"data missing", 'Waste results'!$S$102&lt;&gt;"data missing"), Calc!BC51*'Waste results'!$S$30+ Calc!BE51*'Waste results'!$S$102, "data missing"),
   IF(Calc!BC51=0,
     IF(OR('Waste results'!$S$66&lt;&gt;"data missing", 'Waste results'!$S$102&lt;&gt;"data missing"), Calc!BD51*'Waste results'!$S$66+Calc!BE51*'Waste results'!$S$102, "data missing"),
   IF(OR('Waste results'!$S$30&lt;&gt;"data missing", 'Waste results'!$S$66&lt;&gt;"data missing", 'Waste results'!$S$102&lt;&gt;"data missing"), Calc!BC51*'Waste results'!$S$30+Calc!BD51*'Waste results'!$S$66+ Calc!BE51*'Waste results'!$S$102, "data missing")))))))))))</f>
        <v/>
      </c>
      <c r="BL53" s="241" t="str">
        <f ca="1">IF($B53="","",
IF(ISBLANK('Soil results'!P56),"data missing",'Soil results'!P56))</f>
        <v/>
      </c>
      <c r="BM53" s="241" t="str">
        <f t="shared" ca="1" si="14"/>
        <v/>
      </c>
      <c r="BN53" s="66" t="str">
        <f t="shared" ca="1" si="15"/>
        <v/>
      </c>
      <c r="BP53" s="238" t="str">
        <f ca="1">IF(B53="","",
IF(AND('Field information 2'!$O$5="", 'Field information 2'!$Q$5=""),
   IF('Waste results'!$S$31&lt;&gt;"data missing", Calc!BC51*'Waste results'!$S$31, "data missing"),
IF('Field information 2'!$Q$5="",
   IF(Calc!BD51=0,
     IF('Waste results'!$S$31&lt;&gt;"data missing", Calc!BC51*'Waste results'!$S$31, "data missing"),
   IF(Calc!BC51=0,
     IF('Waste results'!$S$67&lt;&gt;"data missing", Calc!BD51*'Waste results'!$S$67, "data missing"),
   IF(OR('Waste results'!$S$31&lt;&gt;"data missing", 'Waste results'!$S$67&lt;&gt;"data missing"), Calc!BC51*'Waste results'!$S$31+ Calc!BD51*'Waste results'!$S$67, "data missing"))),
IF(AND('Field information 2'!$M$5&lt;&gt;"", 'Field information 2'!$O$5&lt;&gt;"", 'Field information 2'!$Q$5&lt;&gt;""),
   IF(AND(Calc!BD51=0,Calc!BE51=0),
     IF('Waste results'!$S$31&lt;&gt;"data missing", Calc!BC51*'Waste results'!$S$31, "data missing"),
   IF(AND(Calc!BC51=0,Calc!BE51=0),
     IF('Waste results'!$S$67&lt;&gt;"data missing", Calc!BD51*'Waste results'!$S$67, "data missing"),
   IF(AND(Calc!BC51=0,Calc!BD51=0),
     IF('Waste results'!$S$103&lt;&gt;"data missing", Calc!BE51*'Waste results'!$S$103, "data missing"),
   IF(Calc!BE51=0,
     IF(OR('Waste results'!$S$31&lt;&gt;"data missing", 'Waste results'!$S$67&lt;&gt;"data missing"), Calc!BC51*'Waste results'!$S$31+ Calc!BD51*'Waste results'!$S$67, "data missing"),
   IF(Calc!BD51=0,
     IF(OR('Waste results'!$S$31&lt;&gt;"data missing", 'Waste results'!$S$103&lt;&gt;"data missing"), Calc!BC51*'Waste results'!$S$31+ Calc!BE51*'Waste results'!$S$103, "data missing"),
   IF(Calc!BC51=0,
     IF(OR('Waste results'!$S$67&lt;&gt;"data missing", 'Waste results'!$S$103&lt;&gt;"data missing"), Calc!BD51*'Waste results'!$S$67+Calc!BE51*'Waste results'!$S$103, "data missing"),
   IF(OR('Waste results'!$S$31&lt;&gt;"data missing", 'Waste results'!$S$67&lt;&gt;"data missing", 'Waste results'!$S$103&lt;&gt;"data missing"), Calc!BC51*'Waste results'!$S$31+Calc!BD51*'Waste results'!$S$67+ Calc!BE51*'Waste results'!$S$103, "data missing")))))))))))</f>
        <v/>
      </c>
      <c r="BQ53" s="239" t="str">
        <f ca="1">IF($B53="","",
IF(ISBLANK('Soil results'!Q56),"data missing",'Soil results'!Q56))</f>
        <v/>
      </c>
      <c r="BR53" s="239" t="str">
        <f t="shared" ca="1" si="16"/>
        <v/>
      </c>
      <c r="BS53" s="9" t="str">
        <f ca="1">IF(B53="","",
IF(BP53=0,"n/a",
IF(OR(BP53="data missing",BQ53=""),"data missing",
IF(BP53&gt;15,"application rate too high - permissible rate exceeds limit",
IF('Soil results'!F56&lt;=5.5,
  IF(BQ53&gt;200,"no application - soil conc. already above limit",
  IF(BR53&gt;200,"application rate too high - soil conc. will exceed limit",
  IF(BQ53&gt;200*0.9,"soil conc. is at or above 90% of the limit",
  IF(10*BP53*1000/3000+BQ53&gt;200,"soil limit likely to be exceeded in 10yrs",
  IF(50*BP53*1000/3000+BQ53&gt;200,"soil limit likely to be exceeded in 50yrs","ok"))))),
IF('Soil results'!F56&lt;=6,
  IF(BQ53&gt;250,"no application - soil conc. already above limit",
  IF(BR53&gt;250,"application rate too high - soil conc. will exceed limit",
  IF(BQ53&gt;250*0.9,"soil conc. is at or above 90% of the limit",
  IF(10*BP53*1000/3000+BQ53&gt;250,"soil limit likely to be exceeded in 10yrs",
  IF(50*BP53*1000/3000+BQ53&gt;250,"soil limit likely to be exceeded in 50yrs","ok"))))),
IF('Soil results'!F56&lt;=7,
  IF(BQ53&gt;300,"no application - soil conc. already above limit",
  IF(BR53&gt;300,"application rate too high - soil conc. will exceed limit",
  IF(BQ53&gt;300*0.9,"soil conc. is at or above 90% of the limit",
  IF(10*BP53*1000/3000+BQ53&gt;300,"soil limit likey to be exceeded in 10yrs",
  IF(50*BP53*1000/3000+BQ53&gt;300,"soil limit likely to be exceeded in 50yrs","ok"))))),
IF('Soil results'!F56&gt;7,
  IF(BQ53&gt;450,"no application - soil conc. already above limit",
  IF(BR53&gt;450,"application rate too high - soil conc. will exceed limit",
  IF(AW53&gt;450*0.9,"soil conc. is at or above 90% of the limit",
  IF(10*BP53*1000/3000+BQ53&gt;450,"soil limit likely to be exceeded in 10yrs",
  IF(50*BP53*1000/3000+BQ53&gt;450,"soil limit likely to be exceeded in 50yrs","ok")))))
))))))))</f>
        <v/>
      </c>
    </row>
    <row r="54" spans="2:71" s="9" customFormat="1" ht="15" x14ac:dyDescent="0.25">
      <c r="B54" s="236" t="str">
        <f ca="1">'Soil results'!B57</f>
        <v/>
      </c>
      <c r="C54" s="91" t="str">
        <f ca="1">IF(B54="","",
IF(AND('Field information 2'!$O$5="", 'Field information 2'!$Q$5=""),
   IF('Waste results'!$S$12&lt;&gt;"data missing", Calc!BC52*'Waste results'!$S$12, "data missing"),
IF('Field information 2'!$Q$5="",
   IF(Calc!BD52=0,
     IF('Waste results'!$S$12&lt;&gt;"data missing", Calc!BC52*'Waste results'!$S$12, "data missing"),
   IF(Calc!BC52=0,
     IF('Waste results'!$S$48&lt;&gt;"data missing", Calc!BD52*'Waste results'!$S$48, "data missing"),
   IF(OR('Waste results'!$S$12&lt;&gt;"data missing", 'Waste results'!$S$48&lt;&gt;"data missing"), Calc!BC52*'Waste results'!$S$12+ Calc!BD52*'Waste results'!$S$48, "data missing"))),
IF(AND('Field information 2'!$M$5&lt;&gt;"", 'Field information 2'!$O$5&lt;&gt;"", 'Field information 2'!$Q$5&lt;&gt;""),
   IF(AND(Calc!BD52=0,Calc!BE52=0),
     IF('Waste results'!$S$12&lt;&gt;"data missing", Calc!BC52*'Waste results'!$S$12, "data missing"),
   IF(AND(Calc!BC52=0,Calc!BE52=0),
     IF('Waste results'!$S$48&lt;&gt;"data missing", Calc!BD52*'Waste results'!$S$48, "data missing"),
   IF(AND(Calc!BC52=0,Calc!BD52=0),
     IF('Waste results'!$S$84&lt;&gt;"data missing", Calc!BE52*'Waste results'!$S$84, "data missing"),
   IF(Calc!BE52=0,
     IF(OR('Waste results'!$S$12&lt;&gt;"data missing", 'Waste results'!$S$48&lt;&gt;"data missing"), Calc!BC52*'Waste results'!$S$12+ Calc!BD52*'Waste results'!$S$48, "data missing"),
   IF(Calc!BD52=0,
     IF(OR('Waste results'!$S$12&lt;&gt;"data missing", 'Waste results'!$S$84&lt;&gt;"data missing"), Calc!BC52*'Waste results'!$S$12+ Calc!BE52*'Waste results'!$S$84, "data missing"),
   IF(Calc!BC52=0,
     IF(OR('Waste results'!$S$48&lt;&gt;"data missing", 'Waste results'!$S$84&lt;&gt;"data missing"), Calc!BD52*'Waste results'!$S$48+Calc!BE52*'Waste results'!$S$84, "data missing"),
   IF(OR('Waste results'!$S$12&lt;&gt;"data missing", 'Waste results'!$S$48&lt;&gt;"data missing", 'Waste results'!$S$84&lt;&gt;"data missing"), Calc!BC52*'Waste results'!$S$12+Calc!BD52*'Waste results'!$S$48+ Calc!BE52*'Waste results'!$S$84, "data missing")))))))))))</f>
        <v/>
      </c>
      <c r="D54" s="161" t="str">
        <f ca="1">IF(B54="","",
IF(Calc!BG52="","soil texture missing",
IF(OR(Calc!BG52="SL; SZL; ZL",Calc!BG52="SCL; CL; ZCL; SC; ZC; C"),VLOOKUP(Calc!BI52,'Fertiliser recommendations'!$A$4:$C$63,3,FALSE),
IF(Calc!BG52="S; LS",VLOOKUP(Calc!BI52,'Fertiliser recommendations'!$A$4:$C$63,3,FALSE)+VLOOKUP(Calc!BI52,'Fertiliser recommendations'!$A$4:$D$63,4,FALSE),
IF(Calc!BG52="10-25% OM",VLOOKUP(Calc!BI52,'Fertiliser recommendations'!$A$4:$C$63,3,FALSE)+VLOOKUP(Calc!BI52,'Fertiliser recommendations'!$A$4:$E$63,5,FALSE),
IF(Calc!BG52="&gt;25% OM",VLOOKUP(Calc!BI52,'Fertiliser recommendations'!$A$4:$C$63,3,FALSE)+VLOOKUP(Calc!BI52,'Fertiliser recommendations'!$A$4:$F$63,6,FALSE),
""))))))</f>
        <v/>
      </c>
      <c r="E54" s="91" t="str">
        <f t="shared" ca="1" si="0"/>
        <v/>
      </c>
      <c r="F54" s="9" t="str">
        <f ca="1">IF(B54="","",
IF(OR(C54="data missing",D54="soil texture missing"),"data missing",
IF(Calc!BF52=0,"n/a",
IF(C54&lt;0.1*D54,"no benefit",
IF(C54&lt;0.3*D54,"limited benefit",
IF(C54&gt;250,"exceeds limit",
IF(OR(AND(D54=0,C54&gt;75),C54&gt;1.25*D54),"excessive",
IF(D54=0, "no requirement",
"benefit"))))))))</f>
        <v/>
      </c>
      <c r="H54" s="91" t="str">
        <f ca="1">IF(B54="","",
IF(AND('Field information 2'!$O$5="", 'Field information 2'!$Q$5=""),
   IF('Waste results'!$S$17&lt;&gt;"data missing", Calc!BC52*'Waste results'!$S$17, "data missing"),
IF('Field information 2'!$Q$5="",
   IF(Calc!BD52=0,
     IF('Waste results'!$S$17&lt;&gt;"data missing", Calc!BC52*'Waste results'!$S$17, "data missing"),
   IF(Calc!BC52=0,
     IF('Waste results'!$S$53&lt;&gt;"data missing", Calc!BD52*'Waste results'!$S$53, "data missing"),
   IF(OR('Waste results'!$S$17&lt;&gt;"data missing", 'Waste results'!$S$53&lt;&gt;"data missing"), Calc!BC52*'Waste results'!$S$17+ Calc!BD52*'Waste results'!$S$53, "data missing"))),
IF(AND('Field information 2'!$M$5&lt;&gt;"", 'Field information 2'!$O$5&lt;&gt;"", 'Field information 2'!$Q$5&lt;&gt;""),
   IF(AND(Calc!BD52=0,Calc!BE52=0),
     IF('Waste results'!$S$17&lt;&gt;"data missing", Calc!BC52*'Waste results'!$S$17, "data missing"),
   IF(AND(Calc!BC52=0,Calc!BE52=0),
     IF('Waste results'!$S$53&lt;&gt;"data missing", Calc!BD52*'Waste results'!$S$53, "data missing"),
   IF(AND(Calc!BC52=0,Calc!BD52=0),
     IF('Waste results'!$S$89&lt;&gt;"data missing", Calc!BE52*'Waste results'!$S$89, "data missing"),
   IF(Calc!BE52=0,
     IF(OR('Waste results'!$S$17&lt;&gt;"data missing", 'Waste results'!$S$53&lt;&gt;"data missing"), Calc!BC52*'Waste results'!$S$17+ Calc!BD52*'Waste results'!$S$53, "data missing"),
   IF(Calc!BD52=0,
     IF(OR('Waste results'!$S$17&lt;&gt;"data missing", 'Waste results'!$S$89&lt;&gt;"data missing"), Calc!BC52*'Waste results'!$S$17+ Calc!BE52*'Waste results'!$S$89, "data missing"),
   IF(Calc!BC52=0,
     IF(OR('Waste results'!$S$53&lt;&gt;"data missing", 'Waste results'!$S$89&lt;&gt;"data missing"), Calc!BD52*'Waste results'!$S$53+Calc!BE52*'Waste results'!$S$89, "data missing"),
   IF(OR('Waste results'!$S$17&lt;&gt;"data missing", 'Waste results'!$S$53&lt;&gt;"data missing", 'Waste results'!$S$89&lt;&gt;"data missing"), Calc!BC52*'Waste results'!$S$17+Calc!BD52*'Waste results'!$S$53+ Calc!BE52*'Waste results'!$S$89, "data missing")))))))))))</f>
        <v/>
      </c>
      <c r="I54" s="195" t="str">
        <f ca="1">IF(B54="","",
IF(OR(ISBLANK('Soil results'!G57), ISBLANK('Soil results'!G$7)),"data missing",
IF(OR(AND('Soil results'!G$7="Olsen (ADAS)",'Soil results'!G57&lt;16),AND('Soil results'!G$7="modified Morgan (SAC)",'Soil results'!G57&lt;4.5)),50,100)))</f>
        <v/>
      </c>
      <c r="J54" s="49" t="str">
        <f ca="1">IF(B54="","",
IF(OR(ISBLANK('Soil results'!G$7),ISBLANK('Soil results'!G57)),"data missing",
IF(OR(AND('Soil results'!G$7="Olsen (ADAS)",'Soil results'!G57&gt;45),AND('Soil results'!G$7="modified Morgan (SAC)",'Soil results'!G57&gt;30)),0,
IF(OR(AND('Soil results'!G$7="Olsen (ADAS)",'Soil results'!G57&gt;=16,'Soil results'!G57&lt;=20),AND('Soil results'!G$7="modified Morgan (SAC)",'Soil results'!G57&gt;=4.5,'Soil results'!G57&lt;=9.4)),VLOOKUP(Calc!BI52,'Fertiliser recommendations'!$A$4:$I$63,9,FALSE),
IF(OR(AND('Soil results'!G$7="Olsen (ADAS)",'Soil results'!G57&lt;10),AND('Soil results'!G$7="modified Morgan (SAC)",'Soil results'!G57&lt;1.8)),VLOOKUP(Calc!BI52,'Fertiliser recommendations'!$A$4:$I$63,9,FALSE)+VLOOKUP(Calc!BI52,'Fertiliser recommendations'!$A$4:$J$63,10,FALSE),
IF(OR(AND('Soil results'!G$7="Olsen (ADAS)",'Soil results'!G57&lt;16),AND('Soil results'!G$7="modified Morgan (SAC)",'Soil results'!G57&lt;4.5)),VLOOKUP(Calc!BI52,'Fertiliser recommendations'!$A$4:$I$63,9,FALSE)+VLOOKUP(Calc!BI52,'Fertiliser recommendations'!$A$4:$K$63,11,FALSE),
IF(OR(AND('Soil results'!G$7="Olsen (ADAS)",'Soil results'!G57&lt;26),AND('Soil results'!G$7="modified Morgan (SAC)",'Soil results'!G57&lt;13.5)),VLOOKUP(Calc!BI52,'Fertiliser recommendations'!$A$4:$I$63,9,FALSE)+VLOOKUP(Calc!BI52,'Fertiliser recommendations'!$A$4:$L$63,12,FALSE),
IF(OR(AND('Soil results'!G$7="Olsen (ADAS)",'Soil results'!G57&lt;=45),AND('Soil results'!G$7="modified Morgan (SAC)",'Soil results'!G57&lt;=30)),VLOOKUP(Calc!BI52,'Fertiliser recommendations'!$A$4:$I$63,9,FALSE)+VLOOKUP(Calc!BI52,'Fertiliser recommendations'!$A$4:$M$63,13,FALSE),
""))))))))</f>
        <v/>
      </c>
      <c r="K54" s="161" t="str">
        <f t="shared" ca="1" si="1"/>
        <v/>
      </c>
      <c r="L54" s="47" t="str">
        <f ca="1">IF(OR(ISBLANK('Soil results'!G$7),ISBLANK('Soil results'!G57),B54="", H54="data missing"),"",
IF('Soil results'!G$7="Olsen (ADAS)",
IF(((H54*Calc!BM52/2.291-(VLOOKUP(Calc!BI52,'Fertiliser recommendations'!$A$4:$I$63,9,FALSE))/2.291)*10/(400/2.291)+'Soil results'!G57)&lt;10,"0 (VL)",
IF(((H54*Calc!BM52/2.291-(VLOOKUP(Calc!BI52,'Fertiliser recommendations'!$A$4:$I$63,9,FALSE))/2.291)*10/(400/2.291)+'Soil results'!G57)&lt;16,"1 (L)",
IF(((H54*Calc!BM52/2.291-(VLOOKUP(Calc!BI52,'Fertiliser recommendations'!$A$4:$I$63,9,FALSE))/2.291)*10/(400/2.291)+'Soil results'!G57)&lt;21,"2 (M-)",
IF(((H54*Calc!BM52/2.291-(VLOOKUP(Calc!BI52,'Fertiliser recommendations'!$A$4:$I$63,9,FALSE))/2.291)*10/(400/2.291)+'Soil results'!G57)&lt;26,"2 (M+)",
IF(((H54*Calc!BM52/2.291-(VLOOKUP(Calc!BI52,'Fertiliser recommendations'!$A$4:$I$63,9,FALSE))/2.291)*10/(400/2.291)+'Soil results'!G57)&lt;45,"3 (H)","&gt;3 (VH)"))))),
IF('Soil results'!G$7="modified Morgan (SAC)",
IF('Soil results'!G57&gt;=6,
IF(((H54*Calc!BM52/2.291-(VLOOKUP(Calc!BI52,'Fertiliser recommendations'!$A$4:$I$63,9,FALSE))/2.291)*5/(147/2.291)+'Soil results'!G57)&lt;9.5,"2 (M-)",
IF(((H54*Calc!BM52/2.291-(VLOOKUP(Calc!BI52,'Fertiliser recommendations'!$A$4:$I$63,9,FALSE))/2.291)*5/(147/2.291)+'Soil results'!G57)&lt;13.5,"2 (M+)",
IF(((H54*Calc!BM52/2.291-(VLOOKUP(Calc!BI52,'Fertiliser recommendations'!$A$4:$I$63,9,FALSE))/2.291)*5/(147/2.291)+'Soil results'!G57)&lt;30,"3 (H)","4 (VH)"))),
IF(((H54*Calc!BM52/2.291-(VLOOKUP(Calc!BI52,'Fertiliser recommendations'!$A$4:$I$63,9,FALSE))/2.291)*5/(346/2.291)+'Soil results'!G57)&lt;1.8,"0 (VL)",
IF(((H54*Calc!BM52/2.291-(VLOOKUP(Calc!BI52,'Fertiliser recommendations'!$A$4:$I$63,9,FALSE))/2.291)*5/(147/2.291)+'Soil results'!G57)&lt;4.5,"1 (L)","2 (M-)"))))))</f>
        <v/>
      </c>
      <c r="M54" s="9" t="str">
        <f ca="1">IF(B54="","",
IF(OR(H54="data missing",I54="data missing",J54="data missing"),"data missing",
IF(Calc!BF52=0,"n/a",
IF(OR(AND('Soil results'!G$7="Olsen (ADAS)",'Soil results'!G57&gt;45),AND('Soil results'!G$7="modified Morgan (SAC)",'Soil results'!G57&gt;30)),
IF(H54&gt;2,"too high, not acceptable","no requirement"),IF(OR(AND('Soil results'!G$7="Olsen (ADAS)",'Soil results'!G57&gt;25),AND('Soil results'!G$7="modified Morgan (SAC)",'Soil results'!G57&gt;13.4)),
IF(H54*(I54/100)&lt;0.1*J54,"no benefit",
IF(H54*(I54/100)&lt;0.3*J54,"limited benefit",
IF(H54*(I54/100)&lt;1.1*J54,"benefit",
IF(H54*(I54/100)&lt;0.7*VLOOKUP(Calc!BI52,'Fertiliser recommendations'!$A$4:$I$63,9,FALSE),"excessive","too high, not acceptable")))),
IF(OR(AND('Soil results'!G$7="Olsen (ADAS)",'Soil results'!G57&gt;20),AND('Soil results'!G$7="modified Morgan (SAC)",'Soil results'!G57&gt;9.4)),
IF(H54*Calc!BM52*(I54/100)&lt;0.1*J54,"no benefit",
IF(H54*Calc!BM52*(I54/100)&lt;0.3*J54,"limited benefit",
IF(H54*Calc!BM52*(I54/100)&lt;1.1*J54,"benefit",
IF(L54="3 (H)","too high, not acceptable","excessive")))),
IF(OR(AND('Soil results'!G$7="Olsen (ADAS)",'Soil results'!G57&gt;15),AND('Soil results'!G$7="modified Morgan (SAC)",'Soil results'!G57&gt;4.4)),
IF(H54*Calc!BM52*(I54/100)&lt;0.1*VLOOKUP(Calc!BI52,'Fertiliser recommendations'!$A$4:$I$63,9,FALSE),"no benefit",
IF(H54*Calc!BM52*(I54/100)&lt;0.3*VLOOKUP(Calc!BI52,'Fertiliser recommendations'!$A$4:$I$63,9,FALSE),"limited benefit",
IF(H54*Calc!BM52*(I54/100)&lt;1.1*VLOOKUP(Calc!BI52,'Fertiliser recommendations'!$A$4:$I$63,9,FALSE),"benefit",
IF(L54="3 (H)", "too high, not acceptable", "excessive")))),
IF(OR(AND('Soil results'!G$7="Olsen (ADAS)",'Soil results'!G57&lt;=15),AND('Soil results'!G$7="modified Morgan (SAC)",'Soil results'!G57&lt;=4.4)),
IF(H54*Calc!BM52*(I54/100)&lt;0.1*VLOOKUP(Calc!BI52,'Fertiliser recommendations'!$A$4:$I$63,9,FALSE),"no benefit",
IF(H54*Calc!BM52*(I54/100)&lt;0.3*VLOOKUP(Calc!BI52,'Fertiliser recommendations'!$A$4:$I$63,9,FALSE),"limited benefit",
IF(H54*Calc!BM52*(I54/100)&lt;1.1*J54,"benefit","excessive")))))))))))</f>
        <v/>
      </c>
      <c r="O54" s="91" t="str">
        <f ca="1">IF(B54="","",
IF(AND('Field information 2'!$O$5="", 'Field information 2'!$Q$5=""),
   IF('Waste results'!$S$19&lt;&gt;"data missing", Calc!BC52*'Waste results'!$S$19, "data missing"),
IF('Field information 2'!$Q$5="",
   IF(Calc!BD52=0,
     IF('Waste results'!$S$19&lt;&gt;"data missing", Calc!BC52*'Waste results'!$S$19, "data missing"),
   IF(Calc!BC52=0,
     IF('Waste results'!$S$55&lt;&gt;"data missing", Calc!BD52*'Waste results'!$S$55, "data missing"),
   IF(OR('Waste results'!$S$19&lt;&gt;"data missing", 'Waste results'!$S$55&lt;&gt;"data missing"), Calc!BC52*'Waste results'!$S$19+ Calc!BD52*'Waste results'!$S$55, "data missing"))),
IF(AND('Field information 2'!$M$5&lt;&gt;"", 'Field information 2'!$O$5&lt;&gt;"", 'Field information 2'!$Q$5&lt;&gt;""),
   IF(AND(Calc!BD52=0,Calc!BE52=0),
     IF('Waste results'!$S$19&lt;&gt;"data missing", Calc!BC52*'Waste results'!$S$19, "data missing"),
   IF(AND(Calc!BC52=0,Calc!BE52=0),
     IF('Waste results'!$S$55&lt;&gt;"data missing", Calc!BD52*'Waste results'!$S$55, "data missing"),
   IF(AND(Calc!BC52=0,Calc!BD52=0),
     IF('Waste results'!$S$91&lt;&gt;"data missing", Calc!BE52*'Waste results'!$S$91, "data missing"),
   IF(Calc!BE52=0,
     IF(OR('Waste results'!$S$19&lt;&gt;"data missing", 'Waste results'!$S$55&lt;&gt;"data missing"), Calc!BC52*'Waste results'!$S$19+ Calc!BD52*'Waste results'!$S$55, "data missing"),
   IF(Calc!BD52=0,
     IF(OR('Waste results'!$S$19&lt;&gt;"data missing", 'Waste results'!$S$91&lt;&gt;"data missing"), Calc!BC52*'Waste results'!$S$19+ Calc!BE52*'Waste results'!$S$91, "data missing"),
   IF(Calc!BC52=0,
     IF(OR('Waste results'!$S$55&lt;&gt;"data missing", 'Waste results'!$S$91&lt;&gt;"data missing"), Calc!BD52*'Waste results'!$S$55+Calc!BE52*'Waste results'!$S$91, "data missing"),
   IF(OR('Waste results'!$S$19&lt;&gt;"data missing", 'Waste results'!$S$55&lt;&gt;"data missing", 'Waste results'!$S$91&lt;&gt;"data missing"), Calc!BC52*'Waste results'!$S$19+Calc!BD52*'Waste results'!$S$55+ Calc!BE52*'Waste results'!$S$91, "data missing")))))))))))</f>
        <v/>
      </c>
      <c r="P54" s="91" t="str">
        <f ca="1">IF(B54="","",
IF(OR(ISBLANK('Soil results'!H$7),ISBLANK('Soil results'!H57)),"data missing",
IF(OR(AND('Soil results'!H$7="ammonium nitrate (ADAS)",'Soil results'!H57&gt;400),AND('Soil results'!H$7="modified Morgan (SAC)",'Soil results'!H57&gt;400)),0,
IF(OR(AND('Soil results'!H$7="ammonium nitrate (ADAS)",'Soil results'!H57&gt;=121,'Soil results'!H57&lt;=180),AND('Soil results'!H$7="modified Morgan (SAC)",'Soil results'!H57&gt;=76,'Soil results'!H57&lt;=140)),VLOOKUP(Calc!BI52,'Fertiliser recommendations'!$A$4:$Z$63,26,FALSE),
IF(OR(AND('Soil results'!H$7="ammonium nitrate (ADAS)",'Soil results'!H57&lt;61),AND('Soil results'!H$7="modified Morgan (SAC)",'Soil results'!H57&lt;40)),VLOOKUP(Calc!BI52,'Fertiliser recommendations'!$A$4:$Z$63,26,FALSE)+VLOOKUP(Calc!BI52,'Fertiliser recommendations'!$A$4:$AA$63,27,FALSE),
IF(OR(AND('Soil results'!H$7="ammonium nitrate (ADAS)",'Soil results'!H57&lt;121),AND('Soil results'!H$7="modified Morgan (SAC)",'Soil results'!H57&lt;76)),VLOOKUP(Calc!BI52,'Fertiliser recommendations'!$A$4:$Z$63,26,FALSE)+VLOOKUP(Calc!BI52,'Fertiliser recommendations'!$A$4:$AB$63,28,FALSE),
IF(OR(AND('Soil results'!H$7="ammonium nitrate (ADAS)",'Soil results'!H57&lt;241),AND('Soil results'!H$7="modified Morgan (SAC)",'Soil results'!H57&lt;201)),VLOOKUP(Calc!BI52,'Fertiliser recommendations'!$A$4:$Z$63,26,FALSE)+VLOOKUP(Calc!BI52,'Fertiliser recommendations'!$A$4:$AC$63,29,FALSE),
IF(OR(AND('Soil results'!H$7="ammonium nitrate (ADAS)",'Soil results'!H57&lt;=400),AND('Soil results'!H$7="modified Morgan (SAC)",'Soil results'!H57&lt;=400)),VLOOKUP(Calc!BI52,'Fertiliser recommendations'!$A$4:$Z$63,26,FALSE)+VLOOKUP(Calc!BI52,'Fertiliser recommendations'!$A$4:$AD$63,30,FALSE),
"??"))))))))</f>
        <v/>
      </c>
      <c r="Q54" s="91" t="str">
        <f t="shared" ca="1" si="2"/>
        <v/>
      </c>
      <c r="R54" s="9" t="str">
        <f ca="1">IF(B54="","",
IF(OR(O54="data missing",P54="data missing"),"data missing",
IF(Calc!BF52=0,"n/a",
IF(P54=0, "no requirement",
IF(O54&lt;0.1*P54,"no benefit",
IF(O54&lt;0.3*P54,"limited benefit",
IF(O54&gt;1.25*P54,"excessive",
"benefit")))))))</f>
        <v/>
      </c>
      <c r="T54" s="91" t="str">
        <f ca="1">IF(B54="","",
IF(AND('Field information 2'!$O$5="", 'Field information 2'!$Q$5=""),
   IF('Waste results'!$S$21&lt;&gt;"data missing", Calc!BC52*'Waste results'!$S$21, "data missing"),
IF('Field information 2'!$Q$5="",
   IF(Calc!BD52=0,
     IF('Waste results'!$S$21&lt;&gt;"data missing", Calc!BC52*'Waste results'!$S$21, "data missing"),
   IF(Calc!BC52=0,
     IF('Waste results'!$S$57&lt;&gt;"data missing", Calc!BD52*'Waste results'!$S$57, "data missing"),
   IF(OR('Waste results'!$S$21&lt;&gt;"data missing", 'Waste results'!$S$57&lt;&gt;"data missing"), Calc!BC52*'Waste results'!$S$21+ Calc!BD52*'Waste results'!$S$57, "data missing"))),
IF(AND('Field information 2'!$M$5&lt;&gt;"", 'Field information 2'!$O$5&lt;&gt;"", 'Field information 2'!$Q$5&lt;&gt;""),
   IF(AND(Calc!BD52=0,Calc!BE52=0),
     IF('Waste results'!$S$21&lt;&gt;"data missing", Calc!BC52*'Waste results'!$S$21, "data missing"),
   IF(AND(Calc!BC52=0,Calc!BE52=0),
     IF('Waste results'!$S$57&lt;&gt;"data missing", Calc!BD52*'Waste results'!$S$57, "data missing"),
   IF(AND(Calc!BC52=0,Calc!BD52=0),
     IF('Waste results'!$S$93&lt;&gt;"data missing", Calc!BE52*'Waste results'!$S$93, "data missing"),
   IF(Calc!BE52=0,
     IF(OR('Waste results'!$S$21&lt;&gt;"data missing", 'Waste results'!$S$57&lt;&gt;"data missing"), Calc!BC52*'Waste results'!$S$21+ Calc!BD52*'Waste results'!$S$57, "data missing"),
   IF(Calc!BD52=0,
     IF(OR('Waste results'!$S$21&lt;&gt;"data missing", 'Waste results'!$S$93&lt;&gt;"data missing"), Calc!BC52*'Waste results'!$S$21+ Calc!BE52*'Waste results'!$S$93, "data missing"),
   IF(Calc!BC52=0,
     IF(OR('Waste results'!$S$57&lt;&gt;"data missing", 'Waste results'!$S$93&lt;&gt;"data missing"), Calc!BD52*'Waste results'!$S$57+Calc!BE52*'Waste results'!$S$93, "data missing"),
   IF(OR('Waste results'!$S$21&lt;&gt;"data missing", 'Waste results'!$S$57&lt;&gt;"data missing", 'Waste results'!$S$93&lt;&gt;"data missing"), Calc!BC52*'Waste results'!$S$21+Calc!BD52*'Waste results'!$S$57+ Calc!BE52*'Waste results'!$S$93, "data missing")))))))))))</f>
        <v/>
      </c>
      <c r="U54" s="7" t="str">
        <f ca="1">IF(B54="","",
IF(OR(ISBLANK('Soil results'!I$7),ISBLANK('Soil results'!I57)),"data missing",
IF(OR(AND('Soil results'!I$7="ammonium nitrate (ADAS)",'Soil results'!I57&gt;51),AND('Soil results'!I$7="modified Morgan (SAC)",'Soil results'!I57&gt;61)),0,
IF(OR(AND('Soil results'!I$7="ammonium nitrate (ADAS)",'Soil results'!I57&lt;25),AND('Soil results'!I$7="modified Morgan (SAC)",'Soil results'!I57&lt;19)),VLOOKUP(Calc!BI52,'Fertiliser recommendations'!$A$4:$AH$63,34,FALSE),
IF(OR(AND('Soil results'!I$7="ammonium nitrate (ADAS)",'Soil results'!I57&lt;=51),AND('Soil results'!I$7="modified Morgan (SAC)",'Soil results'!I57&lt;=61)),VLOOKUP(Calc!BI52,'Fertiliser recommendations'!$A$4:$AI$63,35,FALSE),
"")))))</f>
        <v/>
      </c>
      <c r="V54" s="91" t="str">
        <f t="shared" ca="1" si="3"/>
        <v/>
      </c>
      <c r="W54" s="9" t="str">
        <f ca="1">IF(B54="","",
IF(OR(T54="data missing",U54="data missing"),"data missing",
IF(Calc!BF52=0,"n/a",
IF(U54=0,"no requirement",
IF(T54&lt;0.1*U54,"no benefit",
IF(T54&lt;0.3*U54,"limited benefit",
IF(OR(T54&gt;1.5*U54,AND(Calc!BJ52="g",T54&gt;100)),"excessive",
"benefit")))))))</f>
        <v/>
      </c>
      <c r="Y54" s="91" t="str">
        <f ca="1">IF(B54="","",
IF(AND('Field information 2'!$O$5="", 'Field information 2'!$Q$5=""),
   IF('Waste results'!$P$23&lt;&gt;"", Calc!BC52*'Waste results'!$P$23, "no data"),
IF('Field information 2'!$Q$5="",
   IF(Calc!BD52=0,
     IF('Waste results'!$P$23&lt;&gt;"", Calc!BC52*'Waste results'!$P$23, "no data"),
   IF(Calc!BC52=0,
     IF('Waste results'!$P$59&lt;&gt;"", Calc!BD52*'Waste results'!$P$59, "no data"),
   IF(OR('Waste results'!$P$23&lt;&gt;"", 'Waste results'!$P$59&lt;&gt;""), Calc!BC52*'Waste results'!$P$23+ Calc!BD52*'Waste results'!$P$59, "no data"))),
IF(AND('Field information 2'!$M$5&lt;&gt;"", 'Field information 2'!$O$5&lt;&gt;"", 'Field information 2'!$Q$5&lt;&gt;""),
   IF(AND(Calc!BD52=0,Calc!BE52=0),
     IF('Waste results'!$P$23&lt;&gt;"", Calc!BC52*'Waste results'!$P$23, "no data"),
   IF(AND(Calc!BC52=0,Calc!BE52=0),
     IF('Waste results'!$P$59&lt;&gt;"", Calc!BD52*'Waste results'!$P$59, "no data"),
   IF(AND(Calc!BC52=0,Calc!BD52=0),
     IF('Waste results'!$P$95&lt;&gt;"", Calc!BE52*'Waste results'!$P$95, "no data"),
   IF(Calc!BE52=0,
     IF(OR('Waste results'!$P$23&lt;&gt;"", 'Waste results'!$P$59&lt;&gt;""), Calc!BC52*'Waste results'!$P$23+ Calc!BD52*'Waste results'!$P$59, "no data"),
   IF(Calc!BD52=0,
     IF(OR('Waste results'!$P$23&lt;&gt;"", 'Waste results'!$P$95&lt;&gt;""), Calc!BC52*'Waste results'!$P$23+ Calc!BE52*'Waste results'!$P$95, "no data"),
   IF(Calc!BC52=0,
     IF(OR('Waste results'!$P$59&lt;&gt;"", 'Waste results'!$P$95&lt;&gt;""), Calc!BD52*'Waste results'!$P$59+Calc!BE52*'Waste results'!$P$95, "no data"),
   IF(OR('Waste results'!$P$23&lt;&gt;"", 'Waste results'!$P$59&lt;&gt;"", 'Waste results'!$P$95&lt;&gt;""), Calc!BC52*'Waste results'!$P$23+Calc!BD52*'Waste results'!$P$59+ Calc!BE52*'Waste results'!$P$95, "no data")))))))))))</f>
        <v/>
      </c>
      <c r="Z54" s="7" t="str">
        <f ca="1">IF(OR(ISBLANK('Soil results'!I$7),ISBLANK('Soil results'!I57),'Soil results'!B57=""),"",
VLOOKUP(Calc!BI52,'Fertiliser recommendations'!$A$4:$AM$63,39,FALSE))</f>
        <v/>
      </c>
      <c r="AA54" s="91" t="str">
        <f t="shared" ca="1" si="4"/>
        <v/>
      </c>
      <c r="AB54" s="9" t="str">
        <f t="shared" ca="1" si="5"/>
        <v/>
      </c>
      <c r="AD54" s="48" t="str">
        <f>IF(ISBLANK('Soil results'!F57),"",'Soil results'!F57)</f>
        <v/>
      </c>
      <c r="AE54" s="49" t="str">
        <f ca="1">IF(B54="","",
IF(AND(Calc!BJ52="g", VLOOKUP(LEFT($B54,LEN($B54)-2),'Field information 2'!$B$12:$P$111,9,FALSE)&lt;&gt;"yes"),
 IF(Calc!BG52="10-25% OM", 5.9, IF(Calc!BG52="&gt;25% OM", 5.5, 6.2)),
IF(OR(Calc!BJ52="a", VLOOKUP(LEFT($B54,LEN($B54)-2),'Field information 2'!$B$12:$P$111,9,FALSE)="yes"),
 IF(Calc!BG52="10-25% OM", 6.4, IF(Calc!BG52="&gt;25% OM", 6, 6.7)), "")))</f>
        <v/>
      </c>
      <c r="AF54" s="91" t="str">
        <f ca="1">IF(B54="","",
IF('Waste results'!$Q$33="","no (significant) liming properties",
IF('Waste results'!Q$33&gt;100,"no (significant) liming properties",
IF(AD54="","",
IF(AD54&gt;=AE54,0,ROUNDDOWN((AE54-AD54)*Calc!BK52*'Waste results'!$Q$33+0.2,0))))))</f>
        <v/>
      </c>
      <c r="AG54" s="9" t="str">
        <f ca="1">IF(B54="","",
IF(T54=0,"n/a",
IF(AD54="","data missing",
IF(AND(AD54&lt;5,AF54="no (significant) liming properties"),"no waste application - pH too low",
IF(AND(AD54&gt;5.1,AF54="no (significant) liming properties",Calc!BH52&gt;25, LEFT(Calc!BI52,4)="graz"),"ok",
IF(AND(AD54&lt;=5.2,AF54="no (significant) liming properties"),"liming highly recommended",
IF(AF54=0,"no waste application - liming not required",
IF(AF54&lt;Calc!BC52,"application rate too high - exceeds liming requirement",
"ok"))))))))</f>
        <v/>
      </c>
      <c r="AI54" s="91" t="str">
        <f ca="1">IF(B54="","",
IF(AND('Field information 2'!$O$5="", 'Field information 2'!$Q$5=""),
   IF('Waste results'!$P$10&lt;&gt;"data missing", Calc!BC52*'Waste results'!$P$10, "data missing"),
IF('Field information 2'!$Q$5="",
   IF(Calc!BD52=0,
     IF('Waste results'!$P$10&lt;&gt;"data missing", Calc!BC52*'Waste results'!$P$10, "data missing"),
   IF(Calc!BC52=0,
     IF('Waste results'!$P$45&lt;&gt;"data missing", Calc!BD52*'Waste results'!$P$45, "data missing"),
   IF(OR('Waste results'!$P$10&lt;&gt;"data missing", 'Waste results'!$P$45&lt;&gt;"data missing"), Calc!BC52*'Waste results'!$P$10+ Calc!BD52*'Waste results'!$P$45, "data missing"))),
IF(AND('Field information 2'!$M$5&lt;&gt;"", 'Field information 2'!$O$5&lt;&gt;"", 'Field information 2'!$Q$5&lt;&gt;""),
   IF(AND(Calc!BD52=0,Calc!BE52=0),
     IF('Waste results'!$P$10&lt;&gt;"data missing", Calc!BC52*'Waste results'!$P$10, "data missing"),
   IF(AND(Calc!BC52=0,Calc!BE52=0),
     IF('Waste results'!$P$45&lt;&gt;"data missing", Calc!BD52*'Waste results'!$P$45, "data missing"),
   IF(AND(Calc!BC52=0,Calc!BD52=0),
     IF('Waste results'!$P$82&lt;&gt;"data missing", Calc!BE52*'Waste results'!$P$82, "data missing"),
   IF(Calc!BE52=0,
     IF(OR('Waste results'!$P$10&lt;&gt;"data missing", 'Waste results'!$P$45&lt;&gt;"data missing"), Calc!BC52*'Waste results'!$P$10+ Calc!BD52*'Waste results'!$P$45, "data missing"),
   IF(Calc!BD52=0,
     IF(OR('Waste results'!$P$10&lt;&gt;"data missing", 'Waste results'!$P$82&lt;&gt;"data missing"), Calc!BC52*'Waste results'!$P$10+ Calc!BE52*'Waste results'!$P$82, "data missing"),
   IF(Calc!BC52=0,
     IF(OR('Waste results'!$P$45&lt;&gt;"data missing", 'Waste results'!$P$82&lt;&gt;"data missing"), Calc!BD52*'Waste results'!$P$45+Calc!BE52*'Waste results'!$P$82, "data missing"),
   IF(OR('Waste results'!$P$10&lt;&gt;"data missing", 'Waste results'!$P$45&lt;&gt;"data missing", 'Waste results'!$P$82&lt;&gt;"data missing"), Calc!BC52*'Waste results'!$P$10+Calc!BD52*'Waste results'!$P$45+ Calc!BE52*'Waste results'!$P$82, "data missing")))))))))))</f>
        <v/>
      </c>
      <c r="AJ54" s="237" t="str">
        <f ca="1">IF(B54="","",
IF(AI54="data missing","data missing",
IF(Calc!BF52=0,"n/a",
IF(AND(Calc!BH52&gt;=8,AI54&lt;500),"no benefit",
IF(OR(AND(Calc!BH52&lt;=4,AI54&gt;=500),AND(Calc!BH52&lt;8,AI54&gt;5000)),"benefit",
"limited benefit")))))</f>
        <v/>
      </c>
      <c r="AL54" s="238" t="str">
        <f ca="1">IF(B54="","",
IF(AND('Field information 2'!$O$5="", 'Field information 2'!$Q$5=""),
   IF('Waste results'!$S$25&lt;&gt;"data missing", Calc!BC52*'Waste results'!$S$25, "data missing"),
IF('Field information 2'!$Q$5="",
   IF(Calc!BD52=0,
     IF('Waste results'!$S$25&lt;&gt;"data missing", Calc!BC52*'Waste results'!$S$25, "data missing"),
   IF(Calc!BC52=0,
     IF('Waste results'!$S$61&lt;&gt;"data missing", Calc!BD52*'Waste results'!$S$61, "data missing"),
   IF(OR('Waste results'!$S$25&lt;&gt;"data missing", 'Waste results'!$S$61&lt;&gt;"data missing"), Calc!BC52*'Waste results'!$S$25+ Calc!BD52*'Waste results'!$S$61, "data missing"))),
IF(AND('Field information 2'!$M$5&lt;&gt;"", 'Field information 2'!$O$5&lt;&gt;"", 'Field information 2'!$Q$5&lt;&gt;""),
   IF(AND(Calc!BD52=0,Calc!BE52=0),
     IF('Waste results'!$S$25&lt;&gt;"data missing", Calc!BC52*'Waste results'!$S$25, "data missing"),
   IF(AND(Calc!BC52=0,Calc!BE52=0),
     IF('Waste results'!$S$61&lt;&gt;"data missing", Calc!BD52*'Waste results'!$S$61, "data missing"),
   IF(AND(Calc!BC52=0,Calc!BD52=0),
     IF('Waste results'!$S$97&lt;&gt;"data missing", Calc!BE52*'Waste results'!$S$97, "data missing"),
   IF(Calc!BE52=0,
     IF(OR('Waste results'!$S$25&lt;&gt;"data missing", 'Waste results'!$S$61&lt;&gt;"data missing"), Calc!BC52*'Waste results'!$S$25+ Calc!BD52*'Waste results'!$S$61, "data missing"),
   IF(Calc!BD52=0,
     IF(OR('Waste results'!$S$25&lt;&gt;"data missing", 'Waste results'!$S$97&lt;&gt;"data missing"), Calc!BC52*'Waste results'!$S$25+ Calc!BE52*'Waste results'!$S$97, "data missing"),
   IF(Calc!BC52=0,
     IF(OR('Waste results'!$S$61&lt;&gt;"data missing", 'Waste results'!$S$97&lt;&gt;"data missing"), Calc!BD52*'Waste results'!$S$61+Calc!BE52*'Waste results'!$S$97, "data missing"),
   IF(OR('Waste results'!$S$25&lt;&gt;"data missing", 'Waste results'!$S$61&lt;&gt;"data missing", 'Waste results'!$S$97&lt;&gt;"data missing"), Calc!BC52*'Waste results'!$S$25+Calc!BD52*'Waste results'!$S$61+ Calc!BE52*'Waste results'!$S$97, "data missing")))))))))))</f>
        <v/>
      </c>
      <c r="AM54" s="239" t="str">
        <f ca="1">IF($B54="","",
IF(ISBLANK('Soil results'!K57),"data missing",'Soil results'!K57))</f>
        <v/>
      </c>
      <c r="AN54" s="239" t="str">
        <f t="shared" ca="1" si="6"/>
        <v/>
      </c>
      <c r="AO54" s="9" t="str">
        <f t="shared" ca="1" si="7"/>
        <v/>
      </c>
      <c r="AQ54" s="240" t="str">
        <f ca="1">IF(B54="","",
IF(AND('Field information 2'!$O$5="", 'Field information 2'!$Q$5=""),
   IF('Waste results'!$S$26&lt;&gt;"data missing", Calc!BC52*'Waste results'!$S$26, "data missing"),
IF('Field information 2'!$Q$5="",
   IF(Calc!BD52=0,
     IF('Waste results'!$S$26&lt;&gt;"data missing", Calc!BC52*'Waste results'!$S$26, "data missing"),
   IF(Calc!BC52=0,
     IF('Waste results'!$S$62&lt;&gt;"data missing", Calc!BD52*'Waste results'!$S$62, "data missing"),
   IF(OR('Waste results'!$S$26&lt;&gt;"data missing", 'Waste results'!$S$62&lt;&gt;"data missing"), Calc!BC52*'Waste results'!$S$26+ Calc!BD52*'Waste results'!$S$62, "data missing"))),
IF(AND('Field information 2'!$M$5&lt;&gt;"", 'Field information 2'!$O$5&lt;&gt;"", 'Field information 2'!$Q$5&lt;&gt;""),
   IF(AND(Calc!BD52=0,Calc!BE52=0),
     IF('Waste results'!$S$26&lt;&gt;"data missing", Calc!BC52*'Waste results'!$S$26, "data missing"),
   IF(AND(Calc!BC52=0,Calc!BE52=0),
     IF('Waste results'!$S$62&lt;&gt;"data missing", Calc!BD52*'Waste results'!$S$62, "data missing"),
   IF(AND(Calc!BC52=0,Calc!BD52=0),
     IF('Waste results'!$S$98&lt;&gt;"data missing", Calc!BE52*'Waste results'!$S$98, "data missing"),
   IF(Calc!BE52=0,
     IF(OR('Waste results'!$S$26&lt;&gt;"data missing", 'Waste results'!$S$62&lt;&gt;"data missing"), Calc!BC52*'Waste results'!$S$26+ Calc!BD52*'Waste results'!$S$62, "data missing"),
   IF(Calc!BD52=0,
     IF(OR('Waste results'!$S$26&lt;&gt;"data missing", 'Waste results'!$S$98&lt;&gt;"data missing"), Calc!BC52*'Waste results'!$S$26+ Calc!BE52*'Waste results'!$S$98, "data missing"),
   IF(Calc!BC52=0,
     IF(OR('Waste results'!$S$62&lt;&gt;"data missing", 'Waste results'!$S$98&lt;&gt;"data missing"), Calc!BD52*'Waste results'!$S$62+Calc!BE52*'Waste results'!$S$98, "data missing"),
   IF(OR('Waste results'!$S$26&lt;&gt;"data missing", 'Waste results'!$S$62&lt;&gt;"data missing", 'Waste results'!$S$98&lt;&gt;"data missing"), Calc!BC52*'Waste results'!$S$26+Calc!BD52*'Waste results'!$S$62+ Calc!BE52*'Waste results'!$S$98, "data missing")))))))))))</f>
        <v/>
      </c>
      <c r="AR54" s="241" t="str">
        <f ca="1">IF($B54="","",
IF(ISBLANK('Soil results'!L57),"data missing",'Soil results'!L57))</f>
        <v/>
      </c>
      <c r="AS54" s="241" t="str">
        <f t="shared" ca="1" si="8"/>
        <v/>
      </c>
      <c r="AT54" s="66" t="str">
        <f t="shared" ca="1" si="9"/>
        <v/>
      </c>
      <c r="AV54" s="238" t="str">
        <f ca="1">IF(B54="","",
IF(AND('Field information 2'!$O$5="", 'Field information 2'!$Q$5=""),
   IF('Waste results'!$S$27&lt;&gt;"data missing", Calc!BC52*'Waste results'!$S$27, "data missing"),
IF('Field information 2'!$Q$5="",
   IF(Calc!BD52=0,
     IF('Waste results'!$S$27&lt;&gt;"data missing", Calc!BC52*'Waste results'!$S$27, "data missing"),
   IF(Calc!BC52=0,
     IF('Waste results'!$S$63&lt;&gt;"data missing", Calc!BD52*'Waste results'!$S$63, "data missing"),
   IF(OR('Waste results'!$S$27&lt;&gt;"data missing", 'Waste results'!$S$63&lt;&gt;"data missing"), Calc!BC52*'Waste results'!$S$27+ Calc!BD52*'Waste results'!$S$63, "data missing"))),
IF(AND('Field information 2'!$M$5&lt;&gt;"", 'Field information 2'!$O$5&lt;&gt;"", 'Field information 2'!$Q$5&lt;&gt;""),
   IF(AND(Calc!BD52=0,Calc!BE52=0),
     IF('Waste results'!$S$27&lt;&gt;"data missing", Calc!BC52*'Waste results'!$S$27, "data missing"),
   IF(AND(Calc!BC52=0,Calc!BE52=0),
     IF('Waste results'!$S$63&lt;&gt;"data missing", Calc!BD52*'Waste results'!$S$63, "data missing"),
   IF(AND(Calc!BC52=0,Calc!BD52=0),
     IF('Waste results'!$S$99&lt;&gt;"data missing", Calc!BE52*'Waste results'!$S$99, "data missing"),
   IF(Calc!BE52=0,
     IF(OR('Waste results'!$S$27&lt;&gt;"data missing", 'Waste results'!$S$63&lt;&gt;"data missing"), Calc!BC52*'Waste results'!$S$27+ Calc!BD52*'Waste results'!$S$63, "data missing"),
   IF(Calc!BD52=0,
     IF(OR('Waste results'!$S$27&lt;&gt;"data missing", 'Waste results'!$S$99&lt;&gt;"data missing"), Calc!BC52*'Waste results'!$S$27+ Calc!BE52*'Waste results'!$S$99, "data missing"),
   IF(Calc!BC52=0,
     IF(OR('Waste results'!$S$63&lt;&gt;"data missing", 'Waste results'!$S$99&lt;&gt;"data missing"), Calc!BD52*'Waste results'!$S$63+Calc!BE52*'Waste results'!$S$99, "data missing"),
   IF(OR('Waste results'!$S$27&lt;&gt;"data missing", 'Waste results'!$S$63&lt;&gt;"data missing", 'Waste results'!$S$99&lt;&gt;"data missing"), Calc!BC52*'Waste results'!$S$27+Calc!BD52*'Waste results'!$S$63+ Calc!BE52*'Waste results'!$S$99, "data missing")))))))))))</f>
        <v/>
      </c>
      <c r="AW54" s="239" t="str">
        <f ca="1">IF($B54="","",
IF(ISBLANK('Soil results'!M57),"data missing",'Soil results'!M57))</f>
        <v/>
      </c>
      <c r="AX54" s="239" t="str">
        <f t="shared" ca="1" si="10"/>
        <v/>
      </c>
      <c r="AY54" s="9" t="str">
        <f ca="1">IF(B54="","",
IF(AV54=0,"n/a",
IF(OR(AV54="data missing",AW54="data missing"),"data missing",
IF(AV54&gt;7.5,"application rate too high - permissible rate exceeds limit",
IF('Soil results'!$F57&lt;=5.5,
  IF(AW54&gt;80,"no application - soil conc. already above limit",
  IF(AX54&gt;80,"application rate too high - soil conc. will exceed limit",
  IF(AW54&gt;80*0.9,"soil conc. is at or above 90% of the limit",
  IF(10*AV54*1000/3000+AW54&gt;80,"soil limit likely to be exceeded in 10yrs",
  IF(50*AV54*1000/3000+AW54&gt;80,"soil limit likely to be exceeded in 50yrs","ok"))))),
IF('Soil results'!$F57&lt;=6,
  IF(AW54&gt;100,"no application - soil conc. already above limit",
  IF(AX54&gt;100,"application rate too high - soil conc. will exceed limit",
  IF(AW54&gt;100*0.9,"soil conc. is at or above 90% of the limit",
  IF(10*AV54*1000/3000+AW54&gt;100,"soil limit likely to be exceeded in 10yrs",
  IF(50*AV54*1000/3000+AW54&gt;100,"soil limit likely to be exceeded in 50yrs","ok"))))),
IF('Soil results'!$F57&lt;=7,
  IF(AW54&gt;135,"no application - soil conc. already above limit",
  IF(AX54&gt;135,"application rate too high - soil conc. will exceed limit",
  IF(AW54&gt;135*0.9,"soil conc. is at or above 90% of the limit",
  IF(10*AV54*1000/3000+AW54&gt;135,"soil limit likely to be exceeded in 10yrs",
  IF(50*AV54*1000/3000+AW54&gt;135,"soil limit likely to be exceeded in 50yrs","ok"))))),
IF('Soil results'!$F57&gt;7,
  IF(AW54&gt;200,"no application - soil conc. already above limit",
  IF(AX54&gt;200,"application too high - soil conc. will exceed limit",
  IF(AW54&gt;200*0.9,"soil conc. is at or above 90% of the limit",
  IF(10*AV54*1000/3000+AW54&gt;200,"soil limit likely to be exceeded in 10yrs",
  IF(50*AV54*1000/3000+AW54&gt;200,"soil limit likely to be exceeded in 50yrs","ok")))))
))))))))</f>
        <v/>
      </c>
      <c r="BA54" s="238" t="str">
        <f ca="1">IF(B54="","",
IF(AND('Field information 2'!$O$5="", 'Field information 2'!$Q$5=""),
   IF('Waste results'!$S$28&lt;&gt;"data missing", Calc!BC52*'Waste results'!$S$28, "data missing"),
IF('Field information 2'!$Q$5="",
   IF(Calc!BD52=0,
     IF('Waste results'!$S$28&lt;&gt;"data missing", Calc!BC52*'Waste results'!$S$28, "data missing"),
   IF(Calc!BC52=0,
     IF('Waste results'!$S$64&lt;&gt;"data missing", Calc!BD52*'Waste results'!$S$64, "data missing"),
   IF(OR('Waste results'!$S$28&lt;&gt;"data missing", 'Waste results'!$S$64&lt;&gt;"data missing"), Calc!BC52*'Waste results'!$S$28+ Calc!BD52*'Waste results'!$S$64, "data missing"))),
IF(AND('Field information 2'!$M$5&lt;&gt;"", 'Field information 2'!$O$5&lt;&gt;"", 'Field information 2'!$Q$5&lt;&gt;""),
   IF(AND(Calc!BD52=0,Calc!BE52=0),
     IF('Waste results'!$S$28&lt;&gt;"data missing", Calc!BC52*'Waste results'!$S$28, "data missing"),
   IF(AND(Calc!BC52=0,Calc!BE52=0),
     IF('Waste results'!$S$64&lt;&gt;"data missing", Calc!BD52*'Waste results'!$S$64, "data missing"),
   IF(AND(Calc!BC52=0,Calc!BD52=0),
     IF('Waste results'!$S$100&lt;&gt;"data missing", Calc!BE52*'Waste results'!$S$100, "data missing"),
   IF(Calc!BE52=0,
     IF(OR('Waste results'!$S$28&lt;&gt;"data missing", 'Waste results'!$S$64&lt;&gt;"data missing"), Calc!BC52*'Waste results'!$S$28+ Calc!BD52*'Waste results'!$S$64, "data missing"),
   IF(Calc!BD52=0,
     IF(OR('Waste results'!$S$28&lt;&gt;"data missing", 'Waste results'!$S$100&lt;&gt;"data missing"), Calc!BC52*'Waste results'!$S$28+ Calc!BE52*'Waste results'!$S$100, "data missing"),
   IF(Calc!BC52=0,
     IF(OR('Waste results'!$S$64&lt;&gt;"data missing", 'Waste results'!$S$100&lt;&gt;"data missing"), Calc!BD52*'Waste results'!$S$64+Calc!BE52*'Waste results'!$S$100, "data missing"),
   IF(OR('Waste results'!$S$28&lt;&gt;"data missing", 'Waste results'!$S$64&lt;&gt;"data missing", 'Waste results'!$S$100&lt;&gt;"data missing"), Calc!BC52*'Waste results'!$S$28+Calc!BD52*'Waste results'!$S$64+ Calc!BE52*'Waste results'!$S$100, "data missing")))))))))))</f>
        <v/>
      </c>
      <c r="BB54" s="239" t="str">
        <f ca="1">IF($B54="","",
IF(ISBLANK('Soil results'!N57),"data missing",'Soil results'!N57))</f>
        <v/>
      </c>
      <c r="BC54" s="239" t="str">
        <f t="shared" ca="1" si="11"/>
        <v/>
      </c>
      <c r="BD54" s="9" t="str">
        <f t="shared" ca="1" si="12"/>
        <v/>
      </c>
      <c r="BF54" s="238" t="str">
        <f ca="1">IF(B54="","",
IF(AND('Field information 2'!$O$5="", 'Field information 2'!$Q$5=""),
   IF('Waste results'!$S$29&lt;&gt;"data missing", Calc!BC52*'Waste results'!$S$29, "data missing"),
IF('Field information 2'!$Q$5="",
   IF(Calc!BD52=0,
     IF('Waste results'!$S$29&lt;&gt;"data missing", Calc!BC52*'Waste results'!$S$29, "data missing"),
   IF(Calc!BC52=0,
     IF('Waste results'!$S$65&lt;&gt;"data missing", Calc!BD52*'Waste results'!$S$65, "data missing"),
   IF(OR('Waste results'!$S$29&lt;&gt;"data missing", 'Waste results'!$S$65&lt;&gt;"data missing"), Calc!BC52*'Waste results'!$S$29+ Calc!BD52*'Waste results'!$S$65, "data missing"))),
IF(AND('Field information 2'!$M$5&lt;&gt;"", 'Field information 2'!$O$5&lt;&gt;"", 'Field information 2'!$Q$5&lt;&gt;""),
   IF(AND(Calc!BD52=0,Calc!BE52=0),
     IF('Waste results'!$S$29&lt;&gt;"data missing", Calc!BC52*'Waste results'!$S$29, "data missing"),
   IF(AND(Calc!BC52=0,Calc!BE52=0),
     IF('Waste results'!$S$65&lt;&gt;"data missing", Calc!BD52*'Waste results'!$S$65, "data missing"),
   IF(AND(Calc!BC52=0,Calc!BD52=0),
     IF('Waste results'!$S$101&lt;&gt;"data missing", Calc!BE52*'Waste results'!$S$101, "data missing"),
   IF(Calc!BE52=0,
     IF(OR('Waste results'!$S$29&lt;&gt;"data missing", 'Waste results'!$S$65&lt;&gt;"data missing"), Calc!BC52*'Waste results'!$S$29+ Calc!BD52*'Waste results'!$S$65, "data missing"),
   IF(Calc!BD52=0,
     IF(OR('Waste results'!$S$29&lt;&gt;"data missing", 'Waste results'!$S$101&lt;&gt;"data missing"), Calc!BC52*'Waste results'!$S$29+ Calc!BE52*'Waste results'!$S$101, "data missing"),
   IF(Calc!BC52=0,
     IF(OR('Waste results'!$S$65&lt;&gt;"data missing", 'Waste results'!$S$101&lt;&gt;"data missing"), Calc!BD52*'Waste results'!$S$65+Calc!BE52*'Waste results'!$S$101, "data missing"),
   IF(OR('Waste results'!$S$29&lt;&gt;"data missing", 'Waste results'!$S$65&lt;&gt;"data missing", 'Waste results'!$S$101&lt;&gt;"data missing"), Calc!BC52*'Waste results'!$S$29+Calc!BD52*'Waste results'!$S$65+ Calc!BE52*'Waste results'!$S$101, "data missing")))))))))))</f>
        <v/>
      </c>
      <c r="BG54" s="239" t="str">
        <f ca="1">IF($B54="","",
IF(ISBLANK('Soil results'!O57),"data missing",'Soil results'!O57))</f>
        <v/>
      </c>
      <c r="BH54" s="239" t="str">
        <f t="shared" ca="1" si="13"/>
        <v/>
      </c>
      <c r="BI54" s="9" t="str">
        <f ca="1">IF(B54="","",
IF(BF54=0,"n/a",
IF(OR(BF54="data missing",BG54="data missing"),"data missing",
IF(BF54&gt;3,"application rate too high - permissible rate exceeds limit",
IF('Soil results'!F57&lt;=5.5,
  IF(BG54&gt;50,"no application - soil conc. already above limit",
  IF(BH54&gt;50,"application rate too high - soil conc. will exceed limit",
  IF(BG54&gt;50*0.9,"soil conc. is at or above 90% of the limit",
  IF(10*BF54*1000/3000+BG54&gt;50,"soil limit likely to be exceeded in 10yrs",
  IF(50*BF54*1000/3000+BG54&gt;50,"soil limit likely to be exceeded in 50yrs","ok"))))),
IF('Soil results'!F57&lt;=6,
  IF(BG54&gt;60,"no application - soil conc. already above limit",
  IF(BH54&gt;60,"application rate too high - soil conc. will exceed limit",
  IF(BG54&gt;60*0.9,"soil conc. is at or above 90% of the limit",
  IF(10*BF54*1000/3000+BG54&gt;60,"soil limit likely to be exceeded in 10yrs",
  IF(50*BF54*1000/3000+BG54&gt;60,"soil limit likely to be exceeded in 50yrs","ok"))))),
IF('Soil results'!F57&lt;=7,
  IF(BG54&gt;75,"no application - soil conc. already above limit",
  IF(BH54&gt;75,"application rate too high - soil conc. will exceed limit",
  IF(BG54&gt;75*0.9,"soil conc. is at or above 90% of the limit",
  IF(10*BF54*1000/3000+BG54&gt;75,"soil limit likely to be exceeded in 10yrs",
  IF(50*BF54*1000/3000+BG54&gt;75,"soil limit likely to be exceeded in 50yrs","ok"))))),
IF('Soil results'!F57&gt;7,
  IF(BG54&gt;100,"no application - soil conc. already above limit",
  IF(BH54&gt;100,"application rate too high - soil conc. will exceed limit",
  IF(BG54&gt;100*0.9,"soil conc. is at or above 90% of the limit",
  IF(10*BF54*1000/3000+BG54&gt;100,"soil limit likely to be exceeded in 10yrs",
  IF(50*BF54*1000/3000+BG54&gt;100,"soil limit likely to beexceeded in 50yrs","ok")))))
))))))))</f>
        <v/>
      </c>
      <c r="BK54" s="240" t="str">
        <f ca="1">IF(B54="","",
IF(AND('Field information 2'!$O$5="", 'Field information 2'!$Q$5=""),
   IF('Waste results'!$S$30&lt;&gt;"data missing", Calc!BC52*'Waste results'!$S$30, "data missing"),
IF('Field information 2'!$Q$5="",
   IF(Calc!BD52=0,
     IF('Waste results'!$S$30&lt;&gt;"data missing", Calc!BC52*'Waste results'!$S$30, "data missing"),
   IF(Calc!BC52=0,
     IF('Waste results'!$S$66&lt;&gt;"data missing", Calc!BD52*'Waste results'!$S$66, "data missing"),
   IF(OR('Waste results'!$S$30&lt;&gt;"data missing", 'Waste results'!$S$66&lt;&gt;"data missing"), Calc!BC52*'Waste results'!$S$30+ Calc!BD52*'Waste results'!$S$66, "data missing"))),
IF(AND('Field information 2'!$M$5&lt;&gt;"", 'Field information 2'!$O$5&lt;&gt;"", 'Field information 2'!$Q$5&lt;&gt;""),
   IF(AND(Calc!BD52=0,Calc!BE52=0),
     IF('Waste results'!$S$30&lt;&gt;"data missing", Calc!BC52*'Waste results'!$S$30, "data missing"),
   IF(AND(Calc!BC52=0,Calc!BE52=0),
     IF('Waste results'!$S$66&lt;&gt;"data missing", Calc!BD52*'Waste results'!$S$66, "data missing"),
   IF(AND(Calc!BC52=0,Calc!BD52=0),
     IF('Waste results'!$S$102&lt;&gt;"data missing", Calc!BE52*'Waste results'!$S$102, "data missing"),
   IF(Calc!BE52=0,
     IF(OR('Waste results'!$S$30&lt;&gt;"data missing", 'Waste results'!$S$66&lt;&gt;"data missing"), Calc!BC52*'Waste results'!$S$30+ Calc!BD52*'Waste results'!$S$66, "data missing"),
   IF(Calc!BD52=0,
     IF(OR('Waste results'!$S$30&lt;&gt;"data missing", 'Waste results'!$S$102&lt;&gt;"data missing"), Calc!BC52*'Waste results'!$S$30+ Calc!BE52*'Waste results'!$S$102, "data missing"),
   IF(Calc!BC52=0,
     IF(OR('Waste results'!$S$66&lt;&gt;"data missing", 'Waste results'!$S$102&lt;&gt;"data missing"), Calc!BD52*'Waste results'!$S$66+Calc!BE52*'Waste results'!$S$102, "data missing"),
   IF(OR('Waste results'!$S$30&lt;&gt;"data missing", 'Waste results'!$S$66&lt;&gt;"data missing", 'Waste results'!$S$102&lt;&gt;"data missing"), Calc!BC52*'Waste results'!$S$30+Calc!BD52*'Waste results'!$S$66+ Calc!BE52*'Waste results'!$S$102, "data missing")))))))))))</f>
        <v/>
      </c>
      <c r="BL54" s="241" t="str">
        <f ca="1">IF($B54="","",
IF(ISBLANK('Soil results'!P57),"data missing",'Soil results'!P57))</f>
        <v/>
      </c>
      <c r="BM54" s="241" t="str">
        <f t="shared" ca="1" si="14"/>
        <v/>
      </c>
      <c r="BN54" s="66" t="str">
        <f t="shared" ca="1" si="15"/>
        <v/>
      </c>
      <c r="BP54" s="238" t="str">
        <f ca="1">IF(B54="","",
IF(AND('Field information 2'!$O$5="", 'Field information 2'!$Q$5=""),
   IF('Waste results'!$S$31&lt;&gt;"data missing", Calc!BC52*'Waste results'!$S$31, "data missing"),
IF('Field information 2'!$Q$5="",
   IF(Calc!BD52=0,
     IF('Waste results'!$S$31&lt;&gt;"data missing", Calc!BC52*'Waste results'!$S$31, "data missing"),
   IF(Calc!BC52=0,
     IF('Waste results'!$S$67&lt;&gt;"data missing", Calc!BD52*'Waste results'!$S$67, "data missing"),
   IF(OR('Waste results'!$S$31&lt;&gt;"data missing", 'Waste results'!$S$67&lt;&gt;"data missing"), Calc!BC52*'Waste results'!$S$31+ Calc!BD52*'Waste results'!$S$67, "data missing"))),
IF(AND('Field information 2'!$M$5&lt;&gt;"", 'Field information 2'!$O$5&lt;&gt;"", 'Field information 2'!$Q$5&lt;&gt;""),
   IF(AND(Calc!BD52=0,Calc!BE52=0),
     IF('Waste results'!$S$31&lt;&gt;"data missing", Calc!BC52*'Waste results'!$S$31, "data missing"),
   IF(AND(Calc!BC52=0,Calc!BE52=0),
     IF('Waste results'!$S$67&lt;&gt;"data missing", Calc!BD52*'Waste results'!$S$67, "data missing"),
   IF(AND(Calc!BC52=0,Calc!BD52=0),
     IF('Waste results'!$S$103&lt;&gt;"data missing", Calc!BE52*'Waste results'!$S$103, "data missing"),
   IF(Calc!BE52=0,
     IF(OR('Waste results'!$S$31&lt;&gt;"data missing", 'Waste results'!$S$67&lt;&gt;"data missing"), Calc!BC52*'Waste results'!$S$31+ Calc!BD52*'Waste results'!$S$67, "data missing"),
   IF(Calc!BD52=0,
     IF(OR('Waste results'!$S$31&lt;&gt;"data missing", 'Waste results'!$S$103&lt;&gt;"data missing"), Calc!BC52*'Waste results'!$S$31+ Calc!BE52*'Waste results'!$S$103, "data missing"),
   IF(Calc!BC52=0,
     IF(OR('Waste results'!$S$67&lt;&gt;"data missing", 'Waste results'!$S$103&lt;&gt;"data missing"), Calc!BD52*'Waste results'!$S$67+Calc!BE52*'Waste results'!$S$103, "data missing"),
   IF(OR('Waste results'!$S$31&lt;&gt;"data missing", 'Waste results'!$S$67&lt;&gt;"data missing", 'Waste results'!$S$103&lt;&gt;"data missing"), Calc!BC52*'Waste results'!$S$31+Calc!BD52*'Waste results'!$S$67+ Calc!BE52*'Waste results'!$S$103, "data missing")))))))))))</f>
        <v/>
      </c>
      <c r="BQ54" s="239" t="str">
        <f ca="1">IF($B54="","",
IF(ISBLANK('Soil results'!Q57),"data missing",'Soil results'!Q57))</f>
        <v/>
      </c>
      <c r="BR54" s="239" t="str">
        <f t="shared" ca="1" si="16"/>
        <v/>
      </c>
      <c r="BS54" s="9" t="str">
        <f ca="1">IF(B54="","",
IF(BP54=0,"n/a",
IF(OR(BP54="data missing",BQ54=""),"data missing",
IF(BP54&gt;15,"application rate too high - permissible rate exceeds limit",
IF('Soil results'!F57&lt;=5.5,
  IF(BQ54&gt;200,"no application - soil conc. already above limit",
  IF(BR54&gt;200,"application rate too high - soil conc. will exceed limit",
  IF(BQ54&gt;200*0.9,"soil conc. is at or above 90% of the limit",
  IF(10*BP54*1000/3000+BQ54&gt;200,"soil limit likely to be exceeded in 10yrs",
  IF(50*BP54*1000/3000+BQ54&gt;200,"soil limit likely to be exceeded in 50yrs","ok"))))),
IF('Soil results'!F57&lt;=6,
  IF(BQ54&gt;250,"no application - soil conc. already above limit",
  IF(BR54&gt;250,"application rate too high - soil conc. will exceed limit",
  IF(BQ54&gt;250*0.9,"soil conc. is at or above 90% of the limit",
  IF(10*BP54*1000/3000+BQ54&gt;250,"soil limit likely to be exceeded in 10yrs",
  IF(50*BP54*1000/3000+BQ54&gt;250,"soil limit likely to be exceeded in 50yrs","ok"))))),
IF('Soil results'!F57&lt;=7,
  IF(BQ54&gt;300,"no application - soil conc. already above limit",
  IF(BR54&gt;300,"application rate too high - soil conc. will exceed limit",
  IF(BQ54&gt;300*0.9,"soil conc. is at or above 90% of the limit",
  IF(10*BP54*1000/3000+BQ54&gt;300,"soil limit likey to be exceeded in 10yrs",
  IF(50*BP54*1000/3000+BQ54&gt;300,"soil limit likely to be exceeded in 50yrs","ok"))))),
IF('Soil results'!F57&gt;7,
  IF(BQ54&gt;450,"no application - soil conc. already above limit",
  IF(BR54&gt;450,"application rate too high - soil conc. will exceed limit",
  IF(AW54&gt;450*0.9,"soil conc. is at or above 90% of the limit",
  IF(10*BP54*1000/3000+BQ54&gt;450,"soil limit likely to be exceeded in 10yrs",
  IF(50*BP54*1000/3000+BQ54&gt;450,"soil limit likely to be exceeded in 50yrs","ok")))))
))))))))</f>
        <v/>
      </c>
    </row>
    <row r="55" spans="2:71" s="9" customFormat="1" ht="15" x14ac:dyDescent="0.25">
      <c r="B55" s="236" t="str">
        <f ca="1">'Soil results'!B58</f>
        <v/>
      </c>
      <c r="C55" s="91" t="str">
        <f ca="1">IF(B55="","",
IF(AND('Field information 2'!$O$5="", 'Field information 2'!$Q$5=""),
   IF('Waste results'!$S$12&lt;&gt;"data missing", Calc!BC53*'Waste results'!$S$12, "data missing"),
IF('Field information 2'!$Q$5="",
   IF(Calc!BD53=0,
     IF('Waste results'!$S$12&lt;&gt;"data missing", Calc!BC53*'Waste results'!$S$12, "data missing"),
   IF(Calc!BC53=0,
     IF('Waste results'!$S$48&lt;&gt;"data missing", Calc!BD53*'Waste results'!$S$48, "data missing"),
   IF(OR('Waste results'!$S$12&lt;&gt;"data missing", 'Waste results'!$S$48&lt;&gt;"data missing"), Calc!BC53*'Waste results'!$S$12+ Calc!BD53*'Waste results'!$S$48, "data missing"))),
IF(AND('Field information 2'!$M$5&lt;&gt;"", 'Field information 2'!$O$5&lt;&gt;"", 'Field information 2'!$Q$5&lt;&gt;""),
   IF(AND(Calc!BD53=0,Calc!BE53=0),
     IF('Waste results'!$S$12&lt;&gt;"data missing", Calc!BC53*'Waste results'!$S$12, "data missing"),
   IF(AND(Calc!BC53=0,Calc!BE53=0),
     IF('Waste results'!$S$48&lt;&gt;"data missing", Calc!BD53*'Waste results'!$S$48, "data missing"),
   IF(AND(Calc!BC53=0,Calc!BD53=0),
     IF('Waste results'!$S$84&lt;&gt;"data missing", Calc!BE53*'Waste results'!$S$84, "data missing"),
   IF(Calc!BE53=0,
     IF(OR('Waste results'!$S$12&lt;&gt;"data missing", 'Waste results'!$S$48&lt;&gt;"data missing"), Calc!BC53*'Waste results'!$S$12+ Calc!BD53*'Waste results'!$S$48, "data missing"),
   IF(Calc!BD53=0,
     IF(OR('Waste results'!$S$12&lt;&gt;"data missing", 'Waste results'!$S$84&lt;&gt;"data missing"), Calc!BC53*'Waste results'!$S$12+ Calc!BE53*'Waste results'!$S$84, "data missing"),
   IF(Calc!BC53=0,
     IF(OR('Waste results'!$S$48&lt;&gt;"data missing", 'Waste results'!$S$84&lt;&gt;"data missing"), Calc!BD53*'Waste results'!$S$48+Calc!BE53*'Waste results'!$S$84, "data missing"),
   IF(OR('Waste results'!$S$12&lt;&gt;"data missing", 'Waste results'!$S$48&lt;&gt;"data missing", 'Waste results'!$S$84&lt;&gt;"data missing"), Calc!BC53*'Waste results'!$S$12+Calc!BD53*'Waste results'!$S$48+ Calc!BE53*'Waste results'!$S$84, "data missing")))))))))))</f>
        <v/>
      </c>
      <c r="D55" s="161" t="str">
        <f ca="1">IF(B55="","",
IF(Calc!BG53="","soil texture missing",
IF(OR(Calc!BG53="SL; SZL; ZL",Calc!BG53="SCL; CL; ZCL; SC; ZC; C"),VLOOKUP(Calc!BI53,'Fertiliser recommendations'!$A$4:$C$63,3,FALSE),
IF(Calc!BG53="S; LS",VLOOKUP(Calc!BI53,'Fertiliser recommendations'!$A$4:$C$63,3,FALSE)+VLOOKUP(Calc!BI53,'Fertiliser recommendations'!$A$4:$D$63,4,FALSE),
IF(Calc!BG53="10-25% OM",VLOOKUP(Calc!BI53,'Fertiliser recommendations'!$A$4:$C$63,3,FALSE)+VLOOKUP(Calc!BI53,'Fertiliser recommendations'!$A$4:$E$63,5,FALSE),
IF(Calc!BG53="&gt;25% OM",VLOOKUP(Calc!BI53,'Fertiliser recommendations'!$A$4:$C$63,3,FALSE)+VLOOKUP(Calc!BI53,'Fertiliser recommendations'!$A$4:$F$63,6,FALSE),
""))))))</f>
        <v/>
      </c>
      <c r="E55" s="91" t="str">
        <f t="shared" ca="1" si="0"/>
        <v/>
      </c>
      <c r="F55" s="9" t="str">
        <f ca="1">IF(B55="","",
IF(OR(C55="data missing",D55="soil texture missing"),"data missing",
IF(Calc!BF53=0,"n/a",
IF(C55&lt;0.1*D55,"no benefit",
IF(C55&lt;0.3*D55,"limited benefit",
IF(C55&gt;250,"exceeds limit",
IF(OR(AND(D55=0,C55&gt;75),C55&gt;1.25*D55),"excessive",
IF(D55=0, "no requirement",
"benefit"))))))))</f>
        <v/>
      </c>
      <c r="H55" s="91" t="str">
        <f ca="1">IF(B55="","",
IF(AND('Field information 2'!$O$5="", 'Field information 2'!$Q$5=""),
   IF('Waste results'!$S$17&lt;&gt;"data missing", Calc!BC53*'Waste results'!$S$17, "data missing"),
IF('Field information 2'!$Q$5="",
   IF(Calc!BD53=0,
     IF('Waste results'!$S$17&lt;&gt;"data missing", Calc!BC53*'Waste results'!$S$17, "data missing"),
   IF(Calc!BC53=0,
     IF('Waste results'!$S$53&lt;&gt;"data missing", Calc!BD53*'Waste results'!$S$53, "data missing"),
   IF(OR('Waste results'!$S$17&lt;&gt;"data missing", 'Waste results'!$S$53&lt;&gt;"data missing"), Calc!BC53*'Waste results'!$S$17+ Calc!BD53*'Waste results'!$S$53, "data missing"))),
IF(AND('Field information 2'!$M$5&lt;&gt;"", 'Field information 2'!$O$5&lt;&gt;"", 'Field information 2'!$Q$5&lt;&gt;""),
   IF(AND(Calc!BD53=0,Calc!BE53=0),
     IF('Waste results'!$S$17&lt;&gt;"data missing", Calc!BC53*'Waste results'!$S$17, "data missing"),
   IF(AND(Calc!BC53=0,Calc!BE53=0),
     IF('Waste results'!$S$53&lt;&gt;"data missing", Calc!BD53*'Waste results'!$S$53, "data missing"),
   IF(AND(Calc!BC53=0,Calc!BD53=0),
     IF('Waste results'!$S$89&lt;&gt;"data missing", Calc!BE53*'Waste results'!$S$89, "data missing"),
   IF(Calc!BE53=0,
     IF(OR('Waste results'!$S$17&lt;&gt;"data missing", 'Waste results'!$S$53&lt;&gt;"data missing"), Calc!BC53*'Waste results'!$S$17+ Calc!BD53*'Waste results'!$S$53, "data missing"),
   IF(Calc!BD53=0,
     IF(OR('Waste results'!$S$17&lt;&gt;"data missing", 'Waste results'!$S$89&lt;&gt;"data missing"), Calc!BC53*'Waste results'!$S$17+ Calc!BE53*'Waste results'!$S$89, "data missing"),
   IF(Calc!BC53=0,
     IF(OR('Waste results'!$S$53&lt;&gt;"data missing", 'Waste results'!$S$89&lt;&gt;"data missing"), Calc!BD53*'Waste results'!$S$53+Calc!BE53*'Waste results'!$S$89, "data missing"),
   IF(OR('Waste results'!$S$17&lt;&gt;"data missing", 'Waste results'!$S$53&lt;&gt;"data missing", 'Waste results'!$S$89&lt;&gt;"data missing"), Calc!BC53*'Waste results'!$S$17+Calc!BD53*'Waste results'!$S$53+ Calc!BE53*'Waste results'!$S$89, "data missing")))))))))))</f>
        <v/>
      </c>
      <c r="I55" s="195" t="str">
        <f ca="1">IF(B55="","",
IF(OR(ISBLANK('Soil results'!G58), ISBLANK('Soil results'!G$7)),"data missing",
IF(OR(AND('Soil results'!G$7="Olsen (ADAS)",'Soil results'!G58&lt;16),AND('Soil results'!G$7="modified Morgan (SAC)",'Soil results'!G58&lt;4.5)),50,100)))</f>
        <v/>
      </c>
      <c r="J55" s="49" t="str">
        <f ca="1">IF(B55="","",
IF(OR(ISBLANK('Soil results'!G$7),ISBLANK('Soil results'!G58)),"data missing",
IF(OR(AND('Soil results'!G$7="Olsen (ADAS)",'Soil results'!G58&gt;45),AND('Soil results'!G$7="modified Morgan (SAC)",'Soil results'!G58&gt;30)),0,
IF(OR(AND('Soil results'!G$7="Olsen (ADAS)",'Soil results'!G58&gt;=16,'Soil results'!G58&lt;=20),AND('Soil results'!G$7="modified Morgan (SAC)",'Soil results'!G58&gt;=4.5,'Soil results'!G58&lt;=9.4)),VLOOKUP(Calc!BI53,'Fertiliser recommendations'!$A$4:$I$63,9,FALSE),
IF(OR(AND('Soil results'!G$7="Olsen (ADAS)",'Soil results'!G58&lt;10),AND('Soil results'!G$7="modified Morgan (SAC)",'Soil results'!G58&lt;1.8)),VLOOKUP(Calc!BI53,'Fertiliser recommendations'!$A$4:$I$63,9,FALSE)+VLOOKUP(Calc!BI53,'Fertiliser recommendations'!$A$4:$J$63,10,FALSE),
IF(OR(AND('Soil results'!G$7="Olsen (ADAS)",'Soil results'!G58&lt;16),AND('Soil results'!G$7="modified Morgan (SAC)",'Soil results'!G58&lt;4.5)),VLOOKUP(Calc!BI53,'Fertiliser recommendations'!$A$4:$I$63,9,FALSE)+VLOOKUP(Calc!BI53,'Fertiliser recommendations'!$A$4:$K$63,11,FALSE),
IF(OR(AND('Soil results'!G$7="Olsen (ADAS)",'Soil results'!G58&lt;26),AND('Soil results'!G$7="modified Morgan (SAC)",'Soil results'!G58&lt;13.5)),VLOOKUP(Calc!BI53,'Fertiliser recommendations'!$A$4:$I$63,9,FALSE)+VLOOKUP(Calc!BI53,'Fertiliser recommendations'!$A$4:$L$63,12,FALSE),
IF(OR(AND('Soil results'!G$7="Olsen (ADAS)",'Soil results'!G58&lt;=45),AND('Soil results'!G$7="modified Morgan (SAC)",'Soil results'!G58&lt;=30)),VLOOKUP(Calc!BI53,'Fertiliser recommendations'!$A$4:$I$63,9,FALSE)+VLOOKUP(Calc!BI53,'Fertiliser recommendations'!$A$4:$M$63,13,FALSE),
""))))))))</f>
        <v/>
      </c>
      <c r="K55" s="161" t="str">
        <f t="shared" ca="1" si="1"/>
        <v/>
      </c>
      <c r="L55" s="47" t="str">
        <f ca="1">IF(OR(ISBLANK('Soil results'!G$7),ISBLANK('Soil results'!G58),B55="", H55="data missing"),"",
IF('Soil results'!G$7="Olsen (ADAS)",
IF(((H55*Calc!BM53/2.291-(VLOOKUP(Calc!BI53,'Fertiliser recommendations'!$A$4:$I$63,9,FALSE))/2.291)*10/(400/2.291)+'Soil results'!G58)&lt;10,"0 (VL)",
IF(((H55*Calc!BM53/2.291-(VLOOKUP(Calc!BI53,'Fertiliser recommendations'!$A$4:$I$63,9,FALSE))/2.291)*10/(400/2.291)+'Soil results'!G58)&lt;16,"1 (L)",
IF(((H55*Calc!BM53/2.291-(VLOOKUP(Calc!BI53,'Fertiliser recommendations'!$A$4:$I$63,9,FALSE))/2.291)*10/(400/2.291)+'Soil results'!G58)&lt;21,"2 (M-)",
IF(((H55*Calc!BM53/2.291-(VLOOKUP(Calc!BI53,'Fertiliser recommendations'!$A$4:$I$63,9,FALSE))/2.291)*10/(400/2.291)+'Soil results'!G58)&lt;26,"2 (M+)",
IF(((H55*Calc!BM53/2.291-(VLOOKUP(Calc!BI53,'Fertiliser recommendations'!$A$4:$I$63,9,FALSE))/2.291)*10/(400/2.291)+'Soil results'!G58)&lt;45,"3 (H)","&gt;3 (VH)"))))),
IF('Soil results'!G$7="modified Morgan (SAC)",
IF('Soil results'!G58&gt;=6,
IF(((H55*Calc!BM53/2.291-(VLOOKUP(Calc!BI53,'Fertiliser recommendations'!$A$4:$I$63,9,FALSE))/2.291)*5/(147/2.291)+'Soil results'!G58)&lt;9.5,"2 (M-)",
IF(((H55*Calc!BM53/2.291-(VLOOKUP(Calc!BI53,'Fertiliser recommendations'!$A$4:$I$63,9,FALSE))/2.291)*5/(147/2.291)+'Soil results'!G58)&lt;13.5,"2 (M+)",
IF(((H55*Calc!BM53/2.291-(VLOOKUP(Calc!BI53,'Fertiliser recommendations'!$A$4:$I$63,9,FALSE))/2.291)*5/(147/2.291)+'Soil results'!G58)&lt;30,"3 (H)","4 (VH)"))),
IF(((H55*Calc!BM53/2.291-(VLOOKUP(Calc!BI53,'Fertiliser recommendations'!$A$4:$I$63,9,FALSE))/2.291)*5/(346/2.291)+'Soil results'!G58)&lt;1.8,"0 (VL)",
IF(((H55*Calc!BM53/2.291-(VLOOKUP(Calc!BI53,'Fertiliser recommendations'!$A$4:$I$63,9,FALSE))/2.291)*5/(147/2.291)+'Soil results'!G58)&lt;4.5,"1 (L)","2 (M-)"))))))</f>
        <v/>
      </c>
      <c r="M55" s="9" t="str">
        <f ca="1">IF(B55="","",
IF(OR(H55="data missing",I55="data missing",J55="data missing"),"data missing",
IF(Calc!BF53=0,"n/a",
IF(OR(AND('Soil results'!G$7="Olsen (ADAS)",'Soil results'!G58&gt;45),AND('Soil results'!G$7="modified Morgan (SAC)",'Soil results'!G58&gt;30)),
IF(H55&gt;2,"too high, not acceptable","no requirement"),IF(OR(AND('Soil results'!G$7="Olsen (ADAS)",'Soil results'!G58&gt;25),AND('Soil results'!G$7="modified Morgan (SAC)",'Soil results'!G58&gt;13.4)),
IF(H55*(I55/100)&lt;0.1*J55,"no benefit",
IF(H55*(I55/100)&lt;0.3*J55,"limited benefit",
IF(H55*(I55/100)&lt;1.1*J55,"benefit",
IF(H55*(I55/100)&lt;0.7*VLOOKUP(Calc!BI53,'Fertiliser recommendations'!$A$4:$I$63,9,FALSE),"excessive","too high, not acceptable")))),
IF(OR(AND('Soil results'!G$7="Olsen (ADAS)",'Soil results'!G58&gt;20),AND('Soil results'!G$7="modified Morgan (SAC)",'Soil results'!G58&gt;9.4)),
IF(H55*Calc!BM53*(I55/100)&lt;0.1*J55,"no benefit",
IF(H55*Calc!BM53*(I55/100)&lt;0.3*J55,"limited benefit",
IF(H55*Calc!BM53*(I55/100)&lt;1.1*J55,"benefit",
IF(L55="3 (H)","too high, not acceptable","excessive")))),
IF(OR(AND('Soil results'!G$7="Olsen (ADAS)",'Soil results'!G58&gt;15),AND('Soil results'!G$7="modified Morgan (SAC)",'Soil results'!G58&gt;4.4)),
IF(H55*Calc!BM53*(I55/100)&lt;0.1*VLOOKUP(Calc!BI53,'Fertiliser recommendations'!$A$4:$I$63,9,FALSE),"no benefit",
IF(H55*Calc!BM53*(I55/100)&lt;0.3*VLOOKUP(Calc!BI53,'Fertiliser recommendations'!$A$4:$I$63,9,FALSE),"limited benefit",
IF(H55*Calc!BM53*(I55/100)&lt;1.1*VLOOKUP(Calc!BI53,'Fertiliser recommendations'!$A$4:$I$63,9,FALSE),"benefit",
IF(L55="3 (H)", "too high, not acceptable", "excessive")))),
IF(OR(AND('Soil results'!G$7="Olsen (ADAS)",'Soil results'!G58&lt;=15),AND('Soil results'!G$7="modified Morgan (SAC)",'Soil results'!G58&lt;=4.4)),
IF(H55*Calc!BM53*(I55/100)&lt;0.1*VLOOKUP(Calc!BI53,'Fertiliser recommendations'!$A$4:$I$63,9,FALSE),"no benefit",
IF(H55*Calc!BM53*(I55/100)&lt;0.3*VLOOKUP(Calc!BI53,'Fertiliser recommendations'!$A$4:$I$63,9,FALSE),"limited benefit",
IF(H55*Calc!BM53*(I55/100)&lt;1.1*J55,"benefit","excessive")))))))))))</f>
        <v/>
      </c>
      <c r="O55" s="91" t="str">
        <f ca="1">IF(B55="","",
IF(AND('Field information 2'!$O$5="", 'Field information 2'!$Q$5=""),
   IF('Waste results'!$S$19&lt;&gt;"data missing", Calc!BC53*'Waste results'!$S$19, "data missing"),
IF('Field information 2'!$Q$5="",
   IF(Calc!BD53=0,
     IF('Waste results'!$S$19&lt;&gt;"data missing", Calc!BC53*'Waste results'!$S$19, "data missing"),
   IF(Calc!BC53=0,
     IF('Waste results'!$S$55&lt;&gt;"data missing", Calc!BD53*'Waste results'!$S$55, "data missing"),
   IF(OR('Waste results'!$S$19&lt;&gt;"data missing", 'Waste results'!$S$55&lt;&gt;"data missing"), Calc!BC53*'Waste results'!$S$19+ Calc!BD53*'Waste results'!$S$55, "data missing"))),
IF(AND('Field information 2'!$M$5&lt;&gt;"", 'Field information 2'!$O$5&lt;&gt;"", 'Field information 2'!$Q$5&lt;&gt;""),
   IF(AND(Calc!BD53=0,Calc!BE53=0),
     IF('Waste results'!$S$19&lt;&gt;"data missing", Calc!BC53*'Waste results'!$S$19, "data missing"),
   IF(AND(Calc!BC53=0,Calc!BE53=0),
     IF('Waste results'!$S$55&lt;&gt;"data missing", Calc!BD53*'Waste results'!$S$55, "data missing"),
   IF(AND(Calc!BC53=0,Calc!BD53=0),
     IF('Waste results'!$S$91&lt;&gt;"data missing", Calc!BE53*'Waste results'!$S$91, "data missing"),
   IF(Calc!BE53=0,
     IF(OR('Waste results'!$S$19&lt;&gt;"data missing", 'Waste results'!$S$55&lt;&gt;"data missing"), Calc!BC53*'Waste results'!$S$19+ Calc!BD53*'Waste results'!$S$55, "data missing"),
   IF(Calc!BD53=0,
     IF(OR('Waste results'!$S$19&lt;&gt;"data missing", 'Waste results'!$S$91&lt;&gt;"data missing"), Calc!BC53*'Waste results'!$S$19+ Calc!BE53*'Waste results'!$S$91, "data missing"),
   IF(Calc!BC53=0,
     IF(OR('Waste results'!$S$55&lt;&gt;"data missing", 'Waste results'!$S$91&lt;&gt;"data missing"), Calc!BD53*'Waste results'!$S$55+Calc!BE53*'Waste results'!$S$91, "data missing"),
   IF(OR('Waste results'!$S$19&lt;&gt;"data missing", 'Waste results'!$S$55&lt;&gt;"data missing", 'Waste results'!$S$91&lt;&gt;"data missing"), Calc!BC53*'Waste results'!$S$19+Calc!BD53*'Waste results'!$S$55+ Calc!BE53*'Waste results'!$S$91, "data missing")))))))))))</f>
        <v/>
      </c>
      <c r="P55" s="91" t="str">
        <f ca="1">IF(B55="","",
IF(OR(ISBLANK('Soil results'!H$7),ISBLANK('Soil results'!H58)),"data missing",
IF(OR(AND('Soil results'!H$7="ammonium nitrate (ADAS)",'Soil results'!H58&gt;400),AND('Soil results'!H$7="modified Morgan (SAC)",'Soil results'!H58&gt;400)),0,
IF(OR(AND('Soil results'!H$7="ammonium nitrate (ADAS)",'Soil results'!H58&gt;=121,'Soil results'!H58&lt;=180),AND('Soil results'!H$7="modified Morgan (SAC)",'Soil results'!H58&gt;=76,'Soil results'!H58&lt;=140)),VLOOKUP(Calc!BI53,'Fertiliser recommendations'!$A$4:$Z$63,26,FALSE),
IF(OR(AND('Soil results'!H$7="ammonium nitrate (ADAS)",'Soil results'!H58&lt;61),AND('Soil results'!H$7="modified Morgan (SAC)",'Soil results'!H58&lt;40)),VLOOKUP(Calc!BI53,'Fertiliser recommendations'!$A$4:$Z$63,26,FALSE)+VLOOKUP(Calc!BI53,'Fertiliser recommendations'!$A$4:$AA$63,27,FALSE),
IF(OR(AND('Soil results'!H$7="ammonium nitrate (ADAS)",'Soil results'!H58&lt;121),AND('Soil results'!H$7="modified Morgan (SAC)",'Soil results'!H58&lt;76)),VLOOKUP(Calc!BI53,'Fertiliser recommendations'!$A$4:$Z$63,26,FALSE)+VLOOKUP(Calc!BI53,'Fertiliser recommendations'!$A$4:$AB$63,28,FALSE),
IF(OR(AND('Soil results'!H$7="ammonium nitrate (ADAS)",'Soil results'!H58&lt;241),AND('Soil results'!H$7="modified Morgan (SAC)",'Soil results'!H58&lt;201)),VLOOKUP(Calc!BI53,'Fertiliser recommendations'!$A$4:$Z$63,26,FALSE)+VLOOKUP(Calc!BI53,'Fertiliser recommendations'!$A$4:$AC$63,29,FALSE),
IF(OR(AND('Soil results'!H$7="ammonium nitrate (ADAS)",'Soil results'!H58&lt;=400),AND('Soil results'!H$7="modified Morgan (SAC)",'Soil results'!H58&lt;=400)),VLOOKUP(Calc!BI53,'Fertiliser recommendations'!$A$4:$Z$63,26,FALSE)+VLOOKUP(Calc!BI53,'Fertiliser recommendations'!$A$4:$AD$63,30,FALSE),
"??"))))))))</f>
        <v/>
      </c>
      <c r="Q55" s="91" t="str">
        <f t="shared" ca="1" si="2"/>
        <v/>
      </c>
      <c r="R55" s="9" t="str">
        <f ca="1">IF(B55="","",
IF(OR(O55="data missing",P55="data missing"),"data missing",
IF(Calc!BF53=0,"n/a",
IF(P55=0, "no requirement",
IF(O55&lt;0.1*P55,"no benefit",
IF(O55&lt;0.3*P55,"limited benefit",
IF(O55&gt;1.25*P55,"excessive",
"benefit")))))))</f>
        <v/>
      </c>
      <c r="T55" s="91" t="str">
        <f ca="1">IF(B55="","",
IF(AND('Field information 2'!$O$5="", 'Field information 2'!$Q$5=""),
   IF('Waste results'!$S$21&lt;&gt;"data missing", Calc!BC53*'Waste results'!$S$21, "data missing"),
IF('Field information 2'!$Q$5="",
   IF(Calc!BD53=0,
     IF('Waste results'!$S$21&lt;&gt;"data missing", Calc!BC53*'Waste results'!$S$21, "data missing"),
   IF(Calc!BC53=0,
     IF('Waste results'!$S$57&lt;&gt;"data missing", Calc!BD53*'Waste results'!$S$57, "data missing"),
   IF(OR('Waste results'!$S$21&lt;&gt;"data missing", 'Waste results'!$S$57&lt;&gt;"data missing"), Calc!BC53*'Waste results'!$S$21+ Calc!BD53*'Waste results'!$S$57, "data missing"))),
IF(AND('Field information 2'!$M$5&lt;&gt;"", 'Field information 2'!$O$5&lt;&gt;"", 'Field information 2'!$Q$5&lt;&gt;""),
   IF(AND(Calc!BD53=0,Calc!BE53=0),
     IF('Waste results'!$S$21&lt;&gt;"data missing", Calc!BC53*'Waste results'!$S$21, "data missing"),
   IF(AND(Calc!BC53=0,Calc!BE53=0),
     IF('Waste results'!$S$57&lt;&gt;"data missing", Calc!BD53*'Waste results'!$S$57, "data missing"),
   IF(AND(Calc!BC53=0,Calc!BD53=0),
     IF('Waste results'!$S$93&lt;&gt;"data missing", Calc!BE53*'Waste results'!$S$93, "data missing"),
   IF(Calc!BE53=0,
     IF(OR('Waste results'!$S$21&lt;&gt;"data missing", 'Waste results'!$S$57&lt;&gt;"data missing"), Calc!BC53*'Waste results'!$S$21+ Calc!BD53*'Waste results'!$S$57, "data missing"),
   IF(Calc!BD53=0,
     IF(OR('Waste results'!$S$21&lt;&gt;"data missing", 'Waste results'!$S$93&lt;&gt;"data missing"), Calc!BC53*'Waste results'!$S$21+ Calc!BE53*'Waste results'!$S$93, "data missing"),
   IF(Calc!BC53=0,
     IF(OR('Waste results'!$S$57&lt;&gt;"data missing", 'Waste results'!$S$93&lt;&gt;"data missing"), Calc!BD53*'Waste results'!$S$57+Calc!BE53*'Waste results'!$S$93, "data missing"),
   IF(OR('Waste results'!$S$21&lt;&gt;"data missing", 'Waste results'!$S$57&lt;&gt;"data missing", 'Waste results'!$S$93&lt;&gt;"data missing"), Calc!BC53*'Waste results'!$S$21+Calc!BD53*'Waste results'!$S$57+ Calc!BE53*'Waste results'!$S$93, "data missing")))))))))))</f>
        <v/>
      </c>
      <c r="U55" s="7" t="str">
        <f ca="1">IF(B55="","",
IF(OR(ISBLANK('Soil results'!I$7),ISBLANK('Soil results'!I58)),"data missing",
IF(OR(AND('Soil results'!I$7="ammonium nitrate (ADAS)",'Soil results'!I58&gt;51),AND('Soil results'!I$7="modified Morgan (SAC)",'Soil results'!I58&gt;61)),0,
IF(OR(AND('Soil results'!I$7="ammonium nitrate (ADAS)",'Soil results'!I58&lt;25),AND('Soil results'!I$7="modified Morgan (SAC)",'Soil results'!I58&lt;19)),VLOOKUP(Calc!BI53,'Fertiliser recommendations'!$A$4:$AH$63,34,FALSE),
IF(OR(AND('Soil results'!I$7="ammonium nitrate (ADAS)",'Soil results'!I58&lt;=51),AND('Soil results'!I$7="modified Morgan (SAC)",'Soil results'!I58&lt;=61)),VLOOKUP(Calc!BI53,'Fertiliser recommendations'!$A$4:$AI$63,35,FALSE),
"")))))</f>
        <v/>
      </c>
      <c r="V55" s="91" t="str">
        <f t="shared" ca="1" si="3"/>
        <v/>
      </c>
      <c r="W55" s="9" t="str">
        <f ca="1">IF(B55="","",
IF(OR(T55="data missing",U55="data missing"),"data missing",
IF(Calc!BF53=0,"n/a",
IF(U55=0,"no requirement",
IF(T55&lt;0.1*U55,"no benefit",
IF(T55&lt;0.3*U55,"limited benefit",
IF(OR(T55&gt;1.5*U55,AND(Calc!BJ53="g",T55&gt;100)),"excessive",
"benefit")))))))</f>
        <v/>
      </c>
      <c r="Y55" s="91" t="str">
        <f ca="1">IF(B55="","",
IF(AND('Field information 2'!$O$5="", 'Field information 2'!$Q$5=""),
   IF('Waste results'!$P$23&lt;&gt;"", Calc!BC53*'Waste results'!$P$23, "no data"),
IF('Field information 2'!$Q$5="",
   IF(Calc!BD53=0,
     IF('Waste results'!$P$23&lt;&gt;"", Calc!BC53*'Waste results'!$P$23, "no data"),
   IF(Calc!BC53=0,
     IF('Waste results'!$P$59&lt;&gt;"", Calc!BD53*'Waste results'!$P$59, "no data"),
   IF(OR('Waste results'!$P$23&lt;&gt;"", 'Waste results'!$P$59&lt;&gt;""), Calc!BC53*'Waste results'!$P$23+ Calc!BD53*'Waste results'!$P$59, "no data"))),
IF(AND('Field information 2'!$M$5&lt;&gt;"", 'Field information 2'!$O$5&lt;&gt;"", 'Field information 2'!$Q$5&lt;&gt;""),
   IF(AND(Calc!BD53=0,Calc!BE53=0),
     IF('Waste results'!$P$23&lt;&gt;"", Calc!BC53*'Waste results'!$P$23, "no data"),
   IF(AND(Calc!BC53=0,Calc!BE53=0),
     IF('Waste results'!$P$59&lt;&gt;"", Calc!BD53*'Waste results'!$P$59, "no data"),
   IF(AND(Calc!BC53=0,Calc!BD53=0),
     IF('Waste results'!$P$95&lt;&gt;"", Calc!BE53*'Waste results'!$P$95, "no data"),
   IF(Calc!BE53=0,
     IF(OR('Waste results'!$P$23&lt;&gt;"", 'Waste results'!$P$59&lt;&gt;""), Calc!BC53*'Waste results'!$P$23+ Calc!BD53*'Waste results'!$P$59, "no data"),
   IF(Calc!BD53=0,
     IF(OR('Waste results'!$P$23&lt;&gt;"", 'Waste results'!$P$95&lt;&gt;""), Calc!BC53*'Waste results'!$P$23+ Calc!BE53*'Waste results'!$P$95, "no data"),
   IF(Calc!BC53=0,
     IF(OR('Waste results'!$P$59&lt;&gt;"", 'Waste results'!$P$95&lt;&gt;""), Calc!BD53*'Waste results'!$P$59+Calc!BE53*'Waste results'!$P$95, "no data"),
   IF(OR('Waste results'!$P$23&lt;&gt;"", 'Waste results'!$P$59&lt;&gt;"", 'Waste results'!$P$95&lt;&gt;""), Calc!BC53*'Waste results'!$P$23+Calc!BD53*'Waste results'!$P$59+ Calc!BE53*'Waste results'!$P$95, "no data")))))))))))</f>
        <v/>
      </c>
      <c r="Z55" s="7" t="str">
        <f ca="1">IF(OR(ISBLANK('Soil results'!I$7),ISBLANK('Soil results'!I58),'Soil results'!B58=""),"",
VLOOKUP(Calc!BI53,'Fertiliser recommendations'!$A$4:$AM$63,39,FALSE))</f>
        <v/>
      </c>
      <c r="AA55" s="91" t="str">
        <f t="shared" ca="1" si="4"/>
        <v/>
      </c>
      <c r="AB55" s="9" t="str">
        <f t="shared" ca="1" si="5"/>
        <v/>
      </c>
      <c r="AD55" s="48" t="str">
        <f>IF(ISBLANK('Soil results'!F58),"",'Soil results'!F58)</f>
        <v/>
      </c>
      <c r="AE55" s="49" t="str">
        <f ca="1">IF(B55="","",
IF(AND(Calc!BJ53="g", VLOOKUP(LEFT($B55,LEN($B55)-2),'Field information 2'!$B$12:$P$111,9,FALSE)&lt;&gt;"yes"),
 IF(Calc!BG53="10-25% OM", 5.9, IF(Calc!BG53="&gt;25% OM", 5.5, 6.2)),
IF(OR(Calc!BJ53="a", VLOOKUP(LEFT($B55,LEN($B55)-2),'Field information 2'!$B$12:$P$111,9,FALSE)="yes"),
 IF(Calc!BG53="10-25% OM", 6.4, IF(Calc!BG53="&gt;25% OM", 6, 6.7)), "")))</f>
        <v/>
      </c>
      <c r="AF55" s="91" t="str">
        <f ca="1">IF(B55="","",
IF('Waste results'!$Q$33="","no (significant) liming properties",
IF('Waste results'!Q$33&gt;100,"no (significant) liming properties",
IF(AD55="","",
IF(AD55&gt;=AE55,0,ROUNDDOWN((AE55-AD55)*Calc!BK53*'Waste results'!$Q$33+0.2,0))))))</f>
        <v/>
      </c>
      <c r="AG55" s="9" t="str">
        <f ca="1">IF(B55="","",
IF(T55=0,"n/a",
IF(AD55="","data missing",
IF(AND(AD55&lt;5,AF55="no (significant) liming properties"),"no waste application - pH too low",
IF(AND(AD55&gt;5.1,AF55="no (significant) liming properties",Calc!BH53&gt;25, LEFT(Calc!BI53,4)="graz"),"ok",
IF(AND(AD55&lt;=5.2,AF55="no (significant) liming properties"),"liming highly recommended",
IF(AF55=0,"no waste application - liming not required",
IF(AF55&lt;Calc!BC53,"application rate too high - exceeds liming requirement",
"ok"))))))))</f>
        <v/>
      </c>
      <c r="AI55" s="91" t="str">
        <f ca="1">IF(B55="","",
IF(AND('Field information 2'!$O$5="", 'Field information 2'!$Q$5=""),
   IF('Waste results'!$P$10&lt;&gt;"data missing", Calc!BC53*'Waste results'!$P$10, "data missing"),
IF('Field information 2'!$Q$5="",
   IF(Calc!BD53=0,
     IF('Waste results'!$P$10&lt;&gt;"data missing", Calc!BC53*'Waste results'!$P$10, "data missing"),
   IF(Calc!BC53=0,
     IF('Waste results'!$P$45&lt;&gt;"data missing", Calc!BD53*'Waste results'!$P$45, "data missing"),
   IF(OR('Waste results'!$P$10&lt;&gt;"data missing", 'Waste results'!$P$45&lt;&gt;"data missing"), Calc!BC53*'Waste results'!$P$10+ Calc!BD53*'Waste results'!$P$45, "data missing"))),
IF(AND('Field information 2'!$M$5&lt;&gt;"", 'Field information 2'!$O$5&lt;&gt;"", 'Field information 2'!$Q$5&lt;&gt;""),
   IF(AND(Calc!BD53=0,Calc!BE53=0),
     IF('Waste results'!$P$10&lt;&gt;"data missing", Calc!BC53*'Waste results'!$P$10, "data missing"),
   IF(AND(Calc!BC53=0,Calc!BE53=0),
     IF('Waste results'!$P$45&lt;&gt;"data missing", Calc!BD53*'Waste results'!$P$45, "data missing"),
   IF(AND(Calc!BC53=0,Calc!BD53=0),
     IF('Waste results'!$P$82&lt;&gt;"data missing", Calc!BE53*'Waste results'!$P$82, "data missing"),
   IF(Calc!BE53=0,
     IF(OR('Waste results'!$P$10&lt;&gt;"data missing", 'Waste results'!$P$45&lt;&gt;"data missing"), Calc!BC53*'Waste results'!$P$10+ Calc!BD53*'Waste results'!$P$45, "data missing"),
   IF(Calc!BD53=0,
     IF(OR('Waste results'!$P$10&lt;&gt;"data missing", 'Waste results'!$P$82&lt;&gt;"data missing"), Calc!BC53*'Waste results'!$P$10+ Calc!BE53*'Waste results'!$P$82, "data missing"),
   IF(Calc!BC53=0,
     IF(OR('Waste results'!$P$45&lt;&gt;"data missing", 'Waste results'!$P$82&lt;&gt;"data missing"), Calc!BD53*'Waste results'!$P$45+Calc!BE53*'Waste results'!$P$82, "data missing"),
   IF(OR('Waste results'!$P$10&lt;&gt;"data missing", 'Waste results'!$P$45&lt;&gt;"data missing", 'Waste results'!$P$82&lt;&gt;"data missing"), Calc!BC53*'Waste results'!$P$10+Calc!BD53*'Waste results'!$P$45+ Calc!BE53*'Waste results'!$P$82, "data missing")))))))))))</f>
        <v/>
      </c>
      <c r="AJ55" s="237" t="str">
        <f ca="1">IF(B55="","",
IF(AI55="data missing","data missing",
IF(Calc!BF53=0,"n/a",
IF(AND(Calc!BH53&gt;=8,AI55&lt;500),"no benefit",
IF(OR(AND(Calc!BH53&lt;=4,AI55&gt;=500),AND(Calc!BH53&lt;8,AI55&gt;5000)),"benefit",
"limited benefit")))))</f>
        <v/>
      </c>
      <c r="AL55" s="238" t="str">
        <f ca="1">IF(B55="","",
IF(AND('Field information 2'!$O$5="", 'Field information 2'!$Q$5=""),
   IF('Waste results'!$S$25&lt;&gt;"data missing", Calc!BC53*'Waste results'!$S$25, "data missing"),
IF('Field information 2'!$Q$5="",
   IF(Calc!BD53=0,
     IF('Waste results'!$S$25&lt;&gt;"data missing", Calc!BC53*'Waste results'!$S$25, "data missing"),
   IF(Calc!BC53=0,
     IF('Waste results'!$S$61&lt;&gt;"data missing", Calc!BD53*'Waste results'!$S$61, "data missing"),
   IF(OR('Waste results'!$S$25&lt;&gt;"data missing", 'Waste results'!$S$61&lt;&gt;"data missing"), Calc!BC53*'Waste results'!$S$25+ Calc!BD53*'Waste results'!$S$61, "data missing"))),
IF(AND('Field information 2'!$M$5&lt;&gt;"", 'Field information 2'!$O$5&lt;&gt;"", 'Field information 2'!$Q$5&lt;&gt;""),
   IF(AND(Calc!BD53=0,Calc!BE53=0),
     IF('Waste results'!$S$25&lt;&gt;"data missing", Calc!BC53*'Waste results'!$S$25, "data missing"),
   IF(AND(Calc!BC53=0,Calc!BE53=0),
     IF('Waste results'!$S$61&lt;&gt;"data missing", Calc!BD53*'Waste results'!$S$61, "data missing"),
   IF(AND(Calc!BC53=0,Calc!BD53=0),
     IF('Waste results'!$S$97&lt;&gt;"data missing", Calc!BE53*'Waste results'!$S$97, "data missing"),
   IF(Calc!BE53=0,
     IF(OR('Waste results'!$S$25&lt;&gt;"data missing", 'Waste results'!$S$61&lt;&gt;"data missing"), Calc!BC53*'Waste results'!$S$25+ Calc!BD53*'Waste results'!$S$61, "data missing"),
   IF(Calc!BD53=0,
     IF(OR('Waste results'!$S$25&lt;&gt;"data missing", 'Waste results'!$S$97&lt;&gt;"data missing"), Calc!BC53*'Waste results'!$S$25+ Calc!BE53*'Waste results'!$S$97, "data missing"),
   IF(Calc!BC53=0,
     IF(OR('Waste results'!$S$61&lt;&gt;"data missing", 'Waste results'!$S$97&lt;&gt;"data missing"), Calc!BD53*'Waste results'!$S$61+Calc!BE53*'Waste results'!$S$97, "data missing"),
   IF(OR('Waste results'!$S$25&lt;&gt;"data missing", 'Waste results'!$S$61&lt;&gt;"data missing", 'Waste results'!$S$97&lt;&gt;"data missing"), Calc!BC53*'Waste results'!$S$25+Calc!BD53*'Waste results'!$S$61+ Calc!BE53*'Waste results'!$S$97, "data missing")))))))))))</f>
        <v/>
      </c>
      <c r="AM55" s="239" t="str">
        <f ca="1">IF($B55="","",
IF(ISBLANK('Soil results'!K58),"data missing",'Soil results'!K58))</f>
        <v/>
      </c>
      <c r="AN55" s="239" t="str">
        <f t="shared" ca="1" si="6"/>
        <v/>
      </c>
      <c r="AO55" s="9" t="str">
        <f t="shared" ca="1" si="7"/>
        <v/>
      </c>
      <c r="AQ55" s="240" t="str">
        <f ca="1">IF(B55="","",
IF(AND('Field information 2'!$O$5="", 'Field information 2'!$Q$5=""),
   IF('Waste results'!$S$26&lt;&gt;"data missing", Calc!BC53*'Waste results'!$S$26, "data missing"),
IF('Field information 2'!$Q$5="",
   IF(Calc!BD53=0,
     IF('Waste results'!$S$26&lt;&gt;"data missing", Calc!BC53*'Waste results'!$S$26, "data missing"),
   IF(Calc!BC53=0,
     IF('Waste results'!$S$62&lt;&gt;"data missing", Calc!BD53*'Waste results'!$S$62, "data missing"),
   IF(OR('Waste results'!$S$26&lt;&gt;"data missing", 'Waste results'!$S$62&lt;&gt;"data missing"), Calc!BC53*'Waste results'!$S$26+ Calc!BD53*'Waste results'!$S$62, "data missing"))),
IF(AND('Field information 2'!$M$5&lt;&gt;"", 'Field information 2'!$O$5&lt;&gt;"", 'Field information 2'!$Q$5&lt;&gt;""),
   IF(AND(Calc!BD53=0,Calc!BE53=0),
     IF('Waste results'!$S$26&lt;&gt;"data missing", Calc!BC53*'Waste results'!$S$26, "data missing"),
   IF(AND(Calc!BC53=0,Calc!BE53=0),
     IF('Waste results'!$S$62&lt;&gt;"data missing", Calc!BD53*'Waste results'!$S$62, "data missing"),
   IF(AND(Calc!BC53=0,Calc!BD53=0),
     IF('Waste results'!$S$98&lt;&gt;"data missing", Calc!BE53*'Waste results'!$S$98, "data missing"),
   IF(Calc!BE53=0,
     IF(OR('Waste results'!$S$26&lt;&gt;"data missing", 'Waste results'!$S$62&lt;&gt;"data missing"), Calc!BC53*'Waste results'!$S$26+ Calc!BD53*'Waste results'!$S$62, "data missing"),
   IF(Calc!BD53=0,
     IF(OR('Waste results'!$S$26&lt;&gt;"data missing", 'Waste results'!$S$98&lt;&gt;"data missing"), Calc!BC53*'Waste results'!$S$26+ Calc!BE53*'Waste results'!$S$98, "data missing"),
   IF(Calc!BC53=0,
     IF(OR('Waste results'!$S$62&lt;&gt;"data missing", 'Waste results'!$S$98&lt;&gt;"data missing"), Calc!BD53*'Waste results'!$S$62+Calc!BE53*'Waste results'!$S$98, "data missing"),
   IF(OR('Waste results'!$S$26&lt;&gt;"data missing", 'Waste results'!$S$62&lt;&gt;"data missing", 'Waste results'!$S$98&lt;&gt;"data missing"), Calc!BC53*'Waste results'!$S$26+Calc!BD53*'Waste results'!$S$62+ Calc!BE53*'Waste results'!$S$98, "data missing")))))))))))</f>
        <v/>
      </c>
      <c r="AR55" s="241" t="str">
        <f ca="1">IF($B55="","",
IF(ISBLANK('Soil results'!L58),"data missing",'Soil results'!L58))</f>
        <v/>
      </c>
      <c r="AS55" s="241" t="str">
        <f t="shared" ca="1" si="8"/>
        <v/>
      </c>
      <c r="AT55" s="66" t="str">
        <f t="shared" ca="1" si="9"/>
        <v/>
      </c>
      <c r="AV55" s="238" t="str">
        <f ca="1">IF(B55="","",
IF(AND('Field information 2'!$O$5="", 'Field information 2'!$Q$5=""),
   IF('Waste results'!$S$27&lt;&gt;"data missing", Calc!BC53*'Waste results'!$S$27, "data missing"),
IF('Field information 2'!$Q$5="",
   IF(Calc!BD53=0,
     IF('Waste results'!$S$27&lt;&gt;"data missing", Calc!BC53*'Waste results'!$S$27, "data missing"),
   IF(Calc!BC53=0,
     IF('Waste results'!$S$63&lt;&gt;"data missing", Calc!BD53*'Waste results'!$S$63, "data missing"),
   IF(OR('Waste results'!$S$27&lt;&gt;"data missing", 'Waste results'!$S$63&lt;&gt;"data missing"), Calc!BC53*'Waste results'!$S$27+ Calc!BD53*'Waste results'!$S$63, "data missing"))),
IF(AND('Field information 2'!$M$5&lt;&gt;"", 'Field information 2'!$O$5&lt;&gt;"", 'Field information 2'!$Q$5&lt;&gt;""),
   IF(AND(Calc!BD53=0,Calc!BE53=0),
     IF('Waste results'!$S$27&lt;&gt;"data missing", Calc!BC53*'Waste results'!$S$27, "data missing"),
   IF(AND(Calc!BC53=0,Calc!BE53=0),
     IF('Waste results'!$S$63&lt;&gt;"data missing", Calc!BD53*'Waste results'!$S$63, "data missing"),
   IF(AND(Calc!BC53=0,Calc!BD53=0),
     IF('Waste results'!$S$99&lt;&gt;"data missing", Calc!BE53*'Waste results'!$S$99, "data missing"),
   IF(Calc!BE53=0,
     IF(OR('Waste results'!$S$27&lt;&gt;"data missing", 'Waste results'!$S$63&lt;&gt;"data missing"), Calc!BC53*'Waste results'!$S$27+ Calc!BD53*'Waste results'!$S$63, "data missing"),
   IF(Calc!BD53=0,
     IF(OR('Waste results'!$S$27&lt;&gt;"data missing", 'Waste results'!$S$99&lt;&gt;"data missing"), Calc!BC53*'Waste results'!$S$27+ Calc!BE53*'Waste results'!$S$99, "data missing"),
   IF(Calc!BC53=0,
     IF(OR('Waste results'!$S$63&lt;&gt;"data missing", 'Waste results'!$S$99&lt;&gt;"data missing"), Calc!BD53*'Waste results'!$S$63+Calc!BE53*'Waste results'!$S$99, "data missing"),
   IF(OR('Waste results'!$S$27&lt;&gt;"data missing", 'Waste results'!$S$63&lt;&gt;"data missing", 'Waste results'!$S$99&lt;&gt;"data missing"), Calc!BC53*'Waste results'!$S$27+Calc!BD53*'Waste results'!$S$63+ Calc!BE53*'Waste results'!$S$99, "data missing")))))))))))</f>
        <v/>
      </c>
      <c r="AW55" s="239" t="str">
        <f ca="1">IF($B55="","",
IF(ISBLANK('Soil results'!M58),"data missing",'Soil results'!M58))</f>
        <v/>
      </c>
      <c r="AX55" s="239" t="str">
        <f t="shared" ca="1" si="10"/>
        <v/>
      </c>
      <c r="AY55" s="9" t="str">
        <f ca="1">IF(B55="","",
IF(AV55=0,"n/a",
IF(OR(AV55="data missing",AW55="data missing"),"data missing",
IF(AV55&gt;7.5,"application rate too high - permissible rate exceeds limit",
IF('Soil results'!$F58&lt;=5.5,
  IF(AW55&gt;80,"no application - soil conc. already above limit",
  IF(AX55&gt;80,"application rate too high - soil conc. will exceed limit",
  IF(AW55&gt;80*0.9,"soil conc. is at or above 90% of the limit",
  IF(10*AV55*1000/3000+AW55&gt;80,"soil limit likely to be exceeded in 10yrs",
  IF(50*AV55*1000/3000+AW55&gt;80,"soil limit likely to be exceeded in 50yrs","ok"))))),
IF('Soil results'!$F58&lt;=6,
  IF(AW55&gt;100,"no application - soil conc. already above limit",
  IF(AX55&gt;100,"application rate too high - soil conc. will exceed limit",
  IF(AW55&gt;100*0.9,"soil conc. is at or above 90% of the limit",
  IF(10*AV55*1000/3000+AW55&gt;100,"soil limit likely to be exceeded in 10yrs",
  IF(50*AV55*1000/3000+AW55&gt;100,"soil limit likely to be exceeded in 50yrs","ok"))))),
IF('Soil results'!$F58&lt;=7,
  IF(AW55&gt;135,"no application - soil conc. already above limit",
  IF(AX55&gt;135,"application rate too high - soil conc. will exceed limit",
  IF(AW55&gt;135*0.9,"soil conc. is at or above 90% of the limit",
  IF(10*AV55*1000/3000+AW55&gt;135,"soil limit likely to be exceeded in 10yrs",
  IF(50*AV55*1000/3000+AW55&gt;135,"soil limit likely to be exceeded in 50yrs","ok"))))),
IF('Soil results'!$F58&gt;7,
  IF(AW55&gt;200,"no application - soil conc. already above limit",
  IF(AX55&gt;200,"application too high - soil conc. will exceed limit",
  IF(AW55&gt;200*0.9,"soil conc. is at or above 90% of the limit",
  IF(10*AV55*1000/3000+AW55&gt;200,"soil limit likely to be exceeded in 10yrs",
  IF(50*AV55*1000/3000+AW55&gt;200,"soil limit likely to be exceeded in 50yrs","ok")))))
))))))))</f>
        <v/>
      </c>
      <c r="BA55" s="238" t="str">
        <f ca="1">IF(B55="","",
IF(AND('Field information 2'!$O$5="", 'Field information 2'!$Q$5=""),
   IF('Waste results'!$S$28&lt;&gt;"data missing", Calc!BC53*'Waste results'!$S$28, "data missing"),
IF('Field information 2'!$Q$5="",
   IF(Calc!BD53=0,
     IF('Waste results'!$S$28&lt;&gt;"data missing", Calc!BC53*'Waste results'!$S$28, "data missing"),
   IF(Calc!BC53=0,
     IF('Waste results'!$S$64&lt;&gt;"data missing", Calc!BD53*'Waste results'!$S$64, "data missing"),
   IF(OR('Waste results'!$S$28&lt;&gt;"data missing", 'Waste results'!$S$64&lt;&gt;"data missing"), Calc!BC53*'Waste results'!$S$28+ Calc!BD53*'Waste results'!$S$64, "data missing"))),
IF(AND('Field information 2'!$M$5&lt;&gt;"", 'Field information 2'!$O$5&lt;&gt;"", 'Field information 2'!$Q$5&lt;&gt;""),
   IF(AND(Calc!BD53=0,Calc!BE53=0),
     IF('Waste results'!$S$28&lt;&gt;"data missing", Calc!BC53*'Waste results'!$S$28, "data missing"),
   IF(AND(Calc!BC53=0,Calc!BE53=0),
     IF('Waste results'!$S$64&lt;&gt;"data missing", Calc!BD53*'Waste results'!$S$64, "data missing"),
   IF(AND(Calc!BC53=0,Calc!BD53=0),
     IF('Waste results'!$S$100&lt;&gt;"data missing", Calc!BE53*'Waste results'!$S$100, "data missing"),
   IF(Calc!BE53=0,
     IF(OR('Waste results'!$S$28&lt;&gt;"data missing", 'Waste results'!$S$64&lt;&gt;"data missing"), Calc!BC53*'Waste results'!$S$28+ Calc!BD53*'Waste results'!$S$64, "data missing"),
   IF(Calc!BD53=0,
     IF(OR('Waste results'!$S$28&lt;&gt;"data missing", 'Waste results'!$S$100&lt;&gt;"data missing"), Calc!BC53*'Waste results'!$S$28+ Calc!BE53*'Waste results'!$S$100, "data missing"),
   IF(Calc!BC53=0,
     IF(OR('Waste results'!$S$64&lt;&gt;"data missing", 'Waste results'!$S$100&lt;&gt;"data missing"), Calc!BD53*'Waste results'!$S$64+Calc!BE53*'Waste results'!$S$100, "data missing"),
   IF(OR('Waste results'!$S$28&lt;&gt;"data missing", 'Waste results'!$S$64&lt;&gt;"data missing", 'Waste results'!$S$100&lt;&gt;"data missing"), Calc!BC53*'Waste results'!$S$28+Calc!BD53*'Waste results'!$S$64+ Calc!BE53*'Waste results'!$S$100, "data missing")))))))))))</f>
        <v/>
      </c>
      <c r="BB55" s="239" t="str">
        <f ca="1">IF($B55="","",
IF(ISBLANK('Soil results'!N58),"data missing",'Soil results'!N58))</f>
        <v/>
      </c>
      <c r="BC55" s="239" t="str">
        <f t="shared" ca="1" si="11"/>
        <v/>
      </c>
      <c r="BD55" s="9" t="str">
        <f t="shared" ca="1" si="12"/>
        <v/>
      </c>
      <c r="BF55" s="238" t="str">
        <f ca="1">IF(B55="","",
IF(AND('Field information 2'!$O$5="", 'Field information 2'!$Q$5=""),
   IF('Waste results'!$S$29&lt;&gt;"data missing", Calc!BC53*'Waste results'!$S$29, "data missing"),
IF('Field information 2'!$Q$5="",
   IF(Calc!BD53=0,
     IF('Waste results'!$S$29&lt;&gt;"data missing", Calc!BC53*'Waste results'!$S$29, "data missing"),
   IF(Calc!BC53=0,
     IF('Waste results'!$S$65&lt;&gt;"data missing", Calc!BD53*'Waste results'!$S$65, "data missing"),
   IF(OR('Waste results'!$S$29&lt;&gt;"data missing", 'Waste results'!$S$65&lt;&gt;"data missing"), Calc!BC53*'Waste results'!$S$29+ Calc!BD53*'Waste results'!$S$65, "data missing"))),
IF(AND('Field information 2'!$M$5&lt;&gt;"", 'Field information 2'!$O$5&lt;&gt;"", 'Field information 2'!$Q$5&lt;&gt;""),
   IF(AND(Calc!BD53=0,Calc!BE53=0),
     IF('Waste results'!$S$29&lt;&gt;"data missing", Calc!BC53*'Waste results'!$S$29, "data missing"),
   IF(AND(Calc!BC53=0,Calc!BE53=0),
     IF('Waste results'!$S$65&lt;&gt;"data missing", Calc!BD53*'Waste results'!$S$65, "data missing"),
   IF(AND(Calc!BC53=0,Calc!BD53=0),
     IF('Waste results'!$S$101&lt;&gt;"data missing", Calc!BE53*'Waste results'!$S$101, "data missing"),
   IF(Calc!BE53=0,
     IF(OR('Waste results'!$S$29&lt;&gt;"data missing", 'Waste results'!$S$65&lt;&gt;"data missing"), Calc!BC53*'Waste results'!$S$29+ Calc!BD53*'Waste results'!$S$65, "data missing"),
   IF(Calc!BD53=0,
     IF(OR('Waste results'!$S$29&lt;&gt;"data missing", 'Waste results'!$S$101&lt;&gt;"data missing"), Calc!BC53*'Waste results'!$S$29+ Calc!BE53*'Waste results'!$S$101, "data missing"),
   IF(Calc!BC53=0,
     IF(OR('Waste results'!$S$65&lt;&gt;"data missing", 'Waste results'!$S$101&lt;&gt;"data missing"), Calc!BD53*'Waste results'!$S$65+Calc!BE53*'Waste results'!$S$101, "data missing"),
   IF(OR('Waste results'!$S$29&lt;&gt;"data missing", 'Waste results'!$S$65&lt;&gt;"data missing", 'Waste results'!$S$101&lt;&gt;"data missing"), Calc!BC53*'Waste results'!$S$29+Calc!BD53*'Waste results'!$S$65+ Calc!BE53*'Waste results'!$S$101, "data missing")))))))))))</f>
        <v/>
      </c>
      <c r="BG55" s="239" t="str">
        <f ca="1">IF($B55="","",
IF(ISBLANK('Soil results'!O58),"data missing",'Soil results'!O58))</f>
        <v/>
      </c>
      <c r="BH55" s="239" t="str">
        <f t="shared" ca="1" si="13"/>
        <v/>
      </c>
      <c r="BI55" s="9" t="str">
        <f ca="1">IF(B55="","",
IF(BF55=0,"n/a",
IF(OR(BF55="data missing",BG55="data missing"),"data missing",
IF(BF55&gt;3,"application rate too high - permissible rate exceeds limit",
IF('Soil results'!F58&lt;=5.5,
  IF(BG55&gt;50,"no application - soil conc. already above limit",
  IF(BH55&gt;50,"application rate too high - soil conc. will exceed limit",
  IF(BG55&gt;50*0.9,"soil conc. is at or above 90% of the limit",
  IF(10*BF55*1000/3000+BG55&gt;50,"soil limit likely to be exceeded in 10yrs",
  IF(50*BF55*1000/3000+BG55&gt;50,"soil limit likely to be exceeded in 50yrs","ok"))))),
IF('Soil results'!F58&lt;=6,
  IF(BG55&gt;60,"no application - soil conc. already above limit",
  IF(BH55&gt;60,"application rate too high - soil conc. will exceed limit",
  IF(BG55&gt;60*0.9,"soil conc. is at or above 90% of the limit",
  IF(10*BF55*1000/3000+BG55&gt;60,"soil limit likely to be exceeded in 10yrs",
  IF(50*BF55*1000/3000+BG55&gt;60,"soil limit likely to be exceeded in 50yrs","ok"))))),
IF('Soil results'!F58&lt;=7,
  IF(BG55&gt;75,"no application - soil conc. already above limit",
  IF(BH55&gt;75,"application rate too high - soil conc. will exceed limit",
  IF(BG55&gt;75*0.9,"soil conc. is at or above 90% of the limit",
  IF(10*BF55*1000/3000+BG55&gt;75,"soil limit likely to be exceeded in 10yrs",
  IF(50*BF55*1000/3000+BG55&gt;75,"soil limit likely to be exceeded in 50yrs","ok"))))),
IF('Soil results'!F58&gt;7,
  IF(BG55&gt;100,"no application - soil conc. already above limit",
  IF(BH55&gt;100,"application rate too high - soil conc. will exceed limit",
  IF(BG55&gt;100*0.9,"soil conc. is at or above 90% of the limit",
  IF(10*BF55*1000/3000+BG55&gt;100,"soil limit likely to be exceeded in 10yrs",
  IF(50*BF55*1000/3000+BG55&gt;100,"soil limit likely to beexceeded in 50yrs","ok")))))
))))))))</f>
        <v/>
      </c>
      <c r="BK55" s="240" t="str">
        <f ca="1">IF(B55="","",
IF(AND('Field information 2'!$O$5="", 'Field information 2'!$Q$5=""),
   IF('Waste results'!$S$30&lt;&gt;"data missing", Calc!BC53*'Waste results'!$S$30, "data missing"),
IF('Field information 2'!$Q$5="",
   IF(Calc!BD53=0,
     IF('Waste results'!$S$30&lt;&gt;"data missing", Calc!BC53*'Waste results'!$S$30, "data missing"),
   IF(Calc!BC53=0,
     IF('Waste results'!$S$66&lt;&gt;"data missing", Calc!BD53*'Waste results'!$S$66, "data missing"),
   IF(OR('Waste results'!$S$30&lt;&gt;"data missing", 'Waste results'!$S$66&lt;&gt;"data missing"), Calc!BC53*'Waste results'!$S$30+ Calc!BD53*'Waste results'!$S$66, "data missing"))),
IF(AND('Field information 2'!$M$5&lt;&gt;"", 'Field information 2'!$O$5&lt;&gt;"", 'Field information 2'!$Q$5&lt;&gt;""),
   IF(AND(Calc!BD53=0,Calc!BE53=0),
     IF('Waste results'!$S$30&lt;&gt;"data missing", Calc!BC53*'Waste results'!$S$30, "data missing"),
   IF(AND(Calc!BC53=0,Calc!BE53=0),
     IF('Waste results'!$S$66&lt;&gt;"data missing", Calc!BD53*'Waste results'!$S$66, "data missing"),
   IF(AND(Calc!BC53=0,Calc!BD53=0),
     IF('Waste results'!$S$102&lt;&gt;"data missing", Calc!BE53*'Waste results'!$S$102, "data missing"),
   IF(Calc!BE53=0,
     IF(OR('Waste results'!$S$30&lt;&gt;"data missing", 'Waste results'!$S$66&lt;&gt;"data missing"), Calc!BC53*'Waste results'!$S$30+ Calc!BD53*'Waste results'!$S$66, "data missing"),
   IF(Calc!BD53=0,
     IF(OR('Waste results'!$S$30&lt;&gt;"data missing", 'Waste results'!$S$102&lt;&gt;"data missing"), Calc!BC53*'Waste results'!$S$30+ Calc!BE53*'Waste results'!$S$102, "data missing"),
   IF(Calc!BC53=0,
     IF(OR('Waste results'!$S$66&lt;&gt;"data missing", 'Waste results'!$S$102&lt;&gt;"data missing"), Calc!BD53*'Waste results'!$S$66+Calc!BE53*'Waste results'!$S$102, "data missing"),
   IF(OR('Waste results'!$S$30&lt;&gt;"data missing", 'Waste results'!$S$66&lt;&gt;"data missing", 'Waste results'!$S$102&lt;&gt;"data missing"), Calc!BC53*'Waste results'!$S$30+Calc!BD53*'Waste results'!$S$66+ Calc!BE53*'Waste results'!$S$102, "data missing")))))))))))</f>
        <v/>
      </c>
      <c r="BL55" s="241" t="str">
        <f ca="1">IF($B55="","",
IF(ISBLANK('Soil results'!P58),"data missing",'Soil results'!P58))</f>
        <v/>
      </c>
      <c r="BM55" s="241" t="str">
        <f t="shared" ca="1" si="14"/>
        <v/>
      </c>
      <c r="BN55" s="66" t="str">
        <f t="shared" ca="1" si="15"/>
        <v/>
      </c>
      <c r="BP55" s="238" t="str">
        <f ca="1">IF(B55="","",
IF(AND('Field information 2'!$O$5="", 'Field information 2'!$Q$5=""),
   IF('Waste results'!$S$31&lt;&gt;"data missing", Calc!BC53*'Waste results'!$S$31, "data missing"),
IF('Field information 2'!$Q$5="",
   IF(Calc!BD53=0,
     IF('Waste results'!$S$31&lt;&gt;"data missing", Calc!BC53*'Waste results'!$S$31, "data missing"),
   IF(Calc!BC53=0,
     IF('Waste results'!$S$67&lt;&gt;"data missing", Calc!BD53*'Waste results'!$S$67, "data missing"),
   IF(OR('Waste results'!$S$31&lt;&gt;"data missing", 'Waste results'!$S$67&lt;&gt;"data missing"), Calc!BC53*'Waste results'!$S$31+ Calc!BD53*'Waste results'!$S$67, "data missing"))),
IF(AND('Field information 2'!$M$5&lt;&gt;"", 'Field information 2'!$O$5&lt;&gt;"", 'Field information 2'!$Q$5&lt;&gt;""),
   IF(AND(Calc!BD53=0,Calc!BE53=0),
     IF('Waste results'!$S$31&lt;&gt;"data missing", Calc!BC53*'Waste results'!$S$31, "data missing"),
   IF(AND(Calc!BC53=0,Calc!BE53=0),
     IF('Waste results'!$S$67&lt;&gt;"data missing", Calc!BD53*'Waste results'!$S$67, "data missing"),
   IF(AND(Calc!BC53=0,Calc!BD53=0),
     IF('Waste results'!$S$103&lt;&gt;"data missing", Calc!BE53*'Waste results'!$S$103, "data missing"),
   IF(Calc!BE53=0,
     IF(OR('Waste results'!$S$31&lt;&gt;"data missing", 'Waste results'!$S$67&lt;&gt;"data missing"), Calc!BC53*'Waste results'!$S$31+ Calc!BD53*'Waste results'!$S$67, "data missing"),
   IF(Calc!BD53=0,
     IF(OR('Waste results'!$S$31&lt;&gt;"data missing", 'Waste results'!$S$103&lt;&gt;"data missing"), Calc!BC53*'Waste results'!$S$31+ Calc!BE53*'Waste results'!$S$103, "data missing"),
   IF(Calc!BC53=0,
     IF(OR('Waste results'!$S$67&lt;&gt;"data missing", 'Waste results'!$S$103&lt;&gt;"data missing"), Calc!BD53*'Waste results'!$S$67+Calc!BE53*'Waste results'!$S$103, "data missing"),
   IF(OR('Waste results'!$S$31&lt;&gt;"data missing", 'Waste results'!$S$67&lt;&gt;"data missing", 'Waste results'!$S$103&lt;&gt;"data missing"), Calc!BC53*'Waste results'!$S$31+Calc!BD53*'Waste results'!$S$67+ Calc!BE53*'Waste results'!$S$103, "data missing")))))))))))</f>
        <v/>
      </c>
      <c r="BQ55" s="239" t="str">
        <f ca="1">IF($B55="","",
IF(ISBLANK('Soil results'!Q58),"data missing",'Soil results'!Q58))</f>
        <v/>
      </c>
      <c r="BR55" s="239" t="str">
        <f t="shared" ca="1" si="16"/>
        <v/>
      </c>
      <c r="BS55" s="9" t="str">
        <f ca="1">IF(B55="","",
IF(BP55=0,"n/a",
IF(OR(BP55="data missing",BQ55=""),"data missing",
IF(BP55&gt;15,"application rate too high - permissible rate exceeds limit",
IF('Soil results'!F58&lt;=5.5,
  IF(BQ55&gt;200,"no application - soil conc. already above limit",
  IF(BR55&gt;200,"application rate too high - soil conc. will exceed limit",
  IF(BQ55&gt;200*0.9,"soil conc. is at or above 90% of the limit",
  IF(10*BP55*1000/3000+BQ55&gt;200,"soil limit likely to be exceeded in 10yrs",
  IF(50*BP55*1000/3000+BQ55&gt;200,"soil limit likely to be exceeded in 50yrs","ok"))))),
IF('Soil results'!F58&lt;=6,
  IF(BQ55&gt;250,"no application - soil conc. already above limit",
  IF(BR55&gt;250,"application rate too high - soil conc. will exceed limit",
  IF(BQ55&gt;250*0.9,"soil conc. is at or above 90% of the limit",
  IF(10*BP55*1000/3000+BQ55&gt;250,"soil limit likely to be exceeded in 10yrs",
  IF(50*BP55*1000/3000+BQ55&gt;250,"soil limit likely to be exceeded in 50yrs","ok"))))),
IF('Soil results'!F58&lt;=7,
  IF(BQ55&gt;300,"no application - soil conc. already above limit",
  IF(BR55&gt;300,"application rate too high - soil conc. will exceed limit",
  IF(BQ55&gt;300*0.9,"soil conc. is at or above 90% of the limit",
  IF(10*BP55*1000/3000+BQ55&gt;300,"soil limit likey to be exceeded in 10yrs",
  IF(50*BP55*1000/3000+BQ55&gt;300,"soil limit likely to be exceeded in 50yrs","ok"))))),
IF('Soil results'!F58&gt;7,
  IF(BQ55&gt;450,"no application - soil conc. already above limit",
  IF(BR55&gt;450,"application rate too high - soil conc. will exceed limit",
  IF(AW55&gt;450*0.9,"soil conc. is at or above 90% of the limit",
  IF(10*BP55*1000/3000+BQ55&gt;450,"soil limit likely to be exceeded in 10yrs",
  IF(50*BP55*1000/3000+BQ55&gt;450,"soil limit likely to be exceeded in 50yrs","ok")))))
))))))))</f>
        <v/>
      </c>
    </row>
    <row r="56" spans="2:71" s="9" customFormat="1" ht="15" x14ac:dyDescent="0.25">
      <c r="B56" s="236" t="str">
        <f ca="1">'Soil results'!B59</f>
        <v/>
      </c>
      <c r="C56" s="91" t="str">
        <f ca="1">IF(B56="","",
IF(AND('Field information 2'!$O$5="", 'Field information 2'!$Q$5=""),
   IF('Waste results'!$S$12&lt;&gt;"data missing", Calc!BC54*'Waste results'!$S$12, "data missing"),
IF('Field information 2'!$Q$5="",
   IF(Calc!BD54=0,
     IF('Waste results'!$S$12&lt;&gt;"data missing", Calc!BC54*'Waste results'!$S$12, "data missing"),
   IF(Calc!BC54=0,
     IF('Waste results'!$S$48&lt;&gt;"data missing", Calc!BD54*'Waste results'!$S$48, "data missing"),
   IF(OR('Waste results'!$S$12&lt;&gt;"data missing", 'Waste results'!$S$48&lt;&gt;"data missing"), Calc!BC54*'Waste results'!$S$12+ Calc!BD54*'Waste results'!$S$48, "data missing"))),
IF(AND('Field information 2'!$M$5&lt;&gt;"", 'Field information 2'!$O$5&lt;&gt;"", 'Field information 2'!$Q$5&lt;&gt;""),
   IF(AND(Calc!BD54=0,Calc!BE54=0),
     IF('Waste results'!$S$12&lt;&gt;"data missing", Calc!BC54*'Waste results'!$S$12, "data missing"),
   IF(AND(Calc!BC54=0,Calc!BE54=0),
     IF('Waste results'!$S$48&lt;&gt;"data missing", Calc!BD54*'Waste results'!$S$48, "data missing"),
   IF(AND(Calc!BC54=0,Calc!BD54=0),
     IF('Waste results'!$S$84&lt;&gt;"data missing", Calc!BE54*'Waste results'!$S$84, "data missing"),
   IF(Calc!BE54=0,
     IF(OR('Waste results'!$S$12&lt;&gt;"data missing", 'Waste results'!$S$48&lt;&gt;"data missing"), Calc!BC54*'Waste results'!$S$12+ Calc!BD54*'Waste results'!$S$48, "data missing"),
   IF(Calc!BD54=0,
     IF(OR('Waste results'!$S$12&lt;&gt;"data missing", 'Waste results'!$S$84&lt;&gt;"data missing"), Calc!BC54*'Waste results'!$S$12+ Calc!BE54*'Waste results'!$S$84, "data missing"),
   IF(Calc!BC54=0,
     IF(OR('Waste results'!$S$48&lt;&gt;"data missing", 'Waste results'!$S$84&lt;&gt;"data missing"), Calc!BD54*'Waste results'!$S$48+Calc!BE54*'Waste results'!$S$84, "data missing"),
   IF(OR('Waste results'!$S$12&lt;&gt;"data missing", 'Waste results'!$S$48&lt;&gt;"data missing", 'Waste results'!$S$84&lt;&gt;"data missing"), Calc!BC54*'Waste results'!$S$12+Calc!BD54*'Waste results'!$S$48+ Calc!BE54*'Waste results'!$S$84, "data missing")))))))))))</f>
        <v/>
      </c>
      <c r="D56" s="161" t="str">
        <f ca="1">IF(B56="","",
IF(Calc!BG54="","soil texture missing",
IF(OR(Calc!BG54="SL; SZL; ZL",Calc!BG54="SCL; CL; ZCL; SC; ZC; C"),VLOOKUP(Calc!BI54,'Fertiliser recommendations'!$A$4:$C$63,3,FALSE),
IF(Calc!BG54="S; LS",VLOOKUP(Calc!BI54,'Fertiliser recommendations'!$A$4:$C$63,3,FALSE)+VLOOKUP(Calc!BI54,'Fertiliser recommendations'!$A$4:$D$63,4,FALSE),
IF(Calc!BG54="10-25% OM",VLOOKUP(Calc!BI54,'Fertiliser recommendations'!$A$4:$C$63,3,FALSE)+VLOOKUP(Calc!BI54,'Fertiliser recommendations'!$A$4:$E$63,5,FALSE),
IF(Calc!BG54="&gt;25% OM",VLOOKUP(Calc!BI54,'Fertiliser recommendations'!$A$4:$C$63,3,FALSE)+VLOOKUP(Calc!BI54,'Fertiliser recommendations'!$A$4:$F$63,6,FALSE),
""))))))</f>
        <v/>
      </c>
      <c r="E56" s="91" t="str">
        <f t="shared" ca="1" si="0"/>
        <v/>
      </c>
      <c r="F56" s="9" t="str">
        <f ca="1">IF(B56="","",
IF(OR(C56="data missing",D56="soil texture missing"),"data missing",
IF(Calc!BF54=0,"n/a",
IF(C56&lt;0.1*D56,"no benefit",
IF(C56&lt;0.3*D56,"limited benefit",
IF(C56&gt;250,"exceeds limit",
IF(OR(AND(D56=0,C56&gt;75),C56&gt;1.25*D56),"excessive",
IF(D56=0, "no requirement",
"benefit"))))))))</f>
        <v/>
      </c>
      <c r="H56" s="91" t="str">
        <f ca="1">IF(B56="","",
IF(AND('Field information 2'!$O$5="", 'Field information 2'!$Q$5=""),
   IF('Waste results'!$S$17&lt;&gt;"data missing", Calc!BC54*'Waste results'!$S$17, "data missing"),
IF('Field information 2'!$Q$5="",
   IF(Calc!BD54=0,
     IF('Waste results'!$S$17&lt;&gt;"data missing", Calc!BC54*'Waste results'!$S$17, "data missing"),
   IF(Calc!BC54=0,
     IF('Waste results'!$S$53&lt;&gt;"data missing", Calc!BD54*'Waste results'!$S$53, "data missing"),
   IF(OR('Waste results'!$S$17&lt;&gt;"data missing", 'Waste results'!$S$53&lt;&gt;"data missing"), Calc!BC54*'Waste results'!$S$17+ Calc!BD54*'Waste results'!$S$53, "data missing"))),
IF(AND('Field information 2'!$M$5&lt;&gt;"", 'Field information 2'!$O$5&lt;&gt;"", 'Field information 2'!$Q$5&lt;&gt;""),
   IF(AND(Calc!BD54=0,Calc!BE54=0),
     IF('Waste results'!$S$17&lt;&gt;"data missing", Calc!BC54*'Waste results'!$S$17, "data missing"),
   IF(AND(Calc!BC54=0,Calc!BE54=0),
     IF('Waste results'!$S$53&lt;&gt;"data missing", Calc!BD54*'Waste results'!$S$53, "data missing"),
   IF(AND(Calc!BC54=0,Calc!BD54=0),
     IF('Waste results'!$S$89&lt;&gt;"data missing", Calc!BE54*'Waste results'!$S$89, "data missing"),
   IF(Calc!BE54=0,
     IF(OR('Waste results'!$S$17&lt;&gt;"data missing", 'Waste results'!$S$53&lt;&gt;"data missing"), Calc!BC54*'Waste results'!$S$17+ Calc!BD54*'Waste results'!$S$53, "data missing"),
   IF(Calc!BD54=0,
     IF(OR('Waste results'!$S$17&lt;&gt;"data missing", 'Waste results'!$S$89&lt;&gt;"data missing"), Calc!BC54*'Waste results'!$S$17+ Calc!BE54*'Waste results'!$S$89, "data missing"),
   IF(Calc!BC54=0,
     IF(OR('Waste results'!$S$53&lt;&gt;"data missing", 'Waste results'!$S$89&lt;&gt;"data missing"), Calc!BD54*'Waste results'!$S$53+Calc!BE54*'Waste results'!$S$89, "data missing"),
   IF(OR('Waste results'!$S$17&lt;&gt;"data missing", 'Waste results'!$S$53&lt;&gt;"data missing", 'Waste results'!$S$89&lt;&gt;"data missing"), Calc!BC54*'Waste results'!$S$17+Calc!BD54*'Waste results'!$S$53+ Calc!BE54*'Waste results'!$S$89, "data missing")))))))))))</f>
        <v/>
      </c>
      <c r="I56" s="195" t="str">
        <f ca="1">IF(B56="","",
IF(OR(ISBLANK('Soil results'!G59), ISBLANK('Soil results'!G$7)),"data missing",
IF(OR(AND('Soil results'!G$7="Olsen (ADAS)",'Soil results'!G59&lt;16),AND('Soil results'!G$7="modified Morgan (SAC)",'Soil results'!G59&lt;4.5)),50,100)))</f>
        <v/>
      </c>
      <c r="J56" s="49" t="str">
        <f ca="1">IF(B56="","",
IF(OR(ISBLANK('Soil results'!G$7),ISBLANK('Soil results'!G59)),"data missing",
IF(OR(AND('Soil results'!G$7="Olsen (ADAS)",'Soil results'!G59&gt;45),AND('Soil results'!G$7="modified Morgan (SAC)",'Soil results'!G59&gt;30)),0,
IF(OR(AND('Soil results'!G$7="Olsen (ADAS)",'Soil results'!G59&gt;=16,'Soil results'!G59&lt;=20),AND('Soil results'!G$7="modified Morgan (SAC)",'Soil results'!G59&gt;=4.5,'Soil results'!G59&lt;=9.4)),VLOOKUP(Calc!BI54,'Fertiliser recommendations'!$A$4:$I$63,9,FALSE),
IF(OR(AND('Soil results'!G$7="Olsen (ADAS)",'Soil results'!G59&lt;10),AND('Soil results'!G$7="modified Morgan (SAC)",'Soil results'!G59&lt;1.8)),VLOOKUP(Calc!BI54,'Fertiliser recommendations'!$A$4:$I$63,9,FALSE)+VLOOKUP(Calc!BI54,'Fertiliser recommendations'!$A$4:$J$63,10,FALSE),
IF(OR(AND('Soil results'!G$7="Olsen (ADAS)",'Soil results'!G59&lt;16),AND('Soil results'!G$7="modified Morgan (SAC)",'Soil results'!G59&lt;4.5)),VLOOKUP(Calc!BI54,'Fertiliser recommendations'!$A$4:$I$63,9,FALSE)+VLOOKUP(Calc!BI54,'Fertiliser recommendations'!$A$4:$K$63,11,FALSE),
IF(OR(AND('Soil results'!G$7="Olsen (ADAS)",'Soil results'!G59&lt;26),AND('Soil results'!G$7="modified Morgan (SAC)",'Soil results'!G59&lt;13.5)),VLOOKUP(Calc!BI54,'Fertiliser recommendations'!$A$4:$I$63,9,FALSE)+VLOOKUP(Calc!BI54,'Fertiliser recommendations'!$A$4:$L$63,12,FALSE),
IF(OR(AND('Soil results'!G$7="Olsen (ADAS)",'Soil results'!G59&lt;=45),AND('Soil results'!G$7="modified Morgan (SAC)",'Soil results'!G59&lt;=30)),VLOOKUP(Calc!BI54,'Fertiliser recommendations'!$A$4:$I$63,9,FALSE)+VLOOKUP(Calc!BI54,'Fertiliser recommendations'!$A$4:$M$63,13,FALSE),
""))))))))</f>
        <v/>
      </c>
      <c r="K56" s="161" t="str">
        <f t="shared" ca="1" si="1"/>
        <v/>
      </c>
      <c r="L56" s="47" t="str">
        <f ca="1">IF(OR(ISBLANK('Soil results'!G$7),ISBLANK('Soil results'!G59),B56="", H56="data missing"),"",
IF('Soil results'!G$7="Olsen (ADAS)",
IF(((H56*Calc!BM54/2.291-(VLOOKUP(Calc!BI54,'Fertiliser recommendations'!$A$4:$I$63,9,FALSE))/2.291)*10/(400/2.291)+'Soil results'!G59)&lt;10,"0 (VL)",
IF(((H56*Calc!BM54/2.291-(VLOOKUP(Calc!BI54,'Fertiliser recommendations'!$A$4:$I$63,9,FALSE))/2.291)*10/(400/2.291)+'Soil results'!G59)&lt;16,"1 (L)",
IF(((H56*Calc!BM54/2.291-(VLOOKUP(Calc!BI54,'Fertiliser recommendations'!$A$4:$I$63,9,FALSE))/2.291)*10/(400/2.291)+'Soil results'!G59)&lt;21,"2 (M-)",
IF(((H56*Calc!BM54/2.291-(VLOOKUP(Calc!BI54,'Fertiliser recommendations'!$A$4:$I$63,9,FALSE))/2.291)*10/(400/2.291)+'Soil results'!G59)&lt;26,"2 (M+)",
IF(((H56*Calc!BM54/2.291-(VLOOKUP(Calc!BI54,'Fertiliser recommendations'!$A$4:$I$63,9,FALSE))/2.291)*10/(400/2.291)+'Soil results'!G59)&lt;45,"3 (H)","&gt;3 (VH)"))))),
IF('Soil results'!G$7="modified Morgan (SAC)",
IF('Soil results'!G59&gt;=6,
IF(((H56*Calc!BM54/2.291-(VLOOKUP(Calc!BI54,'Fertiliser recommendations'!$A$4:$I$63,9,FALSE))/2.291)*5/(147/2.291)+'Soil results'!G59)&lt;9.5,"2 (M-)",
IF(((H56*Calc!BM54/2.291-(VLOOKUP(Calc!BI54,'Fertiliser recommendations'!$A$4:$I$63,9,FALSE))/2.291)*5/(147/2.291)+'Soil results'!G59)&lt;13.5,"2 (M+)",
IF(((H56*Calc!BM54/2.291-(VLOOKUP(Calc!BI54,'Fertiliser recommendations'!$A$4:$I$63,9,FALSE))/2.291)*5/(147/2.291)+'Soil results'!G59)&lt;30,"3 (H)","4 (VH)"))),
IF(((H56*Calc!BM54/2.291-(VLOOKUP(Calc!BI54,'Fertiliser recommendations'!$A$4:$I$63,9,FALSE))/2.291)*5/(346/2.291)+'Soil results'!G59)&lt;1.8,"0 (VL)",
IF(((H56*Calc!BM54/2.291-(VLOOKUP(Calc!BI54,'Fertiliser recommendations'!$A$4:$I$63,9,FALSE))/2.291)*5/(147/2.291)+'Soil results'!G59)&lt;4.5,"1 (L)","2 (M-)"))))))</f>
        <v/>
      </c>
      <c r="M56" s="9" t="str">
        <f ca="1">IF(B56="","",
IF(OR(H56="data missing",I56="data missing",J56="data missing"),"data missing",
IF(Calc!BF54=0,"n/a",
IF(OR(AND('Soil results'!G$7="Olsen (ADAS)",'Soil results'!G59&gt;45),AND('Soil results'!G$7="modified Morgan (SAC)",'Soil results'!G59&gt;30)),
IF(H56&gt;2,"too high, not acceptable","no requirement"),IF(OR(AND('Soil results'!G$7="Olsen (ADAS)",'Soil results'!G59&gt;25),AND('Soil results'!G$7="modified Morgan (SAC)",'Soil results'!G59&gt;13.4)),
IF(H56*(I56/100)&lt;0.1*J56,"no benefit",
IF(H56*(I56/100)&lt;0.3*J56,"limited benefit",
IF(H56*(I56/100)&lt;1.1*J56,"benefit",
IF(H56*(I56/100)&lt;0.7*VLOOKUP(Calc!BI54,'Fertiliser recommendations'!$A$4:$I$63,9,FALSE),"excessive","too high, not acceptable")))),
IF(OR(AND('Soil results'!G$7="Olsen (ADAS)",'Soil results'!G59&gt;20),AND('Soil results'!G$7="modified Morgan (SAC)",'Soil results'!G59&gt;9.4)),
IF(H56*Calc!BM54*(I56/100)&lt;0.1*J56,"no benefit",
IF(H56*Calc!BM54*(I56/100)&lt;0.3*J56,"limited benefit",
IF(H56*Calc!BM54*(I56/100)&lt;1.1*J56,"benefit",
IF(L56="3 (H)","too high, not acceptable","excessive")))),
IF(OR(AND('Soil results'!G$7="Olsen (ADAS)",'Soil results'!G59&gt;15),AND('Soil results'!G$7="modified Morgan (SAC)",'Soil results'!G59&gt;4.4)),
IF(H56*Calc!BM54*(I56/100)&lt;0.1*VLOOKUP(Calc!BI54,'Fertiliser recommendations'!$A$4:$I$63,9,FALSE),"no benefit",
IF(H56*Calc!BM54*(I56/100)&lt;0.3*VLOOKUP(Calc!BI54,'Fertiliser recommendations'!$A$4:$I$63,9,FALSE),"limited benefit",
IF(H56*Calc!BM54*(I56/100)&lt;1.1*VLOOKUP(Calc!BI54,'Fertiliser recommendations'!$A$4:$I$63,9,FALSE),"benefit",
IF(L56="3 (H)", "too high, not acceptable", "excessive")))),
IF(OR(AND('Soil results'!G$7="Olsen (ADAS)",'Soil results'!G59&lt;=15),AND('Soil results'!G$7="modified Morgan (SAC)",'Soil results'!G59&lt;=4.4)),
IF(H56*Calc!BM54*(I56/100)&lt;0.1*VLOOKUP(Calc!BI54,'Fertiliser recommendations'!$A$4:$I$63,9,FALSE),"no benefit",
IF(H56*Calc!BM54*(I56/100)&lt;0.3*VLOOKUP(Calc!BI54,'Fertiliser recommendations'!$A$4:$I$63,9,FALSE),"limited benefit",
IF(H56*Calc!BM54*(I56/100)&lt;1.1*J56,"benefit","excessive")))))))))))</f>
        <v/>
      </c>
      <c r="O56" s="91" t="str">
        <f ca="1">IF(B56="","",
IF(AND('Field information 2'!$O$5="", 'Field information 2'!$Q$5=""),
   IF('Waste results'!$S$19&lt;&gt;"data missing", Calc!BC54*'Waste results'!$S$19, "data missing"),
IF('Field information 2'!$Q$5="",
   IF(Calc!BD54=0,
     IF('Waste results'!$S$19&lt;&gt;"data missing", Calc!BC54*'Waste results'!$S$19, "data missing"),
   IF(Calc!BC54=0,
     IF('Waste results'!$S$55&lt;&gt;"data missing", Calc!BD54*'Waste results'!$S$55, "data missing"),
   IF(OR('Waste results'!$S$19&lt;&gt;"data missing", 'Waste results'!$S$55&lt;&gt;"data missing"), Calc!BC54*'Waste results'!$S$19+ Calc!BD54*'Waste results'!$S$55, "data missing"))),
IF(AND('Field information 2'!$M$5&lt;&gt;"", 'Field information 2'!$O$5&lt;&gt;"", 'Field information 2'!$Q$5&lt;&gt;""),
   IF(AND(Calc!BD54=0,Calc!BE54=0),
     IF('Waste results'!$S$19&lt;&gt;"data missing", Calc!BC54*'Waste results'!$S$19, "data missing"),
   IF(AND(Calc!BC54=0,Calc!BE54=0),
     IF('Waste results'!$S$55&lt;&gt;"data missing", Calc!BD54*'Waste results'!$S$55, "data missing"),
   IF(AND(Calc!BC54=0,Calc!BD54=0),
     IF('Waste results'!$S$91&lt;&gt;"data missing", Calc!BE54*'Waste results'!$S$91, "data missing"),
   IF(Calc!BE54=0,
     IF(OR('Waste results'!$S$19&lt;&gt;"data missing", 'Waste results'!$S$55&lt;&gt;"data missing"), Calc!BC54*'Waste results'!$S$19+ Calc!BD54*'Waste results'!$S$55, "data missing"),
   IF(Calc!BD54=0,
     IF(OR('Waste results'!$S$19&lt;&gt;"data missing", 'Waste results'!$S$91&lt;&gt;"data missing"), Calc!BC54*'Waste results'!$S$19+ Calc!BE54*'Waste results'!$S$91, "data missing"),
   IF(Calc!BC54=0,
     IF(OR('Waste results'!$S$55&lt;&gt;"data missing", 'Waste results'!$S$91&lt;&gt;"data missing"), Calc!BD54*'Waste results'!$S$55+Calc!BE54*'Waste results'!$S$91, "data missing"),
   IF(OR('Waste results'!$S$19&lt;&gt;"data missing", 'Waste results'!$S$55&lt;&gt;"data missing", 'Waste results'!$S$91&lt;&gt;"data missing"), Calc!BC54*'Waste results'!$S$19+Calc!BD54*'Waste results'!$S$55+ Calc!BE54*'Waste results'!$S$91, "data missing")))))))))))</f>
        <v/>
      </c>
      <c r="P56" s="91" t="str">
        <f ca="1">IF(B56="","",
IF(OR(ISBLANK('Soil results'!H$7),ISBLANK('Soil results'!H59)),"data missing",
IF(OR(AND('Soil results'!H$7="ammonium nitrate (ADAS)",'Soil results'!H59&gt;400),AND('Soil results'!H$7="modified Morgan (SAC)",'Soil results'!H59&gt;400)),0,
IF(OR(AND('Soil results'!H$7="ammonium nitrate (ADAS)",'Soil results'!H59&gt;=121,'Soil results'!H59&lt;=180),AND('Soil results'!H$7="modified Morgan (SAC)",'Soil results'!H59&gt;=76,'Soil results'!H59&lt;=140)),VLOOKUP(Calc!BI54,'Fertiliser recommendations'!$A$4:$Z$63,26,FALSE),
IF(OR(AND('Soil results'!H$7="ammonium nitrate (ADAS)",'Soil results'!H59&lt;61),AND('Soil results'!H$7="modified Morgan (SAC)",'Soil results'!H59&lt;40)),VLOOKUP(Calc!BI54,'Fertiliser recommendations'!$A$4:$Z$63,26,FALSE)+VLOOKUP(Calc!BI54,'Fertiliser recommendations'!$A$4:$AA$63,27,FALSE),
IF(OR(AND('Soil results'!H$7="ammonium nitrate (ADAS)",'Soil results'!H59&lt;121),AND('Soil results'!H$7="modified Morgan (SAC)",'Soil results'!H59&lt;76)),VLOOKUP(Calc!BI54,'Fertiliser recommendations'!$A$4:$Z$63,26,FALSE)+VLOOKUP(Calc!BI54,'Fertiliser recommendations'!$A$4:$AB$63,28,FALSE),
IF(OR(AND('Soil results'!H$7="ammonium nitrate (ADAS)",'Soil results'!H59&lt;241),AND('Soil results'!H$7="modified Morgan (SAC)",'Soil results'!H59&lt;201)),VLOOKUP(Calc!BI54,'Fertiliser recommendations'!$A$4:$Z$63,26,FALSE)+VLOOKUP(Calc!BI54,'Fertiliser recommendations'!$A$4:$AC$63,29,FALSE),
IF(OR(AND('Soil results'!H$7="ammonium nitrate (ADAS)",'Soil results'!H59&lt;=400),AND('Soil results'!H$7="modified Morgan (SAC)",'Soil results'!H59&lt;=400)),VLOOKUP(Calc!BI54,'Fertiliser recommendations'!$A$4:$Z$63,26,FALSE)+VLOOKUP(Calc!BI54,'Fertiliser recommendations'!$A$4:$AD$63,30,FALSE),
"??"))))))))</f>
        <v/>
      </c>
      <c r="Q56" s="91" t="str">
        <f t="shared" ca="1" si="2"/>
        <v/>
      </c>
      <c r="R56" s="9" t="str">
        <f ca="1">IF(B56="","",
IF(OR(O56="data missing",P56="data missing"),"data missing",
IF(Calc!BF54=0,"n/a",
IF(P56=0, "no requirement",
IF(O56&lt;0.1*P56,"no benefit",
IF(O56&lt;0.3*P56,"limited benefit",
IF(O56&gt;1.25*P56,"excessive",
"benefit")))))))</f>
        <v/>
      </c>
      <c r="T56" s="91" t="str">
        <f ca="1">IF(B56="","",
IF(AND('Field information 2'!$O$5="", 'Field information 2'!$Q$5=""),
   IF('Waste results'!$S$21&lt;&gt;"data missing", Calc!BC54*'Waste results'!$S$21, "data missing"),
IF('Field information 2'!$Q$5="",
   IF(Calc!BD54=0,
     IF('Waste results'!$S$21&lt;&gt;"data missing", Calc!BC54*'Waste results'!$S$21, "data missing"),
   IF(Calc!BC54=0,
     IF('Waste results'!$S$57&lt;&gt;"data missing", Calc!BD54*'Waste results'!$S$57, "data missing"),
   IF(OR('Waste results'!$S$21&lt;&gt;"data missing", 'Waste results'!$S$57&lt;&gt;"data missing"), Calc!BC54*'Waste results'!$S$21+ Calc!BD54*'Waste results'!$S$57, "data missing"))),
IF(AND('Field information 2'!$M$5&lt;&gt;"", 'Field information 2'!$O$5&lt;&gt;"", 'Field information 2'!$Q$5&lt;&gt;""),
   IF(AND(Calc!BD54=0,Calc!BE54=0),
     IF('Waste results'!$S$21&lt;&gt;"data missing", Calc!BC54*'Waste results'!$S$21, "data missing"),
   IF(AND(Calc!BC54=0,Calc!BE54=0),
     IF('Waste results'!$S$57&lt;&gt;"data missing", Calc!BD54*'Waste results'!$S$57, "data missing"),
   IF(AND(Calc!BC54=0,Calc!BD54=0),
     IF('Waste results'!$S$93&lt;&gt;"data missing", Calc!BE54*'Waste results'!$S$93, "data missing"),
   IF(Calc!BE54=0,
     IF(OR('Waste results'!$S$21&lt;&gt;"data missing", 'Waste results'!$S$57&lt;&gt;"data missing"), Calc!BC54*'Waste results'!$S$21+ Calc!BD54*'Waste results'!$S$57, "data missing"),
   IF(Calc!BD54=0,
     IF(OR('Waste results'!$S$21&lt;&gt;"data missing", 'Waste results'!$S$93&lt;&gt;"data missing"), Calc!BC54*'Waste results'!$S$21+ Calc!BE54*'Waste results'!$S$93, "data missing"),
   IF(Calc!BC54=0,
     IF(OR('Waste results'!$S$57&lt;&gt;"data missing", 'Waste results'!$S$93&lt;&gt;"data missing"), Calc!BD54*'Waste results'!$S$57+Calc!BE54*'Waste results'!$S$93, "data missing"),
   IF(OR('Waste results'!$S$21&lt;&gt;"data missing", 'Waste results'!$S$57&lt;&gt;"data missing", 'Waste results'!$S$93&lt;&gt;"data missing"), Calc!BC54*'Waste results'!$S$21+Calc!BD54*'Waste results'!$S$57+ Calc!BE54*'Waste results'!$S$93, "data missing")))))))))))</f>
        <v/>
      </c>
      <c r="U56" s="7" t="str">
        <f ca="1">IF(B56="","",
IF(OR(ISBLANK('Soil results'!I$7),ISBLANK('Soil results'!I59)),"data missing",
IF(OR(AND('Soil results'!I$7="ammonium nitrate (ADAS)",'Soil results'!I59&gt;51),AND('Soil results'!I$7="modified Morgan (SAC)",'Soil results'!I59&gt;61)),0,
IF(OR(AND('Soil results'!I$7="ammonium nitrate (ADAS)",'Soil results'!I59&lt;25),AND('Soil results'!I$7="modified Morgan (SAC)",'Soil results'!I59&lt;19)),VLOOKUP(Calc!BI54,'Fertiliser recommendations'!$A$4:$AH$63,34,FALSE),
IF(OR(AND('Soil results'!I$7="ammonium nitrate (ADAS)",'Soil results'!I59&lt;=51),AND('Soil results'!I$7="modified Morgan (SAC)",'Soil results'!I59&lt;=61)),VLOOKUP(Calc!BI54,'Fertiliser recommendations'!$A$4:$AI$63,35,FALSE),
"")))))</f>
        <v/>
      </c>
      <c r="V56" s="91" t="str">
        <f t="shared" ca="1" si="3"/>
        <v/>
      </c>
      <c r="W56" s="9" t="str">
        <f ca="1">IF(B56="","",
IF(OR(T56="data missing",U56="data missing"),"data missing",
IF(Calc!BF54=0,"n/a",
IF(U56=0,"no requirement",
IF(T56&lt;0.1*U56,"no benefit",
IF(T56&lt;0.3*U56,"limited benefit",
IF(OR(T56&gt;1.5*U56,AND(Calc!BJ54="g",T56&gt;100)),"excessive",
"benefit")))))))</f>
        <v/>
      </c>
      <c r="Y56" s="91" t="str">
        <f ca="1">IF(B56="","",
IF(AND('Field information 2'!$O$5="", 'Field information 2'!$Q$5=""),
   IF('Waste results'!$P$23&lt;&gt;"", Calc!BC54*'Waste results'!$P$23, "no data"),
IF('Field information 2'!$Q$5="",
   IF(Calc!BD54=0,
     IF('Waste results'!$P$23&lt;&gt;"", Calc!BC54*'Waste results'!$P$23, "no data"),
   IF(Calc!BC54=0,
     IF('Waste results'!$P$59&lt;&gt;"", Calc!BD54*'Waste results'!$P$59, "no data"),
   IF(OR('Waste results'!$P$23&lt;&gt;"", 'Waste results'!$P$59&lt;&gt;""), Calc!BC54*'Waste results'!$P$23+ Calc!BD54*'Waste results'!$P$59, "no data"))),
IF(AND('Field information 2'!$M$5&lt;&gt;"", 'Field information 2'!$O$5&lt;&gt;"", 'Field information 2'!$Q$5&lt;&gt;""),
   IF(AND(Calc!BD54=0,Calc!BE54=0),
     IF('Waste results'!$P$23&lt;&gt;"", Calc!BC54*'Waste results'!$P$23, "no data"),
   IF(AND(Calc!BC54=0,Calc!BE54=0),
     IF('Waste results'!$P$59&lt;&gt;"", Calc!BD54*'Waste results'!$P$59, "no data"),
   IF(AND(Calc!BC54=0,Calc!BD54=0),
     IF('Waste results'!$P$95&lt;&gt;"", Calc!BE54*'Waste results'!$P$95, "no data"),
   IF(Calc!BE54=0,
     IF(OR('Waste results'!$P$23&lt;&gt;"", 'Waste results'!$P$59&lt;&gt;""), Calc!BC54*'Waste results'!$P$23+ Calc!BD54*'Waste results'!$P$59, "no data"),
   IF(Calc!BD54=0,
     IF(OR('Waste results'!$P$23&lt;&gt;"", 'Waste results'!$P$95&lt;&gt;""), Calc!BC54*'Waste results'!$P$23+ Calc!BE54*'Waste results'!$P$95, "no data"),
   IF(Calc!BC54=0,
     IF(OR('Waste results'!$P$59&lt;&gt;"", 'Waste results'!$P$95&lt;&gt;""), Calc!BD54*'Waste results'!$P$59+Calc!BE54*'Waste results'!$P$95, "no data"),
   IF(OR('Waste results'!$P$23&lt;&gt;"", 'Waste results'!$P$59&lt;&gt;"", 'Waste results'!$P$95&lt;&gt;""), Calc!BC54*'Waste results'!$P$23+Calc!BD54*'Waste results'!$P$59+ Calc!BE54*'Waste results'!$P$95, "no data")))))))))))</f>
        <v/>
      </c>
      <c r="Z56" s="7" t="str">
        <f ca="1">IF(OR(ISBLANK('Soil results'!I$7),ISBLANK('Soil results'!I59),'Soil results'!B59=""),"",
VLOOKUP(Calc!BI54,'Fertiliser recommendations'!$A$4:$AM$63,39,FALSE))</f>
        <v/>
      </c>
      <c r="AA56" s="91" t="str">
        <f t="shared" ca="1" si="4"/>
        <v/>
      </c>
      <c r="AB56" s="9" t="str">
        <f t="shared" ca="1" si="5"/>
        <v/>
      </c>
      <c r="AD56" s="48" t="str">
        <f>IF(ISBLANK('Soil results'!F59),"",'Soil results'!F59)</f>
        <v/>
      </c>
      <c r="AE56" s="49" t="str">
        <f ca="1">IF(B56="","",
IF(AND(Calc!BJ54="g", VLOOKUP(LEFT($B56,LEN($B56)-2),'Field information 2'!$B$12:$P$111,9,FALSE)&lt;&gt;"yes"),
 IF(Calc!BG54="10-25% OM", 5.9, IF(Calc!BG54="&gt;25% OM", 5.5, 6.2)),
IF(OR(Calc!BJ54="a", VLOOKUP(LEFT($B56,LEN($B56)-2),'Field information 2'!$B$12:$P$111,9,FALSE)="yes"),
 IF(Calc!BG54="10-25% OM", 6.4, IF(Calc!BG54="&gt;25% OM", 6, 6.7)), "")))</f>
        <v/>
      </c>
      <c r="AF56" s="91" t="str">
        <f ca="1">IF(B56="","",
IF('Waste results'!$Q$33="","no (significant) liming properties",
IF('Waste results'!Q$33&gt;100,"no (significant) liming properties",
IF(AD56="","",
IF(AD56&gt;=AE56,0,ROUNDDOWN((AE56-AD56)*Calc!BK54*'Waste results'!$Q$33+0.2,0))))))</f>
        <v/>
      </c>
      <c r="AG56" s="9" t="str">
        <f ca="1">IF(B56="","",
IF(T56=0,"n/a",
IF(AD56="","data missing",
IF(AND(AD56&lt;5,AF56="no (significant) liming properties"),"no waste application - pH too low",
IF(AND(AD56&gt;5.1,AF56="no (significant) liming properties",Calc!BH54&gt;25, LEFT(Calc!BI54,4)="graz"),"ok",
IF(AND(AD56&lt;=5.2,AF56="no (significant) liming properties"),"liming highly recommended",
IF(AF56=0,"no waste application - liming not required",
IF(AF56&lt;Calc!BC54,"application rate too high - exceeds liming requirement",
"ok"))))))))</f>
        <v/>
      </c>
      <c r="AI56" s="91" t="str">
        <f ca="1">IF(B56="","",
IF(AND('Field information 2'!$O$5="", 'Field information 2'!$Q$5=""),
   IF('Waste results'!$P$10&lt;&gt;"data missing", Calc!BC54*'Waste results'!$P$10, "data missing"),
IF('Field information 2'!$Q$5="",
   IF(Calc!BD54=0,
     IF('Waste results'!$P$10&lt;&gt;"data missing", Calc!BC54*'Waste results'!$P$10, "data missing"),
   IF(Calc!BC54=0,
     IF('Waste results'!$P$45&lt;&gt;"data missing", Calc!BD54*'Waste results'!$P$45, "data missing"),
   IF(OR('Waste results'!$P$10&lt;&gt;"data missing", 'Waste results'!$P$45&lt;&gt;"data missing"), Calc!BC54*'Waste results'!$P$10+ Calc!BD54*'Waste results'!$P$45, "data missing"))),
IF(AND('Field information 2'!$M$5&lt;&gt;"", 'Field information 2'!$O$5&lt;&gt;"", 'Field information 2'!$Q$5&lt;&gt;""),
   IF(AND(Calc!BD54=0,Calc!BE54=0),
     IF('Waste results'!$P$10&lt;&gt;"data missing", Calc!BC54*'Waste results'!$P$10, "data missing"),
   IF(AND(Calc!BC54=0,Calc!BE54=0),
     IF('Waste results'!$P$45&lt;&gt;"data missing", Calc!BD54*'Waste results'!$P$45, "data missing"),
   IF(AND(Calc!BC54=0,Calc!BD54=0),
     IF('Waste results'!$P$82&lt;&gt;"data missing", Calc!BE54*'Waste results'!$P$82, "data missing"),
   IF(Calc!BE54=0,
     IF(OR('Waste results'!$P$10&lt;&gt;"data missing", 'Waste results'!$P$45&lt;&gt;"data missing"), Calc!BC54*'Waste results'!$P$10+ Calc!BD54*'Waste results'!$P$45, "data missing"),
   IF(Calc!BD54=0,
     IF(OR('Waste results'!$P$10&lt;&gt;"data missing", 'Waste results'!$P$82&lt;&gt;"data missing"), Calc!BC54*'Waste results'!$P$10+ Calc!BE54*'Waste results'!$P$82, "data missing"),
   IF(Calc!BC54=0,
     IF(OR('Waste results'!$P$45&lt;&gt;"data missing", 'Waste results'!$P$82&lt;&gt;"data missing"), Calc!BD54*'Waste results'!$P$45+Calc!BE54*'Waste results'!$P$82, "data missing"),
   IF(OR('Waste results'!$P$10&lt;&gt;"data missing", 'Waste results'!$P$45&lt;&gt;"data missing", 'Waste results'!$P$82&lt;&gt;"data missing"), Calc!BC54*'Waste results'!$P$10+Calc!BD54*'Waste results'!$P$45+ Calc!BE54*'Waste results'!$P$82, "data missing")))))))))))</f>
        <v/>
      </c>
      <c r="AJ56" s="237" t="str">
        <f ca="1">IF(B56="","",
IF(AI56="data missing","data missing",
IF(Calc!BF54=0,"n/a",
IF(AND(Calc!BH54&gt;=8,AI56&lt;500),"no benefit",
IF(OR(AND(Calc!BH54&lt;=4,AI56&gt;=500),AND(Calc!BH54&lt;8,AI56&gt;5000)),"benefit",
"limited benefit")))))</f>
        <v/>
      </c>
      <c r="AL56" s="238" t="str">
        <f ca="1">IF(B56="","",
IF(AND('Field information 2'!$O$5="", 'Field information 2'!$Q$5=""),
   IF('Waste results'!$S$25&lt;&gt;"data missing", Calc!BC54*'Waste results'!$S$25, "data missing"),
IF('Field information 2'!$Q$5="",
   IF(Calc!BD54=0,
     IF('Waste results'!$S$25&lt;&gt;"data missing", Calc!BC54*'Waste results'!$S$25, "data missing"),
   IF(Calc!BC54=0,
     IF('Waste results'!$S$61&lt;&gt;"data missing", Calc!BD54*'Waste results'!$S$61, "data missing"),
   IF(OR('Waste results'!$S$25&lt;&gt;"data missing", 'Waste results'!$S$61&lt;&gt;"data missing"), Calc!BC54*'Waste results'!$S$25+ Calc!BD54*'Waste results'!$S$61, "data missing"))),
IF(AND('Field information 2'!$M$5&lt;&gt;"", 'Field information 2'!$O$5&lt;&gt;"", 'Field information 2'!$Q$5&lt;&gt;""),
   IF(AND(Calc!BD54=0,Calc!BE54=0),
     IF('Waste results'!$S$25&lt;&gt;"data missing", Calc!BC54*'Waste results'!$S$25, "data missing"),
   IF(AND(Calc!BC54=0,Calc!BE54=0),
     IF('Waste results'!$S$61&lt;&gt;"data missing", Calc!BD54*'Waste results'!$S$61, "data missing"),
   IF(AND(Calc!BC54=0,Calc!BD54=0),
     IF('Waste results'!$S$97&lt;&gt;"data missing", Calc!BE54*'Waste results'!$S$97, "data missing"),
   IF(Calc!BE54=0,
     IF(OR('Waste results'!$S$25&lt;&gt;"data missing", 'Waste results'!$S$61&lt;&gt;"data missing"), Calc!BC54*'Waste results'!$S$25+ Calc!BD54*'Waste results'!$S$61, "data missing"),
   IF(Calc!BD54=0,
     IF(OR('Waste results'!$S$25&lt;&gt;"data missing", 'Waste results'!$S$97&lt;&gt;"data missing"), Calc!BC54*'Waste results'!$S$25+ Calc!BE54*'Waste results'!$S$97, "data missing"),
   IF(Calc!BC54=0,
     IF(OR('Waste results'!$S$61&lt;&gt;"data missing", 'Waste results'!$S$97&lt;&gt;"data missing"), Calc!BD54*'Waste results'!$S$61+Calc!BE54*'Waste results'!$S$97, "data missing"),
   IF(OR('Waste results'!$S$25&lt;&gt;"data missing", 'Waste results'!$S$61&lt;&gt;"data missing", 'Waste results'!$S$97&lt;&gt;"data missing"), Calc!BC54*'Waste results'!$S$25+Calc!BD54*'Waste results'!$S$61+ Calc!BE54*'Waste results'!$S$97, "data missing")))))))))))</f>
        <v/>
      </c>
      <c r="AM56" s="239" t="str">
        <f ca="1">IF($B56="","",
IF(ISBLANK('Soil results'!K59),"data missing",'Soil results'!K59))</f>
        <v/>
      </c>
      <c r="AN56" s="239" t="str">
        <f t="shared" ca="1" si="6"/>
        <v/>
      </c>
      <c r="AO56" s="9" t="str">
        <f t="shared" ca="1" si="7"/>
        <v/>
      </c>
      <c r="AQ56" s="240" t="str">
        <f ca="1">IF(B56="","",
IF(AND('Field information 2'!$O$5="", 'Field information 2'!$Q$5=""),
   IF('Waste results'!$S$26&lt;&gt;"data missing", Calc!BC54*'Waste results'!$S$26, "data missing"),
IF('Field information 2'!$Q$5="",
   IF(Calc!BD54=0,
     IF('Waste results'!$S$26&lt;&gt;"data missing", Calc!BC54*'Waste results'!$S$26, "data missing"),
   IF(Calc!BC54=0,
     IF('Waste results'!$S$62&lt;&gt;"data missing", Calc!BD54*'Waste results'!$S$62, "data missing"),
   IF(OR('Waste results'!$S$26&lt;&gt;"data missing", 'Waste results'!$S$62&lt;&gt;"data missing"), Calc!BC54*'Waste results'!$S$26+ Calc!BD54*'Waste results'!$S$62, "data missing"))),
IF(AND('Field information 2'!$M$5&lt;&gt;"", 'Field information 2'!$O$5&lt;&gt;"", 'Field information 2'!$Q$5&lt;&gt;""),
   IF(AND(Calc!BD54=0,Calc!BE54=0),
     IF('Waste results'!$S$26&lt;&gt;"data missing", Calc!BC54*'Waste results'!$S$26, "data missing"),
   IF(AND(Calc!BC54=0,Calc!BE54=0),
     IF('Waste results'!$S$62&lt;&gt;"data missing", Calc!BD54*'Waste results'!$S$62, "data missing"),
   IF(AND(Calc!BC54=0,Calc!BD54=0),
     IF('Waste results'!$S$98&lt;&gt;"data missing", Calc!BE54*'Waste results'!$S$98, "data missing"),
   IF(Calc!BE54=0,
     IF(OR('Waste results'!$S$26&lt;&gt;"data missing", 'Waste results'!$S$62&lt;&gt;"data missing"), Calc!BC54*'Waste results'!$S$26+ Calc!BD54*'Waste results'!$S$62, "data missing"),
   IF(Calc!BD54=0,
     IF(OR('Waste results'!$S$26&lt;&gt;"data missing", 'Waste results'!$S$98&lt;&gt;"data missing"), Calc!BC54*'Waste results'!$S$26+ Calc!BE54*'Waste results'!$S$98, "data missing"),
   IF(Calc!BC54=0,
     IF(OR('Waste results'!$S$62&lt;&gt;"data missing", 'Waste results'!$S$98&lt;&gt;"data missing"), Calc!BD54*'Waste results'!$S$62+Calc!BE54*'Waste results'!$S$98, "data missing"),
   IF(OR('Waste results'!$S$26&lt;&gt;"data missing", 'Waste results'!$S$62&lt;&gt;"data missing", 'Waste results'!$S$98&lt;&gt;"data missing"), Calc!BC54*'Waste results'!$S$26+Calc!BD54*'Waste results'!$S$62+ Calc!BE54*'Waste results'!$S$98, "data missing")))))))))))</f>
        <v/>
      </c>
      <c r="AR56" s="241" t="str">
        <f ca="1">IF($B56="","",
IF(ISBLANK('Soil results'!L59),"data missing",'Soil results'!L59))</f>
        <v/>
      </c>
      <c r="AS56" s="241" t="str">
        <f t="shared" ca="1" si="8"/>
        <v/>
      </c>
      <c r="AT56" s="66" t="str">
        <f t="shared" ca="1" si="9"/>
        <v/>
      </c>
      <c r="AV56" s="238" t="str">
        <f ca="1">IF(B56="","",
IF(AND('Field information 2'!$O$5="", 'Field information 2'!$Q$5=""),
   IF('Waste results'!$S$27&lt;&gt;"data missing", Calc!BC54*'Waste results'!$S$27, "data missing"),
IF('Field information 2'!$Q$5="",
   IF(Calc!BD54=0,
     IF('Waste results'!$S$27&lt;&gt;"data missing", Calc!BC54*'Waste results'!$S$27, "data missing"),
   IF(Calc!BC54=0,
     IF('Waste results'!$S$63&lt;&gt;"data missing", Calc!BD54*'Waste results'!$S$63, "data missing"),
   IF(OR('Waste results'!$S$27&lt;&gt;"data missing", 'Waste results'!$S$63&lt;&gt;"data missing"), Calc!BC54*'Waste results'!$S$27+ Calc!BD54*'Waste results'!$S$63, "data missing"))),
IF(AND('Field information 2'!$M$5&lt;&gt;"", 'Field information 2'!$O$5&lt;&gt;"", 'Field information 2'!$Q$5&lt;&gt;""),
   IF(AND(Calc!BD54=0,Calc!BE54=0),
     IF('Waste results'!$S$27&lt;&gt;"data missing", Calc!BC54*'Waste results'!$S$27, "data missing"),
   IF(AND(Calc!BC54=0,Calc!BE54=0),
     IF('Waste results'!$S$63&lt;&gt;"data missing", Calc!BD54*'Waste results'!$S$63, "data missing"),
   IF(AND(Calc!BC54=0,Calc!BD54=0),
     IF('Waste results'!$S$99&lt;&gt;"data missing", Calc!BE54*'Waste results'!$S$99, "data missing"),
   IF(Calc!BE54=0,
     IF(OR('Waste results'!$S$27&lt;&gt;"data missing", 'Waste results'!$S$63&lt;&gt;"data missing"), Calc!BC54*'Waste results'!$S$27+ Calc!BD54*'Waste results'!$S$63, "data missing"),
   IF(Calc!BD54=0,
     IF(OR('Waste results'!$S$27&lt;&gt;"data missing", 'Waste results'!$S$99&lt;&gt;"data missing"), Calc!BC54*'Waste results'!$S$27+ Calc!BE54*'Waste results'!$S$99, "data missing"),
   IF(Calc!BC54=0,
     IF(OR('Waste results'!$S$63&lt;&gt;"data missing", 'Waste results'!$S$99&lt;&gt;"data missing"), Calc!BD54*'Waste results'!$S$63+Calc!BE54*'Waste results'!$S$99, "data missing"),
   IF(OR('Waste results'!$S$27&lt;&gt;"data missing", 'Waste results'!$S$63&lt;&gt;"data missing", 'Waste results'!$S$99&lt;&gt;"data missing"), Calc!BC54*'Waste results'!$S$27+Calc!BD54*'Waste results'!$S$63+ Calc!BE54*'Waste results'!$S$99, "data missing")))))))))))</f>
        <v/>
      </c>
      <c r="AW56" s="239" t="str">
        <f ca="1">IF($B56="","",
IF(ISBLANK('Soil results'!M59),"data missing",'Soil results'!M59))</f>
        <v/>
      </c>
      <c r="AX56" s="239" t="str">
        <f t="shared" ca="1" si="10"/>
        <v/>
      </c>
      <c r="AY56" s="9" t="str">
        <f ca="1">IF(B56="","",
IF(AV56=0,"n/a",
IF(OR(AV56="data missing",AW56="data missing"),"data missing",
IF(AV56&gt;7.5,"application rate too high - permissible rate exceeds limit",
IF('Soil results'!$F59&lt;=5.5,
  IF(AW56&gt;80,"no application - soil conc. already above limit",
  IF(AX56&gt;80,"application rate too high - soil conc. will exceed limit",
  IF(AW56&gt;80*0.9,"soil conc. is at or above 90% of the limit",
  IF(10*AV56*1000/3000+AW56&gt;80,"soil limit likely to be exceeded in 10yrs",
  IF(50*AV56*1000/3000+AW56&gt;80,"soil limit likely to be exceeded in 50yrs","ok"))))),
IF('Soil results'!$F59&lt;=6,
  IF(AW56&gt;100,"no application - soil conc. already above limit",
  IF(AX56&gt;100,"application rate too high - soil conc. will exceed limit",
  IF(AW56&gt;100*0.9,"soil conc. is at or above 90% of the limit",
  IF(10*AV56*1000/3000+AW56&gt;100,"soil limit likely to be exceeded in 10yrs",
  IF(50*AV56*1000/3000+AW56&gt;100,"soil limit likely to be exceeded in 50yrs","ok"))))),
IF('Soil results'!$F59&lt;=7,
  IF(AW56&gt;135,"no application - soil conc. already above limit",
  IF(AX56&gt;135,"application rate too high - soil conc. will exceed limit",
  IF(AW56&gt;135*0.9,"soil conc. is at or above 90% of the limit",
  IF(10*AV56*1000/3000+AW56&gt;135,"soil limit likely to be exceeded in 10yrs",
  IF(50*AV56*1000/3000+AW56&gt;135,"soil limit likely to be exceeded in 50yrs","ok"))))),
IF('Soil results'!$F59&gt;7,
  IF(AW56&gt;200,"no application - soil conc. already above limit",
  IF(AX56&gt;200,"application too high - soil conc. will exceed limit",
  IF(AW56&gt;200*0.9,"soil conc. is at or above 90% of the limit",
  IF(10*AV56*1000/3000+AW56&gt;200,"soil limit likely to be exceeded in 10yrs",
  IF(50*AV56*1000/3000+AW56&gt;200,"soil limit likely to be exceeded in 50yrs","ok")))))
))))))))</f>
        <v/>
      </c>
      <c r="BA56" s="238" t="str">
        <f ca="1">IF(B56="","",
IF(AND('Field information 2'!$O$5="", 'Field information 2'!$Q$5=""),
   IF('Waste results'!$S$28&lt;&gt;"data missing", Calc!BC54*'Waste results'!$S$28, "data missing"),
IF('Field information 2'!$Q$5="",
   IF(Calc!BD54=0,
     IF('Waste results'!$S$28&lt;&gt;"data missing", Calc!BC54*'Waste results'!$S$28, "data missing"),
   IF(Calc!BC54=0,
     IF('Waste results'!$S$64&lt;&gt;"data missing", Calc!BD54*'Waste results'!$S$64, "data missing"),
   IF(OR('Waste results'!$S$28&lt;&gt;"data missing", 'Waste results'!$S$64&lt;&gt;"data missing"), Calc!BC54*'Waste results'!$S$28+ Calc!BD54*'Waste results'!$S$64, "data missing"))),
IF(AND('Field information 2'!$M$5&lt;&gt;"", 'Field information 2'!$O$5&lt;&gt;"", 'Field information 2'!$Q$5&lt;&gt;""),
   IF(AND(Calc!BD54=0,Calc!BE54=0),
     IF('Waste results'!$S$28&lt;&gt;"data missing", Calc!BC54*'Waste results'!$S$28, "data missing"),
   IF(AND(Calc!BC54=0,Calc!BE54=0),
     IF('Waste results'!$S$64&lt;&gt;"data missing", Calc!BD54*'Waste results'!$S$64, "data missing"),
   IF(AND(Calc!BC54=0,Calc!BD54=0),
     IF('Waste results'!$S$100&lt;&gt;"data missing", Calc!BE54*'Waste results'!$S$100, "data missing"),
   IF(Calc!BE54=0,
     IF(OR('Waste results'!$S$28&lt;&gt;"data missing", 'Waste results'!$S$64&lt;&gt;"data missing"), Calc!BC54*'Waste results'!$S$28+ Calc!BD54*'Waste results'!$S$64, "data missing"),
   IF(Calc!BD54=0,
     IF(OR('Waste results'!$S$28&lt;&gt;"data missing", 'Waste results'!$S$100&lt;&gt;"data missing"), Calc!BC54*'Waste results'!$S$28+ Calc!BE54*'Waste results'!$S$100, "data missing"),
   IF(Calc!BC54=0,
     IF(OR('Waste results'!$S$64&lt;&gt;"data missing", 'Waste results'!$S$100&lt;&gt;"data missing"), Calc!BD54*'Waste results'!$S$64+Calc!BE54*'Waste results'!$S$100, "data missing"),
   IF(OR('Waste results'!$S$28&lt;&gt;"data missing", 'Waste results'!$S$64&lt;&gt;"data missing", 'Waste results'!$S$100&lt;&gt;"data missing"), Calc!BC54*'Waste results'!$S$28+Calc!BD54*'Waste results'!$S$64+ Calc!BE54*'Waste results'!$S$100, "data missing")))))))))))</f>
        <v/>
      </c>
      <c r="BB56" s="239" t="str">
        <f ca="1">IF($B56="","",
IF(ISBLANK('Soil results'!N59),"data missing",'Soil results'!N59))</f>
        <v/>
      </c>
      <c r="BC56" s="239" t="str">
        <f t="shared" ca="1" si="11"/>
        <v/>
      </c>
      <c r="BD56" s="9" t="str">
        <f t="shared" ca="1" si="12"/>
        <v/>
      </c>
      <c r="BF56" s="238" t="str">
        <f ca="1">IF(B56="","",
IF(AND('Field information 2'!$O$5="", 'Field information 2'!$Q$5=""),
   IF('Waste results'!$S$29&lt;&gt;"data missing", Calc!BC54*'Waste results'!$S$29, "data missing"),
IF('Field information 2'!$Q$5="",
   IF(Calc!BD54=0,
     IF('Waste results'!$S$29&lt;&gt;"data missing", Calc!BC54*'Waste results'!$S$29, "data missing"),
   IF(Calc!BC54=0,
     IF('Waste results'!$S$65&lt;&gt;"data missing", Calc!BD54*'Waste results'!$S$65, "data missing"),
   IF(OR('Waste results'!$S$29&lt;&gt;"data missing", 'Waste results'!$S$65&lt;&gt;"data missing"), Calc!BC54*'Waste results'!$S$29+ Calc!BD54*'Waste results'!$S$65, "data missing"))),
IF(AND('Field information 2'!$M$5&lt;&gt;"", 'Field information 2'!$O$5&lt;&gt;"", 'Field information 2'!$Q$5&lt;&gt;""),
   IF(AND(Calc!BD54=0,Calc!BE54=0),
     IF('Waste results'!$S$29&lt;&gt;"data missing", Calc!BC54*'Waste results'!$S$29, "data missing"),
   IF(AND(Calc!BC54=0,Calc!BE54=0),
     IF('Waste results'!$S$65&lt;&gt;"data missing", Calc!BD54*'Waste results'!$S$65, "data missing"),
   IF(AND(Calc!BC54=0,Calc!BD54=0),
     IF('Waste results'!$S$101&lt;&gt;"data missing", Calc!BE54*'Waste results'!$S$101, "data missing"),
   IF(Calc!BE54=0,
     IF(OR('Waste results'!$S$29&lt;&gt;"data missing", 'Waste results'!$S$65&lt;&gt;"data missing"), Calc!BC54*'Waste results'!$S$29+ Calc!BD54*'Waste results'!$S$65, "data missing"),
   IF(Calc!BD54=0,
     IF(OR('Waste results'!$S$29&lt;&gt;"data missing", 'Waste results'!$S$101&lt;&gt;"data missing"), Calc!BC54*'Waste results'!$S$29+ Calc!BE54*'Waste results'!$S$101, "data missing"),
   IF(Calc!BC54=0,
     IF(OR('Waste results'!$S$65&lt;&gt;"data missing", 'Waste results'!$S$101&lt;&gt;"data missing"), Calc!BD54*'Waste results'!$S$65+Calc!BE54*'Waste results'!$S$101, "data missing"),
   IF(OR('Waste results'!$S$29&lt;&gt;"data missing", 'Waste results'!$S$65&lt;&gt;"data missing", 'Waste results'!$S$101&lt;&gt;"data missing"), Calc!BC54*'Waste results'!$S$29+Calc!BD54*'Waste results'!$S$65+ Calc!BE54*'Waste results'!$S$101, "data missing")))))))))))</f>
        <v/>
      </c>
      <c r="BG56" s="239" t="str">
        <f ca="1">IF($B56="","",
IF(ISBLANK('Soil results'!O59),"data missing",'Soil results'!O59))</f>
        <v/>
      </c>
      <c r="BH56" s="239" t="str">
        <f t="shared" ca="1" si="13"/>
        <v/>
      </c>
      <c r="BI56" s="9" t="str">
        <f ca="1">IF(B56="","",
IF(BF56=0,"n/a",
IF(OR(BF56="data missing",BG56="data missing"),"data missing",
IF(BF56&gt;3,"application rate too high - permissible rate exceeds limit",
IF('Soil results'!F59&lt;=5.5,
  IF(BG56&gt;50,"no application - soil conc. already above limit",
  IF(BH56&gt;50,"application rate too high - soil conc. will exceed limit",
  IF(BG56&gt;50*0.9,"soil conc. is at or above 90% of the limit",
  IF(10*BF56*1000/3000+BG56&gt;50,"soil limit likely to be exceeded in 10yrs",
  IF(50*BF56*1000/3000+BG56&gt;50,"soil limit likely to be exceeded in 50yrs","ok"))))),
IF('Soil results'!F59&lt;=6,
  IF(BG56&gt;60,"no application - soil conc. already above limit",
  IF(BH56&gt;60,"application rate too high - soil conc. will exceed limit",
  IF(BG56&gt;60*0.9,"soil conc. is at or above 90% of the limit",
  IF(10*BF56*1000/3000+BG56&gt;60,"soil limit likely to be exceeded in 10yrs",
  IF(50*BF56*1000/3000+BG56&gt;60,"soil limit likely to be exceeded in 50yrs","ok"))))),
IF('Soil results'!F59&lt;=7,
  IF(BG56&gt;75,"no application - soil conc. already above limit",
  IF(BH56&gt;75,"application rate too high - soil conc. will exceed limit",
  IF(BG56&gt;75*0.9,"soil conc. is at or above 90% of the limit",
  IF(10*BF56*1000/3000+BG56&gt;75,"soil limit likely to be exceeded in 10yrs",
  IF(50*BF56*1000/3000+BG56&gt;75,"soil limit likely to be exceeded in 50yrs","ok"))))),
IF('Soil results'!F59&gt;7,
  IF(BG56&gt;100,"no application - soil conc. already above limit",
  IF(BH56&gt;100,"application rate too high - soil conc. will exceed limit",
  IF(BG56&gt;100*0.9,"soil conc. is at or above 90% of the limit",
  IF(10*BF56*1000/3000+BG56&gt;100,"soil limit likely to be exceeded in 10yrs",
  IF(50*BF56*1000/3000+BG56&gt;100,"soil limit likely to beexceeded in 50yrs","ok")))))
))))))))</f>
        <v/>
      </c>
      <c r="BK56" s="240" t="str">
        <f ca="1">IF(B56="","",
IF(AND('Field information 2'!$O$5="", 'Field information 2'!$Q$5=""),
   IF('Waste results'!$S$30&lt;&gt;"data missing", Calc!BC54*'Waste results'!$S$30, "data missing"),
IF('Field information 2'!$Q$5="",
   IF(Calc!BD54=0,
     IF('Waste results'!$S$30&lt;&gt;"data missing", Calc!BC54*'Waste results'!$S$30, "data missing"),
   IF(Calc!BC54=0,
     IF('Waste results'!$S$66&lt;&gt;"data missing", Calc!BD54*'Waste results'!$S$66, "data missing"),
   IF(OR('Waste results'!$S$30&lt;&gt;"data missing", 'Waste results'!$S$66&lt;&gt;"data missing"), Calc!BC54*'Waste results'!$S$30+ Calc!BD54*'Waste results'!$S$66, "data missing"))),
IF(AND('Field information 2'!$M$5&lt;&gt;"", 'Field information 2'!$O$5&lt;&gt;"", 'Field information 2'!$Q$5&lt;&gt;""),
   IF(AND(Calc!BD54=0,Calc!BE54=0),
     IF('Waste results'!$S$30&lt;&gt;"data missing", Calc!BC54*'Waste results'!$S$30, "data missing"),
   IF(AND(Calc!BC54=0,Calc!BE54=0),
     IF('Waste results'!$S$66&lt;&gt;"data missing", Calc!BD54*'Waste results'!$S$66, "data missing"),
   IF(AND(Calc!BC54=0,Calc!BD54=0),
     IF('Waste results'!$S$102&lt;&gt;"data missing", Calc!BE54*'Waste results'!$S$102, "data missing"),
   IF(Calc!BE54=0,
     IF(OR('Waste results'!$S$30&lt;&gt;"data missing", 'Waste results'!$S$66&lt;&gt;"data missing"), Calc!BC54*'Waste results'!$S$30+ Calc!BD54*'Waste results'!$S$66, "data missing"),
   IF(Calc!BD54=0,
     IF(OR('Waste results'!$S$30&lt;&gt;"data missing", 'Waste results'!$S$102&lt;&gt;"data missing"), Calc!BC54*'Waste results'!$S$30+ Calc!BE54*'Waste results'!$S$102, "data missing"),
   IF(Calc!BC54=0,
     IF(OR('Waste results'!$S$66&lt;&gt;"data missing", 'Waste results'!$S$102&lt;&gt;"data missing"), Calc!BD54*'Waste results'!$S$66+Calc!BE54*'Waste results'!$S$102, "data missing"),
   IF(OR('Waste results'!$S$30&lt;&gt;"data missing", 'Waste results'!$S$66&lt;&gt;"data missing", 'Waste results'!$S$102&lt;&gt;"data missing"), Calc!BC54*'Waste results'!$S$30+Calc!BD54*'Waste results'!$S$66+ Calc!BE54*'Waste results'!$S$102, "data missing")))))))))))</f>
        <v/>
      </c>
      <c r="BL56" s="241" t="str">
        <f ca="1">IF($B56="","",
IF(ISBLANK('Soil results'!P59),"data missing",'Soil results'!P59))</f>
        <v/>
      </c>
      <c r="BM56" s="241" t="str">
        <f t="shared" ca="1" si="14"/>
        <v/>
      </c>
      <c r="BN56" s="66" t="str">
        <f t="shared" ca="1" si="15"/>
        <v/>
      </c>
      <c r="BP56" s="238" t="str">
        <f ca="1">IF(B56="","",
IF(AND('Field information 2'!$O$5="", 'Field information 2'!$Q$5=""),
   IF('Waste results'!$S$31&lt;&gt;"data missing", Calc!BC54*'Waste results'!$S$31, "data missing"),
IF('Field information 2'!$Q$5="",
   IF(Calc!BD54=0,
     IF('Waste results'!$S$31&lt;&gt;"data missing", Calc!BC54*'Waste results'!$S$31, "data missing"),
   IF(Calc!BC54=0,
     IF('Waste results'!$S$67&lt;&gt;"data missing", Calc!BD54*'Waste results'!$S$67, "data missing"),
   IF(OR('Waste results'!$S$31&lt;&gt;"data missing", 'Waste results'!$S$67&lt;&gt;"data missing"), Calc!BC54*'Waste results'!$S$31+ Calc!BD54*'Waste results'!$S$67, "data missing"))),
IF(AND('Field information 2'!$M$5&lt;&gt;"", 'Field information 2'!$O$5&lt;&gt;"", 'Field information 2'!$Q$5&lt;&gt;""),
   IF(AND(Calc!BD54=0,Calc!BE54=0),
     IF('Waste results'!$S$31&lt;&gt;"data missing", Calc!BC54*'Waste results'!$S$31, "data missing"),
   IF(AND(Calc!BC54=0,Calc!BE54=0),
     IF('Waste results'!$S$67&lt;&gt;"data missing", Calc!BD54*'Waste results'!$S$67, "data missing"),
   IF(AND(Calc!BC54=0,Calc!BD54=0),
     IF('Waste results'!$S$103&lt;&gt;"data missing", Calc!BE54*'Waste results'!$S$103, "data missing"),
   IF(Calc!BE54=0,
     IF(OR('Waste results'!$S$31&lt;&gt;"data missing", 'Waste results'!$S$67&lt;&gt;"data missing"), Calc!BC54*'Waste results'!$S$31+ Calc!BD54*'Waste results'!$S$67, "data missing"),
   IF(Calc!BD54=0,
     IF(OR('Waste results'!$S$31&lt;&gt;"data missing", 'Waste results'!$S$103&lt;&gt;"data missing"), Calc!BC54*'Waste results'!$S$31+ Calc!BE54*'Waste results'!$S$103, "data missing"),
   IF(Calc!BC54=0,
     IF(OR('Waste results'!$S$67&lt;&gt;"data missing", 'Waste results'!$S$103&lt;&gt;"data missing"), Calc!BD54*'Waste results'!$S$67+Calc!BE54*'Waste results'!$S$103, "data missing"),
   IF(OR('Waste results'!$S$31&lt;&gt;"data missing", 'Waste results'!$S$67&lt;&gt;"data missing", 'Waste results'!$S$103&lt;&gt;"data missing"), Calc!BC54*'Waste results'!$S$31+Calc!BD54*'Waste results'!$S$67+ Calc!BE54*'Waste results'!$S$103, "data missing")))))))))))</f>
        <v/>
      </c>
      <c r="BQ56" s="239" t="str">
        <f ca="1">IF($B56="","",
IF(ISBLANK('Soil results'!Q59),"data missing",'Soil results'!Q59))</f>
        <v/>
      </c>
      <c r="BR56" s="239" t="str">
        <f t="shared" ca="1" si="16"/>
        <v/>
      </c>
      <c r="BS56" s="9" t="str">
        <f ca="1">IF(B56="","",
IF(BP56=0,"n/a",
IF(OR(BP56="data missing",BQ56=""),"data missing",
IF(BP56&gt;15,"application rate too high - permissible rate exceeds limit",
IF('Soil results'!F59&lt;=5.5,
  IF(BQ56&gt;200,"no application - soil conc. already above limit",
  IF(BR56&gt;200,"application rate too high - soil conc. will exceed limit",
  IF(BQ56&gt;200*0.9,"soil conc. is at or above 90% of the limit",
  IF(10*BP56*1000/3000+BQ56&gt;200,"soil limit likely to be exceeded in 10yrs",
  IF(50*BP56*1000/3000+BQ56&gt;200,"soil limit likely to be exceeded in 50yrs","ok"))))),
IF('Soil results'!F59&lt;=6,
  IF(BQ56&gt;250,"no application - soil conc. already above limit",
  IF(BR56&gt;250,"application rate too high - soil conc. will exceed limit",
  IF(BQ56&gt;250*0.9,"soil conc. is at or above 90% of the limit",
  IF(10*BP56*1000/3000+BQ56&gt;250,"soil limit likely to be exceeded in 10yrs",
  IF(50*BP56*1000/3000+BQ56&gt;250,"soil limit likely to be exceeded in 50yrs","ok"))))),
IF('Soil results'!F59&lt;=7,
  IF(BQ56&gt;300,"no application - soil conc. already above limit",
  IF(BR56&gt;300,"application rate too high - soil conc. will exceed limit",
  IF(BQ56&gt;300*0.9,"soil conc. is at or above 90% of the limit",
  IF(10*BP56*1000/3000+BQ56&gt;300,"soil limit likey to be exceeded in 10yrs",
  IF(50*BP56*1000/3000+BQ56&gt;300,"soil limit likely to be exceeded in 50yrs","ok"))))),
IF('Soil results'!F59&gt;7,
  IF(BQ56&gt;450,"no application - soil conc. already above limit",
  IF(BR56&gt;450,"application rate too high - soil conc. will exceed limit",
  IF(AW56&gt;450*0.9,"soil conc. is at or above 90% of the limit",
  IF(10*BP56*1000/3000+BQ56&gt;450,"soil limit likely to be exceeded in 10yrs",
  IF(50*BP56*1000/3000+BQ56&gt;450,"soil limit likely to be exceeded in 50yrs","ok")))))
))))))))</f>
        <v/>
      </c>
    </row>
    <row r="57" spans="2:71" s="9" customFormat="1" ht="15" x14ac:dyDescent="0.25">
      <c r="B57" s="236" t="str">
        <f ca="1">'Soil results'!B60</f>
        <v/>
      </c>
      <c r="C57" s="91" t="str">
        <f ca="1">IF(B57="","",
IF(AND('Field information 2'!$O$5="", 'Field information 2'!$Q$5=""),
   IF('Waste results'!$S$12&lt;&gt;"data missing", Calc!BC55*'Waste results'!$S$12, "data missing"),
IF('Field information 2'!$Q$5="",
   IF(Calc!BD55=0,
     IF('Waste results'!$S$12&lt;&gt;"data missing", Calc!BC55*'Waste results'!$S$12, "data missing"),
   IF(Calc!BC55=0,
     IF('Waste results'!$S$48&lt;&gt;"data missing", Calc!BD55*'Waste results'!$S$48, "data missing"),
   IF(OR('Waste results'!$S$12&lt;&gt;"data missing", 'Waste results'!$S$48&lt;&gt;"data missing"), Calc!BC55*'Waste results'!$S$12+ Calc!BD55*'Waste results'!$S$48, "data missing"))),
IF(AND('Field information 2'!$M$5&lt;&gt;"", 'Field information 2'!$O$5&lt;&gt;"", 'Field information 2'!$Q$5&lt;&gt;""),
   IF(AND(Calc!BD55=0,Calc!BE55=0),
     IF('Waste results'!$S$12&lt;&gt;"data missing", Calc!BC55*'Waste results'!$S$12, "data missing"),
   IF(AND(Calc!BC55=0,Calc!BE55=0),
     IF('Waste results'!$S$48&lt;&gt;"data missing", Calc!BD55*'Waste results'!$S$48, "data missing"),
   IF(AND(Calc!BC55=0,Calc!BD55=0),
     IF('Waste results'!$S$84&lt;&gt;"data missing", Calc!BE55*'Waste results'!$S$84, "data missing"),
   IF(Calc!BE55=0,
     IF(OR('Waste results'!$S$12&lt;&gt;"data missing", 'Waste results'!$S$48&lt;&gt;"data missing"), Calc!BC55*'Waste results'!$S$12+ Calc!BD55*'Waste results'!$S$48, "data missing"),
   IF(Calc!BD55=0,
     IF(OR('Waste results'!$S$12&lt;&gt;"data missing", 'Waste results'!$S$84&lt;&gt;"data missing"), Calc!BC55*'Waste results'!$S$12+ Calc!BE55*'Waste results'!$S$84, "data missing"),
   IF(Calc!BC55=0,
     IF(OR('Waste results'!$S$48&lt;&gt;"data missing", 'Waste results'!$S$84&lt;&gt;"data missing"), Calc!BD55*'Waste results'!$S$48+Calc!BE55*'Waste results'!$S$84, "data missing"),
   IF(OR('Waste results'!$S$12&lt;&gt;"data missing", 'Waste results'!$S$48&lt;&gt;"data missing", 'Waste results'!$S$84&lt;&gt;"data missing"), Calc!BC55*'Waste results'!$S$12+Calc!BD55*'Waste results'!$S$48+ Calc!BE55*'Waste results'!$S$84, "data missing")))))))))))</f>
        <v/>
      </c>
      <c r="D57" s="161" t="str">
        <f ca="1">IF(B57="","",
IF(Calc!BG55="","soil texture missing",
IF(OR(Calc!BG55="SL; SZL; ZL",Calc!BG55="SCL; CL; ZCL; SC; ZC; C"),VLOOKUP(Calc!BI55,'Fertiliser recommendations'!$A$4:$C$63,3,FALSE),
IF(Calc!BG55="S; LS",VLOOKUP(Calc!BI55,'Fertiliser recommendations'!$A$4:$C$63,3,FALSE)+VLOOKUP(Calc!BI55,'Fertiliser recommendations'!$A$4:$D$63,4,FALSE),
IF(Calc!BG55="10-25% OM",VLOOKUP(Calc!BI55,'Fertiliser recommendations'!$A$4:$C$63,3,FALSE)+VLOOKUP(Calc!BI55,'Fertiliser recommendations'!$A$4:$E$63,5,FALSE),
IF(Calc!BG55="&gt;25% OM",VLOOKUP(Calc!BI55,'Fertiliser recommendations'!$A$4:$C$63,3,FALSE)+VLOOKUP(Calc!BI55,'Fertiliser recommendations'!$A$4:$F$63,6,FALSE),
""))))))</f>
        <v/>
      </c>
      <c r="E57" s="91" t="str">
        <f t="shared" ca="1" si="0"/>
        <v/>
      </c>
      <c r="F57" s="9" t="str">
        <f ca="1">IF(B57="","",
IF(OR(C57="data missing",D57="soil texture missing"),"data missing",
IF(Calc!BF55=0,"n/a",
IF(C57&lt;0.1*D57,"no benefit",
IF(C57&lt;0.3*D57,"limited benefit",
IF(C57&gt;250,"exceeds limit",
IF(OR(AND(D57=0,C57&gt;75),C57&gt;1.25*D57),"excessive",
IF(D57=0, "no requirement",
"benefit"))))))))</f>
        <v/>
      </c>
      <c r="H57" s="91" t="str">
        <f ca="1">IF(B57="","",
IF(AND('Field information 2'!$O$5="", 'Field information 2'!$Q$5=""),
   IF('Waste results'!$S$17&lt;&gt;"data missing", Calc!BC55*'Waste results'!$S$17, "data missing"),
IF('Field information 2'!$Q$5="",
   IF(Calc!BD55=0,
     IF('Waste results'!$S$17&lt;&gt;"data missing", Calc!BC55*'Waste results'!$S$17, "data missing"),
   IF(Calc!BC55=0,
     IF('Waste results'!$S$53&lt;&gt;"data missing", Calc!BD55*'Waste results'!$S$53, "data missing"),
   IF(OR('Waste results'!$S$17&lt;&gt;"data missing", 'Waste results'!$S$53&lt;&gt;"data missing"), Calc!BC55*'Waste results'!$S$17+ Calc!BD55*'Waste results'!$S$53, "data missing"))),
IF(AND('Field information 2'!$M$5&lt;&gt;"", 'Field information 2'!$O$5&lt;&gt;"", 'Field information 2'!$Q$5&lt;&gt;""),
   IF(AND(Calc!BD55=0,Calc!BE55=0),
     IF('Waste results'!$S$17&lt;&gt;"data missing", Calc!BC55*'Waste results'!$S$17, "data missing"),
   IF(AND(Calc!BC55=0,Calc!BE55=0),
     IF('Waste results'!$S$53&lt;&gt;"data missing", Calc!BD55*'Waste results'!$S$53, "data missing"),
   IF(AND(Calc!BC55=0,Calc!BD55=0),
     IF('Waste results'!$S$89&lt;&gt;"data missing", Calc!BE55*'Waste results'!$S$89, "data missing"),
   IF(Calc!BE55=0,
     IF(OR('Waste results'!$S$17&lt;&gt;"data missing", 'Waste results'!$S$53&lt;&gt;"data missing"), Calc!BC55*'Waste results'!$S$17+ Calc!BD55*'Waste results'!$S$53, "data missing"),
   IF(Calc!BD55=0,
     IF(OR('Waste results'!$S$17&lt;&gt;"data missing", 'Waste results'!$S$89&lt;&gt;"data missing"), Calc!BC55*'Waste results'!$S$17+ Calc!BE55*'Waste results'!$S$89, "data missing"),
   IF(Calc!BC55=0,
     IF(OR('Waste results'!$S$53&lt;&gt;"data missing", 'Waste results'!$S$89&lt;&gt;"data missing"), Calc!BD55*'Waste results'!$S$53+Calc!BE55*'Waste results'!$S$89, "data missing"),
   IF(OR('Waste results'!$S$17&lt;&gt;"data missing", 'Waste results'!$S$53&lt;&gt;"data missing", 'Waste results'!$S$89&lt;&gt;"data missing"), Calc!BC55*'Waste results'!$S$17+Calc!BD55*'Waste results'!$S$53+ Calc!BE55*'Waste results'!$S$89, "data missing")))))))))))</f>
        <v/>
      </c>
      <c r="I57" s="195" t="str">
        <f ca="1">IF(B57="","",
IF(OR(ISBLANK('Soil results'!G60), ISBLANK('Soil results'!G$7)),"data missing",
IF(OR(AND('Soil results'!G$7="Olsen (ADAS)",'Soil results'!G60&lt;16),AND('Soil results'!G$7="modified Morgan (SAC)",'Soil results'!G60&lt;4.5)),50,100)))</f>
        <v/>
      </c>
      <c r="J57" s="49" t="str">
        <f ca="1">IF(B57="","",
IF(OR(ISBLANK('Soil results'!G$7),ISBLANK('Soil results'!G60)),"data missing",
IF(OR(AND('Soil results'!G$7="Olsen (ADAS)",'Soil results'!G60&gt;45),AND('Soil results'!G$7="modified Morgan (SAC)",'Soil results'!G60&gt;30)),0,
IF(OR(AND('Soil results'!G$7="Olsen (ADAS)",'Soil results'!G60&gt;=16,'Soil results'!G60&lt;=20),AND('Soil results'!G$7="modified Morgan (SAC)",'Soil results'!G60&gt;=4.5,'Soil results'!G60&lt;=9.4)),VLOOKUP(Calc!BI55,'Fertiliser recommendations'!$A$4:$I$63,9,FALSE),
IF(OR(AND('Soil results'!G$7="Olsen (ADAS)",'Soil results'!G60&lt;10),AND('Soil results'!G$7="modified Morgan (SAC)",'Soil results'!G60&lt;1.8)),VLOOKUP(Calc!BI55,'Fertiliser recommendations'!$A$4:$I$63,9,FALSE)+VLOOKUP(Calc!BI55,'Fertiliser recommendations'!$A$4:$J$63,10,FALSE),
IF(OR(AND('Soil results'!G$7="Olsen (ADAS)",'Soil results'!G60&lt;16),AND('Soil results'!G$7="modified Morgan (SAC)",'Soil results'!G60&lt;4.5)),VLOOKUP(Calc!BI55,'Fertiliser recommendations'!$A$4:$I$63,9,FALSE)+VLOOKUP(Calc!BI55,'Fertiliser recommendations'!$A$4:$K$63,11,FALSE),
IF(OR(AND('Soil results'!G$7="Olsen (ADAS)",'Soil results'!G60&lt;26),AND('Soil results'!G$7="modified Morgan (SAC)",'Soil results'!G60&lt;13.5)),VLOOKUP(Calc!BI55,'Fertiliser recommendations'!$A$4:$I$63,9,FALSE)+VLOOKUP(Calc!BI55,'Fertiliser recommendations'!$A$4:$L$63,12,FALSE),
IF(OR(AND('Soil results'!G$7="Olsen (ADAS)",'Soil results'!G60&lt;=45),AND('Soil results'!G$7="modified Morgan (SAC)",'Soil results'!G60&lt;=30)),VLOOKUP(Calc!BI55,'Fertiliser recommendations'!$A$4:$I$63,9,FALSE)+VLOOKUP(Calc!BI55,'Fertiliser recommendations'!$A$4:$M$63,13,FALSE),
""))))))))</f>
        <v/>
      </c>
      <c r="K57" s="161" t="str">
        <f t="shared" ca="1" si="1"/>
        <v/>
      </c>
      <c r="L57" s="47" t="str">
        <f ca="1">IF(OR(ISBLANK('Soil results'!G$7),ISBLANK('Soil results'!G60),B57="", H57="data missing"),"",
IF('Soil results'!G$7="Olsen (ADAS)",
IF(((H57*Calc!BM55/2.291-(VLOOKUP(Calc!BI55,'Fertiliser recommendations'!$A$4:$I$63,9,FALSE))/2.291)*10/(400/2.291)+'Soil results'!G60)&lt;10,"0 (VL)",
IF(((H57*Calc!BM55/2.291-(VLOOKUP(Calc!BI55,'Fertiliser recommendations'!$A$4:$I$63,9,FALSE))/2.291)*10/(400/2.291)+'Soil results'!G60)&lt;16,"1 (L)",
IF(((H57*Calc!BM55/2.291-(VLOOKUP(Calc!BI55,'Fertiliser recommendations'!$A$4:$I$63,9,FALSE))/2.291)*10/(400/2.291)+'Soil results'!G60)&lt;21,"2 (M-)",
IF(((H57*Calc!BM55/2.291-(VLOOKUP(Calc!BI55,'Fertiliser recommendations'!$A$4:$I$63,9,FALSE))/2.291)*10/(400/2.291)+'Soil results'!G60)&lt;26,"2 (M+)",
IF(((H57*Calc!BM55/2.291-(VLOOKUP(Calc!BI55,'Fertiliser recommendations'!$A$4:$I$63,9,FALSE))/2.291)*10/(400/2.291)+'Soil results'!G60)&lt;45,"3 (H)","&gt;3 (VH)"))))),
IF('Soil results'!G$7="modified Morgan (SAC)",
IF('Soil results'!G60&gt;=6,
IF(((H57*Calc!BM55/2.291-(VLOOKUP(Calc!BI55,'Fertiliser recommendations'!$A$4:$I$63,9,FALSE))/2.291)*5/(147/2.291)+'Soil results'!G60)&lt;9.5,"2 (M-)",
IF(((H57*Calc!BM55/2.291-(VLOOKUP(Calc!BI55,'Fertiliser recommendations'!$A$4:$I$63,9,FALSE))/2.291)*5/(147/2.291)+'Soil results'!G60)&lt;13.5,"2 (M+)",
IF(((H57*Calc!BM55/2.291-(VLOOKUP(Calc!BI55,'Fertiliser recommendations'!$A$4:$I$63,9,FALSE))/2.291)*5/(147/2.291)+'Soil results'!G60)&lt;30,"3 (H)","4 (VH)"))),
IF(((H57*Calc!BM55/2.291-(VLOOKUP(Calc!BI55,'Fertiliser recommendations'!$A$4:$I$63,9,FALSE))/2.291)*5/(346/2.291)+'Soil results'!G60)&lt;1.8,"0 (VL)",
IF(((H57*Calc!BM55/2.291-(VLOOKUP(Calc!BI55,'Fertiliser recommendations'!$A$4:$I$63,9,FALSE))/2.291)*5/(147/2.291)+'Soil results'!G60)&lt;4.5,"1 (L)","2 (M-)"))))))</f>
        <v/>
      </c>
      <c r="M57" s="9" t="str">
        <f ca="1">IF(B57="","",
IF(OR(H57="data missing",I57="data missing",J57="data missing"),"data missing",
IF(Calc!BF55=0,"n/a",
IF(OR(AND('Soil results'!G$7="Olsen (ADAS)",'Soil results'!G60&gt;45),AND('Soil results'!G$7="modified Morgan (SAC)",'Soil results'!G60&gt;30)),
IF(H57&gt;2,"too high, not acceptable","no requirement"),IF(OR(AND('Soil results'!G$7="Olsen (ADAS)",'Soil results'!G60&gt;25),AND('Soil results'!G$7="modified Morgan (SAC)",'Soil results'!G60&gt;13.4)),
IF(H57*(I57/100)&lt;0.1*J57,"no benefit",
IF(H57*(I57/100)&lt;0.3*J57,"limited benefit",
IF(H57*(I57/100)&lt;1.1*J57,"benefit",
IF(H57*(I57/100)&lt;0.7*VLOOKUP(Calc!BI55,'Fertiliser recommendations'!$A$4:$I$63,9,FALSE),"excessive","too high, not acceptable")))),
IF(OR(AND('Soil results'!G$7="Olsen (ADAS)",'Soil results'!G60&gt;20),AND('Soil results'!G$7="modified Morgan (SAC)",'Soil results'!G60&gt;9.4)),
IF(H57*Calc!BM55*(I57/100)&lt;0.1*J57,"no benefit",
IF(H57*Calc!BM55*(I57/100)&lt;0.3*J57,"limited benefit",
IF(H57*Calc!BM55*(I57/100)&lt;1.1*J57,"benefit",
IF(L57="3 (H)","too high, not acceptable","excessive")))),
IF(OR(AND('Soil results'!G$7="Olsen (ADAS)",'Soil results'!G60&gt;15),AND('Soil results'!G$7="modified Morgan (SAC)",'Soil results'!G60&gt;4.4)),
IF(H57*Calc!BM55*(I57/100)&lt;0.1*VLOOKUP(Calc!BI55,'Fertiliser recommendations'!$A$4:$I$63,9,FALSE),"no benefit",
IF(H57*Calc!BM55*(I57/100)&lt;0.3*VLOOKUP(Calc!BI55,'Fertiliser recommendations'!$A$4:$I$63,9,FALSE),"limited benefit",
IF(H57*Calc!BM55*(I57/100)&lt;1.1*VLOOKUP(Calc!BI55,'Fertiliser recommendations'!$A$4:$I$63,9,FALSE),"benefit",
IF(L57="3 (H)", "too high, not acceptable", "excessive")))),
IF(OR(AND('Soil results'!G$7="Olsen (ADAS)",'Soil results'!G60&lt;=15),AND('Soil results'!G$7="modified Morgan (SAC)",'Soil results'!G60&lt;=4.4)),
IF(H57*Calc!BM55*(I57/100)&lt;0.1*VLOOKUP(Calc!BI55,'Fertiliser recommendations'!$A$4:$I$63,9,FALSE),"no benefit",
IF(H57*Calc!BM55*(I57/100)&lt;0.3*VLOOKUP(Calc!BI55,'Fertiliser recommendations'!$A$4:$I$63,9,FALSE),"limited benefit",
IF(H57*Calc!BM55*(I57/100)&lt;1.1*J57,"benefit","excessive")))))))))))</f>
        <v/>
      </c>
      <c r="O57" s="91" t="str">
        <f ca="1">IF(B57="","",
IF(AND('Field information 2'!$O$5="", 'Field information 2'!$Q$5=""),
   IF('Waste results'!$S$19&lt;&gt;"data missing", Calc!BC55*'Waste results'!$S$19, "data missing"),
IF('Field information 2'!$Q$5="",
   IF(Calc!BD55=0,
     IF('Waste results'!$S$19&lt;&gt;"data missing", Calc!BC55*'Waste results'!$S$19, "data missing"),
   IF(Calc!BC55=0,
     IF('Waste results'!$S$55&lt;&gt;"data missing", Calc!BD55*'Waste results'!$S$55, "data missing"),
   IF(OR('Waste results'!$S$19&lt;&gt;"data missing", 'Waste results'!$S$55&lt;&gt;"data missing"), Calc!BC55*'Waste results'!$S$19+ Calc!BD55*'Waste results'!$S$55, "data missing"))),
IF(AND('Field information 2'!$M$5&lt;&gt;"", 'Field information 2'!$O$5&lt;&gt;"", 'Field information 2'!$Q$5&lt;&gt;""),
   IF(AND(Calc!BD55=0,Calc!BE55=0),
     IF('Waste results'!$S$19&lt;&gt;"data missing", Calc!BC55*'Waste results'!$S$19, "data missing"),
   IF(AND(Calc!BC55=0,Calc!BE55=0),
     IF('Waste results'!$S$55&lt;&gt;"data missing", Calc!BD55*'Waste results'!$S$55, "data missing"),
   IF(AND(Calc!BC55=0,Calc!BD55=0),
     IF('Waste results'!$S$91&lt;&gt;"data missing", Calc!BE55*'Waste results'!$S$91, "data missing"),
   IF(Calc!BE55=0,
     IF(OR('Waste results'!$S$19&lt;&gt;"data missing", 'Waste results'!$S$55&lt;&gt;"data missing"), Calc!BC55*'Waste results'!$S$19+ Calc!BD55*'Waste results'!$S$55, "data missing"),
   IF(Calc!BD55=0,
     IF(OR('Waste results'!$S$19&lt;&gt;"data missing", 'Waste results'!$S$91&lt;&gt;"data missing"), Calc!BC55*'Waste results'!$S$19+ Calc!BE55*'Waste results'!$S$91, "data missing"),
   IF(Calc!BC55=0,
     IF(OR('Waste results'!$S$55&lt;&gt;"data missing", 'Waste results'!$S$91&lt;&gt;"data missing"), Calc!BD55*'Waste results'!$S$55+Calc!BE55*'Waste results'!$S$91, "data missing"),
   IF(OR('Waste results'!$S$19&lt;&gt;"data missing", 'Waste results'!$S$55&lt;&gt;"data missing", 'Waste results'!$S$91&lt;&gt;"data missing"), Calc!BC55*'Waste results'!$S$19+Calc!BD55*'Waste results'!$S$55+ Calc!BE55*'Waste results'!$S$91, "data missing")))))))))))</f>
        <v/>
      </c>
      <c r="P57" s="91" t="str">
        <f ca="1">IF(B57="","",
IF(OR(ISBLANK('Soil results'!H$7),ISBLANK('Soil results'!H60)),"data missing",
IF(OR(AND('Soil results'!H$7="ammonium nitrate (ADAS)",'Soil results'!H60&gt;400),AND('Soil results'!H$7="modified Morgan (SAC)",'Soil results'!H60&gt;400)),0,
IF(OR(AND('Soil results'!H$7="ammonium nitrate (ADAS)",'Soil results'!H60&gt;=121,'Soil results'!H60&lt;=180),AND('Soil results'!H$7="modified Morgan (SAC)",'Soil results'!H60&gt;=76,'Soil results'!H60&lt;=140)),VLOOKUP(Calc!BI55,'Fertiliser recommendations'!$A$4:$Z$63,26,FALSE),
IF(OR(AND('Soil results'!H$7="ammonium nitrate (ADAS)",'Soil results'!H60&lt;61),AND('Soil results'!H$7="modified Morgan (SAC)",'Soil results'!H60&lt;40)),VLOOKUP(Calc!BI55,'Fertiliser recommendations'!$A$4:$Z$63,26,FALSE)+VLOOKUP(Calc!BI55,'Fertiliser recommendations'!$A$4:$AA$63,27,FALSE),
IF(OR(AND('Soil results'!H$7="ammonium nitrate (ADAS)",'Soil results'!H60&lt;121),AND('Soil results'!H$7="modified Morgan (SAC)",'Soil results'!H60&lt;76)),VLOOKUP(Calc!BI55,'Fertiliser recommendations'!$A$4:$Z$63,26,FALSE)+VLOOKUP(Calc!BI55,'Fertiliser recommendations'!$A$4:$AB$63,28,FALSE),
IF(OR(AND('Soil results'!H$7="ammonium nitrate (ADAS)",'Soil results'!H60&lt;241),AND('Soil results'!H$7="modified Morgan (SAC)",'Soil results'!H60&lt;201)),VLOOKUP(Calc!BI55,'Fertiliser recommendations'!$A$4:$Z$63,26,FALSE)+VLOOKUP(Calc!BI55,'Fertiliser recommendations'!$A$4:$AC$63,29,FALSE),
IF(OR(AND('Soil results'!H$7="ammonium nitrate (ADAS)",'Soil results'!H60&lt;=400),AND('Soil results'!H$7="modified Morgan (SAC)",'Soil results'!H60&lt;=400)),VLOOKUP(Calc!BI55,'Fertiliser recommendations'!$A$4:$Z$63,26,FALSE)+VLOOKUP(Calc!BI55,'Fertiliser recommendations'!$A$4:$AD$63,30,FALSE),
"??"))))))))</f>
        <v/>
      </c>
      <c r="Q57" s="91" t="str">
        <f t="shared" ca="1" si="2"/>
        <v/>
      </c>
      <c r="R57" s="9" t="str">
        <f ca="1">IF(B57="","",
IF(OR(O57="data missing",P57="data missing"),"data missing",
IF(Calc!BF55=0,"n/a",
IF(P57=0, "no requirement",
IF(O57&lt;0.1*P57,"no benefit",
IF(O57&lt;0.3*P57,"limited benefit",
IF(O57&gt;1.25*P57,"excessive",
"benefit")))))))</f>
        <v/>
      </c>
      <c r="T57" s="91" t="str">
        <f ca="1">IF(B57="","",
IF(AND('Field information 2'!$O$5="", 'Field information 2'!$Q$5=""),
   IF('Waste results'!$S$21&lt;&gt;"data missing", Calc!BC55*'Waste results'!$S$21, "data missing"),
IF('Field information 2'!$Q$5="",
   IF(Calc!BD55=0,
     IF('Waste results'!$S$21&lt;&gt;"data missing", Calc!BC55*'Waste results'!$S$21, "data missing"),
   IF(Calc!BC55=0,
     IF('Waste results'!$S$57&lt;&gt;"data missing", Calc!BD55*'Waste results'!$S$57, "data missing"),
   IF(OR('Waste results'!$S$21&lt;&gt;"data missing", 'Waste results'!$S$57&lt;&gt;"data missing"), Calc!BC55*'Waste results'!$S$21+ Calc!BD55*'Waste results'!$S$57, "data missing"))),
IF(AND('Field information 2'!$M$5&lt;&gt;"", 'Field information 2'!$O$5&lt;&gt;"", 'Field information 2'!$Q$5&lt;&gt;""),
   IF(AND(Calc!BD55=0,Calc!BE55=0),
     IF('Waste results'!$S$21&lt;&gt;"data missing", Calc!BC55*'Waste results'!$S$21, "data missing"),
   IF(AND(Calc!BC55=0,Calc!BE55=0),
     IF('Waste results'!$S$57&lt;&gt;"data missing", Calc!BD55*'Waste results'!$S$57, "data missing"),
   IF(AND(Calc!BC55=0,Calc!BD55=0),
     IF('Waste results'!$S$93&lt;&gt;"data missing", Calc!BE55*'Waste results'!$S$93, "data missing"),
   IF(Calc!BE55=0,
     IF(OR('Waste results'!$S$21&lt;&gt;"data missing", 'Waste results'!$S$57&lt;&gt;"data missing"), Calc!BC55*'Waste results'!$S$21+ Calc!BD55*'Waste results'!$S$57, "data missing"),
   IF(Calc!BD55=0,
     IF(OR('Waste results'!$S$21&lt;&gt;"data missing", 'Waste results'!$S$93&lt;&gt;"data missing"), Calc!BC55*'Waste results'!$S$21+ Calc!BE55*'Waste results'!$S$93, "data missing"),
   IF(Calc!BC55=0,
     IF(OR('Waste results'!$S$57&lt;&gt;"data missing", 'Waste results'!$S$93&lt;&gt;"data missing"), Calc!BD55*'Waste results'!$S$57+Calc!BE55*'Waste results'!$S$93, "data missing"),
   IF(OR('Waste results'!$S$21&lt;&gt;"data missing", 'Waste results'!$S$57&lt;&gt;"data missing", 'Waste results'!$S$93&lt;&gt;"data missing"), Calc!BC55*'Waste results'!$S$21+Calc!BD55*'Waste results'!$S$57+ Calc!BE55*'Waste results'!$S$93, "data missing")))))))))))</f>
        <v/>
      </c>
      <c r="U57" s="7" t="str">
        <f ca="1">IF(B57="","",
IF(OR(ISBLANK('Soil results'!I$7),ISBLANK('Soil results'!I60)),"data missing",
IF(OR(AND('Soil results'!I$7="ammonium nitrate (ADAS)",'Soil results'!I60&gt;51),AND('Soil results'!I$7="modified Morgan (SAC)",'Soil results'!I60&gt;61)),0,
IF(OR(AND('Soil results'!I$7="ammonium nitrate (ADAS)",'Soil results'!I60&lt;25),AND('Soil results'!I$7="modified Morgan (SAC)",'Soil results'!I60&lt;19)),VLOOKUP(Calc!BI55,'Fertiliser recommendations'!$A$4:$AH$63,34,FALSE),
IF(OR(AND('Soil results'!I$7="ammonium nitrate (ADAS)",'Soil results'!I60&lt;=51),AND('Soil results'!I$7="modified Morgan (SAC)",'Soil results'!I60&lt;=61)),VLOOKUP(Calc!BI55,'Fertiliser recommendations'!$A$4:$AI$63,35,FALSE),
"")))))</f>
        <v/>
      </c>
      <c r="V57" s="91" t="str">
        <f t="shared" ca="1" si="3"/>
        <v/>
      </c>
      <c r="W57" s="9" t="str">
        <f ca="1">IF(B57="","",
IF(OR(T57="data missing",U57="data missing"),"data missing",
IF(Calc!BF55=0,"n/a",
IF(U57=0,"no requirement",
IF(T57&lt;0.1*U57,"no benefit",
IF(T57&lt;0.3*U57,"limited benefit",
IF(OR(T57&gt;1.5*U57,AND(Calc!BJ55="g",T57&gt;100)),"excessive",
"benefit")))))))</f>
        <v/>
      </c>
      <c r="Y57" s="91" t="str">
        <f ca="1">IF(B57="","",
IF(AND('Field information 2'!$O$5="", 'Field information 2'!$Q$5=""),
   IF('Waste results'!$P$23&lt;&gt;"", Calc!BC55*'Waste results'!$P$23, "no data"),
IF('Field information 2'!$Q$5="",
   IF(Calc!BD55=0,
     IF('Waste results'!$P$23&lt;&gt;"", Calc!BC55*'Waste results'!$P$23, "no data"),
   IF(Calc!BC55=0,
     IF('Waste results'!$P$59&lt;&gt;"", Calc!BD55*'Waste results'!$P$59, "no data"),
   IF(OR('Waste results'!$P$23&lt;&gt;"", 'Waste results'!$P$59&lt;&gt;""), Calc!BC55*'Waste results'!$P$23+ Calc!BD55*'Waste results'!$P$59, "no data"))),
IF(AND('Field information 2'!$M$5&lt;&gt;"", 'Field information 2'!$O$5&lt;&gt;"", 'Field information 2'!$Q$5&lt;&gt;""),
   IF(AND(Calc!BD55=0,Calc!BE55=0),
     IF('Waste results'!$P$23&lt;&gt;"", Calc!BC55*'Waste results'!$P$23, "no data"),
   IF(AND(Calc!BC55=0,Calc!BE55=0),
     IF('Waste results'!$P$59&lt;&gt;"", Calc!BD55*'Waste results'!$P$59, "no data"),
   IF(AND(Calc!BC55=0,Calc!BD55=0),
     IF('Waste results'!$P$95&lt;&gt;"", Calc!BE55*'Waste results'!$P$95, "no data"),
   IF(Calc!BE55=0,
     IF(OR('Waste results'!$P$23&lt;&gt;"", 'Waste results'!$P$59&lt;&gt;""), Calc!BC55*'Waste results'!$P$23+ Calc!BD55*'Waste results'!$P$59, "no data"),
   IF(Calc!BD55=0,
     IF(OR('Waste results'!$P$23&lt;&gt;"", 'Waste results'!$P$95&lt;&gt;""), Calc!BC55*'Waste results'!$P$23+ Calc!BE55*'Waste results'!$P$95, "no data"),
   IF(Calc!BC55=0,
     IF(OR('Waste results'!$P$59&lt;&gt;"", 'Waste results'!$P$95&lt;&gt;""), Calc!BD55*'Waste results'!$P$59+Calc!BE55*'Waste results'!$P$95, "no data"),
   IF(OR('Waste results'!$P$23&lt;&gt;"", 'Waste results'!$P$59&lt;&gt;"", 'Waste results'!$P$95&lt;&gt;""), Calc!BC55*'Waste results'!$P$23+Calc!BD55*'Waste results'!$P$59+ Calc!BE55*'Waste results'!$P$95, "no data")))))))))))</f>
        <v/>
      </c>
      <c r="Z57" s="7" t="str">
        <f ca="1">IF(OR(ISBLANK('Soil results'!I$7),ISBLANK('Soil results'!I60),'Soil results'!B60=""),"",
VLOOKUP(Calc!BI55,'Fertiliser recommendations'!$A$4:$AM$63,39,FALSE))</f>
        <v/>
      </c>
      <c r="AA57" s="91" t="str">
        <f t="shared" ca="1" si="4"/>
        <v/>
      </c>
      <c r="AB57" s="9" t="str">
        <f t="shared" ca="1" si="5"/>
        <v/>
      </c>
      <c r="AD57" s="48" t="str">
        <f>IF(ISBLANK('Soil results'!F60),"",'Soil results'!F60)</f>
        <v/>
      </c>
      <c r="AE57" s="49" t="str">
        <f ca="1">IF(B57="","",
IF(AND(Calc!BJ55="g", VLOOKUP(LEFT($B57,LEN($B57)-2),'Field information 2'!$B$12:$P$111,9,FALSE)&lt;&gt;"yes"),
 IF(Calc!BG55="10-25% OM", 5.9, IF(Calc!BG55="&gt;25% OM", 5.5, 6.2)),
IF(OR(Calc!BJ55="a", VLOOKUP(LEFT($B57,LEN($B57)-2),'Field information 2'!$B$12:$P$111,9,FALSE)="yes"),
 IF(Calc!BG55="10-25% OM", 6.4, IF(Calc!BG55="&gt;25% OM", 6, 6.7)), "")))</f>
        <v/>
      </c>
      <c r="AF57" s="91" t="str">
        <f ca="1">IF(B57="","",
IF('Waste results'!$Q$33="","no (significant) liming properties",
IF('Waste results'!Q$33&gt;100,"no (significant) liming properties",
IF(AD57="","",
IF(AD57&gt;=AE57,0,ROUNDDOWN((AE57-AD57)*Calc!BK55*'Waste results'!$Q$33+0.2,0))))))</f>
        <v/>
      </c>
      <c r="AG57" s="9" t="str">
        <f ca="1">IF(B57="","",
IF(T57=0,"n/a",
IF(AD57="","data missing",
IF(AND(AD57&lt;5,AF57="no (significant) liming properties"),"no waste application - pH too low",
IF(AND(AD57&gt;5.1,AF57="no (significant) liming properties",Calc!BH55&gt;25, LEFT(Calc!BI55,4)="graz"),"ok",
IF(AND(AD57&lt;=5.2,AF57="no (significant) liming properties"),"liming highly recommended",
IF(AF57=0,"no waste application - liming not required",
IF(AF57&lt;Calc!BC55,"application rate too high - exceeds liming requirement",
"ok"))))))))</f>
        <v/>
      </c>
      <c r="AI57" s="91" t="str">
        <f ca="1">IF(B57="","",
IF(AND('Field information 2'!$O$5="", 'Field information 2'!$Q$5=""),
   IF('Waste results'!$P$10&lt;&gt;"data missing", Calc!BC55*'Waste results'!$P$10, "data missing"),
IF('Field information 2'!$Q$5="",
   IF(Calc!BD55=0,
     IF('Waste results'!$P$10&lt;&gt;"data missing", Calc!BC55*'Waste results'!$P$10, "data missing"),
   IF(Calc!BC55=0,
     IF('Waste results'!$P$45&lt;&gt;"data missing", Calc!BD55*'Waste results'!$P$45, "data missing"),
   IF(OR('Waste results'!$P$10&lt;&gt;"data missing", 'Waste results'!$P$45&lt;&gt;"data missing"), Calc!BC55*'Waste results'!$P$10+ Calc!BD55*'Waste results'!$P$45, "data missing"))),
IF(AND('Field information 2'!$M$5&lt;&gt;"", 'Field information 2'!$O$5&lt;&gt;"", 'Field information 2'!$Q$5&lt;&gt;""),
   IF(AND(Calc!BD55=0,Calc!BE55=0),
     IF('Waste results'!$P$10&lt;&gt;"data missing", Calc!BC55*'Waste results'!$P$10, "data missing"),
   IF(AND(Calc!BC55=0,Calc!BE55=0),
     IF('Waste results'!$P$45&lt;&gt;"data missing", Calc!BD55*'Waste results'!$P$45, "data missing"),
   IF(AND(Calc!BC55=0,Calc!BD55=0),
     IF('Waste results'!$P$82&lt;&gt;"data missing", Calc!BE55*'Waste results'!$P$82, "data missing"),
   IF(Calc!BE55=0,
     IF(OR('Waste results'!$P$10&lt;&gt;"data missing", 'Waste results'!$P$45&lt;&gt;"data missing"), Calc!BC55*'Waste results'!$P$10+ Calc!BD55*'Waste results'!$P$45, "data missing"),
   IF(Calc!BD55=0,
     IF(OR('Waste results'!$P$10&lt;&gt;"data missing", 'Waste results'!$P$82&lt;&gt;"data missing"), Calc!BC55*'Waste results'!$P$10+ Calc!BE55*'Waste results'!$P$82, "data missing"),
   IF(Calc!BC55=0,
     IF(OR('Waste results'!$P$45&lt;&gt;"data missing", 'Waste results'!$P$82&lt;&gt;"data missing"), Calc!BD55*'Waste results'!$P$45+Calc!BE55*'Waste results'!$P$82, "data missing"),
   IF(OR('Waste results'!$P$10&lt;&gt;"data missing", 'Waste results'!$P$45&lt;&gt;"data missing", 'Waste results'!$P$82&lt;&gt;"data missing"), Calc!BC55*'Waste results'!$P$10+Calc!BD55*'Waste results'!$P$45+ Calc!BE55*'Waste results'!$P$82, "data missing")))))))))))</f>
        <v/>
      </c>
      <c r="AJ57" s="237" t="str">
        <f ca="1">IF(B57="","",
IF(AI57="data missing","data missing",
IF(Calc!BF55=0,"n/a",
IF(AND(Calc!BH55&gt;=8,AI57&lt;500),"no benefit",
IF(OR(AND(Calc!BH55&lt;=4,AI57&gt;=500),AND(Calc!BH55&lt;8,AI57&gt;5000)),"benefit",
"limited benefit")))))</f>
        <v/>
      </c>
      <c r="AL57" s="238" t="str">
        <f ca="1">IF(B57="","",
IF(AND('Field information 2'!$O$5="", 'Field information 2'!$Q$5=""),
   IF('Waste results'!$S$25&lt;&gt;"data missing", Calc!BC55*'Waste results'!$S$25, "data missing"),
IF('Field information 2'!$Q$5="",
   IF(Calc!BD55=0,
     IF('Waste results'!$S$25&lt;&gt;"data missing", Calc!BC55*'Waste results'!$S$25, "data missing"),
   IF(Calc!BC55=0,
     IF('Waste results'!$S$61&lt;&gt;"data missing", Calc!BD55*'Waste results'!$S$61, "data missing"),
   IF(OR('Waste results'!$S$25&lt;&gt;"data missing", 'Waste results'!$S$61&lt;&gt;"data missing"), Calc!BC55*'Waste results'!$S$25+ Calc!BD55*'Waste results'!$S$61, "data missing"))),
IF(AND('Field information 2'!$M$5&lt;&gt;"", 'Field information 2'!$O$5&lt;&gt;"", 'Field information 2'!$Q$5&lt;&gt;""),
   IF(AND(Calc!BD55=0,Calc!BE55=0),
     IF('Waste results'!$S$25&lt;&gt;"data missing", Calc!BC55*'Waste results'!$S$25, "data missing"),
   IF(AND(Calc!BC55=0,Calc!BE55=0),
     IF('Waste results'!$S$61&lt;&gt;"data missing", Calc!BD55*'Waste results'!$S$61, "data missing"),
   IF(AND(Calc!BC55=0,Calc!BD55=0),
     IF('Waste results'!$S$97&lt;&gt;"data missing", Calc!BE55*'Waste results'!$S$97, "data missing"),
   IF(Calc!BE55=0,
     IF(OR('Waste results'!$S$25&lt;&gt;"data missing", 'Waste results'!$S$61&lt;&gt;"data missing"), Calc!BC55*'Waste results'!$S$25+ Calc!BD55*'Waste results'!$S$61, "data missing"),
   IF(Calc!BD55=0,
     IF(OR('Waste results'!$S$25&lt;&gt;"data missing", 'Waste results'!$S$97&lt;&gt;"data missing"), Calc!BC55*'Waste results'!$S$25+ Calc!BE55*'Waste results'!$S$97, "data missing"),
   IF(Calc!BC55=0,
     IF(OR('Waste results'!$S$61&lt;&gt;"data missing", 'Waste results'!$S$97&lt;&gt;"data missing"), Calc!BD55*'Waste results'!$S$61+Calc!BE55*'Waste results'!$S$97, "data missing"),
   IF(OR('Waste results'!$S$25&lt;&gt;"data missing", 'Waste results'!$S$61&lt;&gt;"data missing", 'Waste results'!$S$97&lt;&gt;"data missing"), Calc!BC55*'Waste results'!$S$25+Calc!BD55*'Waste results'!$S$61+ Calc!BE55*'Waste results'!$S$97, "data missing")))))))))))</f>
        <v/>
      </c>
      <c r="AM57" s="239" t="str">
        <f ca="1">IF($B57="","",
IF(ISBLANK('Soil results'!K60),"data missing",'Soil results'!K60))</f>
        <v/>
      </c>
      <c r="AN57" s="239" t="str">
        <f t="shared" ca="1" si="6"/>
        <v/>
      </c>
      <c r="AO57" s="9" t="str">
        <f t="shared" ca="1" si="7"/>
        <v/>
      </c>
      <c r="AQ57" s="240" t="str">
        <f ca="1">IF(B57="","",
IF(AND('Field information 2'!$O$5="", 'Field information 2'!$Q$5=""),
   IF('Waste results'!$S$26&lt;&gt;"data missing", Calc!BC55*'Waste results'!$S$26, "data missing"),
IF('Field information 2'!$Q$5="",
   IF(Calc!BD55=0,
     IF('Waste results'!$S$26&lt;&gt;"data missing", Calc!BC55*'Waste results'!$S$26, "data missing"),
   IF(Calc!BC55=0,
     IF('Waste results'!$S$62&lt;&gt;"data missing", Calc!BD55*'Waste results'!$S$62, "data missing"),
   IF(OR('Waste results'!$S$26&lt;&gt;"data missing", 'Waste results'!$S$62&lt;&gt;"data missing"), Calc!BC55*'Waste results'!$S$26+ Calc!BD55*'Waste results'!$S$62, "data missing"))),
IF(AND('Field information 2'!$M$5&lt;&gt;"", 'Field information 2'!$O$5&lt;&gt;"", 'Field information 2'!$Q$5&lt;&gt;""),
   IF(AND(Calc!BD55=0,Calc!BE55=0),
     IF('Waste results'!$S$26&lt;&gt;"data missing", Calc!BC55*'Waste results'!$S$26, "data missing"),
   IF(AND(Calc!BC55=0,Calc!BE55=0),
     IF('Waste results'!$S$62&lt;&gt;"data missing", Calc!BD55*'Waste results'!$S$62, "data missing"),
   IF(AND(Calc!BC55=0,Calc!BD55=0),
     IF('Waste results'!$S$98&lt;&gt;"data missing", Calc!BE55*'Waste results'!$S$98, "data missing"),
   IF(Calc!BE55=0,
     IF(OR('Waste results'!$S$26&lt;&gt;"data missing", 'Waste results'!$S$62&lt;&gt;"data missing"), Calc!BC55*'Waste results'!$S$26+ Calc!BD55*'Waste results'!$S$62, "data missing"),
   IF(Calc!BD55=0,
     IF(OR('Waste results'!$S$26&lt;&gt;"data missing", 'Waste results'!$S$98&lt;&gt;"data missing"), Calc!BC55*'Waste results'!$S$26+ Calc!BE55*'Waste results'!$S$98, "data missing"),
   IF(Calc!BC55=0,
     IF(OR('Waste results'!$S$62&lt;&gt;"data missing", 'Waste results'!$S$98&lt;&gt;"data missing"), Calc!BD55*'Waste results'!$S$62+Calc!BE55*'Waste results'!$S$98, "data missing"),
   IF(OR('Waste results'!$S$26&lt;&gt;"data missing", 'Waste results'!$S$62&lt;&gt;"data missing", 'Waste results'!$S$98&lt;&gt;"data missing"), Calc!BC55*'Waste results'!$S$26+Calc!BD55*'Waste results'!$S$62+ Calc!BE55*'Waste results'!$S$98, "data missing")))))))))))</f>
        <v/>
      </c>
      <c r="AR57" s="241" t="str">
        <f ca="1">IF($B57="","",
IF(ISBLANK('Soil results'!L60),"data missing",'Soil results'!L60))</f>
        <v/>
      </c>
      <c r="AS57" s="241" t="str">
        <f t="shared" ca="1" si="8"/>
        <v/>
      </c>
      <c r="AT57" s="66" t="str">
        <f t="shared" ca="1" si="9"/>
        <v/>
      </c>
      <c r="AV57" s="238" t="str">
        <f ca="1">IF(B57="","",
IF(AND('Field information 2'!$O$5="", 'Field information 2'!$Q$5=""),
   IF('Waste results'!$S$27&lt;&gt;"data missing", Calc!BC55*'Waste results'!$S$27, "data missing"),
IF('Field information 2'!$Q$5="",
   IF(Calc!BD55=0,
     IF('Waste results'!$S$27&lt;&gt;"data missing", Calc!BC55*'Waste results'!$S$27, "data missing"),
   IF(Calc!BC55=0,
     IF('Waste results'!$S$63&lt;&gt;"data missing", Calc!BD55*'Waste results'!$S$63, "data missing"),
   IF(OR('Waste results'!$S$27&lt;&gt;"data missing", 'Waste results'!$S$63&lt;&gt;"data missing"), Calc!BC55*'Waste results'!$S$27+ Calc!BD55*'Waste results'!$S$63, "data missing"))),
IF(AND('Field information 2'!$M$5&lt;&gt;"", 'Field information 2'!$O$5&lt;&gt;"", 'Field information 2'!$Q$5&lt;&gt;""),
   IF(AND(Calc!BD55=0,Calc!BE55=0),
     IF('Waste results'!$S$27&lt;&gt;"data missing", Calc!BC55*'Waste results'!$S$27, "data missing"),
   IF(AND(Calc!BC55=0,Calc!BE55=0),
     IF('Waste results'!$S$63&lt;&gt;"data missing", Calc!BD55*'Waste results'!$S$63, "data missing"),
   IF(AND(Calc!BC55=0,Calc!BD55=0),
     IF('Waste results'!$S$99&lt;&gt;"data missing", Calc!BE55*'Waste results'!$S$99, "data missing"),
   IF(Calc!BE55=0,
     IF(OR('Waste results'!$S$27&lt;&gt;"data missing", 'Waste results'!$S$63&lt;&gt;"data missing"), Calc!BC55*'Waste results'!$S$27+ Calc!BD55*'Waste results'!$S$63, "data missing"),
   IF(Calc!BD55=0,
     IF(OR('Waste results'!$S$27&lt;&gt;"data missing", 'Waste results'!$S$99&lt;&gt;"data missing"), Calc!BC55*'Waste results'!$S$27+ Calc!BE55*'Waste results'!$S$99, "data missing"),
   IF(Calc!BC55=0,
     IF(OR('Waste results'!$S$63&lt;&gt;"data missing", 'Waste results'!$S$99&lt;&gt;"data missing"), Calc!BD55*'Waste results'!$S$63+Calc!BE55*'Waste results'!$S$99, "data missing"),
   IF(OR('Waste results'!$S$27&lt;&gt;"data missing", 'Waste results'!$S$63&lt;&gt;"data missing", 'Waste results'!$S$99&lt;&gt;"data missing"), Calc!BC55*'Waste results'!$S$27+Calc!BD55*'Waste results'!$S$63+ Calc!BE55*'Waste results'!$S$99, "data missing")))))))))))</f>
        <v/>
      </c>
      <c r="AW57" s="239" t="str">
        <f ca="1">IF($B57="","",
IF(ISBLANK('Soil results'!M60),"data missing",'Soil results'!M60))</f>
        <v/>
      </c>
      <c r="AX57" s="239" t="str">
        <f t="shared" ca="1" si="10"/>
        <v/>
      </c>
      <c r="AY57" s="9" t="str">
        <f ca="1">IF(B57="","",
IF(AV57=0,"n/a",
IF(OR(AV57="data missing",AW57="data missing"),"data missing",
IF(AV57&gt;7.5,"application rate too high - permissible rate exceeds limit",
IF('Soil results'!$F60&lt;=5.5,
  IF(AW57&gt;80,"no application - soil conc. already above limit",
  IF(AX57&gt;80,"application rate too high - soil conc. will exceed limit",
  IF(AW57&gt;80*0.9,"soil conc. is at or above 90% of the limit",
  IF(10*AV57*1000/3000+AW57&gt;80,"soil limit likely to be exceeded in 10yrs",
  IF(50*AV57*1000/3000+AW57&gt;80,"soil limit likely to be exceeded in 50yrs","ok"))))),
IF('Soil results'!$F60&lt;=6,
  IF(AW57&gt;100,"no application - soil conc. already above limit",
  IF(AX57&gt;100,"application rate too high - soil conc. will exceed limit",
  IF(AW57&gt;100*0.9,"soil conc. is at or above 90% of the limit",
  IF(10*AV57*1000/3000+AW57&gt;100,"soil limit likely to be exceeded in 10yrs",
  IF(50*AV57*1000/3000+AW57&gt;100,"soil limit likely to be exceeded in 50yrs","ok"))))),
IF('Soil results'!$F60&lt;=7,
  IF(AW57&gt;135,"no application - soil conc. already above limit",
  IF(AX57&gt;135,"application rate too high - soil conc. will exceed limit",
  IF(AW57&gt;135*0.9,"soil conc. is at or above 90% of the limit",
  IF(10*AV57*1000/3000+AW57&gt;135,"soil limit likely to be exceeded in 10yrs",
  IF(50*AV57*1000/3000+AW57&gt;135,"soil limit likely to be exceeded in 50yrs","ok"))))),
IF('Soil results'!$F60&gt;7,
  IF(AW57&gt;200,"no application - soil conc. already above limit",
  IF(AX57&gt;200,"application too high - soil conc. will exceed limit",
  IF(AW57&gt;200*0.9,"soil conc. is at or above 90% of the limit",
  IF(10*AV57*1000/3000+AW57&gt;200,"soil limit likely to be exceeded in 10yrs",
  IF(50*AV57*1000/3000+AW57&gt;200,"soil limit likely to be exceeded in 50yrs","ok")))))
))))))))</f>
        <v/>
      </c>
      <c r="BA57" s="238" t="str">
        <f ca="1">IF(B57="","",
IF(AND('Field information 2'!$O$5="", 'Field information 2'!$Q$5=""),
   IF('Waste results'!$S$28&lt;&gt;"data missing", Calc!BC55*'Waste results'!$S$28, "data missing"),
IF('Field information 2'!$Q$5="",
   IF(Calc!BD55=0,
     IF('Waste results'!$S$28&lt;&gt;"data missing", Calc!BC55*'Waste results'!$S$28, "data missing"),
   IF(Calc!BC55=0,
     IF('Waste results'!$S$64&lt;&gt;"data missing", Calc!BD55*'Waste results'!$S$64, "data missing"),
   IF(OR('Waste results'!$S$28&lt;&gt;"data missing", 'Waste results'!$S$64&lt;&gt;"data missing"), Calc!BC55*'Waste results'!$S$28+ Calc!BD55*'Waste results'!$S$64, "data missing"))),
IF(AND('Field information 2'!$M$5&lt;&gt;"", 'Field information 2'!$O$5&lt;&gt;"", 'Field information 2'!$Q$5&lt;&gt;""),
   IF(AND(Calc!BD55=0,Calc!BE55=0),
     IF('Waste results'!$S$28&lt;&gt;"data missing", Calc!BC55*'Waste results'!$S$28, "data missing"),
   IF(AND(Calc!BC55=0,Calc!BE55=0),
     IF('Waste results'!$S$64&lt;&gt;"data missing", Calc!BD55*'Waste results'!$S$64, "data missing"),
   IF(AND(Calc!BC55=0,Calc!BD55=0),
     IF('Waste results'!$S$100&lt;&gt;"data missing", Calc!BE55*'Waste results'!$S$100, "data missing"),
   IF(Calc!BE55=0,
     IF(OR('Waste results'!$S$28&lt;&gt;"data missing", 'Waste results'!$S$64&lt;&gt;"data missing"), Calc!BC55*'Waste results'!$S$28+ Calc!BD55*'Waste results'!$S$64, "data missing"),
   IF(Calc!BD55=0,
     IF(OR('Waste results'!$S$28&lt;&gt;"data missing", 'Waste results'!$S$100&lt;&gt;"data missing"), Calc!BC55*'Waste results'!$S$28+ Calc!BE55*'Waste results'!$S$100, "data missing"),
   IF(Calc!BC55=0,
     IF(OR('Waste results'!$S$64&lt;&gt;"data missing", 'Waste results'!$S$100&lt;&gt;"data missing"), Calc!BD55*'Waste results'!$S$64+Calc!BE55*'Waste results'!$S$100, "data missing"),
   IF(OR('Waste results'!$S$28&lt;&gt;"data missing", 'Waste results'!$S$64&lt;&gt;"data missing", 'Waste results'!$S$100&lt;&gt;"data missing"), Calc!BC55*'Waste results'!$S$28+Calc!BD55*'Waste results'!$S$64+ Calc!BE55*'Waste results'!$S$100, "data missing")))))))))))</f>
        <v/>
      </c>
      <c r="BB57" s="239" t="str">
        <f ca="1">IF($B57="","",
IF(ISBLANK('Soil results'!N60),"data missing",'Soil results'!N60))</f>
        <v/>
      </c>
      <c r="BC57" s="239" t="str">
        <f t="shared" ca="1" si="11"/>
        <v/>
      </c>
      <c r="BD57" s="9" t="str">
        <f t="shared" ca="1" si="12"/>
        <v/>
      </c>
      <c r="BF57" s="238" t="str">
        <f ca="1">IF(B57="","",
IF(AND('Field information 2'!$O$5="", 'Field information 2'!$Q$5=""),
   IF('Waste results'!$S$29&lt;&gt;"data missing", Calc!BC55*'Waste results'!$S$29, "data missing"),
IF('Field information 2'!$Q$5="",
   IF(Calc!BD55=0,
     IF('Waste results'!$S$29&lt;&gt;"data missing", Calc!BC55*'Waste results'!$S$29, "data missing"),
   IF(Calc!BC55=0,
     IF('Waste results'!$S$65&lt;&gt;"data missing", Calc!BD55*'Waste results'!$S$65, "data missing"),
   IF(OR('Waste results'!$S$29&lt;&gt;"data missing", 'Waste results'!$S$65&lt;&gt;"data missing"), Calc!BC55*'Waste results'!$S$29+ Calc!BD55*'Waste results'!$S$65, "data missing"))),
IF(AND('Field information 2'!$M$5&lt;&gt;"", 'Field information 2'!$O$5&lt;&gt;"", 'Field information 2'!$Q$5&lt;&gt;""),
   IF(AND(Calc!BD55=0,Calc!BE55=0),
     IF('Waste results'!$S$29&lt;&gt;"data missing", Calc!BC55*'Waste results'!$S$29, "data missing"),
   IF(AND(Calc!BC55=0,Calc!BE55=0),
     IF('Waste results'!$S$65&lt;&gt;"data missing", Calc!BD55*'Waste results'!$S$65, "data missing"),
   IF(AND(Calc!BC55=0,Calc!BD55=0),
     IF('Waste results'!$S$101&lt;&gt;"data missing", Calc!BE55*'Waste results'!$S$101, "data missing"),
   IF(Calc!BE55=0,
     IF(OR('Waste results'!$S$29&lt;&gt;"data missing", 'Waste results'!$S$65&lt;&gt;"data missing"), Calc!BC55*'Waste results'!$S$29+ Calc!BD55*'Waste results'!$S$65, "data missing"),
   IF(Calc!BD55=0,
     IF(OR('Waste results'!$S$29&lt;&gt;"data missing", 'Waste results'!$S$101&lt;&gt;"data missing"), Calc!BC55*'Waste results'!$S$29+ Calc!BE55*'Waste results'!$S$101, "data missing"),
   IF(Calc!BC55=0,
     IF(OR('Waste results'!$S$65&lt;&gt;"data missing", 'Waste results'!$S$101&lt;&gt;"data missing"), Calc!BD55*'Waste results'!$S$65+Calc!BE55*'Waste results'!$S$101, "data missing"),
   IF(OR('Waste results'!$S$29&lt;&gt;"data missing", 'Waste results'!$S$65&lt;&gt;"data missing", 'Waste results'!$S$101&lt;&gt;"data missing"), Calc!BC55*'Waste results'!$S$29+Calc!BD55*'Waste results'!$S$65+ Calc!BE55*'Waste results'!$S$101, "data missing")))))))))))</f>
        <v/>
      </c>
      <c r="BG57" s="239" t="str">
        <f ca="1">IF($B57="","",
IF(ISBLANK('Soil results'!O60),"data missing",'Soil results'!O60))</f>
        <v/>
      </c>
      <c r="BH57" s="239" t="str">
        <f t="shared" ca="1" si="13"/>
        <v/>
      </c>
      <c r="BI57" s="9" t="str">
        <f ca="1">IF(B57="","",
IF(BF57=0,"n/a",
IF(OR(BF57="data missing",BG57="data missing"),"data missing",
IF(BF57&gt;3,"application rate too high - permissible rate exceeds limit",
IF('Soil results'!F60&lt;=5.5,
  IF(BG57&gt;50,"no application - soil conc. already above limit",
  IF(BH57&gt;50,"application rate too high - soil conc. will exceed limit",
  IF(BG57&gt;50*0.9,"soil conc. is at or above 90% of the limit",
  IF(10*BF57*1000/3000+BG57&gt;50,"soil limit likely to be exceeded in 10yrs",
  IF(50*BF57*1000/3000+BG57&gt;50,"soil limit likely to be exceeded in 50yrs","ok"))))),
IF('Soil results'!F60&lt;=6,
  IF(BG57&gt;60,"no application - soil conc. already above limit",
  IF(BH57&gt;60,"application rate too high - soil conc. will exceed limit",
  IF(BG57&gt;60*0.9,"soil conc. is at or above 90% of the limit",
  IF(10*BF57*1000/3000+BG57&gt;60,"soil limit likely to be exceeded in 10yrs",
  IF(50*BF57*1000/3000+BG57&gt;60,"soil limit likely to be exceeded in 50yrs","ok"))))),
IF('Soil results'!F60&lt;=7,
  IF(BG57&gt;75,"no application - soil conc. already above limit",
  IF(BH57&gt;75,"application rate too high - soil conc. will exceed limit",
  IF(BG57&gt;75*0.9,"soil conc. is at or above 90% of the limit",
  IF(10*BF57*1000/3000+BG57&gt;75,"soil limit likely to be exceeded in 10yrs",
  IF(50*BF57*1000/3000+BG57&gt;75,"soil limit likely to be exceeded in 50yrs","ok"))))),
IF('Soil results'!F60&gt;7,
  IF(BG57&gt;100,"no application - soil conc. already above limit",
  IF(BH57&gt;100,"application rate too high - soil conc. will exceed limit",
  IF(BG57&gt;100*0.9,"soil conc. is at or above 90% of the limit",
  IF(10*BF57*1000/3000+BG57&gt;100,"soil limit likely to be exceeded in 10yrs",
  IF(50*BF57*1000/3000+BG57&gt;100,"soil limit likely to beexceeded in 50yrs","ok")))))
))))))))</f>
        <v/>
      </c>
      <c r="BK57" s="240" t="str">
        <f ca="1">IF(B57="","",
IF(AND('Field information 2'!$O$5="", 'Field information 2'!$Q$5=""),
   IF('Waste results'!$S$30&lt;&gt;"data missing", Calc!BC55*'Waste results'!$S$30, "data missing"),
IF('Field information 2'!$Q$5="",
   IF(Calc!BD55=0,
     IF('Waste results'!$S$30&lt;&gt;"data missing", Calc!BC55*'Waste results'!$S$30, "data missing"),
   IF(Calc!BC55=0,
     IF('Waste results'!$S$66&lt;&gt;"data missing", Calc!BD55*'Waste results'!$S$66, "data missing"),
   IF(OR('Waste results'!$S$30&lt;&gt;"data missing", 'Waste results'!$S$66&lt;&gt;"data missing"), Calc!BC55*'Waste results'!$S$30+ Calc!BD55*'Waste results'!$S$66, "data missing"))),
IF(AND('Field information 2'!$M$5&lt;&gt;"", 'Field information 2'!$O$5&lt;&gt;"", 'Field information 2'!$Q$5&lt;&gt;""),
   IF(AND(Calc!BD55=0,Calc!BE55=0),
     IF('Waste results'!$S$30&lt;&gt;"data missing", Calc!BC55*'Waste results'!$S$30, "data missing"),
   IF(AND(Calc!BC55=0,Calc!BE55=0),
     IF('Waste results'!$S$66&lt;&gt;"data missing", Calc!BD55*'Waste results'!$S$66, "data missing"),
   IF(AND(Calc!BC55=0,Calc!BD55=0),
     IF('Waste results'!$S$102&lt;&gt;"data missing", Calc!BE55*'Waste results'!$S$102, "data missing"),
   IF(Calc!BE55=0,
     IF(OR('Waste results'!$S$30&lt;&gt;"data missing", 'Waste results'!$S$66&lt;&gt;"data missing"), Calc!BC55*'Waste results'!$S$30+ Calc!BD55*'Waste results'!$S$66, "data missing"),
   IF(Calc!BD55=0,
     IF(OR('Waste results'!$S$30&lt;&gt;"data missing", 'Waste results'!$S$102&lt;&gt;"data missing"), Calc!BC55*'Waste results'!$S$30+ Calc!BE55*'Waste results'!$S$102, "data missing"),
   IF(Calc!BC55=0,
     IF(OR('Waste results'!$S$66&lt;&gt;"data missing", 'Waste results'!$S$102&lt;&gt;"data missing"), Calc!BD55*'Waste results'!$S$66+Calc!BE55*'Waste results'!$S$102, "data missing"),
   IF(OR('Waste results'!$S$30&lt;&gt;"data missing", 'Waste results'!$S$66&lt;&gt;"data missing", 'Waste results'!$S$102&lt;&gt;"data missing"), Calc!BC55*'Waste results'!$S$30+Calc!BD55*'Waste results'!$S$66+ Calc!BE55*'Waste results'!$S$102, "data missing")))))))))))</f>
        <v/>
      </c>
      <c r="BL57" s="241" t="str">
        <f ca="1">IF($B57="","",
IF(ISBLANK('Soil results'!P60),"data missing",'Soil results'!P60))</f>
        <v/>
      </c>
      <c r="BM57" s="241" t="str">
        <f t="shared" ca="1" si="14"/>
        <v/>
      </c>
      <c r="BN57" s="66" t="str">
        <f t="shared" ca="1" si="15"/>
        <v/>
      </c>
      <c r="BP57" s="238" t="str">
        <f ca="1">IF(B57="","",
IF(AND('Field information 2'!$O$5="", 'Field information 2'!$Q$5=""),
   IF('Waste results'!$S$31&lt;&gt;"data missing", Calc!BC55*'Waste results'!$S$31, "data missing"),
IF('Field information 2'!$Q$5="",
   IF(Calc!BD55=0,
     IF('Waste results'!$S$31&lt;&gt;"data missing", Calc!BC55*'Waste results'!$S$31, "data missing"),
   IF(Calc!BC55=0,
     IF('Waste results'!$S$67&lt;&gt;"data missing", Calc!BD55*'Waste results'!$S$67, "data missing"),
   IF(OR('Waste results'!$S$31&lt;&gt;"data missing", 'Waste results'!$S$67&lt;&gt;"data missing"), Calc!BC55*'Waste results'!$S$31+ Calc!BD55*'Waste results'!$S$67, "data missing"))),
IF(AND('Field information 2'!$M$5&lt;&gt;"", 'Field information 2'!$O$5&lt;&gt;"", 'Field information 2'!$Q$5&lt;&gt;""),
   IF(AND(Calc!BD55=0,Calc!BE55=0),
     IF('Waste results'!$S$31&lt;&gt;"data missing", Calc!BC55*'Waste results'!$S$31, "data missing"),
   IF(AND(Calc!BC55=0,Calc!BE55=0),
     IF('Waste results'!$S$67&lt;&gt;"data missing", Calc!BD55*'Waste results'!$S$67, "data missing"),
   IF(AND(Calc!BC55=0,Calc!BD55=0),
     IF('Waste results'!$S$103&lt;&gt;"data missing", Calc!BE55*'Waste results'!$S$103, "data missing"),
   IF(Calc!BE55=0,
     IF(OR('Waste results'!$S$31&lt;&gt;"data missing", 'Waste results'!$S$67&lt;&gt;"data missing"), Calc!BC55*'Waste results'!$S$31+ Calc!BD55*'Waste results'!$S$67, "data missing"),
   IF(Calc!BD55=0,
     IF(OR('Waste results'!$S$31&lt;&gt;"data missing", 'Waste results'!$S$103&lt;&gt;"data missing"), Calc!BC55*'Waste results'!$S$31+ Calc!BE55*'Waste results'!$S$103, "data missing"),
   IF(Calc!BC55=0,
     IF(OR('Waste results'!$S$67&lt;&gt;"data missing", 'Waste results'!$S$103&lt;&gt;"data missing"), Calc!BD55*'Waste results'!$S$67+Calc!BE55*'Waste results'!$S$103, "data missing"),
   IF(OR('Waste results'!$S$31&lt;&gt;"data missing", 'Waste results'!$S$67&lt;&gt;"data missing", 'Waste results'!$S$103&lt;&gt;"data missing"), Calc!BC55*'Waste results'!$S$31+Calc!BD55*'Waste results'!$S$67+ Calc!BE55*'Waste results'!$S$103, "data missing")))))))))))</f>
        <v/>
      </c>
      <c r="BQ57" s="239" t="str">
        <f ca="1">IF($B57="","",
IF(ISBLANK('Soil results'!Q60),"data missing",'Soil results'!Q60))</f>
        <v/>
      </c>
      <c r="BR57" s="239" t="str">
        <f t="shared" ca="1" si="16"/>
        <v/>
      </c>
      <c r="BS57" s="9" t="str">
        <f ca="1">IF(B57="","",
IF(BP57=0,"n/a",
IF(OR(BP57="data missing",BQ57=""),"data missing",
IF(BP57&gt;15,"application rate too high - permissible rate exceeds limit",
IF('Soil results'!F60&lt;=5.5,
  IF(BQ57&gt;200,"no application - soil conc. already above limit",
  IF(BR57&gt;200,"application rate too high - soil conc. will exceed limit",
  IF(BQ57&gt;200*0.9,"soil conc. is at or above 90% of the limit",
  IF(10*BP57*1000/3000+BQ57&gt;200,"soil limit likely to be exceeded in 10yrs",
  IF(50*BP57*1000/3000+BQ57&gt;200,"soil limit likely to be exceeded in 50yrs","ok"))))),
IF('Soil results'!F60&lt;=6,
  IF(BQ57&gt;250,"no application - soil conc. already above limit",
  IF(BR57&gt;250,"application rate too high - soil conc. will exceed limit",
  IF(BQ57&gt;250*0.9,"soil conc. is at or above 90% of the limit",
  IF(10*BP57*1000/3000+BQ57&gt;250,"soil limit likely to be exceeded in 10yrs",
  IF(50*BP57*1000/3000+BQ57&gt;250,"soil limit likely to be exceeded in 50yrs","ok"))))),
IF('Soil results'!F60&lt;=7,
  IF(BQ57&gt;300,"no application - soil conc. already above limit",
  IF(BR57&gt;300,"application rate too high - soil conc. will exceed limit",
  IF(BQ57&gt;300*0.9,"soil conc. is at or above 90% of the limit",
  IF(10*BP57*1000/3000+BQ57&gt;300,"soil limit likey to be exceeded in 10yrs",
  IF(50*BP57*1000/3000+BQ57&gt;300,"soil limit likely to be exceeded in 50yrs","ok"))))),
IF('Soil results'!F60&gt;7,
  IF(BQ57&gt;450,"no application - soil conc. already above limit",
  IF(BR57&gt;450,"application rate too high - soil conc. will exceed limit",
  IF(AW57&gt;450*0.9,"soil conc. is at or above 90% of the limit",
  IF(10*BP57*1000/3000+BQ57&gt;450,"soil limit likely to be exceeded in 10yrs",
  IF(50*BP57*1000/3000+BQ57&gt;450,"soil limit likely to be exceeded in 50yrs","ok")))))
))))))))</f>
        <v/>
      </c>
    </row>
    <row r="58" spans="2:71" s="9" customFormat="1" ht="15" x14ac:dyDescent="0.25">
      <c r="B58" s="236" t="str">
        <f ca="1">'Soil results'!B61</f>
        <v/>
      </c>
      <c r="C58" s="91" t="str">
        <f ca="1">IF(B58="","",
IF(AND('Field information 2'!$O$5="", 'Field information 2'!$Q$5=""),
   IF('Waste results'!$S$12&lt;&gt;"data missing", Calc!BC56*'Waste results'!$S$12, "data missing"),
IF('Field information 2'!$Q$5="",
   IF(Calc!BD56=0,
     IF('Waste results'!$S$12&lt;&gt;"data missing", Calc!BC56*'Waste results'!$S$12, "data missing"),
   IF(Calc!BC56=0,
     IF('Waste results'!$S$48&lt;&gt;"data missing", Calc!BD56*'Waste results'!$S$48, "data missing"),
   IF(OR('Waste results'!$S$12&lt;&gt;"data missing", 'Waste results'!$S$48&lt;&gt;"data missing"), Calc!BC56*'Waste results'!$S$12+ Calc!BD56*'Waste results'!$S$48, "data missing"))),
IF(AND('Field information 2'!$M$5&lt;&gt;"", 'Field information 2'!$O$5&lt;&gt;"", 'Field information 2'!$Q$5&lt;&gt;""),
   IF(AND(Calc!BD56=0,Calc!BE56=0),
     IF('Waste results'!$S$12&lt;&gt;"data missing", Calc!BC56*'Waste results'!$S$12, "data missing"),
   IF(AND(Calc!BC56=0,Calc!BE56=0),
     IF('Waste results'!$S$48&lt;&gt;"data missing", Calc!BD56*'Waste results'!$S$48, "data missing"),
   IF(AND(Calc!BC56=0,Calc!BD56=0),
     IF('Waste results'!$S$84&lt;&gt;"data missing", Calc!BE56*'Waste results'!$S$84, "data missing"),
   IF(Calc!BE56=0,
     IF(OR('Waste results'!$S$12&lt;&gt;"data missing", 'Waste results'!$S$48&lt;&gt;"data missing"), Calc!BC56*'Waste results'!$S$12+ Calc!BD56*'Waste results'!$S$48, "data missing"),
   IF(Calc!BD56=0,
     IF(OR('Waste results'!$S$12&lt;&gt;"data missing", 'Waste results'!$S$84&lt;&gt;"data missing"), Calc!BC56*'Waste results'!$S$12+ Calc!BE56*'Waste results'!$S$84, "data missing"),
   IF(Calc!BC56=0,
     IF(OR('Waste results'!$S$48&lt;&gt;"data missing", 'Waste results'!$S$84&lt;&gt;"data missing"), Calc!BD56*'Waste results'!$S$48+Calc!BE56*'Waste results'!$S$84, "data missing"),
   IF(OR('Waste results'!$S$12&lt;&gt;"data missing", 'Waste results'!$S$48&lt;&gt;"data missing", 'Waste results'!$S$84&lt;&gt;"data missing"), Calc!BC56*'Waste results'!$S$12+Calc!BD56*'Waste results'!$S$48+ Calc!BE56*'Waste results'!$S$84, "data missing")))))))))))</f>
        <v/>
      </c>
      <c r="D58" s="161" t="str">
        <f ca="1">IF(B58="","",
IF(Calc!BG56="","soil texture missing",
IF(OR(Calc!BG56="SL; SZL; ZL",Calc!BG56="SCL; CL; ZCL; SC; ZC; C"),VLOOKUP(Calc!BI56,'Fertiliser recommendations'!$A$4:$C$63,3,FALSE),
IF(Calc!BG56="S; LS",VLOOKUP(Calc!BI56,'Fertiliser recommendations'!$A$4:$C$63,3,FALSE)+VLOOKUP(Calc!BI56,'Fertiliser recommendations'!$A$4:$D$63,4,FALSE),
IF(Calc!BG56="10-25% OM",VLOOKUP(Calc!BI56,'Fertiliser recommendations'!$A$4:$C$63,3,FALSE)+VLOOKUP(Calc!BI56,'Fertiliser recommendations'!$A$4:$E$63,5,FALSE),
IF(Calc!BG56="&gt;25% OM",VLOOKUP(Calc!BI56,'Fertiliser recommendations'!$A$4:$C$63,3,FALSE)+VLOOKUP(Calc!BI56,'Fertiliser recommendations'!$A$4:$F$63,6,FALSE),
""))))))</f>
        <v/>
      </c>
      <c r="E58" s="91" t="str">
        <f t="shared" ca="1" si="0"/>
        <v/>
      </c>
      <c r="F58" s="9" t="str">
        <f ca="1">IF(B58="","",
IF(OR(C58="data missing",D58="soil texture missing"),"data missing",
IF(Calc!BF56=0,"n/a",
IF(C58&lt;0.1*D58,"no benefit",
IF(C58&lt;0.3*D58,"limited benefit",
IF(C58&gt;250,"exceeds limit",
IF(OR(AND(D58=0,C58&gt;75),C58&gt;1.25*D58),"excessive",
IF(D58=0, "no requirement",
"benefit"))))))))</f>
        <v/>
      </c>
      <c r="H58" s="91" t="str">
        <f ca="1">IF(B58="","",
IF(AND('Field information 2'!$O$5="", 'Field information 2'!$Q$5=""),
   IF('Waste results'!$S$17&lt;&gt;"data missing", Calc!BC56*'Waste results'!$S$17, "data missing"),
IF('Field information 2'!$Q$5="",
   IF(Calc!BD56=0,
     IF('Waste results'!$S$17&lt;&gt;"data missing", Calc!BC56*'Waste results'!$S$17, "data missing"),
   IF(Calc!BC56=0,
     IF('Waste results'!$S$53&lt;&gt;"data missing", Calc!BD56*'Waste results'!$S$53, "data missing"),
   IF(OR('Waste results'!$S$17&lt;&gt;"data missing", 'Waste results'!$S$53&lt;&gt;"data missing"), Calc!BC56*'Waste results'!$S$17+ Calc!BD56*'Waste results'!$S$53, "data missing"))),
IF(AND('Field information 2'!$M$5&lt;&gt;"", 'Field information 2'!$O$5&lt;&gt;"", 'Field information 2'!$Q$5&lt;&gt;""),
   IF(AND(Calc!BD56=0,Calc!BE56=0),
     IF('Waste results'!$S$17&lt;&gt;"data missing", Calc!BC56*'Waste results'!$S$17, "data missing"),
   IF(AND(Calc!BC56=0,Calc!BE56=0),
     IF('Waste results'!$S$53&lt;&gt;"data missing", Calc!BD56*'Waste results'!$S$53, "data missing"),
   IF(AND(Calc!BC56=0,Calc!BD56=0),
     IF('Waste results'!$S$89&lt;&gt;"data missing", Calc!BE56*'Waste results'!$S$89, "data missing"),
   IF(Calc!BE56=0,
     IF(OR('Waste results'!$S$17&lt;&gt;"data missing", 'Waste results'!$S$53&lt;&gt;"data missing"), Calc!BC56*'Waste results'!$S$17+ Calc!BD56*'Waste results'!$S$53, "data missing"),
   IF(Calc!BD56=0,
     IF(OR('Waste results'!$S$17&lt;&gt;"data missing", 'Waste results'!$S$89&lt;&gt;"data missing"), Calc!BC56*'Waste results'!$S$17+ Calc!BE56*'Waste results'!$S$89, "data missing"),
   IF(Calc!BC56=0,
     IF(OR('Waste results'!$S$53&lt;&gt;"data missing", 'Waste results'!$S$89&lt;&gt;"data missing"), Calc!BD56*'Waste results'!$S$53+Calc!BE56*'Waste results'!$S$89, "data missing"),
   IF(OR('Waste results'!$S$17&lt;&gt;"data missing", 'Waste results'!$S$53&lt;&gt;"data missing", 'Waste results'!$S$89&lt;&gt;"data missing"), Calc!BC56*'Waste results'!$S$17+Calc!BD56*'Waste results'!$S$53+ Calc!BE56*'Waste results'!$S$89, "data missing")))))))))))</f>
        <v/>
      </c>
      <c r="I58" s="195" t="str">
        <f ca="1">IF(B58="","",
IF(OR(ISBLANK('Soil results'!G61), ISBLANK('Soil results'!G$7)),"data missing",
IF(OR(AND('Soil results'!G$7="Olsen (ADAS)",'Soil results'!G61&lt;16),AND('Soil results'!G$7="modified Morgan (SAC)",'Soil results'!G61&lt;4.5)),50,100)))</f>
        <v/>
      </c>
      <c r="J58" s="49" t="str">
        <f ca="1">IF(B58="","",
IF(OR(ISBLANK('Soil results'!G$7),ISBLANK('Soil results'!G61)),"data missing",
IF(OR(AND('Soil results'!G$7="Olsen (ADAS)",'Soil results'!G61&gt;45),AND('Soil results'!G$7="modified Morgan (SAC)",'Soil results'!G61&gt;30)),0,
IF(OR(AND('Soil results'!G$7="Olsen (ADAS)",'Soil results'!G61&gt;=16,'Soil results'!G61&lt;=20),AND('Soil results'!G$7="modified Morgan (SAC)",'Soil results'!G61&gt;=4.5,'Soil results'!G61&lt;=9.4)),VLOOKUP(Calc!BI56,'Fertiliser recommendations'!$A$4:$I$63,9,FALSE),
IF(OR(AND('Soil results'!G$7="Olsen (ADAS)",'Soil results'!G61&lt;10),AND('Soil results'!G$7="modified Morgan (SAC)",'Soil results'!G61&lt;1.8)),VLOOKUP(Calc!BI56,'Fertiliser recommendations'!$A$4:$I$63,9,FALSE)+VLOOKUP(Calc!BI56,'Fertiliser recommendations'!$A$4:$J$63,10,FALSE),
IF(OR(AND('Soil results'!G$7="Olsen (ADAS)",'Soil results'!G61&lt;16),AND('Soil results'!G$7="modified Morgan (SAC)",'Soil results'!G61&lt;4.5)),VLOOKUP(Calc!BI56,'Fertiliser recommendations'!$A$4:$I$63,9,FALSE)+VLOOKUP(Calc!BI56,'Fertiliser recommendations'!$A$4:$K$63,11,FALSE),
IF(OR(AND('Soil results'!G$7="Olsen (ADAS)",'Soil results'!G61&lt;26),AND('Soil results'!G$7="modified Morgan (SAC)",'Soil results'!G61&lt;13.5)),VLOOKUP(Calc!BI56,'Fertiliser recommendations'!$A$4:$I$63,9,FALSE)+VLOOKUP(Calc!BI56,'Fertiliser recommendations'!$A$4:$L$63,12,FALSE),
IF(OR(AND('Soil results'!G$7="Olsen (ADAS)",'Soil results'!G61&lt;=45),AND('Soil results'!G$7="modified Morgan (SAC)",'Soil results'!G61&lt;=30)),VLOOKUP(Calc!BI56,'Fertiliser recommendations'!$A$4:$I$63,9,FALSE)+VLOOKUP(Calc!BI56,'Fertiliser recommendations'!$A$4:$M$63,13,FALSE),
""))))))))</f>
        <v/>
      </c>
      <c r="K58" s="161" t="str">
        <f t="shared" ca="1" si="1"/>
        <v/>
      </c>
      <c r="L58" s="47" t="str">
        <f ca="1">IF(OR(ISBLANK('Soil results'!G$7),ISBLANK('Soil results'!G61),B58="", H58="data missing"),"",
IF('Soil results'!G$7="Olsen (ADAS)",
IF(((H58*Calc!BM56/2.291-(VLOOKUP(Calc!BI56,'Fertiliser recommendations'!$A$4:$I$63,9,FALSE))/2.291)*10/(400/2.291)+'Soil results'!G61)&lt;10,"0 (VL)",
IF(((H58*Calc!BM56/2.291-(VLOOKUP(Calc!BI56,'Fertiliser recommendations'!$A$4:$I$63,9,FALSE))/2.291)*10/(400/2.291)+'Soil results'!G61)&lt;16,"1 (L)",
IF(((H58*Calc!BM56/2.291-(VLOOKUP(Calc!BI56,'Fertiliser recommendations'!$A$4:$I$63,9,FALSE))/2.291)*10/(400/2.291)+'Soil results'!G61)&lt;21,"2 (M-)",
IF(((H58*Calc!BM56/2.291-(VLOOKUP(Calc!BI56,'Fertiliser recommendations'!$A$4:$I$63,9,FALSE))/2.291)*10/(400/2.291)+'Soil results'!G61)&lt;26,"2 (M+)",
IF(((H58*Calc!BM56/2.291-(VLOOKUP(Calc!BI56,'Fertiliser recommendations'!$A$4:$I$63,9,FALSE))/2.291)*10/(400/2.291)+'Soil results'!G61)&lt;45,"3 (H)","&gt;3 (VH)"))))),
IF('Soil results'!G$7="modified Morgan (SAC)",
IF('Soil results'!G61&gt;=6,
IF(((H58*Calc!BM56/2.291-(VLOOKUP(Calc!BI56,'Fertiliser recommendations'!$A$4:$I$63,9,FALSE))/2.291)*5/(147/2.291)+'Soil results'!G61)&lt;9.5,"2 (M-)",
IF(((H58*Calc!BM56/2.291-(VLOOKUP(Calc!BI56,'Fertiliser recommendations'!$A$4:$I$63,9,FALSE))/2.291)*5/(147/2.291)+'Soil results'!G61)&lt;13.5,"2 (M+)",
IF(((H58*Calc!BM56/2.291-(VLOOKUP(Calc!BI56,'Fertiliser recommendations'!$A$4:$I$63,9,FALSE))/2.291)*5/(147/2.291)+'Soil results'!G61)&lt;30,"3 (H)","4 (VH)"))),
IF(((H58*Calc!BM56/2.291-(VLOOKUP(Calc!BI56,'Fertiliser recommendations'!$A$4:$I$63,9,FALSE))/2.291)*5/(346/2.291)+'Soil results'!G61)&lt;1.8,"0 (VL)",
IF(((H58*Calc!BM56/2.291-(VLOOKUP(Calc!BI56,'Fertiliser recommendations'!$A$4:$I$63,9,FALSE))/2.291)*5/(147/2.291)+'Soil results'!G61)&lt;4.5,"1 (L)","2 (M-)"))))))</f>
        <v/>
      </c>
      <c r="M58" s="9" t="str">
        <f ca="1">IF(B58="","",
IF(OR(H58="data missing",I58="data missing",J58="data missing"),"data missing",
IF(Calc!BF56=0,"n/a",
IF(OR(AND('Soil results'!G$7="Olsen (ADAS)",'Soil results'!G61&gt;45),AND('Soil results'!G$7="modified Morgan (SAC)",'Soil results'!G61&gt;30)),
IF(H58&gt;2,"too high, not acceptable","no requirement"),IF(OR(AND('Soil results'!G$7="Olsen (ADAS)",'Soil results'!G61&gt;25),AND('Soil results'!G$7="modified Morgan (SAC)",'Soil results'!G61&gt;13.4)),
IF(H58*(I58/100)&lt;0.1*J58,"no benefit",
IF(H58*(I58/100)&lt;0.3*J58,"limited benefit",
IF(H58*(I58/100)&lt;1.1*J58,"benefit",
IF(H58*(I58/100)&lt;0.7*VLOOKUP(Calc!BI56,'Fertiliser recommendations'!$A$4:$I$63,9,FALSE),"excessive","too high, not acceptable")))),
IF(OR(AND('Soil results'!G$7="Olsen (ADAS)",'Soil results'!G61&gt;20),AND('Soil results'!G$7="modified Morgan (SAC)",'Soil results'!G61&gt;9.4)),
IF(H58*Calc!BM56*(I58/100)&lt;0.1*J58,"no benefit",
IF(H58*Calc!BM56*(I58/100)&lt;0.3*J58,"limited benefit",
IF(H58*Calc!BM56*(I58/100)&lt;1.1*J58,"benefit",
IF(L58="3 (H)","too high, not acceptable","excessive")))),
IF(OR(AND('Soil results'!G$7="Olsen (ADAS)",'Soil results'!G61&gt;15),AND('Soil results'!G$7="modified Morgan (SAC)",'Soil results'!G61&gt;4.4)),
IF(H58*Calc!BM56*(I58/100)&lt;0.1*VLOOKUP(Calc!BI56,'Fertiliser recommendations'!$A$4:$I$63,9,FALSE),"no benefit",
IF(H58*Calc!BM56*(I58/100)&lt;0.3*VLOOKUP(Calc!BI56,'Fertiliser recommendations'!$A$4:$I$63,9,FALSE),"limited benefit",
IF(H58*Calc!BM56*(I58/100)&lt;1.1*VLOOKUP(Calc!BI56,'Fertiliser recommendations'!$A$4:$I$63,9,FALSE),"benefit",
IF(L58="3 (H)", "too high, not acceptable", "excessive")))),
IF(OR(AND('Soil results'!G$7="Olsen (ADAS)",'Soil results'!G61&lt;=15),AND('Soil results'!G$7="modified Morgan (SAC)",'Soil results'!G61&lt;=4.4)),
IF(H58*Calc!BM56*(I58/100)&lt;0.1*VLOOKUP(Calc!BI56,'Fertiliser recommendations'!$A$4:$I$63,9,FALSE),"no benefit",
IF(H58*Calc!BM56*(I58/100)&lt;0.3*VLOOKUP(Calc!BI56,'Fertiliser recommendations'!$A$4:$I$63,9,FALSE),"limited benefit",
IF(H58*Calc!BM56*(I58/100)&lt;1.1*J58,"benefit","excessive")))))))))))</f>
        <v/>
      </c>
      <c r="O58" s="91" t="str">
        <f ca="1">IF(B58="","",
IF(AND('Field information 2'!$O$5="", 'Field information 2'!$Q$5=""),
   IF('Waste results'!$S$19&lt;&gt;"data missing", Calc!BC56*'Waste results'!$S$19, "data missing"),
IF('Field information 2'!$Q$5="",
   IF(Calc!BD56=0,
     IF('Waste results'!$S$19&lt;&gt;"data missing", Calc!BC56*'Waste results'!$S$19, "data missing"),
   IF(Calc!BC56=0,
     IF('Waste results'!$S$55&lt;&gt;"data missing", Calc!BD56*'Waste results'!$S$55, "data missing"),
   IF(OR('Waste results'!$S$19&lt;&gt;"data missing", 'Waste results'!$S$55&lt;&gt;"data missing"), Calc!BC56*'Waste results'!$S$19+ Calc!BD56*'Waste results'!$S$55, "data missing"))),
IF(AND('Field information 2'!$M$5&lt;&gt;"", 'Field information 2'!$O$5&lt;&gt;"", 'Field information 2'!$Q$5&lt;&gt;""),
   IF(AND(Calc!BD56=0,Calc!BE56=0),
     IF('Waste results'!$S$19&lt;&gt;"data missing", Calc!BC56*'Waste results'!$S$19, "data missing"),
   IF(AND(Calc!BC56=0,Calc!BE56=0),
     IF('Waste results'!$S$55&lt;&gt;"data missing", Calc!BD56*'Waste results'!$S$55, "data missing"),
   IF(AND(Calc!BC56=0,Calc!BD56=0),
     IF('Waste results'!$S$91&lt;&gt;"data missing", Calc!BE56*'Waste results'!$S$91, "data missing"),
   IF(Calc!BE56=0,
     IF(OR('Waste results'!$S$19&lt;&gt;"data missing", 'Waste results'!$S$55&lt;&gt;"data missing"), Calc!BC56*'Waste results'!$S$19+ Calc!BD56*'Waste results'!$S$55, "data missing"),
   IF(Calc!BD56=0,
     IF(OR('Waste results'!$S$19&lt;&gt;"data missing", 'Waste results'!$S$91&lt;&gt;"data missing"), Calc!BC56*'Waste results'!$S$19+ Calc!BE56*'Waste results'!$S$91, "data missing"),
   IF(Calc!BC56=0,
     IF(OR('Waste results'!$S$55&lt;&gt;"data missing", 'Waste results'!$S$91&lt;&gt;"data missing"), Calc!BD56*'Waste results'!$S$55+Calc!BE56*'Waste results'!$S$91, "data missing"),
   IF(OR('Waste results'!$S$19&lt;&gt;"data missing", 'Waste results'!$S$55&lt;&gt;"data missing", 'Waste results'!$S$91&lt;&gt;"data missing"), Calc!BC56*'Waste results'!$S$19+Calc!BD56*'Waste results'!$S$55+ Calc!BE56*'Waste results'!$S$91, "data missing")))))))))))</f>
        <v/>
      </c>
      <c r="P58" s="91" t="str">
        <f ca="1">IF(B58="","",
IF(OR(ISBLANK('Soil results'!H$7),ISBLANK('Soil results'!H61)),"data missing",
IF(OR(AND('Soil results'!H$7="ammonium nitrate (ADAS)",'Soil results'!H61&gt;400),AND('Soil results'!H$7="modified Morgan (SAC)",'Soil results'!H61&gt;400)),0,
IF(OR(AND('Soil results'!H$7="ammonium nitrate (ADAS)",'Soil results'!H61&gt;=121,'Soil results'!H61&lt;=180),AND('Soil results'!H$7="modified Morgan (SAC)",'Soil results'!H61&gt;=76,'Soil results'!H61&lt;=140)),VLOOKUP(Calc!BI56,'Fertiliser recommendations'!$A$4:$Z$63,26,FALSE),
IF(OR(AND('Soil results'!H$7="ammonium nitrate (ADAS)",'Soil results'!H61&lt;61),AND('Soil results'!H$7="modified Morgan (SAC)",'Soil results'!H61&lt;40)),VLOOKUP(Calc!BI56,'Fertiliser recommendations'!$A$4:$Z$63,26,FALSE)+VLOOKUP(Calc!BI56,'Fertiliser recommendations'!$A$4:$AA$63,27,FALSE),
IF(OR(AND('Soil results'!H$7="ammonium nitrate (ADAS)",'Soil results'!H61&lt;121),AND('Soil results'!H$7="modified Morgan (SAC)",'Soil results'!H61&lt;76)),VLOOKUP(Calc!BI56,'Fertiliser recommendations'!$A$4:$Z$63,26,FALSE)+VLOOKUP(Calc!BI56,'Fertiliser recommendations'!$A$4:$AB$63,28,FALSE),
IF(OR(AND('Soil results'!H$7="ammonium nitrate (ADAS)",'Soil results'!H61&lt;241),AND('Soil results'!H$7="modified Morgan (SAC)",'Soil results'!H61&lt;201)),VLOOKUP(Calc!BI56,'Fertiliser recommendations'!$A$4:$Z$63,26,FALSE)+VLOOKUP(Calc!BI56,'Fertiliser recommendations'!$A$4:$AC$63,29,FALSE),
IF(OR(AND('Soil results'!H$7="ammonium nitrate (ADAS)",'Soil results'!H61&lt;=400),AND('Soil results'!H$7="modified Morgan (SAC)",'Soil results'!H61&lt;=400)),VLOOKUP(Calc!BI56,'Fertiliser recommendations'!$A$4:$Z$63,26,FALSE)+VLOOKUP(Calc!BI56,'Fertiliser recommendations'!$A$4:$AD$63,30,FALSE),
"??"))))))))</f>
        <v/>
      </c>
      <c r="Q58" s="91" t="str">
        <f t="shared" ca="1" si="2"/>
        <v/>
      </c>
      <c r="R58" s="9" t="str">
        <f ca="1">IF(B58="","",
IF(OR(O58="data missing",P58="data missing"),"data missing",
IF(Calc!BF56=0,"n/a",
IF(P58=0, "no requirement",
IF(O58&lt;0.1*P58,"no benefit",
IF(O58&lt;0.3*P58,"limited benefit",
IF(O58&gt;1.25*P58,"excessive",
"benefit")))))))</f>
        <v/>
      </c>
      <c r="T58" s="91" t="str">
        <f ca="1">IF(B58="","",
IF(AND('Field information 2'!$O$5="", 'Field information 2'!$Q$5=""),
   IF('Waste results'!$S$21&lt;&gt;"data missing", Calc!BC56*'Waste results'!$S$21, "data missing"),
IF('Field information 2'!$Q$5="",
   IF(Calc!BD56=0,
     IF('Waste results'!$S$21&lt;&gt;"data missing", Calc!BC56*'Waste results'!$S$21, "data missing"),
   IF(Calc!BC56=0,
     IF('Waste results'!$S$57&lt;&gt;"data missing", Calc!BD56*'Waste results'!$S$57, "data missing"),
   IF(OR('Waste results'!$S$21&lt;&gt;"data missing", 'Waste results'!$S$57&lt;&gt;"data missing"), Calc!BC56*'Waste results'!$S$21+ Calc!BD56*'Waste results'!$S$57, "data missing"))),
IF(AND('Field information 2'!$M$5&lt;&gt;"", 'Field information 2'!$O$5&lt;&gt;"", 'Field information 2'!$Q$5&lt;&gt;""),
   IF(AND(Calc!BD56=0,Calc!BE56=0),
     IF('Waste results'!$S$21&lt;&gt;"data missing", Calc!BC56*'Waste results'!$S$21, "data missing"),
   IF(AND(Calc!BC56=0,Calc!BE56=0),
     IF('Waste results'!$S$57&lt;&gt;"data missing", Calc!BD56*'Waste results'!$S$57, "data missing"),
   IF(AND(Calc!BC56=0,Calc!BD56=0),
     IF('Waste results'!$S$93&lt;&gt;"data missing", Calc!BE56*'Waste results'!$S$93, "data missing"),
   IF(Calc!BE56=0,
     IF(OR('Waste results'!$S$21&lt;&gt;"data missing", 'Waste results'!$S$57&lt;&gt;"data missing"), Calc!BC56*'Waste results'!$S$21+ Calc!BD56*'Waste results'!$S$57, "data missing"),
   IF(Calc!BD56=0,
     IF(OR('Waste results'!$S$21&lt;&gt;"data missing", 'Waste results'!$S$93&lt;&gt;"data missing"), Calc!BC56*'Waste results'!$S$21+ Calc!BE56*'Waste results'!$S$93, "data missing"),
   IF(Calc!BC56=0,
     IF(OR('Waste results'!$S$57&lt;&gt;"data missing", 'Waste results'!$S$93&lt;&gt;"data missing"), Calc!BD56*'Waste results'!$S$57+Calc!BE56*'Waste results'!$S$93, "data missing"),
   IF(OR('Waste results'!$S$21&lt;&gt;"data missing", 'Waste results'!$S$57&lt;&gt;"data missing", 'Waste results'!$S$93&lt;&gt;"data missing"), Calc!BC56*'Waste results'!$S$21+Calc!BD56*'Waste results'!$S$57+ Calc!BE56*'Waste results'!$S$93, "data missing")))))))))))</f>
        <v/>
      </c>
      <c r="U58" s="7" t="str">
        <f ca="1">IF(B58="","",
IF(OR(ISBLANK('Soil results'!I$7),ISBLANK('Soil results'!I61)),"data missing",
IF(OR(AND('Soil results'!I$7="ammonium nitrate (ADAS)",'Soil results'!I61&gt;51),AND('Soil results'!I$7="modified Morgan (SAC)",'Soil results'!I61&gt;61)),0,
IF(OR(AND('Soil results'!I$7="ammonium nitrate (ADAS)",'Soil results'!I61&lt;25),AND('Soil results'!I$7="modified Morgan (SAC)",'Soil results'!I61&lt;19)),VLOOKUP(Calc!BI56,'Fertiliser recommendations'!$A$4:$AH$63,34,FALSE),
IF(OR(AND('Soil results'!I$7="ammonium nitrate (ADAS)",'Soil results'!I61&lt;=51),AND('Soil results'!I$7="modified Morgan (SAC)",'Soil results'!I61&lt;=61)),VLOOKUP(Calc!BI56,'Fertiliser recommendations'!$A$4:$AI$63,35,FALSE),
"")))))</f>
        <v/>
      </c>
      <c r="V58" s="91" t="str">
        <f t="shared" ca="1" si="3"/>
        <v/>
      </c>
      <c r="W58" s="9" t="str">
        <f ca="1">IF(B58="","",
IF(OR(T58="data missing",U58="data missing"),"data missing",
IF(Calc!BF56=0,"n/a",
IF(U58=0,"no requirement",
IF(T58&lt;0.1*U58,"no benefit",
IF(T58&lt;0.3*U58,"limited benefit",
IF(OR(T58&gt;1.5*U58,AND(Calc!BJ56="g",T58&gt;100)),"excessive",
"benefit")))))))</f>
        <v/>
      </c>
      <c r="Y58" s="91" t="str">
        <f ca="1">IF(B58="","",
IF(AND('Field information 2'!$O$5="", 'Field information 2'!$Q$5=""),
   IF('Waste results'!$P$23&lt;&gt;"", Calc!BC56*'Waste results'!$P$23, "no data"),
IF('Field information 2'!$Q$5="",
   IF(Calc!BD56=0,
     IF('Waste results'!$P$23&lt;&gt;"", Calc!BC56*'Waste results'!$P$23, "no data"),
   IF(Calc!BC56=0,
     IF('Waste results'!$P$59&lt;&gt;"", Calc!BD56*'Waste results'!$P$59, "no data"),
   IF(OR('Waste results'!$P$23&lt;&gt;"", 'Waste results'!$P$59&lt;&gt;""), Calc!BC56*'Waste results'!$P$23+ Calc!BD56*'Waste results'!$P$59, "no data"))),
IF(AND('Field information 2'!$M$5&lt;&gt;"", 'Field information 2'!$O$5&lt;&gt;"", 'Field information 2'!$Q$5&lt;&gt;""),
   IF(AND(Calc!BD56=0,Calc!BE56=0),
     IF('Waste results'!$P$23&lt;&gt;"", Calc!BC56*'Waste results'!$P$23, "no data"),
   IF(AND(Calc!BC56=0,Calc!BE56=0),
     IF('Waste results'!$P$59&lt;&gt;"", Calc!BD56*'Waste results'!$P$59, "no data"),
   IF(AND(Calc!BC56=0,Calc!BD56=0),
     IF('Waste results'!$P$95&lt;&gt;"", Calc!BE56*'Waste results'!$P$95, "no data"),
   IF(Calc!BE56=0,
     IF(OR('Waste results'!$P$23&lt;&gt;"", 'Waste results'!$P$59&lt;&gt;""), Calc!BC56*'Waste results'!$P$23+ Calc!BD56*'Waste results'!$P$59, "no data"),
   IF(Calc!BD56=0,
     IF(OR('Waste results'!$P$23&lt;&gt;"", 'Waste results'!$P$95&lt;&gt;""), Calc!BC56*'Waste results'!$P$23+ Calc!BE56*'Waste results'!$P$95, "no data"),
   IF(Calc!BC56=0,
     IF(OR('Waste results'!$P$59&lt;&gt;"", 'Waste results'!$P$95&lt;&gt;""), Calc!BD56*'Waste results'!$P$59+Calc!BE56*'Waste results'!$P$95, "no data"),
   IF(OR('Waste results'!$P$23&lt;&gt;"", 'Waste results'!$P$59&lt;&gt;"", 'Waste results'!$P$95&lt;&gt;""), Calc!BC56*'Waste results'!$P$23+Calc!BD56*'Waste results'!$P$59+ Calc!BE56*'Waste results'!$P$95, "no data")))))))))))</f>
        <v/>
      </c>
      <c r="Z58" s="7" t="str">
        <f ca="1">IF(OR(ISBLANK('Soil results'!I$7),ISBLANK('Soil results'!I61),'Soil results'!B61=""),"",
VLOOKUP(Calc!BI56,'Fertiliser recommendations'!$A$4:$AM$63,39,FALSE))</f>
        <v/>
      </c>
      <c r="AA58" s="91" t="str">
        <f t="shared" ca="1" si="4"/>
        <v/>
      </c>
      <c r="AB58" s="9" t="str">
        <f t="shared" ca="1" si="5"/>
        <v/>
      </c>
      <c r="AD58" s="48" t="str">
        <f>IF(ISBLANK('Soil results'!F61),"",'Soil results'!F61)</f>
        <v/>
      </c>
      <c r="AE58" s="49" t="str">
        <f ca="1">IF(B58="","",
IF(AND(Calc!BJ56="g", VLOOKUP(LEFT($B58,LEN($B58)-2),'Field information 2'!$B$12:$P$111,9,FALSE)&lt;&gt;"yes"),
 IF(Calc!BG56="10-25% OM", 5.9, IF(Calc!BG56="&gt;25% OM", 5.5, 6.2)),
IF(OR(Calc!BJ56="a", VLOOKUP(LEFT($B58,LEN($B58)-2),'Field information 2'!$B$12:$P$111,9,FALSE)="yes"),
 IF(Calc!BG56="10-25% OM", 6.4, IF(Calc!BG56="&gt;25% OM", 6, 6.7)), "")))</f>
        <v/>
      </c>
      <c r="AF58" s="91" t="str">
        <f ca="1">IF(B58="","",
IF('Waste results'!$Q$33="","no (significant) liming properties",
IF('Waste results'!Q$33&gt;100,"no (significant) liming properties",
IF(AD58="","",
IF(AD58&gt;=AE58,0,ROUNDDOWN((AE58-AD58)*Calc!BK56*'Waste results'!$Q$33+0.2,0))))))</f>
        <v/>
      </c>
      <c r="AG58" s="9" t="str">
        <f ca="1">IF(B58="","",
IF(T58=0,"n/a",
IF(AD58="","data missing",
IF(AND(AD58&lt;5,AF58="no (significant) liming properties"),"no waste application - pH too low",
IF(AND(AD58&gt;5.1,AF58="no (significant) liming properties",Calc!BH56&gt;25, LEFT(Calc!BI56,4)="graz"),"ok",
IF(AND(AD58&lt;=5.2,AF58="no (significant) liming properties"),"liming highly recommended",
IF(AF58=0,"no waste application - liming not required",
IF(AF58&lt;Calc!BC56,"application rate too high - exceeds liming requirement",
"ok"))))))))</f>
        <v/>
      </c>
      <c r="AI58" s="91" t="str">
        <f ca="1">IF(B58="","",
IF(AND('Field information 2'!$O$5="", 'Field information 2'!$Q$5=""),
   IF('Waste results'!$P$10&lt;&gt;"data missing", Calc!BC56*'Waste results'!$P$10, "data missing"),
IF('Field information 2'!$Q$5="",
   IF(Calc!BD56=0,
     IF('Waste results'!$P$10&lt;&gt;"data missing", Calc!BC56*'Waste results'!$P$10, "data missing"),
   IF(Calc!BC56=0,
     IF('Waste results'!$P$45&lt;&gt;"data missing", Calc!BD56*'Waste results'!$P$45, "data missing"),
   IF(OR('Waste results'!$P$10&lt;&gt;"data missing", 'Waste results'!$P$45&lt;&gt;"data missing"), Calc!BC56*'Waste results'!$P$10+ Calc!BD56*'Waste results'!$P$45, "data missing"))),
IF(AND('Field information 2'!$M$5&lt;&gt;"", 'Field information 2'!$O$5&lt;&gt;"", 'Field information 2'!$Q$5&lt;&gt;""),
   IF(AND(Calc!BD56=0,Calc!BE56=0),
     IF('Waste results'!$P$10&lt;&gt;"data missing", Calc!BC56*'Waste results'!$P$10, "data missing"),
   IF(AND(Calc!BC56=0,Calc!BE56=0),
     IF('Waste results'!$P$45&lt;&gt;"data missing", Calc!BD56*'Waste results'!$P$45, "data missing"),
   IF(AND(Calc!BC56=0,Calc!BD56=0),
     IF('Waste results'!$P$82&lt;&gt;"data missing", Calc!BE56*'Waste results'!$P$82, "data missing"),
   IF(Calc!BE56=0,
     IF(OR('Waste results'!$P$10&lt;&gt;"data missing", 'Waste results'!$P$45&lt;&gt;"data missing"), Calc!BC56*'Waste results'!$P$10+ Calc!BD56*'Waste results'!$P$45, "data missing"),
   IF(Calc!BD56=0,
     IF(OR('Waste results'!$P$10&lt;&gt;"data missing", 'Waste results'!$P$82&lt;&gt;"data missing"), Calc!BC56*'Waste results'!$P$10+ Calc!BE56*'Waste results'!$P$82, "data missing"),
   IF(Calc!BC56=0,
     IF(OR('Waste results'!$P$45&lt;&gt;"data missing", 'Waste results'!$P$82&lt;&gt;"data missing"), Calc!BD56*'Waste results'!$P$45+Calc!BE56*'Waste results'!$P$82, "data missing"),
   IF(OR('Waste results'!$P$10&lt;&gt;"data missing", 'Waste results'!$P$45&lt;&gt;"data missing", 'Waste results'!$P$82&lt;&gt;"data missing"), Calc!BC56*'Waste results'!$P$10+Calc!BD56*'Waste results'!$P$45+ Calc!BE56*'Waste results'!$P$82, "data missing")))))))))))</f>
        <v/>
      </c>
      <c r="AJ58" s="237" t="str">
        <f ca="1">IF(B58="","",
IF(AI58="data missing","data missing",
IF(Calc!BF56=0,"n/a",
IF(AND(Calc!BH56&gt;=8,AI58&lt;500),"no benefit",
IF(OR(AND(Calc!BH56&lt;=4,AI58&gt;=500),AND(Calc!BH56&lt;8,AI58&gt;5000)),"benefit",
"limited benefit")))))</f>
        <v/>
      </c>
      <c r="AL58" s="238" t="str">
        <f ca="1">IF(B58="","",
IF(AND('Field information 2'!$O$5="", 'Field information 2'!$Q$5=""),
   IF('Waste results'!$S$25&lt;&gt;"data missing", Calc!BC56*'Waste results'!$S$25, "data missing"),
IF('Field information 2'!$Q$5="",
   IF(Calc!BD56=0,
     IF('Waste results'!$S$25&lt;&gt;"data missing", Calc!BC56*'Waste results'!$S$25, "data missing"),
   IF(Calc!BC56=0,
     IF('Waste results'!$S$61&lt;&gt;"data missing", Calc!BD56*'Waste results'!$S$61, "data missing"),
   IF(OR('Waste results'!$S$25&lt;&gt;"data missing", 'Waste results'!$S$61&lt;&gt;"data missing"), Calc!BC56*'Waste results'!$S$25+ Calc!BD56*'Waste results'!$S$61, "data missing"))),
IF(AND('Field information 2'!$M$5&lt;&gt;"", 'Field information 2'!$O$5&lt;&gt;"", 'Field information 2'!$Q$5&lt;&gt;""),
   IF(AND(Calc!BD56=0,Calc!BE56=0),
     IF('Waste results'!$S$25&lt;&gt;"data missing", Calc!BC56*'Waste results'!$S$25, "data missing"),
   IF(AND(Calc!BC56=0,Calc!BE56=0),
     IF('Waste results'!$S$61&lt;&gt;"data missing", Calc!BD56*'Waste results'!$S$61, "data missing"),
   IF(AND(Calc!BC56=0,Calc!BD56=0),
     IF('Waste results'!$S$97&lt;&gt;"data missing", Calc!BE56*'Waste results'!$S$97, "data missing"),
   IF(Calc!BE56=0,
     IF(OR('Waste results'!$S$25&lt;&gt;"data missing", 'Waste results'!$S$61&lt;&gt;"data missing"), Calc!BC56*'Waste results'!$S$25+ Calc!BD56*'Waste results'!$S$61, "data missing"),
   IF(Calc!BD56=0,
     IF(OR('Waste results'!$S$25&lt;&gt;"data missing", 'Waste results'!$S$97&lt;&gt;"data missing"), Calc!BC56*'Waste results'!$S$25+ Calc!BE56*'Waste results'!$S$97, "data missing"),
   IF(Calc!BC56=0,
     IF(OR('Waste results'!$S$61&lt;&gt;"data missing", 'Waste results'!$S$97&lt;&gt;"data missing"), Calc!BD56*'Waste results'!$S$61+Calc!BE56*'Waste results'!$S$97, "data missing"),
   IF(OR('Waste results'!$S$25&lt;&gt;"data missing", 'Waste results'!$S$61&lt;&gt;"data missing", 'Waste results'!$S$97&lt;&gt;"data missing"), Calc!BC56*'Waste results'!$S$25+Calc!BD56*'Waste results'!$S$61+ Calc!BE56*'Waste results'!$S$97, "data missing")))))))))))</f>
        <v/>
      </c>
      <c r="AM58" s="239" t="str">
        <f ca="1">IF($B58="","",
IF(ISBLANK('Soil results'!K61),"data missing",'Soil results'!K61))</f>
        <v/>
      </c>
      <c r="AN58" s="239" t="str">
        <f t="shared" ca="1" si="6"/>
        <v/>
      </c>
      <c r="AO58" s="9" t="str">
        <f t="shared" ca="1" si="7"/>
        <v/>
      </c>
      <c r="AQ58" s="240" t="str">
        <f ca="1">IF(B58="","",
IF(AND('Field information 2'!$O$5="", 'Field information 2'!$Q$5=""),
   IF('Waste results'!$S$26&lt;&gt;"data missing", Calc!BC56*'Waste results'!$S$26, "data missing"),
IF('Field information 2'!$Q$5="",
   IF(Calc!BD56=0,
     IF('Waste results'!$S$26&lt;&gt;"data missing", Calc!BC56*'Waste results'!$S$26, "data missing"),
   IF(Calc!BC56=0,
     IF('Waste results'!$S$62&lt;&gt;"data missing", Calc!BD56*'Waste results'!$S$62, "data missing"),
   IF(OR('Waste results'!$S$26&lt;&gt;"data missing", 'Waste results'!$S$62&lt;&gt;"data missing"), Calc!BC56*'Waste results'!$S$26+ Calc!BD56*'Waste results'!$S$62, "data missing"))),
IF(AND('Field information 2'!$M$5&lt;&gt;"", 'Field information 2'!$O$5&lt;&gt;"", 'Field information 2'!$Q$5&lt;&gt;""),
   IF(AND(Calc!BD56=0,Calc!BE56=0),
     IF('Waste results'!$S$26&lt;&gt;"data missing", Calc!BC56*'Waste results'!$S$26, "data missing"),
   IF(AND(Calc!BC56=0,Calc!BE56=0),
     IF('Waste results'!$S$62&lt;&gt;"data missing", Calc!BD56*'Waste results'!$S$62, "data missing"),
   IF(AND(Calc!BC56=0,Calc!BD56=0),
     IF('Waste results'!$S$98&lt;&gt;"data missing", Calc!BE56*'Waste results'!$S$98, "data missing"),
   IF(Calc!BE56=0,
     IF(OR('Waste results'!$S$26&lt;&gt;"data missing", 'Waste results'!$S$62&lt;&gt;"data missing"), Calc!BC56*'Waste results'!$S$26+ Calc!BD56*'Waste results'!$S$62, "data missing"),
   IF(Calc!BD56=0,
     IF(OR('Waste results'!$S$26&lt;&gt;"data missing", 'Waste results'!$S$98&lt;&gt;"data missing"), Calc!BC56*'Waste results'!$S$26+ Calc!BE56*'Waste results'!$S$98, "data missing"),
   IF(Calc!BC56=0,
     IF(OR('Waste results'!$S$62&lt;&gt;"data missing", 'Waste results'!$S$98&lt;&gt;"data missing"), Calc!BD56*'Waste results'!$S$62+Calc!BE56*'Waste results'!$S$98, "data missing"),
   IF(OR('Waste results'!$S$26&lt;&gt;"data missing", 'Waste results'!$S$62&lt;&gt;"data missing", 'Waste results'!$S$98&lt;&gt;"data missing"), Calc!BC56*'Waste results'!$S$26+Calc!BD56*'Waste results'!$S$62+ Calc!BE56*'Waste results'!$S$98, "data missing")))))))))))</f>
        <v/>
      </c>
      <c r="AR58" s="241" t="str">
        <f ca="1">IF($B58="","",
IF(ISBLANK('Soil results'!L61),"data missing",'Soil results'!L61))</f>
        <v/>
      </c>
      <c r="AS58" s="241" t="str">
        <f t="shared" ca="1" si="8"/>
        <v/>
      </c>
      <c r="AT58" s="66" t="str">
        <f t="shared" ca="1" si="9"/>
        <v/>
      </c>
      <c r="AV58" s="238" t="str">
        <f ca="1">IF(B58="","",
IF(AND('Field information 2'!$O$5="", 'Field information 2'!$Q$5=""),
   IF('Waste results'!$S$27&lt;&gt;"data missing", Calc!BC56*'Waste results'!$S$27, "data missing"),
IF('Field information 2'!$Q$5="",
   IF(Calc!BD56=0,
     IF('Waste results'!$S$27&lt;&gt;"data missing", Calc!BC56*'Waste results'!$S$27, "data missing"),
   IF(Calc!BC56=0,
     IF('Waste results'!$S$63&lt;&gt;"data missing", Calc!BD56*'Waste results'!$S$63, "data missing"),
   IF(OR('Waste results'!$S$27&lt;&gt;"data missing", 'Waste results'!$S$63&lt;&gt;"data missing"), Calc!BC56*'Waste results'!$S$27+ Calc!BD56*'Waste results'!$S$63, "data missing"))),
IF(AND('Field information 2'!$M$5&lt;&gt;"", 'Field information 2'!$O$5&lt;&gt;"", 'Field information 2'!$Q$5&lt;&gt;""),
   IF(AND(Calc!BD56=0,Calc!BE56=0),
     IF('Waste results'!$S$27&lt;&gt;"data missing", Calc!BC56*'Waste results'!$S$27, "data missing"),
   IF(AND(Calc!BC56=0,Calc!BE56=0),
     IF('Waste results'!$S$63&lt;&gt;"data missing", Calc!BD56*'Waste results'!$S$63, "data missing"),
   IF(AND(Calc!BC56=0,Calc!BD56=0),
     IF('Waste results'!$S$99&lt;&gt;"data missing", Calc!BE56*'Waste results'!$S$99, "data missing"),
   IF(Calc!BE56=0,
     IF(OR('Waste results'!$S$27&lt;&gt;"data missing", 'Waste results'!$S$63&lt;&gt;"data missing"), Calc!BC56*'Waste results'!$S$27+ Calc!BD56*'Waste results'!$S$63, "data missing"),
   IF(Calc!BD56=0,
     IF(OR('Waste results'!$S$27&lt;&gt;"data missing", 'Waste results'!$S$99&lt;&gt;"data missing"), Calc!BC56*'Waste results'!$S$27+ Calc!BE56*'Waste results'!$S$99, "data missing"),
   IF(Calc!BC56=0,
     IF(OR('Waste results'!$S$63&lt;&gt;"data missing", 'Waste results'!$S$99&lt;&gt;"data missing"), Calc!BD56*'Waste results'!$S$63+Calc!BE56*'Waste results'!$S$99, "data missing"),
   IF(OR('Waste results'!$S$27&lt;&gt;"data missing", 'Waste results'!$S$63&lt;&gt;"data missing", 'Waste results'!$S$99&lt;&gt;"data missing"), Calc!BC56*'Waste results'!$S$27+Calc!BD56*'Waste results'!$S$63+ Calc!BE56*'Waste results'!$S$99, "data missing")))))))))))</f>
        <v/>
      </c>
      <c r="AW58" s="239" t="str">
        <f ca="1">IF($B58="","",
IF(ISBLANK('Soil results'!M61),"data missing",'Soil results'!M61))</f>
        <v/>
      </c>
      <c r="AX58" s="239" t="str">
        <f t="shared" ca="1" si="10"/>
        <v/>
      </c>
      <c r="AY58" s="9" t="str">
        <f ca="1">IF(B58="","",
IF(AV58=0,"n/a",
IF(OR(AV58="data missing",AW58="data missing"),"data missing",
IF(AV58&gt;7.5,"application rate too high - permissible rate exceeds limit",
IF('Soil results'!$F61&lt;=5.5,
  IF(AW58&gt;80,"no application - soil conc. already above limit",
  IF(AX58&gt;80,"application rate too high - soil conc. will exceed limit",
  IF(AW58&gt;80*0.9,"soil conc. is at or above 90% of the limit",
  IF(10*AV58*1000/3000+AW58&gt;80,"soil limit likely to be exceeded in 10yrs",
  IF(50*AV58*1000/3000+AW58&gt;80,"soil limit likely to be exceeded in 50yrs","ok"))))),
IF('Soil results'!$F61&lt;=6,
  IF(AW58&gt;100,"no application - soil conc. already above limit",
  IF(AX58&gt;100,"application rate too high - soil conc. will exceed limit",
  IF(AW58&gt;100*0.9,"soil conc. is at or above 90% of the limit",
  IF(10*AV58*1000/3000+AW58&gt;100,"soil limit likely to be exceeded in 10yrs",
  IF(50*AV58*1000/3000+AW58&gt;100,"soil limit likely to be exceeded in 50yrs","ok"))))),
IF('Soil results'!$F61&lt;=7,
  IF(AW58&gt;135,"no application - soil conc. already above limit",
  IF(AX58&gt;135,"application rate too high - soil conc. will exceed limit",
  IF(AW58&gt;135*0.9,"soil conc. is at or above 90% of the limit",
  IF(10*AV58*1000/3000+AW58&gt;135,"soil limit likely to be exceeded in 10yrs",
  IF(50*AV58*1000/3000+AW58&gt;135,"soil limit likely to be exceeded in 50yrs","ok"))))),
IF('Soil results'!$F61&gt;7,
  IF(AW58&gt;200,"no application - soil conc. already above limit",
  IF(AX58&gt;200,"application too high - soil conc. will exceed limit",
  IF(AW58&gt;200*0.9,"soil conc. is at or above 90% of the limit",
  IF(10*AV58*1000/3000+AW58&gt;200,"soil limit likely to be exceeded in 10yrs",
  IF(50*AV58*1000/3000+AW58&gt;200,"soil limit likely to be exceeded in 50yrs","ok")))))
))))))))</f>
        <v/>
      </c>
      <c r="BA58" s="238" t="str">
        <f ca="1">IF(B58="","",
IF(AND('Field information 2'!$O$5="", 'Field information 2'!$Q$5=""),
   IF('Waste results'!$S$28&lt;&gt;"data missing", Calc!BC56*'Waste results'!$S$28, "data missing"),
IF('Field information 2'!$Q$5="",
   IF(Calc!BD56=0,
     IF('Waste results'!$S$28&lt;&gt;"data missing", Calc!BC56*'Waste results'!$S$28, "data missing"),
   IF(Calc!BC56=0,
     IF('Waste results'!$S$64&lt;&gt;"data missing", Calc!BD56*'Waste results'!$S$64, "data missing"),
   IF(OR('Waste results'!$S$28&lt;&gt;"data missing", 'Waste results'!$S$64&lt;&gt;"data missing"), Calc!BC56*'Waste results'!$S$28+ Calc!BD56*'Waste results'!$S$64, "data missing"))),
IF(AND('Field information 2'!$M$5&lt;&gt;"", 'Field information 2'!$O$5&lt;&gt;"", 'Field information 2'!$Q$5&lt;&gt;""),
   IF(AND(Calc!BD56=0,Calc!BE56=0),
     IF('Waste results'!$S$28&lt;&gt;"data missing", Calc!BC56*'Waste results'!$S$28, "data missing"),
   IF(AND(Calc!BC56=0,Calc!BE56=0),
     IF('Waste results'!$S$64&lt;&gt;"data missing", Calc!BD56*'Waste results'!$S$64, "data missing"),
   IF(AND(Calc!BC56=0,Calc!BD56=0),
     IF('Waste results'!$S$100&lt;&gt;"data missing", Calc!BE56*'Waste results'!$S$100, "data missing"),
   IF(Calc!BE56=0,
     IF(OR('Waste results'!$S$28&lt;&gt;"data missing", 'Waste results'!$S$64&lt;&gt;"data missing"), Calc!BC56*'Waste results'!$S$28+ Calc!BD56*'Waste results'!$S$64, "data missing"),
   IF(Calc!BD56=0,
     IF(OR('Waste results'!$S$28&lt;&gt;"data missing", 'Waste results'!$S$100&lt;&gt;"data missing"), Calc!BC56*'Waste results'!$S$28+ Calc!BE56*'Waste results'!$S$100, "data missing"),
   IF(Calc!BC56=0,
     IF(OR('Waste results'!$S$64&lt;&gt;"data missing", 'Waste results'!$S$100&lt;&gt;"data missing"), Calc!BD56*'Waste results'!$S$64+Calc!BE56*'Waste results'!$S$100, "data missing"),
   IF(OR('Waste results'!$S$28&lt;&gt;"data missing", 'Waste results'!$S$64&lt;&gt;"data missing", 'Waste results'!$S$100&lt;&gt;"data missing"), Calc!BC56*'Waste results'!$S$28+Calc!BD56*'Waste results'!$S$64+ Calc!BE56*'Waste results'!$S$100, "data missing")))))))))))</f>
        <v/>
      </c>
      <c r="BB58" s="239" t="str">
        <f ca="1">IF($B58="","",
IF(ISBLANK('Soil results'!N61),"data missing",'Soil results'!N61))</f>
        <v/>
      </c>
      <c r="BC58" s="239" t="str">
        <f t="shared" ca="1" si="11"/>
        <v/>
      </c>
      <c r="BD58" s="9" t="str">
        <f t="shared" ca="1" si="12"/>
        <v/>
      </c>
      <c r="BF58" s="238" t="str">
        <f ca="1">IF(B58="","",
IF(AND('Field information 2'!$O$5="", 'Field information 2'!$Q$5=""),
   IF('Waste results'!$S$29&lt;&gt;"data missing", Calc!BC56*'Waste results'!$S$29, "data missing"),
IF('Field information 2'!$Q$5="",
   IF(Calc!BD56=0,
     IF('Waste results'!$S$29&lt;&gt;"data missing", Calc!BC56*'Waste results'!$S$29, "data missing"),
   IF(Calc!BC56=0,
     IF('Waste results'!$S$65&lt;&gt;"data missing", Calc!BD56*'Waste results'!$S$65, "data missing"),
   IF(OR('Waste results'!$S$29&lt;&gt;"data missing", 'Waste results'!$S$65&lt;&gt;"data missing"), Calc!BC56*'Waste results'!$S$29+ Calc!BD56*'Waste results'!$S$65, "data missing"))),
IF(AND('Field information 2'!$M$5&lt;&gt;"", 'Field information 2'!$O$5&lt;&gt;"", 'Field information 2'!$Q$5&lt;&gt;""),
   IF(AND(Calc!BD56=0,Calc!BE56=0),
     IF('Waste results'!$S$29&lt;&gt;"data missing", Calc!BC56*'Waste results'!$S$29, "data missing"),
   IF(AND(Calc!BC56=0,Calc!BE56=0),
     IF('Waste results'!$S$65&lt;&gt;"data missing", Calc!BD56*'Waste results'!$S$65, "data missing"),
   IF(AND(Calc!BC56=0,Calc!BD56=0),
     IF('Waste results'!$S$101&lt;&gt;"data missing", Calc!BE56*'Waste results'!$S$101, "data missing"),
   IF(Calc!BE56=0,
     IF(OR('Waste results'!$S$29&lt;&gt;"data missing", 'Waste results'!$S$65&lt;&gt;"data missing"), Calc!BC56*'Waste results'!$S$29+ Calc!BD56*'Waste results'!$S$65, "data missing"),
   IF(Calc!BD56=0,
     IF(OR('Waste results'!$S$29&lt;&gt;"data missing", 'Waste results'!$S$101&lt;&gt;"data missing"), Calc!BC56*'Waste results'!$S$29+ Calc!BE56*'Waste results'!$S$101, "data missing"),
   IF(Calc!BC56=0,
     IF(OR('Waste results'!$S$65&lt;&gt;"data missing", 'Waste results'!$S$101&lt;&gt;"data missing"), Calc!BD56*'Waste results'!$S$65+Calc!BE56*'Waste results'!$S$101, "data missing"),
   IF(OR('Waste results'!$S$29&lt;&gt;"data missing", 'Waste results'!$S$65&lt;&gt;"data missing", 'Waste results'!$S$101&lt;&gt;"data missing"), Calc!BC56*'Waste results'!$S$29+Calc!BD56*'Waste results'!$S$65+ Calc!BE56*'Waste results'!$S$101, "data missing")))))))))))</f>
        <v/>
      </c>
      <c r="BG58" s="239" t="str">
        <f ca="1">IF($B58="","",
IF(ISBLANK('Soil results'!O61),"data missing",'Soil results'!O61))</f>
        <v/>
      </c>
      <c r="BH58" s="239" t="str">
        <f t="shared" ca="1" si="13"/>
        <v/>
      </c>
      <c r="BI58" s="9" t="str">
        <f ca="1">IF(B58="","",
IF(BF58=0,"n/a",
IF(OR(BF58="data missing",BG58="data missing"),"data missing",
IF(BF58&gt;3,"application rate too high - permissible rate exceeds limit",
IF('Soil results'!F61&lt;=5.5,
  IF(BG58&gt;50,"no application - soil conc. already above limit",
  IF(BH58&gt;50,"application rate too high - soil conc. will exceed limit",
  IF(BG58&gt;50*0.9,"soil conc. is at or above 90% of the limit",
  IF(10*BF58*1000/3000+BG58&gt;50,"soil limit likely to be exceeded in 10yrs",
  IF(50*BF58*1000/3000+BG58&gt;50,"soil limit likely to be exceeded in 50yrs","ok"))))),
IF('Soil results'!F61&lt;=6,
  IF(BG58&gt;60,"no application - soil conc. already above limit",
  IF(BH58&gt;60,"application rate too high - soil conc. will exceed limit",
  IF(BG58&gt;60*0.9,"soil conc. is at or above 90% of the limit",
  IF(10*BF58*1000/3000+BG58&gt;60,"soil limit likely to be exceeded in 10yrs",
  IF(50*BF58*1000/3000+BG58&gt;60,"soil limit likely to be exceeded in 50yrs","ok"))))),
IF('Soil results'!F61&lt;=7,
  IF(BG58&gt;75,"no application - soil conc. already above limit",
  IF(BH58&gt;75,"application rate too high - soil conc. will exceed limit",
  IF(BG58&gt;75*0.9,"soil conc. is at or above 90% of the limit",
  IF(10*BF58*1000/3000+BG58&gt;75,"soil limit likely to be exceeded in 10yrs",
  IF(50*BF58*1000/3000+BG58&gt;75,"soil limit likely to be exceeded in 50yrs","ok"))))),
IF('Soil results'!F61&gt;7,
  IF(BG58&gt;100,"no application - soil conc. already above limit",
  IF(BH58&gt;100,"application rate too high - soil conc. will exceed limit",
  IF(BG58&gt;100*0.9,"soil conc. is at or above 90% of the limit",
  IF(10*BF58*1000/3000+BG58&gt;100,"soil limit likely to be exceeded in 10yrs",
  IF(50*BF58*1000/3000+BG58&gt;100,"soil limit likely to beexceeded in 50yrs","ok")))))
))))))))</f>
        <v/>
      </c>
      <c r="BK58" s="240" t="str">
        <f ca="1">IF(B58="","",
IF(AND('Field information 2'!$O$5="", 'Field information 2'!$Q$5=""),
   IF('Waste results'!$S$30&lt;&gt;"data missing", Calc!BC56*'Waste results'!$S$30, "data missing"),
IF('Field information 2'!$Q$5="",
   IF(Calc!BD56=0,
     IF('Waste results'!$S$30&lt;&gt;"data missing", Calc!BC56*'Waste results'!$S$30, "data missing"),
   IF(Calc!BC56=0,
     IF('Waste results'!$S$66&lt;&gt;"data missing", Calc!BD56*'Waste results'!$S$66, "data missing"),
   IF(OR('Waste results'!$S$30&lt;&gt;"data missing", 'Waste results'!$S$66&lt;&gt;"data missing"), Calc!BC56*'Waste results'!$S$30+ Calc!BD56*'Waste results'!$S$66, "data missing"))),
IF(AND('Field information 2'!$M$5&lt;&gt;"", 'Field information 2'!$O$5&lt;&gt;"", 'Field information 2'!$Q$5&lt;&gt;""),
   IF(AND(Calc!BD56=0,Calc!BE56=0),
     IF('Waste results'!$S$30&lt;&gt;"data missing", Calc!BC56*'Waste results'!$S$30, "data missing"),
   IF(AND(Calc!BC56=0,Calc!BE56=0),
     IF('Waste results'!$S$66&lt;&gt;"data missing", Calc!BD56*'Waste results'!$S$66, "data missing"),
   IF(AND(Calc!BC56=0,Calc!BD56=0),
     IF('Waste results'!$S$102&lt;&gt;"data missing", Calc!BE56*'Waste results'!$S$102, "data missing"),
   IF(Calc!BE56=0,
     IF(OR('Waste results'!$S$30&lt;&gt;"data missing", 'Waste results'!$S$66&lt;&gt;"data missing"), Calc!BC56*'Waste results'!$S$30+ Calc!BD56*'Waste results'!$S$66, "data missing"),
   IF(Calc!BD56=0,
     IF(OR('Waste results'!$S$30&lt;&gt;"data missing", 'Waste results'!$S$102&lt;&gt;"data missing"), Calc!BC56*'Waste results'!$S$30+ Calc!BE56*'Waste results'!$S$102, "data missing"),
   IF(Calc!BC56=0,
     IF(OR('Waste results'!$S$66&lt;&gt;"data missing", 'Waste results'!$S$102&lt;&gt;"data missing"), Calc!BD56*'Waste results'!$S$66+Calc!BE56*'Waste results'!$S$102, "data missing"),
   IF(OR('Waste results'!$S$30&lt;&gt;"data missing", 'Waste results'!$S$66&lt;&gt;"data missing", 'Waste results'!$S$102&lt;&gt;"data missing"), Calc!BC56*'Waste results'!$S$30+Calc!BD56*'Waste results'!$S$66+ Calc!BE56*'Waste results'!$S$102, "data missing")))))))))))</f>
        <v/>
      </c>
      <c r="BL58" s="241" t="str">
        <f ca="1">IF($B58="","",
IF(ISBLANK('Soil results'!P61),"data missing",'Soil results'!P61))</f>
        <v/>
      </c>
      <c r="BM58" s="241" t="str">
        <f t="shared" ca="1" si="14"/>
        <v/>
      </c>
      <c r="BN58" s="66" t="str">
        <f t="shared" ca="1" si="15"/>
        <v/>
      </c>
      <c r="BP58" s="238" t="str">
        <f ca="1">IF(B58="","",
IF(AND('Field information 2'!$O$5="", 'Field information 2'!$Q$5=""),
   IF('Waste results'!$S$31&lt;&gt;"data missing", Calc!BC56*'Waste results'!$S$31, "data missing"),
IF('Field information 2'!$Q$5="",
   IF(Calc!BD56=0,
     IF('Waste results'!$S$31&lt;&gt;"data missing", Calc!BC56*'Waste results'!$S$31, "data missing"),
   IF(Calc!BC56=0,
     IF('Waste results'!$S$67&lt;&gt;"data missing", Calc!BD56*'Waste results'!$S$67, "data missing"),
   IF(OR('Waste results'!$S$31&lt;&gt;"data missing", 'Waste results'!$S$67&lt;&gt;"data missing"), Calc!BC56*'Waste results'!$S$31+ Calc!BD56*'Waste results'!$S$67, "data missing"))),
IF(AND('Field information 2'!$M$5&lt;&gt;"", 'Field information 2'!$O$5&lt;&gt;"", 'Field information 2'!$Q$5&lt;&gt;""),
   IF(AND(Calc!BD56=0,Calc!BE56=0),
     IF('Waste results'!$S$31&lt;&gt;"data missing", Calc!BC56*'Waste results'!$S$31, "data missing"),
   IF(AND(Calc!BC56=0,Calc!BE56=0),
     IF('Waste results'!$S$67&lt;&gt;"data missing", Calc!BD56*'Waste results'!$S$67, "data missing"),
   IF(AND(Calc!BC56=0,Calc!BD56=0),
     IF('Waste results'!$S$103&lt;&gt;"data missing", Calc!BE56*'Waste results'!$S$103, "data missing"),
   IF(Calc!BE56=0,
     IF(OR('Waste results'!$S$31&lt;&gt;"data missing", 'Waste results'!$S$67&lt;&gt;"data missing"), Calc!BC56*'Waste results'!$S$31+ Calc!BD56*'Waste results'!$S$67, "data missing"),
   IF(Calc!BD56=0,
     IF(OR('Waste results'!$S$31&lt;&gt;"data missing", 'Waste results'!$S$103&lt;&gt;"data missing"), Calc!BC56*'Waste results'!$S$31+ Calc!BE56*'Waste results'!$S$103, "data missing"),
   IF(Calc!BC56=0,
     IF(OR('Waste results'!$S$67&lt;&gt;"data missing", 'Waste results'!$S$103&lt;&gt;"data missing"), Calc!BD56*'Waste results'!$S$67+Calc!BE56*'Waste results'!$S$103, "data missing"),
   IF(OR('Waste results'!$S$31&lt;&gt;"data missing", 'Waste results'!$S$67&lt;&gt;"data missing", 'Waste results'!$S$103&lt;&gt;"data missing"), Calc!BC56*'Waste results'!$S$31+Calc!BD56*'Waste results'!$S$67+ Calc!BE56*'Waste results'!$S$103, "data missing")))))))))))</f>
        <v/>
      </c>
      <c r="BQ58" s="239" t="str">
        <f ca="1">IF($B58="","",
IF(ISBLANK('Soil results'!Q61),"data missing",'Soil results'!Q61))</f>
        <v/>
      </c>
      <c r="BR58" s="239" t="str">
        <f t="shared" ca="1" si="16"/>
        <v/>
      </c>
      <c r="BS58" s="9" t="str">
        <f ca="1">IF(B58="","",
IF(BP58=0,"n/a",
IF(OR(BP58="data missing",BQ58=""),"data missing",
IF(BP58&gt;15,"application rate too high - permissible rate exceeds limit",
IF('Soil results'!F61&lt;=5.5,
  IF(BQ58&gt;200,"no application - soil conc. already above limit",
  IF(BR58&gt;200,"application rate too high - soil conc. will exceed limit",
  IF(BQ58&gt;200*0.9,"soil conc. is at or above 90% of the limit",
  IF(10*BP58*1000/3000+BQ58&gt;200,"soil limit likely to be exceeded in 10yrs",
  IF(50*BP58*1000/3000+BQ58&gt;200,"soil limit likely to be exceeded in 50yrs","ok"))))),
IF('Soil results'!F61&lt;=6,
  IF(BQ58&gt;250,"no application - soil conc. already above limit",
  IF(BR58&gt;250,"application rate too high - soil conc. will exceed limit",
  IF(BQ58&gt;250*0.9,"soil conc. is at or above 90% of the limit",
  IF(10*BP58*1000/3000+BQ58&gt;250,"soil limit likely to be exceeded in 10yrs",
  IF(50*BP58*1000/3000+BQ58&gt;250,"soil limit likely to be exceeded in 50yrs","ok"))))),
IF('Soil results'!F61&lt;=7,
  IF(BQ58&gt;300,"no application - soil conc. already above limit",
  IF(BR58&gt;300,"application rate too high - soil conc. will exceed limit",
  IF(BQ58&gt;300*0.9,"soil conc. is at or above 90% of the limit",
  IF(10*BP58*1000/3000+BQ58&gt;300,"soil limit likey to be exceeded in 10yrs",
  IF(50*BP58*1000/3000+BQ58&gt;300,"soil limit likely to be exceeded in 50yrs","ok"))))),
IF('Soil results'!F61&gt;7,
  IF(BQ58&gt;450,"no application - soil conc. already above limit",
  IF(BR58&gt;450,"application rate too high - soil conc. will exceed limit",
  IF(AW58&gt;450*0.9,"soil conc. is at or above 90% of the limit",
  IF(10*BP58*1000/3000+BQ58&gt;450,"soil limit likely to be exceeded in 10yrs",
  IF(50*BP58*1000/3000+BQ58&gt;450,"soil limit likely to be exceeded in 50yrs","ok")))))
))))))))</f>
        <v/>
      </c>
    </row>
    <row r="59" spans="2:71" s="9" customFormat="1" ht="15" x14ac:dyDescent="0.25">
      <c r="B59" s="236" t="str">
        <f ca="1">'Soil results'!B62</f>
        <v/>
      </c>
      <c r="C59" s="91" t="str">
        <f ca="1">IF(B59="","",
IF(AND('Field information 2'!$O$5="", 'Field information 2'!$Q$5=""),
   IF('Waste results'!$S$12&lt;&gt;"data missing", Calc!BC57*'Waste results'!$S$12, "data missing"),
IF('Field information 2'!$Q$5="",
   IF(Calc!BD57=0,
     IF('Waste results'!$S$12&lt;&gt;"data missing", Calc!BC57*'Waste results'!$S$12, "data missing"),
   IF(Calc!BC57=0,
     IF('Waste results'!$S$48&lt;&gt;"data missing", Calc!BD57*'Waste results'!$S$48, "data missing"),
   IF(OR('Waste results'!$S$12&lt;&gt;"data missing", 'Waste results'!$S$48&lt;&gt;"data missing"), Calc!BC57*'Waste results'!$S$12+ Calc!BD57*'Waste results'!$S$48, "data missing"))),
IF(AND('Field information 2'!$M$5&lt;&gt;"", 'Field information 2'!$O$5&lt;&gt;"", 'Field information 2'!$Q$5&lt;&gt;""),
   IF(AND(Calc!BD57=0,Calc!BE57=0),
     IF('Waste results'!$S$12&lt;&gt;"data missing", Calc!BC57*'Waste results'!$S$12, "data missing"),
   IF(AND(Calc!BC57=0,Calc!BE57=0),
     IF('Waste results'!$S$48&lt;&gt;"data missing", Calc!BD57*'Waste results'!$S$48, "data missing"),
   IF(AND(Calc!BC57=0,Calc!BD57=0),
     IF('Waste results'!$S$84&lt;&gt;"data missing", Calc!BE57*'Waste results'!$S$84, "data missing"),
   IF(Calc!BE57=0,
     IF(OR('Waste results'!$S$12&lt;&gt;"data missing", 'Waste results'!$S$48&lt;&gt;"data missing"), Calc!BC57*'Waste results'!$S$12+ Calc!BD57*'Waste results'!$S$48, "data missing"),
   IF(Calc!BD57=0,
     IF(OR('Waste results'!$S$12&lt;&gt;"data missing", 'Waste results'!$S$84&lt;&gt;"data missing"), Calc!BC57*'Waste results'!$S$12+ Calc!BE57*'Waste results'!$S$84, "data missing"),
   IF(Calc!BC57=0,
     IF(OR('Waste results'!$S$48&lt;&gt;"data missing", 'Waste results'!$S$84&lt;&gt;"data missing"), Calc!BD57*'Waste results'!$S$48+Calc!BE57*'Waste results'!$S$84, "data missing"),
   IF(OR('Waste results'!$S$12&lt;&gt;"data missing", 'Waste results'!$S$48&lt;&gt;"data missing", 'Waste results'!$S$84&lt;&gt;"data missing"), Calc!BC57*'Waste results'!$S$12+Calc!BD57*'Waste results'!$S$48+ Calc!BE57*'Waste results'!$S$84, "data missing")))))))))))</f>
        <v/>
      </c>
      <c r="D59" s="161" t="str">
        <f ca="1">IF(B59="","",
IF(Calc!BG57="","soil texture missing",
IF(OR(Calc!BG57="SL; SZL; ZL",Calc!BG57="SCL; CL; ZCL; SC; ZC; C"),VLOOKUP(Calc!BI57,'Fertiliser recommendations'!$A$4:$C$63,3,FALSE),
IF(Calc!BG57="S; LS",VLOOKUP(Calc!BI57,'Fertiliser recommendations'!$A$4:$C$63,3,FALSE)+VLOOKUP(Calc!BI57,'Fertiliser recommendations'!$A$4:$D$63,4,FALSE),
IF(Calc!BG57="10-25% OM",VLOOKUP(Calc!BI57,'Fertiliser recommendations'!$A$4:$C$63,3,FALSE)+VLOOKUP(Calc!BI57,'Fertiliser recommendations'!$A$4:$E$63,5,FALSE),
IF(Calc!BG57="&gt;25% OM",VLOOKUP(Calc!BI57,'Fertiliser recommendations'!$A$4:$C$63,3,FALSE)+VLOOKUP(Calc!BI57,'Fertiliser recommendations'!$A$4:$F$63,6,FALSE),
""))))))</f>
        <v/>
      </c>
      <c r="E59" s="91" t="str">
        <f t="shared" ca="1" si="0"/>
        <v/>
      </c>
      <c r="F59" s="9" t="str">
        <f ca="1">IF(B59="","",
IF(OR(C59="data missing",D59="soil texture missing"),"data missing",
IF(Calc!BF57=0,"n/a",
IF(C59&lt;0.1*D59,"no benefit",
IF(C59&lt;0.3*D59,"limited benefit",
IF(C59&gt;250,"exceeds limit",
IF(OR(AND(D59=0,C59&gt;75),C59&gt;1.25*D59),"excessive",
IF(D59=0, "no requirement",
"benefit"))))))))</f>
        <v/>
      </c>
      <c r="H59" s="91" t="str">
        <f ca="1">IF(B59="","",
IF(AND('Field information 2'!$O$5="", 'Field information 2'!$Q$5=""),
   IF('Waste results'!$S$17&lt;&gt;"data missing", Calc!BC57*'Waste results'!$S$17, "data missing"),
IF('Field information 2'!$Q$5="",
   IF(Calc!BD57=0,
     IF('Waste results'!$S$17&lt;&gt;"data missing", Calc!BC57*'Waste results'!$S$17, "data missing"),
   IF(Calc!BC57=0,
     IF('Waste results'!$S$53&lt;&gt;"data missing", Calc!BD57*'Waste results'!$S$53, "data missing"),
   IF(OR('Waste results'!$S$17&lt;&gt;"data missing", 'Waste results'!$S$53&lt;&gt;"data missing"), Calc!BC57*'Waste results'!$S$17+ Calc!BD57*'Waste results'!$S$53, "data missing"))),
IF(AND('Field information 2'!$M$5&lt;&gt;"", 'Field information 2'!$O$5&lt;&gt;"", 'Field information 2'!$Q$5&lt;&gt;""),
   IF(AND(Calc!BD57=0,Calc!BE57=0),
     IF('Waste results'!$S$17&lt;&gt;"data missing", Calc!BC57*'Waste results'!$S$17, "data missing"),
   IF(AND(Calc!BC57=0,Calc!BE57=0),
     IF('Waste results'!$S$53&lt;&gt;"data missing", Calc!BD57*'Waste results'!$S$53, "data missing"),
   IF(AND(Calc!BC57=0,Calc!BD57=0),
     IF('Waste results'!$S$89&lt;&gt;"data missing", Calc!BE57*'Waste results'!$S$89, "data missing"),
   IF(Calc!BE57=0,
     IF(OR('Waste results'!$S$17&lt;&gt;"data missing", 'Waste results'!$S$53&lt;&gt;"data missing"), Calc!BC57*'Waste results'!$S$17+ Calc!BD57*'Waste results'!$S$53, "data missing"),
   IF(Calc!BD57=0,
     IF(OR('Waste results'!$S$17&lt;&gt;"data missing", 'Waste results'!$S$89&lt;&gt;"data missing"), Calc!BC57*'Waste results'!$S$17+ Calc!BE57*'Waste results'!$S$89, "data missing"),
   IF(Calc!BC57=0,
     IF(OR('Waste results'!$S$53&lt;&gt;"data missing", 'Waste results'!$S$89&lt;&gt;"data missing"), Calc!BD57*'Waste results'!$S$53+Calc!BE57*'Waste results'!$S$89, "data missing"),
   IF(OR('Waste results'!$S$17&lt;&gt;"data missing", 'Waste results'!$S$53&lt;&gt;"data missing", 'Waste results'!$S$89&lt;&gt;"data missing"), Calc!BC57*'Waste results'!$S$17+Calc!BD57*'Waste results'!$S$53+ Calc!BE57*'Waste results'!$S$89, "data missing")))))))))))</f>
        <v/>
      </c>
      <c r="I59" s="195" t="str">
        <f ca="1">IF(B59="","",
IF(OR(ISBLANK('Soil results'!G62), ISBLANK('Soil results'!G$7)),"data missing",
IF(OR(AND('Soil results'!G$7="Olsen (ADAS)",'Soil results'!G62&lt;16),AND('Soil results'!G$7="modified Morgan (SAC)",'Soil results'!G62&lt;4.5)),50,100)))</f>
        <v/>
      </c>
      <c r="J59" s="49" t="str">
        <f ca="1">IF(B59="","",
IF(OR(ISBLANK('Soil results'!G$7),ISBLANK('Soil results'!G62)),"data missing",
IF(OR(AND('Soil results'!G$7="Olsen (ADAS)",'Soil results'!G62&gt;45),AND('Soil results'!G$7="modified Morgan (SAC)",'Soil results'!G62&gt;30)),0,
IF(OR(AND('Soil results'!G$7="Olsen (ADAS)",'Soil results'!G62&gt;=16,'Soil results'!G62&lt;=20),AND('Soil results'!G$7="modified Morgan (SAC)",'Soil results'!G62&gt;=4.5,'Soil results'!G62&lt;=9.4)),VLOOKUP(Calc!BI57,'Fertiliser recommendations'!$A$4:$I$63,9,FALSE),
IF(OR(AND('Soil results'!G$7="Olsen (ADAS)",'Soil results'!G62&lt;10),AND('Soil results'!G$7="modified Morgan (SAC)",'Soil results'!G62&lt;1.8)),VLOOKUP(Calc!BI57,'Fertiliser recommendations'!$A$4:$I$63,9,FALSE)+VLOOKUP(Calc!BI57,'Fertiliser recommendations'!$A$4:$J$63,10,FALSE),
IF(OR(AND('Soil results'!G$7="Olsen (ADAS)",'Soil results'!G62&lt;16),AND('Soil results'!G$7="modified Morgan (SAC)",'Soil results'!G62&lt;4.5)),VLOOKUP(Calc!BI57,'Fertiliser recommendations'!$A$4:$I$63,9,FALSE)+VLOOKUP(Calc!BI57,'Fertiliser recommendations'!$A$4:$K$63,11,FALSE),
IF(OR(AND('Soil results'!G$7="Olsen (ADAS)",'Soil results'!G62&lt;26),AND('Soil results'!G$7="modified Morgan (SAC)",'Soil results'!G62&lt;13.5)),VLOOKUP(Calc!BI57,'Fertiliser recommendations'!$A$4:$I$63,9,FALSE)+VLOOKUP(Calc!BI57,'Fertiliser recommendations'!$A$4:$L$63,12,FALSE),
IF(OR(AND('Soil results'!G$7="Olsen (ADAS)",'Soil results'!G62&lt;=45),AND('Soil results'!G$7="modified Morgan (SAC)",'Soil results'!G62&lt;=30)),VLOOKUP(Calc!BI57,'Fertiliser recommendations'!$A$4:$I$63,9,FALSE)+VLOOKUP(Calc!BI57,'Fertiliser recommendations'!$A$4:$M$63,13,FALSE),
""))))))))</f>
        <v/>
      </c>
      <c r="K59" s="161" t="str">
        <f t="shared" ca="1" si="1"/>
        <v/>
      </c>
      <c r="L59" s="47" t="str">
        <f ca="1">IF(OR(ISBLANK('Soil results'!G$7),ISBLANK('Soil results'!G62),B59="", H59="data missing"),"",
IF('Soil results'!G$7="Olsen (ADAS)",
IF(((H59*Calc!BM57/2.291-(VLOOKUP(Calc!BI57,'Fertiliser recommendations'!$A$4:$I$63,9,FALSE))/2.291)*10/(400/2.291)+'Soil results'!G62)&lt;10,"0 (VL)",
IF(((H59*Calc!BM57/2.291-(VLOOKUP(Calc!BI57,'Fertiliser recommendations'!$A$4:$I$63,9,FALSE))/2.291)*10/(400/2.291)+'Soil results'!G62)&lt;16,"1 (L)",
IF(((H59*Calc!BM57/2.291-(VLOOKUP(Calc!BI57,'Fertiliser recommendations'!$A$4:$I$63,9,FALSE))/2.291)*10/(400/2.291)+'Soil results'!G62)&lt;21,"2 (M-)",
IF(((H59*Calc!BM57/2.291-(VLOOKUP(Calc!BI57,'Fertiliser recommendations'!$A$4:$I$63,9,FALSE))/2.291)*10/(400/2.291)+'Soil results'!G62)&lt;26,"2 (M+)",
IF(((H59*Calc!BM57/2.291-(VLOOKUP(Calc!BI57,'Fertiliser recommendations'!$A$4:$I$63,9,FALSE))/2.291)*10/(400/2.291)+'Soil results'!G62)&lt;45,"3 (H)","&gt;3 (VH)"))))),
IF('Soil results'!G$7="modified Morgan (SAC)",
IF('Soil results'!G62&gt;=6,
IF(((H59*Calc!BM57/2.291-(VLOOKUP(Calc!BI57,'Fertiliser recommendations'!$A$4:$I$63,9,FALSE))/2.291)*5/(147/2.291)+'Soil results'!G62)&lt;9.5,"2 (M-)",
IF(((H59*Calc!BM57/2.291-(VLOOKUP(Calc!BI57,'Fertiliser recommendations'!$A$4:$I$63,9,FALSE))/2.291)*5/(147/2.291)+'Soil results'!G62)&lt;13.5,"2 (M+)",
IF(((H59*Calc!BM57/2.291-(VLOOKUP(Calc!BI57,'Fertiliser recommendations'!$A$4:$I$63,9,FALSE))/2.291)*5/(147/2.291)+'Soil results'!G62)&lt;30,"3 (H)","4 (VH)"))),
IF(((H59*Calc!BM57/2.291-(VLOOKUP(Calc!BI57,'Fertiliser recommendations'!$A$4:$I$63,9,FALSE))/2.291)*5/(346/2.291)+'Soil results'!G62)&lt;1.8,"0 (VL)",
IF(((H59*Calc!BM57/2.291-(VLOOKUP(Calc!BI57,'Fertiliser recommendations'!$A$4:$I$63,9,FALSE))/2.291)*5/(147/2.291)+'Soil results'!G62)&lt;4.5,"1 (L)","2 (M-)"))))))</f>
        <v/>
      </c>
      <c r="M59" s="9" t="str">
        <f ca="1">IF(B59="","",
IF(OR(H59="data missing",I59="data missing",J59="data missing"),"data missing",
IF(Calc!BF57=0,"n/a",
IF(OR(AND('Soil results'!G$7="Olsen (ADAS)",'Soil results'!G62&gt;45),AND('Soil results'!G$7="modified Morgan (SAC)",'Soil results'!G62&gt;30)),
IF(H59&gt;2,"too high, not acceptable","no requirement"),IF(OR(AND('Soil results'!G$7="Olsen (ADAS)",'Soil results'!G62&gt;25),AND('Soil results'!G$7="modified Morgan (SAC)",'Soil results'!G62&gt;13.4)),
IF(H59*(I59/100)&lt;0.1*J59,"no benefit",
IF(H59*(I59/100)&lt;0.3*J59,"limited benefit",
IF(H59*(I59/100)&lt;1.1*J59,"benefit",
IF(H59*(I59/100)&lt;0.7*VLOOKUP(Calc!BI57,'Fertiliser recommendations'!$A$4:$I$63,9,FALSE),"excessive","too high, not acceptable")))),
IF(OR(AND('Soil results'!G$7="Olsen (ADAS)",'Soil results'!G62&gt;20),AND('Soil results'!G$7="modified Morgan (SAC)",'Soil results'!G62&gt;9.4)),
IF(H59*Calc!BM57*(I59/100)&lt;0.1*J59,"no benefit",
IF(H59*Calc!BM57*(I59/100)&lt;0.3*J59,"limited benefit",
IF(H59*Calc!BM57*(I59/100)&lt;1.1*J59,"benefit",
IF(L59="3 (H)","too high, not acceptable","excessive")))),
IF(OR(AND('Soil results'!G$7="Olsen (ADAS)",'Soil results'!G62&gt;15),AND('Soil results'!G$7="modified Morgan (SAC)",'Soil results'!G62&gt;4.4)),
IF(H59*Calc!BM57*(I59/100)&lt;0.1*VLOOKUP(Calc!BI57,'Fertiliser recommendations'!$A$4:$I$63,9,FALSE),"no benefit",
IF(H59*Calc!BM57*(I59/100)&lt;0.3*VLOOKUP(Calc!BI57,'Fertiliser recommendations'!$A$4:$I$63,9,FALSE),"limited benefit",
IF(H59*Calc!BM57*(I59/100)&lt;1.1*VLOOKUP(Calc!BI57,'Fertiliser recommendations'!$A$4:$I$63,9,FALSE),"benefit",
IF(L59="3 (H)", "too high, not acceptable", "excessive")))),
IF(OR(AND('Soil results'!G$7="Olsen (ADAS)",'Soil results'!G62&lt;=15),AND('Soil results'!G$7="modified Morgan (SAC)",'Soil results'!G62&lt;=4.4)),
IF(H59*Calc!BM57*(I59/100)&lt;0.1*VLOOKUP(Calc!BI57,'Fertiliser recommendations'!$A$4:$I$63,9,FALSE),"no benefit",
IF(H59*Calc!BM57*(I59/100)&lt;0.3*VLOOKUP(Calc!BI57,'Fertiliser recommendations'!$A$4:$I$63,9,FALSE),"limited benefit",
IF(H59*Calc!BM57*(I59/100)&lt;1.1*J59,"benefit","excessive")))))))))))</f>
        <v/>
      </c>
      <c r="O59" s="91" t="str">
        <f ca="1">IF(B59="","",
IF(AND('Field information 2'!$O$5="", 'Field information 2'!$Q$5=""),
   IF('Waste results'!$S$19&lt;&gt;"data missing", Calc!BC57*'Waste results'!$S$19, "data missing"),
IF('Field information 2'!$Q$5="",
   IF(Calc!BD57=0,
     IF('Waste results'!$S$19&lt;&gt;"data missing", Calc!BC57*'Waste results'!$S$19, "data missing"),
   IF(Calc!BC57=0,
     IF('Waste results'!$S$55&lt;&gt;"data missing", Calc!BD57*'Waste results'!$S$55, "data missing"),
   IF(OR('Waste results'!$S$19&lt;&gt;"data missing", 'Waste results'!$S$55&lt;&gt;"data missing"), Calc!BC57*'Waste results'!$S$19+ Calc!BD57*'Waste results'!$S$55, "data missing"))),
IF(AND('Field information 2'!$M$5&lt;&gt;"", 'Field information 2'!$O$5&lt;&gt;"", 'Field information 2'!$Q$5&lt;&gt;""),
   IF(AND(Calc!BD57=0,Calc!BE57=0),
     IF('Waste results'!$S$19&lt;&gt;"data missing", Calc!BC57*'Waste results'!$S$19, "data missing"),
   IF(AND(Calc!BC57=0,Calc!BE57=0),
     IF('Waste results'!$S$55&lt;&gt;"data missing", Calc!BD57*'Waste results'!$S$55, "data missing"),
   IF(AND(Calc!BC57=0,Calc!BD57=0),
     IF('Waste results'!$S$91&lt;&gt;"data missing", Calc!BE57*'Waste results'!$S$91, "data missing"),
   IF(Calc!BE57=0,
     IF(OR('Waste results'!$S$19&lt;&gt;"data missing", 'Waste results'!$S$55&lt;&gt;"data missing"), Calc!BC57*'Waste results'!$S$19+ Calc!BD57*'Waste results'!$S$55, "data missing"),
   IF(Calc!BD57=0,
     IF(OR('Waste results'!$S$19&lt;&gt;"data missing", 'Waste results'!$S$91&lt;&gt;"data missing"), Calc!BC57*'Waste results'!$S$19+ Calc!BE57*'Waste results'!$S$91, "data missing"),
   IF(Calc!BC57=0,
     IF(OR('Waste results'!$S$55&lt;&gt;"data missing", 'Waste results'!$S$91&lt;&gt;"data missing"), Calc!BD57*'Waste results'!$S$55+Calc!BE57*'Waste results'!$S$91, "data missing"),
   IF(OR('Waste results'!$S$19&lt;&gt;"data missing", 'Waste results'!$S$55&lt;&gt;"data missing", 'Waste results'!$S$91&lt;&gt;"data missing"), Calc!BC57*'Waste results'!$S$19+Calc!BD57*'Waste results'!$S$55+ Calc!BE57*'Waste results'!$S$91, "data missing")))))))))))</f>
        <v/>
      </c>
      <c r="P59" s="91" t="str">
        <f ca="1">IF(B59="","",
IF(OR(ISBLANK('Soil results'!H$7),ISBLANK('Soil results'!H62)),"data missing",
IF(OR(AND('Soil results'!H$7="ammonium nitrate (ADAS)",'Soil results'!H62&gt;400),AND('Soil results'!H$7="modified Morgan (SAC)",'Soil results'!H62&gt;400)),0,
IF(OR(AND('Soil results'!H$7="ammonium nitrate (ADAS)",'Soil results'!H62&gt;=121,'Soil results'!H62&lt;=180),AND('Soil results'!H$7="modified Morgan (SAC)",'Soil results'!H62&gt;=76,'Soil results'!H62&lt;=140)),VLOOKUP(Calc!BI57,'Fertiliser recommendations'!$A$4:$Z$63,26,FALSE),
IF(OR(AND('Soil results'!H$7="ammonium nitrate (ADAS)",'Soil results'!H62&lt;61),AND('Soil results'!H$7="modified Morgan (SAC)",'Soil results'!H62&lt;40)),VLOOKUP(Calc!BI57,'Fertiliser recommendations'!$A$4:$Z$63,26,FALSE)+VLOOKUP(Calc!BI57,'Fertiliser recommendations'!$A$4:$AA$63,27,FALSE),
IF(OR(AND('Soil results'!H$7="ammonium nitrate (ADAS)",'Soil results'!H62&lt;121),AND('Soil results'!H$7="modified Morgan (SAC)",'Soil results'!H62&lt;76)),VLOOKUP(Calc!BI57,'Fertiliser recommendations'!$A$4:$Z$63,26,FALSE)+VLOOKUP(Calc!BI57,'Fertiliser recommendations'!$A$4:$AB$63,28,FALSE),
IF(OR(AND('Soil results'!H$7="ammonium nitrate (ADAS)",'Soil results'!H62&lt;241),AND('Soil results'!H$7="modified Morgan (SAC)",'Soil results'!H62&lt;201)),VLOOKUP(Calc!BI57,'Fertiliser recommendations'!$A$4:$Z$63,26,FALSE)+VLOOKUP(Calc!BI57,'Fertiliser recommendations'!$A$4:$AC$63,29,FALSE),
IF(OR(AND('Soil results'!H$7="ammonium nitrate (ADAS)",'Soil results'!H62&lt;=400),AND('Soil results'!H$7="modified Morgan (SAC)",'Soil results'!H62&lt;=400)),VLOOKUP(Calc!BI57,'Fertiliser recommendations'!$A$4:$Z$63,26,FALSE)+VLOOKUP(Calc!BI57,'Fertiliser recommendations'!$A$4:$AD$63,30,FALSE),
"??"))))))))</f>
        <v/>
      </c>
      <c r="Q59" s="91" t="str">
        <f t="shared" ca="1" si="2"/>
        <v/>
      </c>
      <c r="R59" s="9" t="str">
        <f ca="1">IF(B59="","",
IF(OR(O59="data missing",P59="data missing"),"data missing",
IF(Calc!BF57=0,"n/a",
IF(P59=0, "no requirement",
IF(O59&lt;0.1*P59,"no benefit",
IF(O59&lt;0.3*P59,"limited benefit",
IF(O59&gt;1.25*P59,"excessive",
"benefit")))))))</f>
        <v/>
      </c>
      <c r="T59" s="91" t="str">
        <f ca="1">IF(B59="","",
IF(AND('Field information 2'!$O$5="", 'Field information 2'!$Q$5=""),
   IF('Waste results'!$S$21&lt;&gt;"data missing", Calc!BC57*'Waste results'!$S$21, "data missing"),
IF('Field information 2'!$Q$5="",
   IF(Calc!BD57=0,
     IF('Waste results'!$S$21&lt;&gt;"data missing", Calc!BC57*'Waste results'!$S$21, "data missing"),
   IF(Calc!BC57=0,
     IF('Waste results'!$S$57&lt;&gt;"data missing", Calc!BD57*'Waste results'!$S$57, "data missing"),
   IF(OR('Waste results'!$S$21&lt;&gt;"data missing", 'Waste results'!$S$57&lt;&gt;"data missing"), Calc!BC57*'Waste results'!$S$21+ Calc!BD57*'Waste results'!$S$57, "data missing"))),
IF(AND('Field information 2'!$M$5&lt;&gt;"", 'Field information 2'!$O$5&lt;&gt;"", 'Field information 2'!$Q$5&lt;&gt;""),
   IF(AND(Calc!BD57=0,Calc!BE57=0),
     IF('Waste results'!$S$21&lt;&gt;"data missing", Calc!BC57*'Waste results'!$S$21, "data missing"),
   IF(AND(Calc!BC57=0,Calc!BE57=0),
     IF('Waste results'!$S$57&lt;&gt;"data missing", Calc!BD57*'Waste results'!$S$57, "data missing"),
   IF(AND(Calc!BC57=0,Calc!BD57=0),
     IF('Waste results'!$S$93&lt;&gt;"data missing", Calc!BE57*'Waste results'!$S$93, "data missing"),
   IF(Calc!BE57=0,
     IF(OR('Waste results'!$S$21&lt;&gt;"data missing", 'Waste results'!$S$57&lt;&gt;"data missing"), Calc!BC57*'Waste results'!$S$21+ Calc!BD57*'Waste results'!$S$57, "data missing"),
   IF(Calc!BD57=0,
     IF(OR('Waste results'!$S$21&lt;&gt;"data missing", 'Waste results'!$S$93&lt;&gt;"data missing"), Calc!BC57*'Waste results'!$S$21+ Calc!BE57*'Waste results'!$S$93, "data missing"),
   IF(Calc!BC57=0,
     IF(OR('Waste results'!$S$57&lt;&gt;"data missing", 'Waste results'!$S$93&lt;&gt;"data missing"), Calc!BD57*'Waste results'!$S$57+Calc!BE57*'Waste results'!$S$93, "data missing"),
   IF(OR('Waste results'!$S$21&lt;&gt;"data missing", 'Waste results'!$S$57&lt;&gt;"data missing", 'Waste results'!$S$93&lt;&gt;"data missing"), Calc!BC57*'Waste results'!$S$21+Calc!BD57*'Waste results'!$S$57+ Calc!BE57*'Waste results'!$S$93, "data missing")))))))))))</f>
        <v/>
      </c>
      <c r="U59" s="7" t="str">
        <f ca="1">IF(B59="","",
IF(OR(ISBLANK('Soil results'!I$7),ISBLANK('Soil results'!I62)),"data missing",
IF(OR(AND('Soil results'!I$7="ammonium nitrate (ADAS)",'Soil results'!I62&gt;51),AND('Soil results'!I$7="modified Morgan (SAC)",'Soil results'!I62&gt;61)),0,
IF(OR(AND('Soil results'!I$7="ammonium nitrate (ADAS)",'Soil results'!I62&lt;25),AND('Soil results'!I$7="modified Morgan (SAC)",'Soil results'!I62&lt;19)),VLOOKUP(Calc!BI57,'Fertiliser recommendations'!$A$4:$AH$63,34,FALSE),
IF(OR(AND('Soil results'!I$7="ammonium nitrate (ADAS)",'Soil results'!I62&lt;=51),AND('Soil results'!I$7="modified Morgan (SAC)",'Soil results'!I62&lt;=61)),VLOOKUP(Calc!BI57,'Fertiliser recommendations'!$A$4:$AI$63,35,FALSE),
"")))))</f>
        <v/>
      </c>
      <c r="V59" s="91" t="str">
        <f t="shared" ca="1" si="3"/>
        <v/>
      </c>
      <c r="W59" s="9" t="str">
        <f ca="1">IF(B59="","",
IF(OR(T59="data missing",U59="data missing"),"data missing",
IF(Calc!BF57=0,"n/a",
IF(U59=0,"no requirement",
IF(T59&lt;0.1*U59,"no benefit",
IF(T59&lt;0.3*U59,"limited benefit",
IF(OR(T59&gt;1.5*U59,AND(Calc!BJ57="g",T59&gt;100)),"excessive",
"benefit")))))))</f>
        <v/>
      </c>
      <c r="Y59" s="91" t="str">
        <f ca="1">IF(B59="","",
IF(AND('Field information 2'!$O$5="", 'Field information 2'!$Q$5=""),
   IF('Waste results'!$P$23&lt;&gt;"", Calc!BC57*'Waste results'!$P$23, "no data"),
IF('Field information 2'!$Q$5="",
   IF(Calc!BD57=0,
     IF('Waste results'!$P$23&lt;&gt;"", Calc!BC57*'Waste results'!$P$23, "no data"),
   IF(Calc!BC57=0,
     IF('Waste results'!$P$59&lt;&gt;"", Calc!BD57*'Waste results'!$P$59, "no data"),
   IF(OR('Waste results'!$P$23&lt;&gt;"", 'Waste results'!$P$59&lt;&gt;""), Calc!BC57*'Waste results'!$P$23+ Calc!BD57*'Waste results'!$P$59, "no data"))),
IF(AND('Field information 2'!$M$5&lt;&gt;"", 'Field information 2'!$O$5&lt;&gt;"", 'Field information 2'!$Q$5&lt;&gt;""),
   IF(AND(Calc!BD57=0,Calc!BE57=0),
     IF('Waste results'!$P$23&lt;&gt;"", Calc!BC57*'Waste results'!$P$23, "no data"),
   IF(AND(Calc!BC57=0,Calc!BE57=0),
     IF('Waste results'!$P$59&lt;&gt;"", Calc!BD57*'Waste results'!$P$59, "no data"),
   IF(AND(Calc!BC57=0,Calc!BD57=0),
     IF('Waste results'!$P$95&lt;&gt;"", Calc!BE57*'Waste results'!$P$95, "no data"),
   IF(Calc!BE57=0,
     IF(OR('Waste results'!$P$23&lt;&gt;"", 'Waste results'!$P$59&lt;&gt;""), Calc!BC57*'Waste results'!$P$23+ Calc!BD57*'Waste results'!$P$59, "no data"),
   IF(Calc!BD57=0,
     IF(OR('Waste results'!$P$23&lt;&gt;"", 'Waste results'!$P$95&lt;&gt;""), Calc!BC57*'Waste results'!$P$23+ Calc!BE57*'Waste results'!$P$95, "no data"),
   IF(Calc!BC57=0,
     IF(OR('Waste results'!$P$59&lt;&gt;"", 'Waste results'!$P$95&lt;&gt;""), Calc!BD57*'Waste results'!$P$59+Calc!BE57*'Waste results'!$P$95, "no data"),
   IF(OR('Waste results'!$P$23&lt;&gt;"", 'Waste results'!$P$59&lt;&gt;"", 'Waste results'!$P$95&lt;&gt;""), Calc!BC57*'Waste results'!$P$23+Calc!BD57*'Waste results'!$P$59+ Calc!BE57*'Waste results'!$P$95, "no data")))))))))))</f>
        <v/>
      </c>
      <c r="Z59" s="7" t="str">
        <f ca="1">IF(OR(ISBLANK('Soil results'!I$7),ISBLANK('Soil results'!I62),'Soil results'!B62=""),"",
VLOOKUP(Calc!BI57,'Fertiliser recommendations'!$A$4:$AM$63,39,FALSE))</f>
        <v/>
      </c>
      <c r="AA59" s="91" t="str">
        <f t="shared" ca="1" si="4"/>
        <v/>
      </c>
      <c r="AB59" s="9" t="str">
        <f t="shared" ca="1" si="5"/>
        <v/>
      </c>
      <c r="AD59" s="48" t="str">
        <f>IF(ISBLANK('Soil results'!F62),"",'Soil results'!F62)</f>
        <v/>
      </c>
      <c r="AE59" s="49" t="str">
        <f ca="1">IF(B59="","",
IF(AND(Calc!BJ57="g", VLOOKUP(LEFT($B59,LEN($B59)-2),'Field information 2'!$B$12:$P$111,9,FALSE)&lt;&gt;"yes"),
 IF(Calc!BG57="10-25% OM", 5.9, IF(Calc!BG57="&gt;25% OM", 5.5, 6.2)),
IF(OR(Calc!BJ57="a", VLOOKUP(LEFT($B59,LEN($B59)-2),'Field information 2'!$B$12:$P$111,9,FALSE)="yes"),
 IF(Calc!BG57="10-25% OM", 6.4, IF(Calc!BG57="&gt;25% OM", 6, 6.7)), "")))</f>
        <v/>
      </c>
      <c r="AF59" s="91" t="str">
        <f ca="1">IF(B59="","",
IF('Waste results'!$Q$33="","no (significant) liming properties",
IF('Waste results'!Q$33&gt;100,"no (significant) liming properties",
IF(AD59="","",
IF(AD59&gt;=AE59,0,ROUNDDOWN((AE59-AD59)*Calc!BK57*'Waste results'!$Q$33+0.2,0))))))</f>
        <v/>
      </c>
      <c r="AG59" s="9" t="str">
        <f ca="1">IF(B59="","",
IF(T59=0,"n/a",
IF(AD59="","data missing",
IF(AND(AD59&lt;5,AF59="no (significant) liming properties"),"no waste application - pH too low",
IF(AND(AD59&gt;5.1,AF59="no (significant) liming properties",Calc!BH57&gt;25, LEFT(Calc!BI57,4)="graz"),"ok",
IF(AND(AD59&lt;=5.2,AF59="no (significant) liming properties"),"liming highly recommended",
IF(AF59=0,"no waste application - liming not required",
IF(AF59&lt;Calc!BC57,"application rate too high - exceeds liming requirement",
"ok"))))))))</f>
        <v/>
      </c>
      <c r="AI59" s="91" t="str">
        <f ca="1">IF(B59="","",
IF(AND('Field information 2'!$O$5="", 'Field information 2'!$Q$5=""),
   IF('Waste results'!$P$10&lt;&gt;"data missing", Calc!BC57*'Waste results'!$P$10, "data missing"),
IF('Field information 2'!$Q$5="",
   IF(Calc!BD57=0,
     IF('Waste results'!$P$10&lt;&gt;"data missing", Calc!BC57*'Waste results'!$P$10, "data missing"),
   IF(Calc!BC57=0,
     IF('Waste results'!$P$45&lt;&gt;"data missing", Calc!BD57*'Waste results'!$P$45, "data missing"),
   IF(OR('Waste results'!$P$10&lt;&gt;"data missing", 'Waste results'!$P$45&lt;&gt;"data missing"), Calc!BC57*'Waste results'!$P$10+ Calc!BD57*'Waste results'!$P$45, "data missing"))),
IF(AND('Field information 2'!$M$5&lt;&gt;"", 'Field information 2'!$O$5&lt;&gt;"", 'Field information 2'!$Q$5&lt;&gt;""),
   IF(AND(Calc!BD57=0,Calc!BE57=0),
     IF('Waste results'!$P$10&lt;&gt;"data missing", Calc!BC57*'Waste results'!$P$10, "data missing"),
   IF(AND(Calc!BC57=0,Calc!BE57=0),
     IF('Waste results'!$P$45&lt;&gt;"data missing", Calc!BD57*'Waste results'!$P$45, "data missing"),
   IF(AND(Calc!BC57=0,Calc!BD57=0),
     IF('Waste results'!$P$82&lt;&gt;"data missing", Calc!BE57*'Waste results'!$P$82, "data missing"),
   IF(Calc!BE57=0,
     IF(OR('Waste results'!$P$10&lt;&gt;"data missing", 'Waste results'!$P$45&lt;&gt;"data missing"), Calc!BC57*'Waste results'!$P$10+ Calc!BD57*'Waste results'!$P$45, "data missing"),
   IF(Calc!BD57=0,
     IF(OR('Waste results'!$P$10&lt;&gt;"data missing", 'Waste results'!$P$82&lt;&gt;"data missing"), Calc!BC57*'Waste results'!$P$10+ Calc!BE57*'Waste results'!$P$82, "data missing"),
   IF(Calc!BC57=0,
     IF(OR('Waste results'!$P$45&lt;&gt;"data missing", 'Waste results'!$P$82&lt;&gt;"data missing"), Calc!BD57*'Waste results'!$P$45+Calc!BE57*'Waste results'!$P$82, "data missing"),
   IF(OR('Waste results'!$P$10&lt;&gt;"data missing", 'Waste results'!$P$45&lt;&gt;"data missing", 'Waste results'!$P$82&lt;&gt;"data missing"), Calc!BC57*'Waste results'!$P$10+Calc!BD57*'Waste results'!$P$45+ Calc!BE57*'Waste results'!$P$82, "data missing")))))))))))</f>
        <v/>
      </c>
      <c r="AJ59" s="237" t="str">
        <f ca="1">IF(B59="","",
IF(AI59="data missing","data missing",
IF(Calc!BF57=0,"n/a",
IF(AND(Calc!BH57&gt;=8,AI59&lt;500),"no benefit",
IF(OR(AND(Calc!BH57&lt;=4,AI59&gt;=500),AND(Calc!BH57&lt;8,AI59&gt;5000)),"benefit",
"limited benefit")))))</f>
        <v/>
      </c>
      <c r="AL59" s="238" t="str">
        <f ca="1">IF(B59="","",
IF(AND('Field information 2'!$O$5="", 'Field information 2'!$Q$5=""),
   IF('Waste results'!$S$25&lt;&gt;"data missing", Calc!BC57*'Waste results'!$S$25, "data missing"),
IF('Field information 2'!$Q$5="",
   IF(Calc!BD57=0,
     IF('Waste results'!$S$25&lt;&gt;"data missing", Calc!BC57*'Waste results'!$S$25, "data missing"),
   IF(Calc!BC57=0,
     IF('Waste results'!$S$61&lt;&gt;"data missing", Calc!BD57*'Waste results'!$S$61, "data missing"),
   IF(OR('Waste results'!$S$25&lt;&gt;"data missing", 'Waste results'!$S$61&lt;&gt;"data missing"), Calc!BC57*'Waste results'!$S$25+ Calc!BD57*'Waste results'!$S$61, "data missing"))),
IF(AND('Field information 2'!$M$5&lt;&gt;"", 'Field information 2'!$O$5&lt;&gt;"", 'Field information 2'!$Q$5&lt;&gt;""),
   IF(AND(Calc!BD57=0,Calc!BE57=0),
     IF('Waste results'!$S$25&lt;&gt;"data missing", Calc!BC57*'Waste results'!$S$25, "data missing"),
   IF(AND(Calc!BC57=0,Calc!BE57=0),
     IF('Waste results'!$S$61&lt;&gt;"data missing", Calc!BD57*'Waste results'!$S$61, "data missing"),
   IF(AND(Calc!BC57=0,Calc!BD57=0),
     IF('Waste results'!$S$97&lt;&gt;"data missing", Calc!BE57*'Waste results'!$S$97, "data missing"),
   IF(Calc!BE57=0,
     IF(OR('Waste results'!$S$25&lt;&gt;"data missing", 'Waste results'!$S$61&lt;&gt;"data missing"), Calc!BC57*'Waste results'!$S$25+ Calc!BD57*'Waste results'!$S$61, "data missing"),
   IF(Calc!BD57=0,
     IF(OR('Waste results'!$S$25&lt;&gt;"data missing", 'Waste results'!$S$97&lt;&gt;"data missing"), Calc!BC57*'Waste results'!$S$25+ Calc!BE57*'Waste results'!$S$97, "data missing"),
   IF(Calc!BC57=0,
     IF(OR('Waste results'!$S$61&lt;&gt;"data missing", 'Waste results'!$S$97&lt;&gt;"data missing"), Calc!BD57*'Waste results'!$S$61+Calc!BE57*'Waste results'!$S$97, "data missing"),
   IF(OR('Waste results'!$S$25&lt;&gt;"data missing", 'Waste results'!$S$61&lt;&gt;"data missing", 'Waste results'!$S$97&lt;&gt;"data missing"), Calc!BC57*'Waste results'!$S$25+Calc!BD57*'Waste results'!$S$61+ Calc!BE57*'Waste results'!$S$97, "data missing")))))))))))</f>
        <v/>
      </c>
      <c r="AM59" s="239" t="str">
        <f ca="1">IF($B59="","",
IF(ISBLANK('Soil results'!K62),"data missing",'Soil results'!K62))</f>
        <v/>
      </c>
      <c r="AN59" s="239" t="str">
        <f t="shared" ca="1" si="6"/>
        <v/>
      </c>
      <c r="AO59" s="9" t="str">
        <f t="shared" ca="1" si="7"/>
        <v/>
      </c>
      <c r="AQ59" s="240" t="str">
        <f ca="1">IF(B59="","",
IF(AND('Field information 2'!$O$5="", 'Field information 2'!$Q$5=""),
   IF('Waste results'!$S$26&lt;&gt;"data missing", Calc!BC57*'Waste results'!$S$26, "data missing"),
IF('Field information 2'!$Q$5="",
   IF(Calc!BD57=0,
     IF('Waste results'!$S$26&lt;&gt;"data missing", Calc!BC57*'Waste results'!$S$26, "data missing"),
   IF(Calc!BC57=0,
     IF('Waste results'!$S$62&lt;&gt;"data missing", Calc!BD57*'Waste results'!$S$62, "data missing"),
   IF(OR('Waste results'!$S$26&lt;&gt;"data missing", 'Waste results'!$S$62&lt;&gt;"data missing"), Calc!BC57*'Waste results'!$S$26+ Calc!BD57*'Waste results'!$S$62, "data missing"))),
IF(AND('Field information 2'!$M$5&lt;&gt;"", 'Field information 2'!$O$5&lt;&gt;"", 'Field information 2'!$Q$5&lt;&gt;""),
   IF(AND(Calc!BD57=0,Calc!BE57=0),
     IF('Waste results'!$S$26&lt;&gt;"data missing", Calc!BC57*'Waste results'!$S$26, "data missing"),
   IF(AND(Calc!BC57=0,Calc!BE57=0),
     IF('Waste results'!$S$62&lt;&gt;"data missing", Calc!BD57*'Waste results'!$S$62, "data missing"),
   IF(AND(Calc!BC57=0,Calc!BD57=0),
     IF('Waste results'!$S$98&lt;&gt;"data missing", Calc!BE57*'Waste results'!$S$98, "data missing"),
   IF(Calc!BE57=0,
     IF(OR('Waste results'!$S$26&lt;&gt;"data missing", 'Waste results'!$S$62&lt;&gt;"data missing"), Calc!BC57*'Waste results'!$S$26+ Calc!BD57*'Waste results'!$S$62, "data missing"),
   IF(Calc!BD57=0,
     IF(OR('Waste results'!$S$26&lt;&gt;"data missing", 'Waste results'!$S$98&lt;&gt;"data missing"), Calc!BC57*'Waste results'!$S$26+ Calc!BE57*'Waste results'!$S$98, "data missing"),
   IF(Calc!BC57=0,
     IF(OR('Waste results'!$S$62&lt;&gt;"data missing", 'Waste results'!$S$98&lt;&gt;"data missing"), Calc!BD57*'Waste results'!$S$62+Calc!BE57*'Waste results'!$S$98, "data missing"),
   IF(OR('Waste results'!$S$26&lt;&gt;"data missing", 'Waste results'!$S$62&lt;&gt;"data missing", 'Waste results'!$S$98&lt;&gt;"data missing"), Calc!BC57*'Waste results'!$S$26+Calc!BD57*'Waste results'!$S$62+ Calc!BE57*'Waste results'!$S$98, "data missing")))))))))))</f>
        <v/>
      </c>
      <c r="AR59" s="241" t="str">
        <f ca="1">IF($B59="","",
IF(ISBLANK('Soil results'!L62),"data missing",'Soil results'!L62))</f>
        <v/>
      </c>
      <c r="AS59" s="241" t="str">
        <f t="shared" ca="1" si="8"/>
        <v/>
      </c>
      <c r="AT59" s="66" t="str">
        <f t="shared" ca="1" si="9"/>
        <v/>
      </c>
      <c r="AV59" s="238" t="str">
        <f ca="1">IF(B59="","",
IF(AND('Field information 2'!$O$5="", 'Field information 2'!$Q$5=""),
   IF('Waste results'!$S$27&lt;&gt;"data missing", Calc!BC57*'Waste results'!$S$27, "data missing"),
IF('Field information 2'!$Q$5="",
   IF(Calc!BD57=0,
     IF('Waste results'!$S$27&lt;&gt;"data missing", Calc!BC57*'Waste results'!$S$27, "data missing"),
   IF(Calc!BC57=0,
     IF('Waste results'!$S$63&lt;&gt;"data missing", Calc!BD57*'Waste results'!$S$63, "data missing"),
   IF(OR('Waste results'!$S$27&lt;&gt;"data missing", 'Waste results'!$S$63&lt;&gt;"data missing"), Calc!BC57*'Waste results'!$S$27+ Calc!BD57*'Waste results'!$S$63, "data missing"))),
IF(AND('Field information 2'!$M$5&lt;&gt;"", 'Field information 2'!$O$5&lt;&gt;"", 'Field information 2'!$Q$5&lt;&gt;""),
   IF(AND(Calc!BD57=0,Calc!BE57=0),
     IF('Waste results'!$S$27&lt;&gt;"data missing", Calc!BC57*'Waste results'!$S$27, "data missing"),
   IF(AND(Calc!BC57=0,Calc!BE57=0),
     IF('Waste results'!$S$63&lt;&gt;"data missing", Calc!BD57*'Waste results'!$S$63, "data missing"),
   IF(AND(Calc!BC57=0,Calc!BD57=0),
     IF('Waste results'!$S$99&lt;&gt;"data missing", Calc!BE57*'Waste results'!$S$99, "data missing"),
   IF(Calc!BE57=0,
     IF(OR('Waste results'!$S$27&lt;&gt;"data missing", 'Waste results'!$S$63&lt;&gt;"data missing"), Calc!BC57*'Waste results'!$S$27+ Calc!BD57*'Waste results'!$S$63, "data missing"),
   IF(Calc!BD57=0,
     IF(OR('Waste results'!$S$27&lt;&gt;"data missing", 'Waste results'!$S$99&lt;&gt;"data missing"), Calc!BC57*'Waste results'!$S$27+ Calc!BE57*'Waste results'!$S$99, "data missing"),
   IF(Calc!BC57=0,
     IF(OR('Waste results'!$S$63&lt;&gt;"data missing", 'Waste results'!$S$99&lt;&gt;"data missing"), Calc!BD57*'Waste results'!$S$63+Calc!BE57*'Waste results'!$S$99, "data missing"),
   IF(OR('Waste results'!$S$27&lt;&gt;"data missing", 'Waste results'!$S$63&lt;&gt;"data missing", 'Waste results'!$S$99&lt;&gt;"data missing"), Calc!BC57*'Waste results'!$S$27+Calc!BD57*'Waste results'!$S$63+ Calc!BE57*'Waste results'!$S$99, "data missing")))))))))))</f>
        <v/>
      </c>
      <c r="AW59" s="239" t="str">
        <f ca="1">IF($B59="","",
IF(ISBLANK('Soil results'!M62),"data missing",'Soil results'!M62))</f>
        <v/>
      </c>
      <c r="AX59" s="239" t="str">
        <f t="shared" ca="1" si="10"/>
        <v/>
      </c>
      <c r="AY59" s="9" t="str">
        <f ca="1">IF(B59="","",
IF(AV59=0,"n/a",
IF(OR(AV59="data missing",AW59="data missing"),"data missing",
IF(AV59&gt;7.5,"application rate too high - permissible rate exceeds limit",
IF('Soil results'!$F62&lt;=5.5,
  IF(AW59&gt;80,"no application - soil conc. already above limit",
  IF(AX59&gt;80,"application rate too high - soil conc. will exceed limit",
  IF(AW59&gt;80*0.9,"soil conc. is at or above 90% of the limit",
  IF(10*AV59*1000/3000+AW59&gt;80,"soil limit likely to be exceeded in 10yrs",
  IF(50*AV59*1000/3000+AW59&gt;80,"soil limit likely to be exceeded in 50yrs","ok"))))),
IF('Soil results'!$F62&lt;=6,
  IF(AW59&gt;100,"no application - soil conc. already above limit",
  IF(AX59&gt;100,"application rate too high - soil conc. will exceed limit",
  IF(AW59&gt;100*0.9,"soil conc. is at or above 90% of the limit",
  IF(10*AV59*1000/3000+AW59&gt;100,"soil limit likely to be exceeded in 10yrs",
  IF(50*AV59*1000/3000+AW59&gt;100,"soil limit likely to be exceeded in 50yrs","ok"))))),
IF('Soil results'!$F62&lt;=7,
  IF(AW59&gt;135,"no application - soil conc. already above limit",
  IF(AX59&gt;135,"application rate too high - soil conc. will exceed limit",
  IF(AW59&gt;135*0.9,"soil conc. is at or above 90% of the limit",
  IF(10*AV59*1000/3000+AW59&gt;135,"soil limit likely to be exceeded in 10yrs",
  IF(50*AV59*1000/3000+AW59&gt;135,"soil limit likely to be exceeded in 50yrs","ok"))))),
IF('Soil results'!$F62&gt;7,
  IF(AW59&gt;200,"no application - soil conc. already above limit",
  IF(AX59&gt;200,"application too high - soil conc. will exceed limit",
  IF(AW59&gt;200*0.9,"soil conc. is at or above 90% of the limit",
  IF(10*AV59*1000/3000+AW59&gt;200,"soil limit likely to be exceeded in 10yrs",
  IF(50*AV59*1000/3000+AW59&gt;200,"soil limit likely to be exceeded in 50yrs","ok")))))
))))))))</f>
        <v/>
      </c>
      <c r="BA59" s="238" t="str">
        <f ca="1">IF(B59="","",
IF(AND('Field information 2'!$O$5="", 'Field information 2'!$Q$5=""),
   IF('Waste results'!$S$28&lt;&gt;"data missing", Calc!BC57*'Waste results'!$S$28, "data missing"),
IF('Field information 2'!$Q$5="",
   IF(Calc!BD57=0,
     IF('Waste results'!$S$28&lt;&gt;"data missing", Calc!BC57*'Waste results'!$S$28, "data missing"),
   IF(Calc!BC57=0,
     IF('Waste results'!$S$64&lt;&gt;"data missing", Calc!BD57*'Waste results'!$S$64, "data missing"),
   IF(OR('Waste results'!$S$28&lt;&gt;"data missing", 'Waste results'!$S$64&lt;&gt;"data missing"), Calc!BC57*'Waste results'!$S$28+ Calc!BD57*'Waste results'!$S$64, "data missing"))),
IF(AND('Field information 2'!$M$5&lt;&gt;"", 'Field information 2'!$O$5&lt;&gt;"", 'Field information 2'!$Q$5&lt;&gt;""),
   IF(AND(Calc!BD57=0,Calc!BE57=0),
     IF('Waste results'!$S$28&lt;&gt;"data missing", Calc!BC57*'Waste results'!$S$28, "data missing"),
   IF(AND(Calc!BC57=0,Calc!BE57=0),
     IF('Waste results'!$S$64&lt;&gt;"data missing", Calc!BD57*'Waste results'!$S$64, "data missing"),
   IF(AND(Calc!BC57=0,Calc!BD57=0),
     IF('Waste results'!$S$100&lt;&gt;"data missing", Calc!BE57*'Waste results'!$S$100, "data missing"),
   IF(Calc!BE57=0,
     IF(OR('Waste results'!$S$28&lt;&gt;"data missing", 'Waste results'!$S$64&lt;&gt;"data missing"), Calc!BC57*'Waste results'!$S$28+ Calc!BD57*'Waste results'!$S$64, "data missing"),
   IF(Calc!BD57=0,
     IF(OR('Waste results'!$S$28&lt;&gt;"data missing", 'Waste results'!$S$100&lt;&gt;"data missing"), Calc!BC57*'Waste results'!$S$28+ Calc!BE57*'Waste results'!$S$100, "data missing"),
   IF(Calc!BC57=0,
     IF(OR('Waste results'!$S$64&lt;&gt;"data missing", 'Waste results'!$S$100&lt;&gt;"data missing"), Calc!BD57*'Waste results'!$S$64+Calc!BE57*'Waste results'!$S$100, "data missing"),
   IF(OR('Waste results'!$S$28&lt;&gt;"data missing", 'Waste results'!$S$64&lt;&gt;"data missing", 'Waste results'!$S$100&lt;&gt;"data missing"), Calc!BC57*'Waste results'!$S$28+Calc!BD57*'Waste results'!$S$64+ Calc!BE57*'Waste results'!$S$100, "data missing")))))))))))</f>
        <v/>
      </c>
      <c r="BB59" s="239" t="str">
        <f ca="1">IF($B59="","",
IF(ISBLANK('Soil results'!N62),"data missing",'Soil results'!N62))</f>
        <v/>
      </c>
      <c r="BC59" s="239" t="str">
        <f t="shared" ca="1" si="11"/>
        <v/>
      </c>
      <c r="BD59" s="9" t="str">
        <f t="shared" ca="1" si="12"/>
        <v/>
      </c>
      <c r="BF59" s="238" t="str">
        <f ca="1">IF(B59="","",
IF(AND('Field information 2'!$O$5="", 'Field information 2'!$Q$5=""),
   IF('Waste results'!$S$29&lt;&gt;"data missing", Calc!BC57*'Waste results'!$S$29, "data missing"),
IF('Field information 2'!$Q$5="",
   IF(Calc!BD57=0,
     IF('Waste results'!$S$29&lt;&gt;"data missing", Calc!BC57*'Waste results'!$S$29, "data missing"),
   IF(Calc!BC57=0,
     IF('Waste results'!$S$65&lt;&gt;"data missing", Calc!BD57*'Waste results'!$S$65, "data missing"),
   IF(OR('Waste results'!$S$29&lt;&gt;"data missing", 'Waste results'!$S$65&lt;&gt;"data missing"), Calc!BC57*'Waste results'!$S$29+ Calc!BD57*'Waste results'!$S$65, "data missing"))),
IF(AND('Field information 2'!$M$5&lt;&gt;"", 'Field information 2'!$O$5&lt;&gt;"", 'Field information 2'!$Q$5&lt;&gt;""),
   IF(AND(Calc!BD57=0,Calc!BE57=0),
     IF('Waste results'!$S$29&lt;&gt;"data missing", Calc!BC57*'Waste results'!$S$29, "data missing"),
   IF(AND(Calc!BC57=0,Calc!BE57=0),
     IF('Waste results'!$S$65&lt;&gt;"data missing", Calc!BD57*'Waste results'!$S$65, "data missing"),
   IF(AND(Calc!BC57=0,Calc!BD57=0),
     IF('Waste results'!$S$101&lt;&gt;"data missing", Calc!BE57*'Waste results'!$S$101, "data missing"),
   IF(Calc!BE57=0,
     IF(OR('Waste results'!$S$29&lt;&gt;"data missing", 'Waste results'!$S$65&lt;&gt;"data missing"), Calc!BC57*'Waste results'!$S$29+ Calc!BD57*'Waste results'!$S$65, "data missing"),
   IF(Calc!BD57=0,
     IF(OR('Waste results'!$S$29&lt;&gt;"data missing", 'Waste results'!$S$101&lt;&gt;"data missing"), Calc!BC57*'Waste results'!$S$29+ Calc!BE57*'Waste results'!$S$101, "data missing"),
   IF(Calc!BC57=0,
     IF(OR('Waste results'!$S$65&lt;&gt;"data missing", 'Waste results'!$S$101&lt;&gt;"data missing"), Calc!BD57*'Waste results'!$S$65+Calc!BE57*'Waste results'!$S$101, "data missing"),
   IF(OR('Waste results'!$S$29&lt;&gt;"data missing", 'Waste results'!$S$65&lt;&gt;"data missing", 'Waste results'!$S$101&lt;&gt;"data missing"), Calc!BC57*'Waste results'!$S$29+Calc!BD57*'Waste results'!$S$65+ Calc!BE57*'Waste results'!$S$101, "data missing")))))))))))</f>
        <v/>
      </c>
      <c r="BG59" s="239" t="str">
        <f ca="1">IF($B59="","",
IF(ISBLANK('Soil results'!O62),"data missing",'Soil results'!O62))</f>
        <v/>
      </c>
      <c r="BH59" s="239" t="str">
        <f t="shared" ca="1" si="13"/>
        <v/>
      </c>
      <c r="BI59" s="9" t="str">
        <f ca="1">IF(B59="","",
IF(BF59=0,"n/a",
IF(OR(BF59="data missing",BG59="data missing"),"data missing",
IF(BF59&gt;3,"application rate too high - permissible rate exceeds limit",
IF('Soil results'!F62&lt;=5.5,
  IF(BG59&gt;50,"no application - soil conc. already above limit",
  IF(BH59&gt;50,"application rate too high - soil conc. will exceed limit",
  IF(BG59&gt;50*0.9,"soil conc. is at or above 90% of the limit",
  IF(10*BF59*1000/3000+BG59&gt;50,"soil limit likely to be exceeded in 10yrs",
  IF(50*BF59*1000/3000+BG59&gt;50,"soil limit likely to be exceeded in 50yrs","ok"))))),
IF('Soil results'!F62&lt;=6,
  IF(BG59&gt;60,"no application - soil conc. already above limit",
  IF(BH59&gt;60,"application rate too high - soil conc. will exceed limit",
  IF(BG59&gt;60*0.9,"soil conc. is at or above 90% of the limit",
  IF(10*BF59*1000/3000+BG59&gt;60,"soil limit likely to be exceeded in 10yrs",
  IF(50*BF59*1000/3000+BG59&gt;60,"soil limit likely to be exceeded in 50yrs","ok"))))),
IF('Soil results'!F62&lt;=7,
  IF(BG59&gt;75,"no application - soil conc. already above limit",
  IF(BH59&gt;75,"application rate too high - soil conc. will exceed limit",
  IF(BG59&gt;75*0.9,"soil conc. is at or above 90% of the limit",
  IF(10*BF59*1000/3000+BG59&gt;75,"soil limit likely to be exceeded in 10yrs",
  IF(50*BF59*1000/3000+BG59&gt;75,"soil limit likely to be exceeded in 50yrs","ok"))))),
IF('Soil results'!F62&gt;7,
  IF(BG59&gt;100,"no application - soil conc. already above limit",
  IF(BH59&gt;100,"application rate too high - soil conc. will exceed limit",
  IF(BG59&gt;100*0.9,"soil conc. is at or above 90% of the limit",
  IF(10*BF59*1000/3000+BG59&gt;100,"soil limit likely to be exceeded in 10yrs",
  IF(50*BF59*1000/3000+BG59&gt;100,"soil limit likely to beexceeded in 50yrs","ok")))))
))))))))</f>
        <v/>
      </c>
      <c r="BK59" s="240" t="str">
        <f ca="1">IF(B59="","",
IF(AND('Field information 2'!$O$5="", 'Field information 2'!$Q$5=""),
   IF('Waste results'!$S$30&lt;&gt;"data missing", Calc!BC57*'Waste results'!$S$30, "data missing"),
IF('Field information 2'!$Q$5="",
   IF(Calc!BD57=0,
     IF('Waste results'!$S$30&lt;&gt;"data missing", Calc!BC57*'Waste results'!$S$30, "data missing"),
   IF(Calc!BC57=0,
     IF('Waste results'!$S$66&lt;&gt;"data missing", Calc!BD57*'Waste results'!$S$66, "data missing"),
   IF(OR('Waste results'!$S$30&lt;&gt;"data missing", 'Waste results'!$S$66&lt;&gt;"data missing"), Calc!BC57*'Waste results'!$S$30+ Calc!BD57*'Waste results'!$S$66, "data missing"))),
IF(AND('Field information 2'!$M$5&lt;&gt;"", 'Field information 2'!$O$5&lt;&gt;"", 'Field information 2'!$Q$5&lt;&gt;""),
   IF(AND(Calc!BD57=0,Calc!BE57=0),
     IF('Waste results'!$S$30&lt;&gt;"data missing", Calc!BC57*'Waste results'!$S$30, "data missing"),
   IF(AND(Calc!BC57=0,Calc!BE57=0),
     IF('Waste results'!$S$66&lt;&gt;"data missing", Calc!BD57*'Waste results'!$S$66, "data missing"),
   IF(AND(Calc!BC57=0,Calc!BD57=0),
     IF('Waste results'!$S$102&lt;&gt;"data missing", Calc!BE57*'Waste results'!$S$102, "data missing"),
   IF(Calc!BE57=0,
     IF(OR('Waste results'!$S$30&lt;&gt;"data missing", 'Waste results'!$S$66&lt;&gt;"data missing"), Calc!BC57*'Waste results'!$S$30+ Calc!BD57*'Waste results'!$S$66, "data missing"),
   IF(Calc!BD57=0,
     IF(OR('Waste results'!$S$30&lt;&gt;"data missing", 'Waste results'!$S$102&lt;&gt;"data missing"), Calc!BC57*'Waste results'!$S$30+ Calc!BE57*'Waste results'!$S$102, "data missing"),
   IF(Calc!BC57=0,
     IF(OR('Waste results'!$S$66&lt;&gt;"data missing", 'Waste results'!$S$102&lt;&gt;"data missing"), Calc!BD57*'Waste results'!$S$66+Calc!BE57*'Waste results'!$S$102, "data missing"),
   IF(OR('Waste results'!$S$30&lt;&gt;"data missing", 'Waste results'!$S$66&lt;&gt;"data missing", 'Waste results'!$S$102&lt;&gt;"data missing"), Calc!BC57*'Waste results'!$S$30+Calc!BD57*'Waste results'!$S$66+ Calc!BE57*'Waste results'!$S$102, "data missing")))))))))))</f>
        <v/>
      </c>
      <c r="BL59" s="241" t="str">
        <f ca="1">IF($B59="","",
IF(ISBLANK('Soil results'!P62),"data missing",'Soil results'!P62))</f>
        <v/>
      </c>
      <c r="BM59" s="241" t="str">
        <f t="shared" ca="1" si="14"/>
        <v/>
      </c>
      <c r="BN59" s="66" t="str">
        <f t="shared" ca="1" si="15"/>
        <v/>
      </c>
      <c r="BP59" s="238" t="str">
        <f ca="1">IF(B59="","",
IF(AND('Field information 2'!$O$5="", 'Field information 2'!$Q$5=""),
   IF('Waste results'!$S$31&lt;&gt;"data missing", Calc!BC57*'Waste results'!$S$31, "data missing"),
IF('Field information 2'!$Q$5="",
   IF(Calc!BD57=0,
     IF('Waste results'!$S$31&lt;&gt;"data missing", Calc!BC57*'Waste results'!$S$31, "data missing"),
   IF(Calc!BC57=0,
     IF('Waste results'!$S$67&lt;&gt;"data missing", Calc!BD57*'Waste results'!$S$67, "data missing"),
   IF(OR('Waste results'!$S$31&lt;&gt;"data missing", 'Waste results'!$S$67&lt;&gt;"data missing"), Calc!BC57*'Waste results'!$S$31+ Calc!BD57*'Waste results'!$S$67, "data missing"))),
IF(AND('Field information 2'!$M$5&lt;&gt;"", 'Field information 2'!$O$5&lt;&gt;"", 'Field information 2'!$Q$5&lt;&gt;""),
   IF(AND(Calc!BD57=0,Calc!BE57=0),
     IF('Waste results'!$S$31&lt;&gt;"data missing", Calc!BC57*'Waste results'!$S$31, "data missing"),
   IF(AND(Calc!BC57=0,Calc!BE57=0),
     IF('Waste results'!$S$67&lt;&gt;"data missing", Calc!BD57*'Waste results'!$S$67, "data missing"),
   IF(AND(Calc!BC57=0,Calc!BD57=0),
     IF('Waste results'!$S$103&lt;&gt;"data missing", Calc!BE57*'Waste results'!$S$103, "data missing"),
   IF(Calc!BE57=0,
     IF(OR('Waste results'!$S$31&lt;&gt;"data missing", 'Waste results'!$S$67&lt;&gt;"data missing"), Calc!BC57*'Waste results'!$S$31+ Calc!BD57*'Waste results'!$S$67, "data missing"),
   IF(Calc!BD57=0,
     IF(OR('Waste results'!$S$31&lt;&gt;"data missing", 'Waste results'!$S$103&lt;&gt;"data missing"), Calc!BC57*'Waste results'!$S$31+ Calc!BE57*'Waste results'!$S$103, "data missing"),
   IF(Calc!BC57=0,
     IF(OR('Waste results'!$S$67&lt;&gt;"data missing", 'Waste results'!$S$103&lt;&gt;"data missing"), Calc!BD57*'Waste results'!$S$67+Calc!BE57*'Waste results'!$S$103, "data missing"),
   IF(OR('Waste results'!$S$31&lt;&gt;"data missing", 'Waste results'!$S$67&lt;&gt;"data missing", 'Waste results'!$S$103&lt;&gt;"data missing"), Calc!BC57*'Waste results'!$S$31+Calc!BD57*'Waste results'!$S$67+ Calc!BE57*'Waste results'!$S$103, "data missing")))))))))))</f>
        <v/>
      </c>
      <c r="BQ59" s="239" t="str">
        <f ca="1">IF($B59="","",
IF(ISBLANK('Soil results'!Q62),"data missing",'Soil results'!Q62))</f>
        <v/>
      </c>
      <c r="BR59" s="239" t="str">
        <f t="shared" ca="1" si="16"/>
        <v/>
      </c>
      <c r="BS59" s="9" t="str">
        <f ca="1">IF(B59="","",
IF(BP59=0,"n/a",
IF(OR(BP59="data missing",BQ59=""),"data missing",
IF(BP59&gt;15,"application rate too high - permissible rate exceeds limit",
IF('Soil results'!F62&lt;=5.5,
  IF(BQ59&gt;200,"no application - soil conc. already above limit",
  IF(BR59&gt;200,"application rate too high - soil conc. will exceed limit",
  IF(BQ59&gt;200*0.9,"soil conc. is at or above 90% of the limit",
  IF(10*BP59*1000/3000+BQ59&gt;200,"soil limit likely to be exceeded in 10yrs",
  IF(50*BP59*1000/3000+BQ59&gt;200,"soil limit likely to be exceeded in 50yrs","ok"))))),
IF('Soil results'!F62&lt;=6,
  IF(BQ59&gt;250,"no application - soil conc. already above limit",
  IF(BR59&gt;250,"application rate too high - soil conc. will exceed limit",
  IF(BQ59&gt;250*0.9,"soil conc. is at or above 90% of the limit",
  IF(10*BP59*1000/3000+BQ59&gt;250,"soil limit likely to be exceeded in 10yrs",
  IF(50*BP59*1000/3000+BQ59&gt;250,"soil limit likely to be exceeded in 50yrs","ok"))))),
IF('Soil results'!F62&lt;=7,
  IF(BQ59&gt;300,"no application - soil conc. already above limit",
  IF(BR59&gt;300,"application rate too high - soil conc. will exceed limit",
  IF(BQ59&gt;300*0.9,"soil conc. is at or above 90% of the limit",
  IF(10*BP59*1000/3000+BQ59&gt;300,"soil limit likey to be exceeded in 10yrs",
  IF(50*BP59*1000/3000+BQ59&gt;300,"soil limit likely to be exceeded in 50yrs","ok"))))),
IF('Soil results'!F62&gt;7,
  IF(BQ59&gt;450,"no application - soil conc. already above limit",
  IF(BR59&gt;450,"application rate too high - soil conc. will exceed limit",
  IF(AW59&gt;450*0.9,"soil conc. is at or above 90% of the limit",
  IF(10*BP59*1000/3000+BQ59&gt;450,"soil limit likely to be exceeded in 10yrs",
  IF(50*BP59*1000/3000+BQ59&gt;450,"soil limit likely to be exceeded in 50yrs","ok")))))
))))))))</f>
        <v/>
      </c>
    </row>
    <row r="60" spans="2:71" s="9" customFormat="1" ht="15" x14ac:dyDescent="0.25">
      <c r="B60" s="236" t="str">
        <f ca="1">'Soil results'!B63</f>
        <v/>
      </c>
      <c r="C60" s="91" t="str">
        <f ca="1">IF(B60="","",
IF(AND('Field information 2'!$O$5="", 'Field information 2'!$Q$5=""),
   IF('Waste results'!$S$12&lt;&gt;"data missing", Calc!BC58*'Waste results'!$S$12, "data missing"),
IF('Field information 2'!$Q$5="",
   IF(Calc!BD58=0,
     IF('Waste results'!$S$12&lt;&gt;"data missing", Calc!BC58*'Waste results'!$S$12, "data missing"),
   IF(Calc!BC58=0,
     IF('Waste results'!$S$48&lt;&gt;"data missing", Calc!BD58*'Waste results'!$S$48, "data missing"),
   IF(OR('Waste results'!$S$12&lt;&gt;"data missing", 'Waste results'!$S$48&lt;&gt;"data missing"), Calc!BC58*'Waste results'!$S$12+ Calc!BD58*'Waste results'!$S$48, "data missing"))),
IF(AND('Field information 2'!$M$5&lt;&gt;"", 'Field information 2'!$O$5&lt;&gt;"", 'Field information 2'!$Q$5&lt;&gt;""),
   IF(AND(Calc!BD58=0,Calc!BE58=0),
     IF('Waste results'!$S$12&lt;&gt;"data missing", Calc!BC58*'Waste results'!$S$12, "data missing"),
   IF(AND(Calc!BC58=0,Calc!BE58=0),
     IF('Waste results'!$S$48&lt;&gt;"data missing", Calc!BD58*'Waste results'!$S$48, "data missing"),
   IF(AND(Calc!BC58=0,Calc!BD58=0),
     IF('Waste results'!$S$84&lt;&gt;"data missing", Calc!BE58*'Waste results'!$S$84, "data missing"),
   IF(Calc!BE58=0,
     IF(OR('Waste results'!$S$12&lt;&gt;"data missing", 'Waste results'!$S$48&lt;&gt;"data missing"), Calc!BC58*'Waste results'!$S$12+ Calc!BD58*'Waste results'!$S$48, "data missing"),
   IF(Calc!BD58=0,
     IF(OR('Waste results'!$S$12&lt;&gt;"data missing", 'Waste results'!$S$84&lt;&gt;"data missing"), Calc!BC58*'Waste results'!$S$12+ Calc!BE58*'Waste results'!$S$84, "data missing"),
   IF(Calc!BC58=0,
     IF(OR('Waste results'!$S$48&lt;&gt;"data missing", 'Waste results'!$S$84&lt;&gt;"data missing"), Calc!BD58*'Waste results'!$S$48+Calc!BE58*'Waste results'!$S$84, "data missing"),
   IF(OR('Waste results'!$S$12&lt;&gt;"data missing", 'Waste results'!$S$48&lt;&gt;"data missing", 'Waste results'!$S$84&lt;&gt;"data missing"), Calc!BC58*'Waste results'!$S$12+Calc!BD58*'Waste results'!$S$48+ Calc!BE58*'Waste results'!$S$84, "data missing")))))))))))</f>
        <v/>
      </c>
      <c r="D60" s="161" t="str">
        <f ca="1">IF(B60="","",
IF(Calc!BG58="","soil texture missing",
IF(OR(Calc!BG58="SL; SZL; ZL",Calc!BG58="SCL; CL; ZCL; SC; ZC; C"),VLOOKUP(Calc!BI58,'Fertiliser recommendations'!$A$4:$C$63,3,FALSE),
IF(Calc!BG58="S; LS",VLOOKUP(Calc!BI58,'Fertiliser recommendations'!$A$4:$C$63,3,FALSE)+VLOOKUP(Calc!BI58,'Fertiliser recommendations'!$A$4:$D$63,4,FALSE),
IF(Calc!BG58="10-25% OM",VLOOKUP(Calc!BI58,'Fertiliser recommendations'!$A$4:$C$63,3,FALSE)+VLOOKUP(Calc!BI58,'Fertiliser recommendations'!$A$4:$E$63,5,FALSE),
IF(Calc!BG58="&gt;25% OM",VLOOKUP(Calc!BI58,'Fertiliser recommendations'!$A$4:$C$63,3,FALSE)+VLOOKUP(Calc!BI58,'Fertiliser recommendations'!$A$4:$F$63,6,FALSE),
""))))))</f>
        <v/>
      </c>
      <c r="E60" s="91" t="str">
        <f t="shared" ca="1" si="0"/>
        <v/>
      </c>
      <c r="F60" s="9" t="str">
        <f ca="1">IF(B60="","",
IF(OR(C60="data missing",D60="soil texture missing"),"data missing",
IF(Calc!BF58=0,"n/a",
IF(C60&lt;0.1*D60,"no benefit",
IF(C60&lt;0.3*D60,"limited benefit",
IF(C60&gt;250,"exceeds limit",
IF(OR(AND(D60=0,C60&gt;75),C60&gt;1.25*D60),"excessive",
IF(D60=0, "no requirement",
"benefit"))))))))</f>
        <v/>
      </c>
      <c r="H60" s="91" t="str">
        <f ca="1">IF(B60="","",
IF(AND('Field information 2'!$O$5="", 'Field information 2'!$Q$5=""),
   IF('Waste results'!$S$17&lt;&gt;"data missing", Calc!BC58*'Waste results'!$S$17, "data missing"),
IF('Field information 2'!$Q$5="",
   IF(Calc!BD58=0,
     IF('Waste results'!$S$17&lt;&gt;"data missing", Calc!BC58*'Waste results'!$S$17, "data missing"),
   IF(Calc!BC58=0,
     IF('Waste results'!$S$53&lt;&gt;"data missing", Calc!BD58*'Waste results'!$S$53, "data missing"),
   IF(OR('Waste results'!$S$17&lt;&gt;"data missing", 'Waste results'!$S$53&lt;&gt;"data missing"), Calc!BC58*'Waste results'!$S$17+ Calc!BD58*'Waste results'!$S$53, "data missing"))),
IF(AND('Field information 2'!$M$5&lt;&gt;"", 'Field information 2'!$O$5&lt;&gt;"", 'Field information 2'!$Q$5&lt;&gt;""),
   IF(AND(Calc!BD58=0,Calc!BE58=0),
     IF('Waste results'!$S$17&lt;&gt;"data missing", Calc!BC58*'Waste results'!$S$17, "data missing"),
   IF(AND(Calc!BC58=0,Calc!BE58=0),
     IF('Waste results'!$S$53&lt;&gt;"data missing", Calc!BD58*'Waste results'!$S$53, "data missing"),
   IF(AND(Calc!BC58=0,Calc!BD58=0),
     IF('Waste results'!$S$89&lt;&gt;"data missing", Calc!BE58*'Waste results'!$S$89, "data missing"),
   IF(Calc!BE58=0,
     IF(OR('Waste results'!$S$17&lt;&gt;"data missing", 'Waste results'!$S$53&lt;&gt;"data missing"), Calc!BC58*'Waste results'!$S$17+ Calc!BD58*'Waste results'!$S$53, "data missing"),
   IF(Calc!BD58=0,
     IF(OR('Waste results'!$S$17&lt;&gt;"data missing", 'Waste results'!$S$89&lt;&gt;"data missing"), Calc!BC58*'Waste results'!$S$17+ Calc!BE58*'Waste results'!$S$89, "data missing"),
   IF(Calc!BC58=0,
     IF(OR('Waste results'!$S$53&lt;&gt;"data missing", 'Waste results'!$S$89&lt;&gt;"data missing"), Calc!BD58*'Waste results'!$S$53+Calc!BE58*'Waste results'!$S$89, "data missing"),
   IF(OR('Waste results'!$S$17&lt;&gt;"data missing", 'Waste results'!$S$53&lt;&gt;"data missing", 'Waste results'!$S$89&lt;&gt;"data missing"), Calc!BC58*'Waste results'!$S$17+Calc!BD58*'Waste results'!$S$53+ Calc!BE58*'Waste results'!$S$89, "data missing")))))))))))</f>
        <v/>
      </c>
      <c r="I60" s="195" t="str">
        <f ca="1">IF(B60="","",
IF(OR(ISBLANK('Soil results'!G63), ISBLANK('Soil results'!G$7)),"data missing",
IF(OR(AND('Soil results'!G$7="Olsen (ADAS)",'Soil results'!G63&lt;16),AND('Soil results'!G$7="modified Morgan (SAC)",'Soil results'!G63&lt;4.5)),50,100)))</f>
        <v/>
      </c>
      <c r="J60" s="49" t="str">
        <f ca="1">IF(B60="","",
IF(OR(ISBLANK('Soil results'!G$7),ISBLANK('Soil results'!G63)),"data missing",
IF(OR(AND('Soil results'!G$7="Olsen (ADAS)",'Soil results'!G63&gt;45),AND('Soil results'!G$7="modified Morgan (SAC)",'Soil results'!G63&gt;30)),0,
IF(OR(AND('Soil results'!G$7="Olsen (ADAS)",'Soil results'!G63&gt;=16,'Soil results'!G63&lt;=20),AND('Soil results'!G$7="modified Morgan (SAC)",'Soil results'!G63&gt;=4.5,'Soil results'!G63&lt;=9.4)),VLOOKUP(Calc!BI58,'Fertiliser recommendations'!$A$4:$I$63,9,FALSE),
IF(OR(AND('Soil results'!G$7="Olsen (ADAS)",'Soil results'!G63&lt;10),AND('Soil results'!G$7="modified Morgan (SAC)",'Soil results'!G63&lt;1.8)),VLOOKUP(Calc!BI58,'Fertiliser recommendations'!$A$4:$I$63,9,FALSE)+VLOOKUP(Calc!BI58,'Fertiliser recommendations'!$A$4:$J$63,10,FALSE),
IF(OR(AND('Soil results'!G$7="Olsen (ADAS)",'Soil results'!G63&lt;16),AND('Soil results'!G$7="modified Morgan (SAC)",'Soil results'!G63&lt;4.5)),VLOOKUP(Calc!BI58,'Fertiliser recommendations'!$A$4:$I$63,9,FALSE)+VLOOKUP(Calc!BI58,'Fertiliser recommendations'!$A$4:$K$63,11,FALSE),
IF(OR(AND('Soil results'!G$7="Olsen (ADAS)",'Soil results'!G63&lt;26),AND('Soil results'!G$7="modified Morgan (SAC)",'Soil results'!G63&lt;13.5)),VLOOKUP(Calc!BI58,'Fertiliser recommendations'!$A$4:$I$63,9,FALSE)+VLOOKUP(Calc!BI58,'Fertiliser recommendations'!$A$4:$L$63,12,FALSE),
IF(OR(AND('Soil results'!G$7="Olsen (ADAS)",'Soil results'!G63&lt;=45),AND('Soil results'!G$7="modified Morgan (SAC)",'Soil results'!G63&lt;=30)),VLOOKUP(Calc!BI58,'Fertiliser recommendations'!$A$4:$I$63,9,FALSE)+VLOOKUP(Calc!BI58,'Fertiliser recommendations'!$A$4:$M$63,13,FALSE),
""))))))))</f>
        <v/>
      </c>
      <c r="K60" s="161" t="str">
        <f t="shared" ca="1" si="1"/>
        <v/>
      </c>
      <c r="L60" s="47" t="str">
        <f ca="1">IF(OR(ISBLANK('Soil results'!G$7),ISBLANK('Soil results'!G63),B60="", H60="data missing"),"",
IF('Soil results'!G$7="Olsen (ADAS)",
IF(((H60*Calc!BM58/2.291-(VLOOKUP(Calc!BI58,'Fertiliser recommendations'!$A$4:$I$63,9,FALSE))/2.291)*10/(400/2.291)+'Soil results'!G63)&lt;10,"0 (VL)",
IF(((H60*Calc!BM58/2.291-(VLOOKUP(Calc!BI58,'Fertiliser recommendations'!$A$4:$I$63,9,FALSE))/2.291)*10/(400/2.291)+'Soil results'!G63)&lt;16,"1 (L)",
IF(((H60*Calc!BM58/2.291-(VLOOKUP(Calc!BI58,'Fertiliser recommendations'!$A$4:$I$63,9,FALSE))/2.291)*10/(400/2.291)+'Soil results'!G63)&lt;21,"2 (M-)",
IF(((H60*Calc!BM58/2.291-(VLOOKUP(Calc!BI58,'Fertiliser recommendations'!$A$4:$I$63,9,FALSE))/2.291)*10/(400/2.291)+'Soil results'!G63)&lt;26,"2 (M+)",
IF(((H60*Calc!BM58/2.291-(VLOOKUP(Calc!BI58,'Fertiliser recommendations'!$A$4:$I$63,9,FALSE))/2.291)*10/(400/2.291)+'Soil results'!G63)&lt;45,"3 (H)","&gt;3 (VH)"))))),
IF('Soil results'!G$7="modified Morgan (SAC)",
IF('Soil results'!G63&gt;=6,
IF(((H60*Calc!BM58/2.291-(VLOOKUP(Calc!BI58,'Fertiliser recommendations'!$A$4:$I$63,9,FALSE))/2.291)*5/(147/2.291)+'Soil results'!G63)&lt;9.5,"2 (M-)",
IF(((H60*Calc!BM58/2.291-(VLOOKUP(Calc!BI58,'Fertiliser recommendations'!$A$4:$I$63,9,FALSE))/2.291)*5/(147/2.291)+'Soil results'!G63)&lt;13.5,"2 (M+)",
IF(((H60*Calc!BM58/2.291-(VLOOKUP(Calc!BI58,'Fertiliser recommendations'!$A$4:$I$63,9,FALSE))/2.291)*5/(147/2.291)+'Soil results'!G63)&lt;30,"3 (H)","4 (VH)"))),
IF(((H60*Calc!BM58/2.291-(VLOOKUP(Calc!BI58,'Fertiliser recommendations'!$A$4:$I$63,9,FALSE))/2.291)*5/(346/2.291)+'Soil results'!G63)&lt;1.8,"0 (VL)",
IF(((H60*Calc!BM58/2.291-(VLOOKUP(Calc!BI58,'Fertiliser recommendations'!$A$4:$I$63,9,FALSE))/2.291)*5/(147/2.291)+'Soil results'!G63)&lt;4.5,"1 (L)","2 (M-)"))))))</f>
        <v/>
      </c>
      <c r="M60" s="9" t="str">
        <f ca="1">IF(B60="","",
IF(OR(H60="data missing",I60="data missing",J60="data missing"),"data missing",
IF(Calc!BF58=0,"n/a",
IF(OR(AND('Soil results'!G$7="Olsen (ADAS)",'Soil results'!G63&gt;45),AND('Soil results'!G$7="modified Morgan (SAC)",'Soil results'!G63&gt;30)),
IF(H60&gt;2,"too high, not acceptable","no requirement"),IF(OR(AND('Soil results'!G$7="Olsen (ADAS)",'Soil results'!G63&gt;25),AND('Soil results'!G$7="modified Morgan (SAC)",'Soil results'!G63&gt;13.4)),
IF(H60*(I60/100)&lt;0.1*J60,"no benefit",
IF(H60*(I60/100)&lt;0.3*J60,"limited benefit",
IF(H60*(I60/100)&lt;1.1*J60,"benefit",
IF(H60*(I60/100)&lt;0.7*VLOOKUP(Calc!BI58,'Fertiliser recommendations'!$A$4:$I$63,9,FALSE),"excessive","too high, not acceptable")))),
IF(OR(AND('Soil results'!G$7="Olsen (ADAS)",'Soil results'!G63&gt;20),AND('Soil results'!G$7="modified Morgan (SAC)",'Soil results'!G63&gt;9.4)),
IF(H60*Calc!BM58*(I60/100)&lt;0.1*J60,"no benefit",
IF(H60*Calc!BM58*(I60/100)&lt;0.3*J60,"limited benefit",
IF(H60*Calc!BM58*(I60/100)&lt;1.1*J60,"benefit",
IF(L60="3 (H)","too high, not acceptable","excessive")))),
IF(OR(AND('Soil results'!G$7="Olsen (ADAS)",'Soil results'!G63&gt;15),AND('Soil results'!G$7="modified Morgan (SAC)",'Soil results'!G63&gt;4.4)),
IF(H60*Calc!BM58*(I60/100)&lt;0.1*VLOOKUP(Calc!BI58,'Fertiliser recommendations'!$A$4:$I$63,9,FALSE),"no benefit",
IF(H60*Calc!BM58*(I60/100)&lt;0.3*VLOOKUP(Calc!BI58,'Fertiliser recommendations'!$A$4:$I$63,9,FALSE),"limited benefit",
IF(H60*Calc!BM58*(I60/100)&lt;1.1*VLOOKUP(Calc!BI58,'Fertiliser recommendations'!$A$4:$I$63,9,FALSE),"benefit",
IF(L60="3 (H)", "too high, not acceptable", "excessive")))),
IF(OR(AND('Soil results'!G$7="Olsen (ADAS)",'Soil results'!G63&lt;=15),AND('Soil results'!G$7="modified Morgan (SAC)",'Soil results'!G63&lt;=4.4)),
IF(H60*Calc!BM58*(I60/100)&lt;0.1*VLOOKUP(Calc!BI58,'Fertiliser recommendations'!$A$4:$I$63,9,FALSE),"no benefit",
IF(H60*Calc!BM58*(I60/100)&lt;0.3*VLOOKUP(Calc!BI58,'Fertiliser recommendations'!$A$4:$I$63,9,FALSE),"limited benefit",
IF(H60*Calc!BM58*(I60/100)&lt;1.1*J60,"benefit","excessive")))))))))))</f>
        <v/>
      </c>
      <c r="O60" s="91" t="str">
        <f ca="1">IF(B60="","",
IF(AND('Field information 2'!$O$5="", 'Field information 2'!$Q$5=""),
   IF('Waste results'!$S$19&lt;&gt;"data missing", Calc!BC58*'Waste results'!$S$19, "data missing"),
IF('Field information 2'!$Q$5="",
   IF(Calc!BD58=0,
     IF('Waste results'!$S$19&lt;&gt;"data missing", Calc!BC58*'Waste results'!$S$19, "data missing"),
   IF(Calc!BC58=0,
     IF('Waste results'!$S$55&lt;&gt;"data missing", Calc!BD58*'Waste results'!$S$55, "data missing"),
   IF(OR('Waste results'!$S$19&lt;&gt;"data missing", 'Waste results'!$S$55&lt;&gt;"data missing"), Calc!BC58*'Waste results'!$S$19+ Calc!BD58*'Waste results'!$S$55, "data missing"))),
IF(AND('Field information 2'!$M$5&lt;&gt;"", 'Field information 2'!$O$5&lt;&gt;"", 'Field information 2'!$Q$5&lt;&gt;""),
   IF(AND(Calc!BD58=0,Calc!BE58=0),
     IF('Waste results'!$S$19&lt;&gt;"data missing", Calc!BC58*'Waste results'!$S$19, "data missing"),
   IF(AND(Calc!BC58=0,Calc!BE58=0),
     IF('Waste results'!$S$55&lt;&gt;"data missing", Calc!BD58*'Waste results'!$S$55, "data missing"),
   IF(AND(Calc!BC58=0,Calc!BD58=0),
     IF('Waste results'!$S$91&lt;&gt;"data missing", Calc!BE58*'Waste results'!$S$91, "data missing"),
   IF(Calc!BE58=0,
     IF(OR('Waste results'!$S$19&lt;&gt;"data missing", 'Waste results'!$S$55&lt;&gt;"data missing"), Calc!BC58*'Waste results'!$S$19+ Calc!BD58*'Waste results'!$S$55, "data missing"),
   IF(Calc!BD58=0,
     IF(OR('Waste results'!$S$19&lt;&gt;"data missing", 'Waste results'!$S$91&lt;&gt;"data missing"), Calc!BC58*'Waste results'!$S$19+ Calc!BE58*'Waste results'!$S$91, "data missing"),
   IF(Calc!BC58=0,
     IF(OR('Waste results'!$S$55&lt;&gt;"data missing", 'Waste results'!$S$91&lt;&gt;"data missing"), Calc!BD58*'Waste results'!$S$55+Calc!BE58*'Waste results'!$S$91, "data missing"),
   IF(OR('Waste results'!$S$19&lt;&gt;"data missing", 'Waste results'!$S$55&lt;&gt;"data missing", 'Waste results'!$S$91&lt;&gt;"data missing"), Calc!BC58*'Waste results'!$S$19+Calc!BD58*'Waste results'!$S$55+ Calc!BE58*'Waste results'!$S$91, "data missing")))))))))))</f>
        <v/>
      </c>
      <c r="P60" s="91" t="str">
        <f ca="1">IF(B60="","",
IF(OR(ISBLANK('Soil results'!H$7),ISBLANK('Soil results'!H63)),"data missing",
IF(OR(AND('Soil results'!H$7="ammonium nitrate (ADAS)",'Soil results'!H63&gt;400),AND('Soil results'!H$7="modified Morgan (SAC)",'Soil results'!H63&gt;400)),0,
IF(OR(AND('Soil results'!H$7="ammonium nitrate (ADAS)",'Soil results'!H63&gt;=121,'Soil results'!H63&lt;=180),AND('Soil results'!H$7="modified Morgan (SAC)",'Soil results'!H63&gt;=76,'Soil results'!H63&lt;=140)),VLOOKUP(Calc!BI58,'Fertiliser recommendations'!$A$4:$Z$63,26,FALSE),
IF(OR(AND('Soil results'!H$7="ammonium nitrate (ADAS)",'Soil results'!H63&lt;61),AND('Soil results'!H$7="modified Morgan (SAC)",'Soil results'!H63&lt;40)),VLOOKUP(Calc!BI58,'Fertiliser recommendations'!$A$4:$Z$63,26,FALSE)+VLOOKUP(Calc!BI58,'Fertiliser recommendations'!$A$4:$AA$63,27,FALSE),
IF(OR(AND('Soil results'!H$7="ammonium nitrate (ADAS)",'Soil results'!H63&lt;121),AND('Soil results'!H$7="modified Morgan (SAC)",'Soil results'!H63&lt;76)),VLOOKUP(Calc!BI58,'Fertiliser recommendations'!$A$4:$Z$63,26,FALSE)+VLOOKUP(Calc!BI58,'Fertiliser recommendations'!$A$4:$AB$63,28,FALSE),
IF(OR(AND('Soil results'!H$7="ammonium nitrate (ADAS)",'Soil results'!H63&lt;241),AND('Soil results'!H$7="modified Morgan (SAC)",'Soil results'!H63&lt;201)),VLOOKUP(Calc!BI58,'Fertiliser recommendations'!$A$4:$Z$63,26,FALSE)+VLOOKUP(Calc!BI58,'Fertiliser recommendations'!$A$4:$AC$63,29,FALSE),
IF(OR(AND('Soil results'!H$7="ammonium nitrate (ADAS)",'Soil results'!H63&lt;=400),AND('Soil results'!H$7="modified Morgan (SAC)",'Soil results'!H63&lt;=400)),VLOOKUP(Calc!BI58,'Fertiliser recommendations'!$A$4:$Z$63,26,FALSE)+VLOOKUP(Calc!BI58,'Fertiliser recommendations'!$A$4:$AD$63,30,FALSE),
"??"))))))))</f>
        <v/>
      </c>
      <c r="Q60" s="91" t="str">
        <f t="shared" ca="1" si="2"/>
        <v/>
      </c>
      <c r="R60" s="9" t="str">
        <f ca="1">IF(B60="","",
IF(OR(O60="data missing",P60="data missing"),"data missing",
IF(Calc!BF58=0,"n/a",
IF(P60=0, "no requirement",
IF(O60&lt;0.1*P60,"no benefit",
IF(O60&lt;0.3*P60,"limited benefit",
IF(O60&gt;1.25*P60,"excessive",
"benefit")))))))</f>
        <v/>
      </c>
      <c r="T60" s="91" t="str">
        <f ca="1">IF(B60="","",
IF(AND('Field information 2'!$O$5="", 'Field information 2'!$Q$5=""),
   IF('Waste results'!$S$21&lt;&gt;"data missing", Calc!BC58*'Waste results'!$S$21, "data missing"),
IF('Field information 2'!$Q$5="",
   IF(Calc!BD58=0,
     IF('Waste results'!$S$21&lt;&gt;"data missing", Calc!BC58*'Waste results'!$S$21, "data missing"),
   IF(Calc!BC58=0,
     IF('Waste results'!$S$57&lt;&gt;"data missing", Calc!BD58*'Waste results'!$S$57, "data missing"),
   IF(OR('Waste results'!$S$21&lt;&gt;"data missing", 'Waste results'!$S$57&lt;&gt;"data missing"), Calc!BC58*'Waste results'!$S$21+ Calc!BD58*'Waste results'!$S$57, "data missing"))),
IF(AND('Field information 2'!$M$5&lt;&gt;"", 'Field information 2'!$O$5&lt;&gt;"", 'Field information 2'!$Q$5&lt;&gt;""),
   IF(AND(Calc!BD58=0,Calc!BE58=0),
     IF('Waste results'!$S$21&lt;&gt;"data missing", Calc!BC58*'Waste results'!$S$21, "data missing"),
   IF(AND(Calc!BC58=0,Calc!BE58=0),
     IF('Waste results'!$S$57&lt;&gt;"data missing", Calc!BD58*'Waste results'!$S$57, "data missing"),
   IF(AND(Calc!BC58=0,Calc!BD58=0),
     IF('Waste results'!$S$93&lt;&gt;"data missing", Calc!BE58*'Waste results'!$S$93, "data missing"),
   IF(Calc!BE58=0,
     IF(OR('Waste results'!$S$21&lt;&gt;"data missing", 'Waste results'!$S$57&lt;&gt;"data missing"), Calc!BC58*'Waste results'!$S$21+ Calc!BD58*'Waste results'!$S$57, "data missing"),
   IF(Calc!BD58=0,
     IF(OR('Waste results'!$S$21&lt;&gt;"data missing", 'Waste results'!$S$93&lt;&gt;"data missing"), Calc!BC58*'Waste results'!$S$21+ Calc!BE58*'Waste results'!$S$93, "data missing"),
   IF(Calc!BC58=0,
     IF(OR('Waste results'!$S$57&lt;&gt;"data missing", 'Waste results'!$S$93&lt;&gt;"data missing"), Calc!BD58*'Waste results'!$S$57+Calc!BE58*'Waste results'!$S$93, "data missing"),
   IF(OR('Waste results'!$S$21&lt;&gt;"data missing", 'Waste results'!$S$57&lt;&gt;"data missing", 'Waste results'!$S$93&lt;&gt;"data missing"), Calc!BC58*'Waste results'!$S$21+Calc!BD58*'Waste results'!$S$57+ Calc!BE58*'Waste results'!$S$93, "data missing")))))))))))</f>
        <v/>
      </c>
      <c r="U60" s="7" t="str">
        <f ca="1">IF(B60="","",
IF(OR(ISBLANK('Soil results'!I$7),ISBLANK('Soil results'!I63)),"data missing",
IF(OR(AND('Soil results'!I$7="ammonium nitrate (ADAS)",'Soil results'!I63&gt;51),AND('Soil results'!I$7="modified Morgan (SAC)",'Soil results'!I63&gt;61)),0,
IF(OR(AND('Soil results'!I$7="ammonium nitrate (ADAS)",'Soil results'!I63&lt;25),AND('Soil results'!I$7="modified Morgan (SAC)",'Soil results'!I63&lt;19)),VLOOKUP(Calc!BI58,'Fertiliser recommendations'!$A$4:$AH$63,34,FALSE),
IF(OR(AND('Soil results'!I$7="ammonium nitrate (ADAS)",'Soil results'!I63&lt;=51),AND('Soil results'!I$7="modified Morgan (SAC)",'Soil results'!I63&lt;=61)),VLOOKUP(Calc!BI58,'Fertiliser recommendations'!$A$4:$AI$63,35,FALSE),
"")))))</f>
        <v/>
      </c>
      <c r="V60" s="91" t="str">
        <f t="shared" ca="1" si="3"/>
        <v/>
      </c>
      <c r="W60" s="9" t="str">
        <f ca="1">IF(B60="","",
IF(OR(T60="data missing",U60="data missing"),"data missing",
IF(Calc!BF58=0,"n/a",
IF(U60=0,"no requirement",
IF(T60&lt;0.1*U60,"no benefit",
IF(T60&lt;0.3*U60,"limited benefit",
IF(OR(T60&gt;1.5*U60,AND(Calc!BJ58="g",T60&gt;100)),"excessive",
"benefit")))))))</f>
        <v/>
      </c>
      <c r="Y60" s="91" t="str">
        <f ca="1">IF(B60="","",
IF(AND('Field information 2'!$O$5="", 'Field information 2'!$Q$5=""),
   IF('Waste results'!$P$23&lt;&gt;"", Calc!BC58*'Waste results'!$P$23, "no data"),
IF('Field information 2'!$Q$5="",
   IF(Calc!BD58=0,
     IF('Waste results'!$P$23&lt;&gt;"", Calc!BC58*'Waste results'!$P$23, "no data"),
   IF(Calc!BC58=0,
     IF('Waste results'!$P$59&lt;&gt;"", Calc!BD58*'Waste results'!$P$59, "no data"),
   IF(OR('Waste results'!$P$23&lt;&gt;"", 'Waste results'!$P$59&lt;&gt;""), Calc!BC58*'Waste results'!$P$23+ Calc!BD58*'Waste results'!$P$59, "no data"))),
IF(AND('Field information 2'!$M$5&lt;&gt;"", 'Field information 2'!$O$5&lt;&gt;"", 'Field information 2'!$Q$5&lt;&gt;""),
   IF(AND(Calc!BD58=0,Calc!BE58=0),
     IF('Waste results'!$P$23&lt;&gt;"", Calc!BC58*'Waste results'!$P$23, "no data"),
   IF(AND(Calc!BC58=0,Calc!BE58=0),
     IF('Waste results'!$P$59&lt;&gt;"", Calc!BD58*'Waste results'!$P$59, "no data"),
   IF(AND(Calc!BC58=0,Calc!BD58=0),
     IF('Waste results'!$P$95&lt;&gt;"", Calc!BE58*'Waste results'!$P$95, "no data"),
   IF(Calc!BE58=0,
     IF(OR('Waste results'!$P$23&lt;&gt;"", 'Waste results'!$P$59&lt;&gt;""), Calc!BC58*'Waste results'!$P$23+ Calc!BD58*'Waste results'!$P$59, "no data"),
   IF(Calc!BD58=0,
     IF(OR('Waste results'!$P$23&lt;&gt;"", 'Waste results'!$P$95&lt;&gt;""), Calc!BC58*'Waste results'!$P$23+ Calc!BE58*'Waste results'!$P$95, "no data"),
   IF(Calc!BC58=0,
     IF(OR('Waste results'!$P$59&lt;&gt;"", 'Waste results'!$P$95&lt;&gt;""), Calc!BD58*'Waste results'!$P$59+Calc!BE58*'Waste results'!$P$95, "no data"),
   IF(OR('Waste results'!$P$23&lt;&gt;"", 'Waste results'!$P$59&lt;&gt;"", 'Waste results'!$P$95&lt;&gt;""), Calc!BC58*'Waste results'!$P$23+Calc!BD58*'Waste results'!$P$59+ Calc!BE58*'Waste results'!$P$95, "no data")))))))))))</f>
        <v/>
      </c>
      <c r="Z60" s="7" t="str">
        <f ca="1">IF(OR(ISBLANK('Soil results'!I$7),ISBLANK('Soil results'!I63),'Soil results'!B63=""),"",
VLOOKUP(Calc!BI58,'Fertiliser recommendations'!$A$4:$AM$63,39,FALSE))</f>
        <v/>
      </c>
      <c r="AA60" s="91" t="str">
        <f t="shared" ca="1" si="4"/>
        <v/>
      </c>
      <c r="AB60" s="9" t="str">
        <f t="shared" ca="1" si="5"/>
        <v/>
      </c>
      <c r="AD60" s="48" t="str">
        <f>IF(ISBLANK('Soil results'!F63),"",'Soil results'!F63)</f>
        <v/>
      </c>
      <c r="AE60" s="49" t="str">
        <f ca="1">IF(B60="","",
IF(AND(Calc!BJ58="g", VLOOKUP(LEFT($B60,LEN($B60)-2),'Field information 2'!$B$12:$P$111,9,FALSE)&lt;&gt;"yes"),
 IF(Calc!BG58="10-25% OM", 5.9, IF(Calc!BG58="&gt;25% OM", 5.5, 6.2)),
IF(OR(Calc!BJ58="a", VLOOKUP(LEFT($B60,LEN($B60)-2),'Field information 2'!$B$12:$P$111,9,FALSE)="yes"),
 IF(Calc!BG58="10-25% OM", 6.4, IF(Calc!BG58="&gt;25% OM", 6, 6.7)), "")))</f>
        <v/>
      </c>
      <c r="AF60" s="91" t="str">
        <f ca="1">IF(B60="","",
IF('Waste results'!$Q$33="","no (significant) liming properties",
IF('Waste results'!Q$33&gt;100,"no (significant) liming properties",
IF(AD60="","",
IF(AD60&gt;=AE60,0,ROUNDDOWN((AE60-AD60)*Calc!BK58*'Waste results'!$Q$33+0.2,0))))))</f>
        <v/>
      </c>
      <c r="AG60" s="9" t="str">
        <f ca="1">IF(B60="","",
IF(T60=0,"n/a",
IF(AD60="","data missing",
IF(AND(AD60&lt;5,AF60="no (significant) liming properties"),"no waste application - pH too low",
IF(AND(AD60&gt;5.1,AF60="no (significant) liming properties",Calc!BH58&gt;25, LEFT(Calc!BI58,4)="graz"),"ok",
IF(AND(AD60&lt;=5.2,AF60="no (significant) liming properties"),"liming highly recommended",
IF(AF60=0,"no waste application - liming not required",
IF(AF60&lt;Calc!BC58,"application rate too high - exceeds liming requirement",
"ok"))))))))</f>
        <v/>
      </c>
      <c r="AI60" s="91" t="str">
        <f ca="1">IF(B60="","",
IF(AND('Field information 2'!$O$5="", 'Field information 2'!$Q$5=""),
   IF('Waste results'!$P$10&lt;&gt;"data missing", Calc!BC58*'Waste results'!$P$10, "data missing"),
IF('Field information 2'!$Q$5="",
   IF(Calc!BD58=0,
     IF('Waste results'!$P$10&lt;&gt;"data missing", Calc!BC58*'Waste results'!$P$10, "data missing"),
   IF(Calc!BC58=0,
     IF('Waste results'!$P$45&lt;&gt;"data missing", Calc!BD58*'Waste results'!$P$45, "data missing"),
   IF(OR('Waste results'!$P$10&lt;&gt;"data missing", 'Waste results'!$P$45&lt;&gt;"data missing"), Calc!BC58*'Waste results'!$P$10+ Calc!BD58*'Waste results'!$P$45, "data missing"))),
IF(AND('Field information 2'!$M$5&lt;&gt;"", 'Field information 2'!$O$5&lt;&gt;"", 'Field information 2'!$Q$5&lt;&gt;""),
   IF(AND(Calc!BD58=0,Calc!BE58=0),
     IF('Waste results'!$P$10&lt;&gt;"data missing", Calc!BC58*'Waste results'!$P$10, "data missing"),
   IF(AND(Calc!BC58=0,Calc!BE58=0),
     IF('Waste results'!$P$45&lt;&gt;"data missing", Calc!BD58*'Waste results'!$P$45, "data missing"),
   IF(AND(Calc!BC58=0,Calc!BD58=0),
     IF('Waste results'!$P$82&lt;&gt;"data missing", Calc!BE58*'Waste results'!$P$82, "data missing"),
   IF(Calc!BE58=0,
     IF(OR('Waste results'!$P$10&lt;&gt;"data missing", 'Waste results'!$P$45&lt;&gt;"data missing"), Calc!BC58*'Waste results'!$P$10+ Calc!BD58*'Waste results'!$P$45, "data missing"),
   IF(Calc!BD58=0,
     IF(OR('Waste results'!$P$10&lt;&gt;"data missing", 'Waste results'!$P$82&lt;&gt;"data missing"), Calc!BC58*'Waste results'!$P$10+ Calc!BE58*'Waste results'!$P$82, "data missing"),
   IF(Calc!BC58=0,
     IF(OR('Waste results'!$P$45&lt;&gt;"data missing", 'Waste results'!$P$82&lt;&gt;"data missing"), Calc!BD58*'Waste results'!$P$45+Calc!BE58*'Waste results'!$P$82, "data missing"),
   IF(OR('Waste results'!$P$10&lt;&gt;"data missing", 'Waste results'!$P$45&lt;&gt;"data missing", 'Waste results'!$P$82&lt;&gt;"data missing"), Calc!BC58*'Waste results'!$P$10+Calc!BD58*'Waste results'!$P$45+ Calc!BE58*'Waste results'!$P$82, "data missing")))))))))))</f>
        <v/>
      </c>
      <c r="AJ60" s="237" t="str">
        <f ca="1">IF(B60="","",
IF(AI60="data missing","data missing",
IF(Calc!BF58=0,"n/a",
IF(AND(Calc!BH58&gt;=8,AI60&lt;500),"no benefit",
IF(OR(AND(Calc!BH58&lt;=4,AI60&gt;=500),AND(Calc!BH58&lt;8,AI60&gt;5000)),"benefit",
"limited benefit")))))</f>
        <v/>
      </c>
      <c r="AL60" s="238" t="str">
        <f ca="1">IF(B60="","",
IF(AND('Field information 2'!$O$5="", 'Field information 2'!$Q$5=""),
   IF('Waste results'!$S$25&lt;&gt;"data missing", Calc!BC58*'Waste results'!$S$25, "data missing"),
IF('Field information 2'!$Q$5="",
   IF(Calc!BD58=0,
     IF('Waste results'!$S$25&lt;&gt;"data missing", Calc!BC58*'Waste results'!$S$25, "data missing"),
   IF(Calc!BC58=0,
     IF('Waste results'!$S$61&lt;&gt;"data missing", Calc!BD58*'Waste results'!$S$61, "data missing"),
   IF(OR('Waste results'!$S$25&lt;&gt;"data missing", 'Waste results'!$S$61&lt;&gt;"data missing"), Calc!BC58*'Waste results'!$S$25+ Calc!BD58*'Waste results'!$S$61, "data missing"))),
IF(AND('Field information 2'!$M$5&lt;&gt;"", 'Field information 2'!$O$5&lt;&gt;"", 'Field information 2'!$Q$5&lt;&gt;""),
   IF(AND(Calc!BD58=0,Calc!BE58=0),
     IF('Waste results'!$S$25&lt;&gt;"data missing", Calc!BC58*'Waste results'!$S$25, "data missing"),
   IF(AND(Calc!BC58=0,Calc!BE58=0),
     IF('Waste results'!$S$61&lt;&gt;"data missing", Calc!BD58*'Waste results'!$S$61, "data missing"),
   IF(AND(Calc!BC58=0,Calc!BD58=0),
     IF('Waste results'!$S$97&lt;&gt;"data missing", Calc!BE58*'Waste results'!$S$97, "data missing"),
   IF(Calc!BE58=0,
     IF(OR('Waste results'!$S$25&lt;&gt;"data missing", 'Waste results'!$S$61&lt;&gt;"data missing"), Calc!BC58*'Waste results'!$S$25+ Calc!BD58*'Waste results'!$S$61, "data missing"),
   IF(Calc!BD58=0,
     IF(OR('Waste results'!$S$25&lt;&gt;"data missing", 'Waste results'!$S$97&lt;&gt;"data missing"), Calc!BC58*'Waste results'!$S$25+ Calc!BE58*'Waste results'!$S$97, "data missing"),
   IF(Calc!BC58=0,
     IF(OR('Waste results'!$S$61&lt;&gt;"data missing", 'Waste results'!$S$97&lt;&gt;"data missing"), Calc!BD58*'Waste results'!$S$61+Calc!BE58*'Waste results'!$S$97, "data missing"),
   IF(OR('Waste results'!$S$25&lt;&gt;"data missing", 'Waste results'!$S$61&lt;&gt;"data missing", 'Waste results'!$S$97&lt;&gt;"data missing"), Calc!BC58*'Waste results'!$S$25+Calc!BD58*'Waste results'!$S$61+ Calc!BE58*'Waste results'!$S$97, "data missing")))))))))))</f>
        <v/>
      </c>
      <c r="AM60" s="239" t="str">
        <f ca="1">IF($B60="","",
IF(ISBLANK('Soil results'!K63),"data missing",'Soil results'!K63))</f>
        <v/>
      </c>
      <c r="AN60" s="239" t="str">
        <f t="shared" ca="1" si="6"/>
        <v/>
      </c>
      <c r="AO60" s="9" t="str">
        <f t="shared" ca="1" si="7"/>
        <v/>
      </c>
      <c r="AQ60" s="240" t="str">
        <f ca="1">IF(B60="","",
IF(AND('Field information 2'!$O$5="", 'Field information 2'!$Q$5=""),
   IF('Waste results'!$S$26&lt;&gt;"data missing", Calc!BC58*'Waste results'!$S$26, "data missing"),
IF('Field information 2'!$Q$5="",
   IF(Calc!BD58=0,
     IF('Waste results'!$S$26&lt;&gt;"data missing", Calc!BC58*'Waste results'!$S$26, "data missing"),
   IF(Calc!BC58=0,
     IF('Waste results'!$S$62&lt;&gt;"data missing", Calc!BD58*'Waste results'!$S$62, "data missing"),
   IF(OR('Waste results'!$S$26&lt;&gt;"data missing", 'Waste results'!$S$62&lt;&gt;"data missing"), Calc!BC58*'Waste results'!$S$26+ Calc!BD58*'Waste results'!$S$62, "data missing"))),
IF(AND('Field information 2'!$M$5&lt;&gt;"", 'Field information 2'!$O$5&lt;&gt;"", 'Field information 2'!$Q$5&lt;&gt;""),
   IF(AND(Calc!BD58=0,Calc!BE58=0),
     IF('Waste results'!$S$26&lt;&gt;"data missing", Calc!BC58*'Waste results'!$S$26, "data missing"),
   IF(AND(Calc!BC58=0,Calc!BE58=0),
     IF('Waste results'!$S$62&lt;&gt;"data missing", Calc!BD58*'Waste results'!$S$62, "data missing"),
   IF(AND(Calc!BC58=0,Calc!BD58=0),
     IF('Waste results'!$S$98&lt;&gt;"data missing", Calc!BE58*'Waste results'!$S$98, "data missing"),
   IF(Calc!BE58=0,
     IF(OR('Waste results'!$S$26&lt;&gt;"data missing", 'Waste results'!$S$62&lt;&gt;"data missing"), Calc!BC58*'Waste results'!$S$26+ Calc!BD58*'Waste results'!$S$62, "data missing"),
   IF(Calc!BD58=0,
     IF(OR('Waste results'!$S$26&lt;&gt;"data missing", 'Waste results'!$S$98&lt;&gt;"data missing"), Calc!BC58*'Waste results'!$S$26+ Calc!BE58*'Waste results'!$S$98, "data missing"),
   IF(Calc!BC58=0,
     IF(OR('Waste results'!$S$62&lt;&gt;"data missing", 'Waste results'!$S$98&lt;&gt;"data missing"), Calc!BD58*'Waste results'!$S$62+Calc!BE58*'Waste results'!$S$98, "data missing"),
   IF(OR('Waste results'!$S$26&lt;&gt;"data missing", 'Waste results'!$S$62&lt;&gt;"data missing", 'Waste results'!$S$98&lt;&gt;"data missing"), Calc!BC58*'Waste results'!$S$26+Calc!BD58*'Waste results'!$S$62+ Calc!BE58*'Waste results'!$S$98, "data missing")))))))))))</f>
        <v/>
      </c>
      <c r="AR60" s="241" t="str">
        <f ca="1">IF($B60="","",
IF(ISBLANK('Soil results'!L63),"data missing",'Soil results'!L63))</f>
        <v/>
      </c>
      <c r="AS60" s="241" t="str">
        <f t="shared" ca="1" si="8"/>
        <v/>
      </c>
      <c r="AT60" s="66" t="str">
        <f t="shared" ca="1" si="9"/>
        <v/>
      </c>
      <c r="AV60" s="238" t="str">
        <f ca="1">IF(B60="","",
IF(AND('Field information 2'!$O$5="", 'Field information 2'!$Q$5=""),
   IF('Waste results'!$S$27&lt;&gt;"data missing", Calc!BC58*'Waste results'!$S$27, "data missing"),
IF('Field information 2'!$Q$5="",
   IF(Calc!BD58=0,
     IF('Waste results'!$S$27&lt;&gt;"data missing", Calc!BC58*'Waste results'!$S$27, "data missing"),
   IF(Calc!BC58=0,
     IF('Waste results'!$S$63&lt;&gt;"data missing", Calc!BD58*'Waste results'!$S$63, "data missing"),
   IF(OR('Waste results'!$S$27&lt;&gt;"data missing", 'Waste results'!$S$63&lt;&gt;"data missing"), Calc!BC58*'Waste results'!$S$27+ Calc!BD58*'Waste results'!$S$63, "data missing"))),
IF(AND('Field information 2'!$M$5&lt;&gt;"", 'Field information 2'!$O$5&lt;&gt;"", 'Field information 2'!$Q$5&lt;&gt;""),
   IF(AND(Calc!BD58=0,Calc!BE58=0),
     IF('Waste results'!$S$27&lt;&gt;"data missing", Calc!BC58*'Waste results'!$S$27, "data missing"),
   IF(AND(Calc!BC58=0,Calc!BE58=0),
     IF('Waste results'!$S$63&lt;&gt;"data missing", Calc!BD58*'Waste results'!$S$63, "data missing"),
   IF(AND(Calc!BC58=0,Calc!BD58=0),
     IF('Waste results'!$S$99&lt;&gt;"data missing", Calc!BE58*'Waste results'!$S$99, "data missing"),
   IF(Calc!BE58=0,
     IF(OR('Waste results'!$S$27&lt;&gt;"data missing", 'Waste results'!$S$63&lt;&gt;"data missing"), Calc!BC58*'Waste results'!$S$27+ Calc!BD58*'Waste results'!$S$63, "data missing"),
   IF(Calc!BD58=0,
     IF(OR('Waste results'!$S$27&lt;&gt;"data missing", 'Waste results'!$S$99&lt;&gt;"data missing"), Calc!BC58*'Waste results'!$S$27+ Calc!BE58*'Waste results'!$S$99, "data missing"),
   IF(Calc!BC58=0,
     IF(OR('Waste results'!$S$63&lt;&gt;"data missing", 'Waste results'!$S$99&lt;&gt;"data missing"), Calc!BD58*'Waste results'!$S$63+Calc!BE58*'Waste results'!$S$99, "data missing"),
   IF(OR('Waste results'!$S$27&lt;&gt;"data missing", 'Waste results'!$S$63&lt;&gt;"data missing", 'Waste results'!$S$99&lt;&gt;"data missing"), Calc!BC58*'Waste results'!$S$27+Calc!BD58*'Waste results'!$S$63+ Calc!BE58*'Waste results'!$S$99, "data missing")))))))))))</f>
        <v/>
      </c>
      <c r="AW60" s="239" t="str">
        <f ca="1">IF($B60="","",
IF(ISBLANK('Soil results'!M63),"data missing",'Soil results'!M63))</f>
        <v/>
      </c>
      <c r="AX60" s="239" t="str">
        <f t="shared" ca="1" si="10"/>
        <v/>
      </c>
      <c r="AY60" s="9" t="str">
        <f ca="1">IF(B60="","",
IF(AV60=0,"n/a",
IF(OR(AV60="data missing",AW60="data missing"),"data missing",
IF(AV60&gt;7.5,"application rate too high - permissible rate exceeds limit",
IF('Soil results'!$F63&lt;=5.5,
  IF(AW60&gt;80,"no application - soil conc. already above limit",
  IF(AX60&gt;80,"application rate too high - soil conc. will exceed limit",
  IF(AW60&gt;80*0.9,"soil conc. is at or above 90% of the limit",
  IF(10*AV60*1000/3000+AW60&gt;80,"soil limit likely to be exceeded in 10yrs",
  IF(50*AV60*1000/3000+AW60&gt;80,"soil limit likely to be exceeded in 50yrs","ok"))))),
IF('Soil results'!$F63&lt;=6,
  IF(AW60&gt;100,"no application - soil conc. already above limit",
  IF(AX60&gt;100,"application rate too high - soil conc. will exceed limit",
  IF(AW60&gt;100*0.9,"soil conc. is at or above 90% of the limit",
  IF(10*AV60*1000/3000+AW60&gt;100,"soil limit likely to be exceeded in 10yrs",
  IF(50*AV60*1000/3000+AW60&gt;100,"soil limit likely to be exceeded in 50yrs","ok"))))),
IF('Soil results'!$F63&lt;=7,
  IF(AW60&gt;135,"no application - soil conc. already above limit",
  IF(AX60&gt;135,"application rate too high - soil conc. will exceed limit",
  IF(AW60&gt;135*0.9,"soil conc. is at or above 90% of the limit",
  IF(10*AV60*1000/3000+AW60&gt;135,"soil limit likely to be exceeded in 10yrs",
  IF(50*AV60*1000/3000+AW60&gt;135,"soil limit likely to be exceeded in 50yrs","ok"))))),
IF('Soil results'!$F63&gt;7,
  IF(AW60&gt;200,"no application - soil conc. already above limit",
  IF(AX60&gt;200,"application too high - soil conc. will exceed limit",
  IF(AW60&gt;200*0.9,"soil conc. is at or above 90% of the limit",
  IF(10*AV60*1000/3000+AW60&gt;200,"soil limit likely to be exceeded in 10yrs",
  IF(50*AV60*1000/3000+AW60&gt;200,"soil limit likely to be exceeded in 50yrs","ok")))))
))))))))</f>
        <v/>
      </c>
      <c r="BA60" s="238" t="str">
        <f ca="1">IF(B60="","",
IF(AND('Field information 2'!$O$5="", 'Field information 2'!$Q$5=""),
   IF('Waste results'!$S$28&lt;&gt;"data missing", Calc!BC58*'Waste results'!$S$28, "data missing"),
IF('Field information 2'!$Q$5="",
   IF(Calc!BD58=0,
     IF('Waste results'!$S$28&lt;&gt;"data missing", Calc!BC58*'Waste results'!$S$28, "data missing"),
   IF(Calc!BC58=0,
     IF('Waste results'!$S$64&lt;&gt;"data missing", Calc!BD58*'Waste results'!$S$64, "data missing"),
   IF(OR('Waste results'!$S$28&lt;&gt;"data missing", 'Waste results'!$S$64&lt;&gt;"data missing"), Calc!BC58*'Waste results'!$S$28+ Calc!BD58*'Waste results'!$S$64, "data missing"))),
IF(AND('Field information 2'!$M$5&lt;&gt;"", 'Field information 2'!$O$5&lt;&gt;"", 'Field information 2'!$Q$5&lt;&gt;""),
   IF(AND(Calc!BD58=0,Calc!BE58=0),
     IF('Waste results'!$S$28&lt;&gt;"data missing", Calc!BC58*'Waste results'!$S$28, "data missing"),
   IF(AND(Calc!BC58=0,Calc!BE58=0),
     IF('Waste results'!$S$64&lt;&gt;"data missing", Calc!BD58*'Waste results'!$S$64, "data missing"),
   IF(AND(Calc!BC58=0,Calc!BD58=0),
     IF('Waste results'!$S$100&lt;&gt;"data missing", Calc!BE58*'Waste results'!$S$100, "data missing"),
   IF(Calc!BE58=0,
     IF(OR('Waste results'!$S$28&lt;&gt;"data missing", 'Waste results'!$S$64&lt;&gt;"data missing"), Calc!BC58*'Waste results'!$S$28+ Calc!BD58*'Waste results'!$S$64, "data missing"),
   IF(Calc!BD58=0,
     IF(OR('Waste results'!$S$28&lt;&gt;"data missing", 'Waste results'!$S$100&lt;&gt;"data missing"), Calc!BC58*'Waste results'!$S$28+ Calc!BE58*'Waste results'!$S$100, "data missing"),
   IF(Calc!BC58=0,
     IF(OR('Waste results'!$S$64&lt;&gt;"data missing", 'Waste results'!$S$100&lt;&gt;"data missing"), Calc!BD58*'Waste results'!$S$64+Calc!BE58*'Waste results'!$S$100, "data missing"),
   IF(OR('Waste results'!$S$28&lt;&gt;"data missing", 'Waste results'!$S$64&lt;&gt;"data missing", 'Waste results'!$S$100&lt;&gt;"data missing"), Calc!BC58*'Waste results'!$S$28+Calc!BD58*'Waste results'!$S$64+ Calc!BE58*'Waste results'!$S$100, "data missing")))))))))))</f>
        <v/>
      </c>
      <c r="BB60" s="239" t="str">
        <f ca="1">IF($B60="","",
IF(ISBLANK('Soil results'!N63),"data missing",'Soil results'!N63))</f>
        <v/>
      </c>
      <c r="BC60" s="239" t="str">
        <f t="shared" ca="1" si="11"/>
        <v/>
      </c>
      <c r="BD60" s="9" t="str">
        <f t="shared" ca="1" si="12"/>
        <v/>
      </c>
      <c r="BF60" s="238" t="str">
        <f ca="1">IF(B60="","",
IF(AND('Field information 2'!$O$5="", 'Field information 2'!$Q$5=""),
   IF('Waste results'!$S$29&lt;&gt;"data missing", Calc!BC58*'Waste results'!$S$29, "data missing"),
IF('Field information 2'!$Q$5="",
   IF(Calc!BD58=0,
     IF('Waste results'!$S$29&lt;&gt;"data missing", Calc!BC58*'Waste results'!$S$29, "data missing"),
   IF(Calc!BC58=0,
     IF('Waste results'!$S$65&lt;&gt;"data missing", Calc!BD58*'Waste results'!$S$65, "data missing"),
   IF(OR('Waste results'!$S$29&lt;&gt;"data missing", 'Waste results'!$S$65&lt;&gt;"data missing"), Calc!BC58*'Waste results'!$S$29+ Calc!BD58*'Waste results'!$S$65, "data missing"))),
IF(AND('Field information 2'!$M$5&lt;&gt;"", 'Field information 2'!$O$5&lt;&gt;"", 'Field information 2'!$Q$5&lt;&gt;""),
   IF(AND(Calc!BD58=0,Calc!BE58=0),
     IF('Waste results'!$S$29&lt;&gt;"data missing", Calc!BC58*'Waste results'!$S$29, "data missing"),
   IF(AND(Calc!BC58=0,Calc!BE58=0),
     IF('Waste results'!$S$65&lt;&gt;"data missing", Calc!BD58*'Waste results'!$S$65, "data missing"),
   IF(AND(Calc!BC58=0,Calc!BD58=0),
     IF('Waste results'!$S$101&lt;&gt;"data missing", Calc!BE58*'Waste results'!$S$101, "data missing"),
   IF(Calc!BE58=0,
     IF(OR('Waste results'!$S$29&lt;&gt;"data missing", 'Waste results'!$S$65&lt;&gt;"data missing"), Calc!BC58*'Waste results'!$S$29+ Calc!BD58*'Waste results'!$S$65, "data missing"),
   IF(Calc!BD58=0,
     IF(OR('Waste results'!$S$29&lt;&gt;"data missing", 'Waste results'!$S$101&lt;&gt;"data missing"), Calc!BC58*'Waste results'!$S$29+ Calc!BE58*'Waste results'!$S$101, "data missing"),
   IF(Calc!BC58=0,
     IF(OR('Waste results'!$S$65&lt;&gt;"data missing", 'Waste results'!$S$101&lt;&gt;"data missing"), Calc!BD58*'Waste results'!$S$65+Calc!BE58*'Waste results'!$S$101, "data missing"),
   IF(OR('Waste results'!$S$29&lt;&gt;"data missing", 'Waste results'!$S$65&lt;&gt;"data missing", 'Waste results'!$S$101&lt;&gt;"data missing"), Calc!BC58*'Waste results'!$S$29+Calc!BD58*'Waste results'!$S$65+ Calc!BE58*'Waste results'!$S$101, "data missing")))))))))))</f>
        <v/>
      </c>
      <c r="BG60" s="239" t="str">
        <f ca="1">IF($B60="","",
IF(ISBLANK('Soil results'!O63),"data missing",'Soil results'!O63))</f>
        <v/>
      </c>
      <c r="BH60" s="239" t="str">
        <f t="shared" ca="1" si="13"/>
        <v/>
      </c>
      <c r="BI60" s="9" t="str">
        <f ca="1">IF(B60="","",
IF(BF60=0,"n/a",
IF(OR(BF60="data missing",BG60="data missing"),"data missing",
IF(BF60&gt;3,"application rate too high - permissible rate exceeds limit",
IF('Soil results'!F63&lt;=5.5,
  IF(BG60&gt;50,"no application - soil conc. already above limit",
  IF(BH60&gt;50,"application rate too high - soil conc. will exceed limit",
  IF(BG60&gt;50*0.9,"soil conc. is at or above 90% of the limit",
  IF(10*BF60*1000/3000+BG60&gt;50,"soil limit likely to be exceeded in 10yrs",
  IF(50*BF60*1000/3000+BG60&gt;50,"soil limit likely to be exceeded in 50yrs","ok"))))),
IF('Soil results'!F63&lt;=6,
  IF(BG60&gt;60,"no application - soil conc. already above limit",
  IF(BH60&gt;60,"application rate too high - soil conc. will exceed limit",
  IF(BG60&gt;60*0.9,"soil conc. is at or above 90% of the limit",
  IF(10*BF60*1000/3000+BG60&gt;60,"soil limit likely to be exceeded in 10yrs",
  IF(50*BF60*1000/3000+BG60&gt;60,"soil limit likely to be exceeded in 50yrs","ok"))))),
IF('Soil results'!F63&lt;=7,
  IF(BG60&gt;75,"no application - soil conc. already above limit",
  IF(BH60&gt;75,"application rate too high - soil conc. will exceed limit",
  IF(BG60&gt;75*0.9,"soil conc. is at or above 90% of the limit",
  IF(10*BF60*1000/3000+BG60&gt;75,"soil limit likely to be exceeded in 10yrs",
  IF(50*BF60*1000/3000+BG60&gt;75,"soil limit likely to be exceeded in 50yrs","ok"))))),
IF('Soil results'!F63&gt;7,
  IF(BG60&gt;100,"no application - soil conc. already above limit",
  IF(BH60&gt;100,"application rate too high - soil conc. will exceed limit",
  IF(BG60&gt;100*0.9,"soil conc. is at or above 90% of the limit",
  IF(10*BF60*1000/3000+BG60&gt;100,"soil limit likely to be exceeded in 10yrs",
  IF(50*BF60*1000/3000+BG60&gt;100,"soil limit likely to beexceeded in 50yrs","ok")))))
))))))))</f>
        <v/>
      </c>
      <c r="BK60" s="240" t="str">
        <f ca="1">IF(B60="","",
IF(AND('Field information 2'!$O$5="", 'Field information 2'!$Q$5=""),
   IF('Waste results'!$S$30&lt;&gt;"data missing", Calc!BC58*'Waste results'!$S$30, "data missing"),
IF('Field information 2'!$Q$5="",
   IF(Calc!BD58=0,
     IF('Waste results'!$S$30&lt;&gt;"data missing", Calc!BC58*'Waste results'!$S$30, "data missing"),
   IF(Calc!BC58=0,
     IF('Waste results'!$S$66&lt;&gt;"data missing", Calc!BD58*'Waste results'!$S$66, "data missing"),
   IF(OR('Waste results'!$S$30&lt;&gt;"data missing", 'Waste results'!$S$66&lt;&gt;"data missing"), Calc!BC58*'Waste results'!$S$30+ Calc!BD58*'Waste results'!$S$66, "data missing"))),
IF(AND('Field information 2'!$M$5&lt;&gt;"", 'Field information 2'!$O$5&lt;&gt;"", 'Field information 2'!$Q$5&lt;&gt;""),
   IF(AND(Calc!BD58=0,Calc!BE58=0),
     IF('Waste results'!$S$30&lt;&gt;"data missing", Calc!BC58*'Waste results'!$S$30, "data missing"),
   IF(AND(Calc!BC58=0,Calc!BE58=0),
     IF('Waste results'!$S$66&lt;&gt;"data missing", Calc!BD58*'Waste results'!$S$66, "data missing"),
   IF(AND(Calc!BC58=0,Calc!BD58=0),
     IF('Waste results'!$S$102&lt;&gt;"data missing", Calc!BE58*'Waste results'!$S$102, "data missing"),
   IF(Calc!BE58=0,
     IF(OR('Waste results'!$S$30&lt;&gt;"data missing", 'Waste results'!$S$66&lt;&gt;"data missing"), Calc!BC58*'Waste results'!$S$30+ Calc!BD58*'Waste results'!$S$66, "data missing"),
   IF(Calc!BD58=0,
     IF(OR('Waste results'!$S$30&lt;&gt;"data missing", 'Waste results'!$S$102&lt;&gt;"data missing"), Calc!BC58*'Waste results'!$S$30+ Calc!BE58*'Waste results'!$S$102, "data missing"),
   IF(Calc!BC58=0,
     IF(OR('Waste results'!$S$66&lt;&gt;"data missing", 'Waste results'!$S$102&lt;&gt;"data missing"), Calc!BD58*'Waste results'!$S$66+Calc!BE58*'Waste results'!$S$102, "data missing"),
   IF(OR('Waste results'!$S$30&lt;&gt;"data missing", 'Waste results'!$S$66&lt;&gt;"data missing", 'Waste results'!$S$102&lt;&gt;"data missing"), Calc!BC58*'Waste results'!$S$30+Calc!BD58*'Waste results'!$S$66+ Calc!BE58*'Waste results'!$S$102, "data missing")))))))))))</f>
        <v/>
      </c>
      <c r="BL60" s="241" t="str">
        <f ca="1">IF($B60="","",
IF(ISBLANK('Soil results'!P63),"data missing",'Soil results'!P63))</f>
        <v/>
      </c>
      <c r="BM60" s="241" t="str">
        <f t="shared" ca="1" si="14"/>
        <v/>
      </c>
      <c r="BN60" s="66" t="str">
        <f t="shared" ca="1" si="15"/>
        <v/>
      </c>
      <c r="BP60" s="238" t="str">
        <f ca="1">IF(B60="","",
IF(AND('Field information 2'!$O$5="", 'Field information 2'!$Q$5=""),
   IF('Waste results'!$S$31&lt;&gt;"data missing", Calc!BC58*'Waste results'!$S$31, "data missing"),
IF('Field information 2'!$Q$5="",
   IF(Calc!BD58=0,
     IF('Waste results'!$S$31&lt;&gt;"data missing", Calc!BC58*'Waste results'!$S$31, "data missing"),
   IF(Calc!BC58=0,
     IF('Waste results'!$S$67&lt;&gt;"data missing", Calc!BD58*'Waste results'!$S$67, "data missing"),
   IF(OR('Waste results'!$S$31&lt;&gt;"data missing", 'Waste results'!$S$67&lt;&gt;"data missing"), Calc!BC58*'Waste results'!$S$31+ Calc!BD58*'Waste results'!$S$67, "data missing"))),
IF(AND('Field information 2'!$M$5&lt;&gt;"", 'Field information 2'!$O$5&lt;&gt;"", 'Field information 2'!$Q$5&lt;&gt;""),
   IF(AND(Calc!BD58=0,Calc!BE58=0),
     IF('Waste results'!$S$31&lt;&gt;"data missing", Calc!BC58*'Waste results'!$S$31, "data missing"),
   IF(AND(Calc!BC58=0,Calc!BE58=0),
     IF('Waste results'!$S$67&lt;&gt;"data missing", Calc!BD58*'Waste results'!$S$67, "data missing"),
   IF(AND(Calc!BC58=0,Calc!BD58=0),
     IF('Waste results'!$S$103&lt;&gt;"data missing", Calc!BE58*'Waste results'!$S$103, "data missing"),
   IF(Calc!BE58=0,
     IF(OR('Waste results'!$S$31&lt;&gt;"data missing", 'Waste results'!$S$67&lt;&gt;"data missing"), Calc!BC58*'Waste results'!$S$31+ Calc!BD58*'Waste results'!$S$67, "data missing"),
   IF(Calc!BD58=0,
     IF(OR('Waste results'!$S$31&lt;&gt;"data missing", 'Waste results'!$S$103&lt;&gt;"data missing"), Calc!BC58*'Waste results'!$S$31+ Calc!BE58*'Waste results'!$S$103, "data missing"),
   IF(Calc!BC58=0,
     IF(OR('Waste results'!$S$67&lt;&gt;"data missing", 'Waste results'!$S$103&lt;&gt;"data missing"), Calc!BD58*'Waste results'!$S$67+Calc!BE58*'Waste results'!$S$103, "data missing"),
   IF(OR('Waste results'!$S$31&lt;&gt;"data missing", 'Waste results'!$S$67&lt;&gt;"data missing", 'Waste results'!$S$103&lt;&gt;"data missing"), Calc!BC58*'Waste results'!$S$31+Calc!BD58*'Waste results'!$S$67+ Calc!BE58*'Waste results'!$S$103, "data missing")))))))))))</f>
        <v/>
      </c>
      <c r="BQ60" s="239" t="str">
        <f ca="1">IF($B60="","",
IF(ISBLANK('Soil results'!Q63),"data missing",'Soil results'!Q63))</f>
        <v/>
      </c>
      <c r="BR60" s="239" t="str">
        <f t="shared" ca="1" si="16"/>
        <v/>
      </c>
      <c r="BS60" s="9" t="str">
        <f ca="1">IF(B60="","",
IF(BP60=0,"n/a",
IF(OR(BP60="data missing",BQ60=""),"data missing",
IF(BP60&gt;15,"application rate too high - permissible rate exceeds limit",
IF('Soil results'!F63&lt;=5.5,
  IF(BQ60&gt;200,"no application - soil conc. already above limit",
  IF(BR60&gt;200,"application rate too high - soil conc. will exceed limit",
  IF(BQ60&gt;200*0.9,"soil conc. is at or above 90% of the limit",
  IF(10*BP60*1000/3000+BQ60&gt;200,"soil limit likely to be exceeded in 10yrs",
  IF(50*BP60*1000/3000+BQ60&gt;200,"soil limit likely to be exceeded in 50yrs","ok"))))),
IF('Soil results'!F63&lt;=6,
  IF(BQ60&gt;250,"no application - soil conc. already above limit",
  IF(BR60&gt;250,"application rate too high - soil conc. will exceed limit",
  IF(BQ60&gt;250*0.9,"soil conc. is at or above 90% of the limit",
  IF(10*BP60*1000/3000+BQ60&gt;250,"soil limit likely to be exceeded in 10yrs",
  IF(50*BP60*1000/3000+BQ60&gt;250,"soil limit likely to be exceeded in 50yrs","ok"))))),
IF('Soil results'!F63&lt;=7,
  IF(BQ60&gt;300,"no application - soil conc. already above limit",
  IF(BR60&gt;300,"application rate too high - soil conc. will exceed limit",
  IF(BQ60&gt;300*0.9,"soil conc. is at or above 90% of the limit",
  IF(10*BP60*1000/3000+BQ60&gt;300,"soil limit likey to be exceeded in 10yrs",
  IF(50*BP60*1000/3000+BQ60&gt;300,"soil limit likely to be exceeded in 50yrs","ok"))))),
IF('Soil results'!F63&gt;7,
  IF(BQ60&gt;450,"no application - soil conc. already above limit",
  IF(BR60&gt;450,"application rate too high - soil conc. will exceed limit",
  IF(AW60&gt;450*0.9,"soil conc. is at or above 90% of the limit",
  IF(10*BP60*1000/3000+BQ60&gt;450,"soil limit likely to be exceeded in 10yrs",
  IF(50*BP60*1000/3000+BQ60&gt;450,"soil limit likely to be exceeded in 50yrs","ok")))))
))))))))</f>
        <v/>
      </c>
    </row>
    <row r="61" spans="2:71" s="9" customFormat="1" ht="15" x14ac:dyDescent="0.25">
      <c r="B61" s="236" t="str">
        <f ca="1">'Soil results'!B64</f>
        <v/>
      </c>
      <c r="C61" s="91" t="str">
        <f ca="1">IF(B61="","",
IF(AND('Field information 2'!$O$5="", 'Field information 2'!$Q$5=""),
   IF('Waste results'!$S$12&lt;&gt;"data missing", Calc!BC59*'Waste results'!$S$12, "data missing"),
IF('Field information 2'!$Q$5="",
   IF(Calc!BD59=0,
     IF('Waste results'!$S$12&lt;&gt;"data missing", Calc!BC59*'Waste results'!$S$12, "data missing"),
   IF(Calc!BC59=0,
     IF('Waste results'!$S$48&lt;&gt;"data missing", Calc!BD59*'Waste results'!$S$48, "data missing"),
   IF(OR('Waste results'!$S$12&lt;&gt;"data missing", 'Waste results'!$S$48&lt;&gt;"data missing"), Calc!BC59*'Waste results'!$S$12+ Calc!BD59*'Waste results'!$S$48, "data missing"))),
IF(AND('Field information 2'!$M$5&lt;&gt;"", 'Field information 2'!$O$5&lt;&gt;"", 'Field information 2'!$Q$5&lt;&gt;""),
   IF(AND(Calc!BD59=0,Calc!BE59=0),
     IF('Waste results'!$S$12&lt;&gt;"data missing", Calc!BC59*'Waste results'!$S$12, "data missing"),
   IF(AND(Calc!BC59=0,Calc!BE59=0),
     IF('Waste results'!$S$48&lt;&gt;"data missing", Calc!BD59*'Waste results'!$S$48, "data missing"),
   IF(AND(Calc!BC59=0,Calc!BD59=0),
     IF('Waste results'!$S$84&lt;&gt;"data missing", Calc!BE59*'Waste results'!$S$84, "data missing"),
   IF(Calc!BE59=0,
     IF(OR('Waste results'!$S$12&lt;&gt;"data missing", 'Waste results'!$S$48&lt;&gt;"data missing"), Calc!BC59*'Waste results'!$S$12+ Calc!BD59*'Waste results'!$S$48, "data missing"),
   IF(Calc!BD59=0,
     IF(OR('Waste results'!$S$12&lt;&gt;"data missing", 'Waste results'!$S$84&lt;&gt;"data missing"), Calc!BC59*'Waste results'!$S$12+ Calc!BE59*'Waste results'!$S$84, "data missing"),
   IF(Calc!BC59=0,
     IF(OR('Waste results'!$S$48&lt;&gt;"data missing", 'Waste results'!$S$84&lt;&gt;"data missing"), Calc!BD59*'Waste results'!$S$48+Calc!BE59*'Waste results'!$S$84, "data missing"),
   IF(OR('Waste results'!$S$12&lt;&gt;"data missing", 'Waste results'!$S$48&lt;&gt;"data missing", 'Waste results'!$S$84&lt;&gt;"data missing"), Calc!BC59*'Waste results'!$S$12+Calc!BD59*'Waste results'!$S$48+ Calc!BE59*'Waste results'!$S$84, "data missing")))))))))))</f>
        <v/>
      </c>
      <c r="D61" s="161" t="str">
        <f ca="1">IF(B61="","",
IF(Calc!BG59="","soil texture missing",
IF(OR(Calc!BG59="SL; SZL; ZL",Calc!BG59="SCL; CL; ZCL; SC; ZC; C"),VLOOKUP(Calc!BI59,'Fertiliser recommendations'!$A$4:$C$63,3,FALSE),
IF(Calc!BG59="S; LS",VLOOKUP(Calc!BI59,'Fertiliser recommendations'!$A$4:$C$63,3,FALSE)+VLOOKUP(Calc!BI59,'Fertiliser recommendations'!$A$4:$D$63,4,FALSE),
IF(Calc!BG59="10-25% OM",VLOOKUP(Calc!BI59,'Fertiliser recommendations'!$A$4:$C$63,3,FALSE)+VLOOKUP(Calc!BI59,'Fertiliser recommendations'!$A$4:$E$63,5,FALSE),
IF(Calc!BG59="&gt;25% OM",VLOOKUP(Calc!BI59,'Fertiliser recommendations'!$A$4:$C$63,3,FALSE)+VLOOKUP(Calc!BI59,'Fertiliser recommendations'!$A$4:$F$63,6,FALSE),
""))))))</f>
        <v/>
      </c>
      <c r="E61" s="91" t="str">
        <f t="shared" ca="1" si="0"/>
        <v/>
      </c>
      <c r="F61" s="9" t="str">
        <f ca="1">IF(B61="","",
IF(OR(C61="data missing",D61="soil texture missing"),"data missing",
IF(Calc!BF59=0,"n/a",
IF(C61&lt;0.1*D61,"no benefit",
IF(C61&lt;0.3*D61,"limited benefit",
IF(C61&gt;250,"exceeds limit",
IF(OR(AND(D61=0,C61&gt;75),C61&gt;1.25*D61),"excessive",
IF(D61=0, "no requirement",
"benefit"))))))))</f>
        <v/>
      </c>
      <c r="H61" s="91" t="str">
        <f ca="1">IF(B61="","",
IF(AND('Field information 2'!$O$5="", 'Field information 2'!$Q$5=""),
   IF('Waste results'!$S$17&lt;&gt;"data missing", Calc!BC59*'Waste results'!$S$17, "data missing"),
IF('Field information 2'!$Q$5="",
   IF(Calc!BD59=0,
     IF('Waste results'!$S$17&lt;&gt;"data missing", Calc!BC59*'Waste results'!$S$17, "data missing"),
   IF(Calc!BC59=0,
     IF('Waste results'!$S$53&lt;&gt;"data missing", Calc!BD59*'Waste results'!$S$53, "data missing"),
   IF(OR('Waste results'!$S$17&lt;&gt;"data missing", 'Waste results'!$S$53&lt;&gt;"data missing"), Calc!BC59*'Waste results'!$S$17+ Calc!BD59*'Waste results'!$S$53, "data missing"))),
IF(AND('Field information 2'!$M$5&lt;&gt;"", 'Field information 2'!$O$5&lt;&gt;"", 'Field information 2'!$Q$5&lt;&gt;""),
   IF(AND(Calc!BD59=0,Calc!BE59=0),
     IF('Waste results'!$S$17&lt;&gt;"data missing", Calc!BC59*'Waste results'!$S$17, "data missing"),
   IF(AND(Calc!BC59=0,Calc!BE59=0),
     IF('Waste results'!$S$53&lt;&gt;"data missing", Calc!BD59*'Waste results'!$S$53, "data missing"),
   IF(AND(Calc!BC59=0,Calc!BD59=0),
     IF('Waste results'!$S$89&lt;&gt;"data missing", Calc!BE59*'Waste results'!$S$89, "data missing"),
   IF(Calc!BE59=0,
     IF(OR('Waste results'!$S$17&lt;&gt;"data missing", 'Waste results'!$S$53&lt;&gt;"data missing"), Calc!BC59*'Waste results'!$S$17+ Calc!BD59*'Waste results'!$S$53, "data missing"),
   IF(Calc!BD59=0,
     IF(OR('Waste results'!$S$17&lt;&gt;"data missing", 'Waste results'!$S$89&lt;&gt;"data missing"), Calc!BC59*'Waste results'!$S$17+ Calc!BE59*'Waste results'!$S$89, "data missing"),
   IF(Calc!BC59=0,
     IF(OR('Waste results'!$S$53&lt;&gt;"data missing", 'Waste results'!$S$89&lt;&gt;"data missing"), Calc!BD59*'Waste results'!$S$53+Calc!BE59*'Waste results'!$S$89, "data missing"),
   IF(OR('Waste results'!$S$17&lt;&gt;"data missing", 'Waste results'!$S$53&lt;&gt;"data missing", 'Waste results'!$S$89&lt;&gt;"data missing"), Calc!BC59*'Waste results'!$S$17+Calc!BD59*'Waste results'!$S$53+ Calc!BE59*'Waste results'!$S$89, "data missing")))))))))))</f>
        <v/>
      </c>
      <c r="I61" s="195" t="str">
        <f ca="1">IF(B61="","",
IF(OR(ISBLANK('Soil results'!G64), ISBLANK('Soil results'!G$7)),"data missing",
IF(OR(AND('Soil results'!G$7="Olsen (ADAS)",'Soil results'!G64&lt;16),AND('Soil results'!G$7="modified Morgan (SAC)",'Soil results'!G64&lt;4.5)),50,100)))</f>
        <v/>
      </c>
      <c r="J61" s="49" t="str">
        <f ca="1">IF(B61="","",
IF(OR(ISBLANK('Soil results'!G$7),ISBLANK('Soil results'!G64)),"data missing",
IF(OR(AND('Soil results'!G$7="Olsen (ADAS)",'Soil results'!G64&gt;45),AND('Soil results'!G$7="modified Morgan (SAC)",'Soil results'!G64&gt;30)),0,
IF(OR(AND('Soil results'!G$7="Olsen (ADAS)",'Soil results'!G64&gt;=16,'Soil results'!G64&lt;=20),AND('Soil results'!G$7="modified Morgan (SAC)",'Soil results'!G64&gt;=4.5,'Soil results'!G64&lt;=9.4)),VLOOKUP(Calc!BI59,'Fertiliser recommendations'!$A$4:$I$63,9,FALSE),
IF(OR(AND('Soil results'!G$7="Olsen (ADAS)",'Soil results'!G64&lt;10),AND('Soil results'!G$7="modified Morgan (SAC)",'Soil results'!G64&lt;1.8)),VLOOKUP(Calc!BI59,'Fertiliser recommendations'!$A$4:$I$63,9,FALSE)+VLOOKUP(Calc!BI59,'Fertiliser recommendations'!$A$4:$J$63,10,FALSE),
IF(OR(AND('Soil results'!G$7="Olsen (ADAS)",'Soil results'!G64&lt;16),AND('Soil results'!G$7="modified Morgan (SAC)",'Soil results'!G64&lt;4.5)),VLOOKUP(Calc!BI59,'Fertiliser recommendations'!$A$4:$I$63,9,FALSE)+VLOOKUP(Calc!BI59,'Fertiliser recommendations'!$A$4:$K$63,11,FALSE),
IF(OR(AND('Soil results'!G$7="Olsen (ADAS)",'Soil results'!G64&lt;26),AND('Soil results'!G$7="modified Morgan (SAC)",'Soil results'!G64&lt;13.5)),VLOOKUP(Calc!BI59,'Fertiliser recommendations'!$A$4:$I$63,9,FALSE)+VLOOKUP(Calc!BI59,'Fertiliser recommendations'!$A$4:$L$63,12,FALSE),
IF(OR(AND('Soil results'!G$7="Olsen (ADAS)",'Soil results'!G64&lt;=45),AND('Soil results'!G$7="modified Morgan (SAC)",'Soil results'!G64&lt;=30)),VLOOKUP(Calc!BI59,'Fertiliser recommendations'!$A$4:$I$63,9,FALSE)+VLOOKUP(Calc!BI59,'Fertiliser recommendations'!$A$4:$M$63,13,FALSE),
""))))))))</f>
        <v/>
      </c>
      <c r="K61" s="161" t="str">
        <f t="shared" ca="1" si="1"/>
        <v/>
      </c>
      <c r="L61" s="47" t="str">
        <f ca="1">IF(OR(ISBLANK('Soil results'!G$7),ISBLANK('Soil results'!G64),B61="", H61="data missing"),"",
IF('Soil results'!G$7="Olsen (ADAS)",
IF(((H61*Calc!BM59/2.291-(VLOOKUP(Calc!BI59,'Fertiliser recommendations'!$A$4:$I$63,9,FALSE))/2.291)*10/(400/2.291)+'Soil results'!G64)&lt;10,"0 (VL)",
IF(((H61*Calc!BM59/2.291-(VLOOKUP(Calc!BI59,'Fertiliser recommendations'!$A$4:$I$63,9,FALSE))/2.291)*10/(400/2.291)+'Soil results'!G64)&lt;16,"1 (L)",
IF(((H61*Calc!BM59/2.291-(VLOOKUP(Calc!BI59,'Fertiliser recommendations'!$A$4:$I$63,9,FALSE))/2.291)*10/(400/2.291)+'Soil results'!G64)&lt;21,"2 (M-)",
IF(((H61*Calc!BM59/2.291-(VLOOKUP(Calc!BI59,'Fertiliser recommendations'!$A$4:$I$63,9,FALSE))/2.291)*10/(400/2.291)+'Soil results'!G64)&lt;26,"2 (M+)",
IF(((H61*Calc!BM59/2.291-(VLOOKUP(Calc!BI59,'Fertiliser recommendations'!$A$4:$I$63,9,FALSE))/2.291)*10/(400/2.291)+'Soil results'!G64)&lt;45,"3 (H)","&gt;3 (VH)"))))),
IF('Soil results'!G$7="modified Morgan (SAC)",
IF('Soil results'!G64&gt;=6,
IF(((H61*Calc!BM59/2.291-(VLOOKUP(Calc!BI59,'Fertiliser recommendations'!$A$4:$I$63,9,FALSE))/2.291)*5/(147/2.291)+'Soil results'!G64)&lt;9.5,"2 (M-)",
IF(((H61*Calc!BM59/2.291-(VLOOKUP(Calc!BI59,'Fertiliser recommendations'!$A$4:$I$63,9,FALSE))/2.291)*5/(147/2.291)+'Soil results'!G64)&lt;13.5,"2 (M+)",
IF(((H61*Calc!BM59/2.291-(VLOOKUP(Calc!BI59,'Fertiliser recommendations'!$A$4:$I$63,9,FALSE))/2.291)*5/(147/2.291)+'Soil results'!G64)&lt;30,"3 (H)","4 (VH)"))),
IF(((H61*Calc!BM59/2.291-(VLOOKUP(Calc!BI59,'Fertiliser recommendations'!$A$4:$I$63,9,FALSE))/2.291)*5/(346/2.291)+'Soil results'!G64)&lt;1.8,"0 (VL)",
IF(((H61*Calc!BM59/2.291-(VLOOKUP(Calc!BI59,'Fertiliser recommendations'!$A$4:$I$63,9,FALSE))/2.291)*5/(147/2.291)+'Soil results'!G64)&lt;4.5,"1 (L)","2 (M-)"))))))</f>
        <v/>
      </c>
      <c r="M61" s="9" t="str">
        <f ca="1">IF(B61="","",
IF(OR(H61="data missing",I61="data missing",J61="data missing"),"data missing",
IF(Calc!BF59=0,"n/a",
IF(OR(AND('Soil results'!G$7="Olsen (ADAS)",'Soil results'!G64&gt;45),AND('Soil results'!G$7="modified Morgan (SAC)",'Soil results'!G64&gt;30)),
IF(H61&gt;2,"too high, not acceptable","no requirement"),IF(OR(AND('Soil results'!G$7="Olsen (ADAS)",'Soil results'!G64&gt;25),AND('Soil results'!G$7="modified Morgan (SAC)",'Soil results'!G64&gt;13.4)),
IF(H61*(I61/100)&lt;0.1*J61,"no benefit",
IF(H61*(I61/100)&lt;0.3*J61,"limited benefit",
IF(H61*(I61/100)&lt;1.1*J61,"benefit",
IF(H61*(I61/100)&lt;0.7*VLOOKUP(Calc!BI59,'Fertiliser recommendations'!$A$4:$I$63,9,FALSE),"excessive","too high, not acceptable")))),
IF(OR(AND('Soil results'!G$7="Olsen (ADAS)",'Soil results'!G64&gt;20),AND('Soil results'!G$7="modified Morgan (SAC)",'Soil results'!G64&gt;9.4)),
IF(H61*Calc!BM59*(I61/100)&lt;0.1*J61,"no benefit",
IF(H61*Calc!BM59*(I61/100)&lt;0.3*J61,"limited benefit",
IF(H61*Calc!BM59*(I61/100)&lt;1.1*J61,"benefit",
IF(L61="3 (H)","too high, not acceptable","excessive")))),
IF(OR(AND('Soil results'!G$7="Olsen (ADAS)",'Soil results'!G64&gt;15),AND('Soil results'!G$7="modified Morgan (SAC)",'Soil results'!G64&gt;4.4)),
IF(H61*Calc!BM59*(I61/100)&lt;0.1*VLOOKUP(Calc!BI59,'Fertiliser recommendations'!$A$4:$I$63,9,FALSE),"no benefit",
IF(H61*Calc!BM59*(I61/100)&lt;0.3*VLOOKUP(Calc!BI59,'Fertiliser recommendations'!$A$4:$I$63,9,FALSE),"limited benefit",
IF(H61*Calc!BM59*(I61/100)&lt;1.1*VLOOKUP(Calc!BI59,'Fertiliser recommendations'!$A$4:$I$63,9,FALSE),"benefit",
IF(L61="3 (H)", "too high, not acceptable", "excessive")))),
IF(OR(AND('Soil results'!G$7="Olsen (ADAS)",'Soil results'!G64&lt;=15),AND('Soil results'!G$7="modified Morgan (SAC)",'Soil results'!G64&lt;=4.4)),
IF(H61*Calc!BM59*(I61/100)&lt;0.1*VLOOKUP(Calc!BI59,'Fertiliser recommendations'!$A$4:$I$63,9,FALSE),"no benefit",
IF(H61*Calc!BM59*(I61/100)&lt;0.3*VLOOKUP(Calc!BI59,'Fertiliser recommendations'!$A$4:$I$63,9,FALSE),"limited benefit",
IF(H61*Calc!BM59*(I61/100)&lt;1.1*J61,"benefit","excessive")))))))))))</f>
        <v/>
      </c>
      <c r="O61" s="91" t="str">
        <f ca="1">IF(B61="","",
IF(AND('Field information 2'!$O$5="", 'Field information 2'!$Q$5=""),
   IF('Waste results'!$S$19&lt;&gt;"data missing", Calc!BC59*'Waste results'!$S$19, "data missing"),
IF('Field information 2'!$Q$5="",
   IF(Calc!BD59=0,
     IF('Waste results'!$S$19&lt;&gt;"data missing", Calc!BC59*'Waste results'!$S$19, "data missing"),
   IF(Calc!BC59=0,
     IF('Waste results'!$S$55&lt;&gt;"data missing", Calc!BD59*'Waste results'!$S$55, "data missing"),
   IF(OR('Waste results'!$S$19&lt;&gt;"data missing", 'Waste results'!$S$55&lt;&gt;"data missing"), Calc!BC59*'Waste results'!$S$19+ Calc!BD59*'Waste results'!$S$55, "data missing"))),
IF(AND('Field information 2'!$M$5&lt;&gt;"", 'Field information 2'!$O$5&lt;&gt;"", 'Field information 2'!$Q$5&lt;&gt;""),
   IF(AND(Calc!BD59=0,Calc!BE59=0),
     IF('Waste results'!$S$19&lt;&gt;"data missing", Calc!BC59*'Waste results'!$S$19, "data missing"),
   IF(AND(Calc!BC59=0,Calc!BE59=0),
     IF('Waste results'!$S$55&lt;&gt;"data missing", Calc!BD59*'Waste results'!$S$55, "data missing"),
   IF(AND(Calc!BC59=0,Calc!BD59=0),
     IF('Waste results'!$S$91&lt;&gt;"data missing", Calc!BE59*'Waste results'!$S$91, "data missing"),
   IF(Calc!BE59=0,
     IF(OR('Waste results'!$S$19&lt;&gt;"data missing", 'Waste results'!$S$55&lt;&gt;"data missing"), Calc!BC59*'Waste results'!$S$19+ Calc!BD59*'Waste results'!$S$55, "data missing"),
   IF(Calc!BD59=0,
     IF(OR('Waste results'!$S$19&lt;&gt;"data missing", 'Waste results'!$S$91&lt;&gt;"data missing"), Calc!BC59*'Waste results'!$S$19+ Calc!BE59*'Waste results'!$S$91, "data missing"),
   IF(Calc!BC59=0,
     IF(OR('Waste results'!$S$55&lt;&gt;"data missing", 'Waste results'!$S$91&lt;&gt;"data missing"), Calc!BD59*'Waste results'!$S$55+Calc!BE59*'Waste results'!$S$91, "data missing"),
   IF(OR('Waste results'!$S$19&lt;&gt;"data missing", 'Waste results'!$S$55&lt;&gt;"data missing", 'Waste results'!$S$91&lt;&gt;"data missing"), Calc!BC59*'Waste results'!$S$19+Calc!BD59*'Waste results'!$S$55+ Calc!BE59*'Waste results'!$S$91, "data missing")))))))))))</f>
        <v/>
      </c>
      <c r="P61" s="91" t="str">
        <f ca="1">IF(B61="","",
IF(OR(ISBLANK('Soil results'!H$7),ISBLANK('Soil results'!H64)),"data missing",
IF(OR(AND('Soil results'!H$7="ammonium nitrate (ADAS)",'Soil results'!H64&gt;400),AND('Soil results'!H$7="modified Morgan (SAC)",'Soil results'!H64&gt;400)),0,
IF(OR(AND('Soil results'!H$7="ammonium nitrate (ADAS)",'Soil results'!H64&gt;=121,'Soil results'!H64&lt;=180),AND('Soil results'!H$7="modified Morgan (SAC)",'Soil results'!H64&gt;=76,'Soil results'!H64&lt;=140)),VLOOKUP(Calc!BI59,'Fertiliser recommendations'!$A$4:$Z$63,26,FALSE),
IF(OR(AND('Soil results'!H$7="ammonium nitrate (ADAS)",'Soil results'!H64&lt;61),AND('Soil results'!H$7="modified Morgan (SAC)",'Soil results'!H64&lt;40)),VLOOKUP(Calc!BI59,'Fertiliser recommendations'!$A$4:$Z$63,26,FALSE)+VLOOKUP(Calc!BI59,'Fertiliser recommendations'!$A$4:$AA$63,27,FALSE),
IF(OR(AND('Soil results'!H$7="ammonium nitrate (ADAS)",'Soil results'!H64&lt;121),AND('Soil results'!H$7="modified Morgan (SAC)",'Soil results'!H64&lt;76)),VLOOKUP(Calc!BI59,'Fertiliser recommendations'!$A$4:$Z$63,26,FALSE)+VLOOKUP(Calc!BI59,'Fertiliser recommendations'!$A$4:$AB$63,28,FALSE),
IF(OR(AND('Soil results'!H$7="ammonium nitrate (ADAS)",'Soil results'!H64&lt;241),AND('Soil results'!H$7="modified Morgan (SAC)",'Soil results'!H64&lt;201)),VLOOKUP(Calc!BI59,'Fertiliser recommendations'!$A$4:$Z$63,26,FALSE)+VLOOKUP(Calc!BI59,'Fertiliser recommendations'!$A$4:$AC$63,29,FALSE),
IF(OR(AND('Soil results'!H$7="ammonium nitrate (ADAS)",'Soil results'!H64&lt;=400),AND('Soil results'!H$7="modified Morgan (SAC)",'Soil results'!H64&lt;=400)),VLOOKUP(Calc!BI59,'Fertiliser recommendations'!$A$4:$Z$63,26,FALSE)+VLOOKUP(Calc!BI59,'Fertiliser recommendations'!$A$4:$AD$63,30,FALSE),
"??"))))))))</f>
        <v/>
      </c>
      <c r="Q61" s="91" t="str">
        <f t="shared" ca="1" si="2"/>
        <v/>
      </c>
      <c r="R61" s="9" t="str">
        <f ca="1">IF(B61="","",
IF(OR(O61="data missing",P61="data missing"),"data missing",
IF(Calc!BF59=0,"n/a",
IF(P61=0, "no requirement",
IF(O61&lt;0.1*P61,"no benefit",
IF(O61&lt;0.3*P61,"limited benefit",
IF(O61&gt;1.25*P61,"excessive",
"benefit")))))))</f>
        <v/>
      </c>
      <c r="T61" s="91" t="str">
        <f ca="1">IF(B61="","",
IF(AND('Field information 2'!$O$5="", 'Field information 2'!$Q$5=""),
   IF('Waste results'!$S$21&lt;&gt;"data missing", Calc!BC59*'Waste results'!$S$21, "data missing"),
IF('Field information 2'!$Q$5="",
   IF(Calc!BD59=0,
     IF('Waste results'!$S$21&lt;&gt;"data missing", Calc!BC59*'Waste results'!$S$21, "data missing"),
   IF(Calc!BC59=0,
     IF('Waste results'!$S$57&lt;&gt;"data missing", Calc!BD59*'Waste results'!$S$57, "data missing"),
   IF(OR('Waste results'!$S$21&lt;&gt;"data missing", 'Waste results'!$S$57&lt;&gt;"data missing"), Calc!BC59*'Waste results'!$S$21+ Calc!BD59*'Waste results'!$S$57, "data missing"))),
IF(AND('Field information 2'!$M$5&lt;&gt;"", 'Field information 2'!$O$5&lt;&gt;"", 'Field information 2'!$Q$5&lt;&gt;""),
   IF(AND(Calc!BD59=0,Calc!BE59=0),
     IF('Waste results'!$S$21&lt;&gt;"data missing", Calc!BC59*'Waste results'!$S$21, "data missing"),
   IF(AND(Calc!BC59=0,Calc!BE59=0),
     IF('Waste results'!$S$57&lt;&gt;"data missing", Calc!BD59*'Waste results'!$S$57, "data missing"),
   IF(AND(Calc!BC59=0,Calc!BD59=0),
     IF('Waste results'!$S$93&lt;&gt;"data missing", Calc!BE59*'Waste results'!$S$93, "data missing"),
   IF(Calc!BE59=0,
     IF(OR('Waste results'!$S$21&lt;&gt;"data missing", 'Waste results'!$S$57&lt;&gt;"data missing"), Calc!BC59*'Waste results'!$S$21+ Calc!BD59*'Waste results'!$S$57, "data missing"),
   IF(Calc!BD59=0,
     IF(OR('Waste results'!$S$21&lt;&gt;"data missing", 'Waste results'!$S$93&lt;&gt;"data missing"), Calc!BC59*'Waste results'!$S$21+ Calc!BE59*'Waste results'!$S$93, "data missing"),
   IF(Calc!BC59=0,
     IF(OR('Waste results'!$S$57&lt;&gt;"data missing", 'Waste results'!$S$93&lt;&gt;"data missing"), Calc!BD59*'Waste results'!$S$57+Calc!BE59*'Waste results'!$S$93, "data missing"),
   IF(OR('Waste results'!$S$21&lt;&gt;"data missing", 'Waste results'!$S$57&lt;&gt;"data missing", 'Waste results'!$S$93&lt;&gt;"data missing"), Calc!BC59*'Waste results'!$S$21+Calc!BD59*'Waste results'!$S$57+ Calc!BE59*'Waste results'!$S$93, "data missing")))))))))))</f>
        <v/>
      </c>
      <c r="U61" s="7" t="str">
        <f ca="1">IF(B61="","",
IF(OR(ISBLANK('Soil results'!I$7),ISBLANK('Soil results'!I64)),"data missing",
IF(OR(AND('Soil results'!I$7="ammonium nitrate (ADAS)",'Soil results'!I64&gt;51),AND('Soil results'!I$7="modified Morgan (SAC)",'Soil results'!I64&gt;61)),0,
IF(OR(AND('Soil results'!I$7="ammonium nitrate (ADAS)",'Soil results'!I64&lt;25),AND('Soil results'!I$7="modified Morgan (SAC)",'Soil results'!I64&lt;19)),VLOOKUP(Calc!BI59,'Fertiliser recommendations'!$A$4:$AH$63,34,FALSE),
IF(OR(AND('Soil results'!I$7="ammonium nitrate (ADAS)",'Soil results'!I64&lt;=51),AND('Soil results'!I$7="modified Morgan (SAC)",'Soil results'!I64&lt;=61)),VLOOKUP(Calc!BI59,'Fertiliser recommendations'!$A$4:$AI$63,35,FALSE),
"")))))</f>
        <v/>
      </c>
      <c r="V61" s="91" t="str">
        <f t="shared" ca="1" si="3"/>
        <v/>
      </c>
      <c r="W61" s="9" t="str">
        <f ca="1">IF(B61="","",
IF(OR(T61="data missing",U61="data missing"),"data missing",
IF(Calc!BF59=0,"n/a",
IF(U61=0,"no requirement",
IF(T61&lt;0.1*U61,"no benefit",
IF(T61&lt;0.3*U61,"limited benefit",
IF(OR(T61&gt;1.5*U61,AND(Calc!BJ59="g",T61&gt;100)),"excessive",
"benefit")))))))</f>
        <v/>
      </c>
      <c r="Y61" s="91" t="str">
        <f ca="1">IF(B61="","",
IF(AND('Field information 2'!$O$5="", 'Field information 2'!$Q$5=""),
   IF('Waste results'!$P$23&lt;&gt;"", Calc!BC59*'Waste results'!$P$23, "no data"),
IF('Field information 2'!$Q$5="",
   IF(Calc!BD59=0,
     IF('Waste results'!$P$23&lt;&gt;"", Calc!BC59*'Waste results'!$P$23, "no data"),
   IF(Calc!BC59=0,
     IF('Waste results'!$P$59&lt;&gt;"", Calc!BD59*'Waste results'!$P$59, "no data"),
   IF(OR('Waste results'!$P$23&lt;&gt;"", 'Waste results'!$P$59&lt;&gt;""), Calc!BC59*'Waste results'!$P$23+ Calc!BD59*'Waste results'!$P$59, "no data"))),
IF(AND('Field information 2'!$M$5&lt;&gt;"", 'Field information 2'!$O$5&lt;&gt;"", 'Field information 2'!$Q$5&lt;&gt;""),
   IF(AND(Calc!BD59=0,Calc!BE59=0),
     IF('Waste results'!$P$23&lt;&gt;"", Calc!BC59*'Waste results'!$P$23, "no data"),
   IF(AND(Calc!BC59=0,Calc!BE59=0),
     IF('Waste results'!$P$59&lt;&gt;"", Calc!BD59*'Waste results'!$P$59, "no data"),
   IF(AND(Calc!BC59=0,Calc!BD59=0),
     IF('Waste results'!$P$95&lt;&gt;"", Calc!BE59*'Waste results'!$P$95, "no data"),
   IF(Calc!BE59=0,
     IF(OR('Waste results'!$P$23&lt;&gt;"", 'Waste results'!$P$59&lt;&gt;""), Calc!BC59*'Waste results'!$P$23+ Calc!BD59*'Waste results'!$P$59, "no data"),
   IF(Calc!BD59=0,
     IF(OR('Waste results'!$P$23&lt;&gt;"", 'Waste results'!$P$95&lt;&gt;""), Calc!BC59*'Waste results'!$P$23+ Calc!BE59*'Waste results'!$P$95, "no data"),
   IF(Calc!BC59=0,
     IF(OR('Waste results'!$P$59&lt;&gt;"", 'Waste results'!$P$95&lt;&gt;""), Calc!BD59*'Waste results'!$P$59+Calc!BE59*'Waste results'!$P$95, "no data"),
   IF(OR('Waste results'!$P$23&lt;&gt;"", 'Waste results'!$P$59&lt;&gt;"", 'Waste results'!$P$95&lt;&gt;""), Calc!BC59*'Waste results'!$P$23+Calc!BD59*'Waste results'!$P$59+ Calc!BE59*'Waste results'!$P$95, "no data")))))))))))</f>
        <v/>
      </c>
      <c r="Z61" s="7" t="str">
        <f ca="1">IF(OR(ISBLANK('Soil results'!I$7),ISBLANK('Soil results'!I64),'Soil results'!B64=""),"",
VLOOKUP(Calc!BI59,'Fertiliser recommendations'!$A$4:$AM$63,39,FALSE))</f>
        <v/>
      </c>
      <c r="AA61" s="91" t="str">
        <f t="shared" ca="1" si="4"/>
        <v/>
      </c>
      <c r="AB61" s="9" t="str">
        <f t="shared" ca="1" si="5"/>
        <v/>
      </c>
      <c r="AD61" s="48" t="str">
        <f>IF(ISBLANK('Soil results'!F64),"",'Soil results'!F64)</f>
        <v/>
      </c>
      <c r="AE61" s="49" t="str">
        <f ca="1">IF(B61="","",
IF(AND(Calc!BJ59="g", VLOOKUP(LEFT($B61,LEN($B61)-2),'Field information 2'!$B$12:$P$111,9,FALSE)&lt;&gt;"yes"),
 IF(Calc!BG59="10-25% OM", 5.9, IF(Calc!BG59="&gt;25% OM", 5.5, 6.2)),
IF(OR(Calc!BJ59="a", VLOOKUP(LEFT($B61,LEN($B61)-2),'Field information 2'!$B$12:$P$111,9,FALSE)="yes"),
 IF(Calc!BG59="10-25% OM", 6.4, IF(Calc!BG59="&gt;25% OM", 6, 6.7)), "")))</f>
        <v/>
      </c>
      <c r="AF61" s="91" t="str">
        <f ca="1">IF(B61="","",
IF('Waste results'!$Q$33="","no (significant) liming properties",
IF('Waste results'!Q$33&gt;100,"no (significant) liming properties",
IF(AD61="","",
IF(AD61&gt;=AE61,0,ROUNDDOWN((AE61-AD61)*Calc!BK59*'Waste results'!$Q$33+0.2,0))))))</f>
        <v/>
      </c>
      <c r="AG61" s="9" t="str">
        <f ca="1">IF(B61="","",
IF(T61=0,"n/a",
IF(AD61="","data missing",
IF(AND(AD61&lt;5,AF61="no (significant) liming properties"),"no waste application - pH too low",
IF(AND(AD61&gt;5.1,AF61="no (significant) liming properties",Calc!BH59&gt;25, LEFT(Calc!BI59,4)="graz"),"ok",
IF(AND(AD61&lt;=5.2,AF61="no (significant) liming properties"),"liming highly recommended",
IF(AF61=0,"no waste application - liming not required",
IF(AF61&lt;Calc!BC59,"application rate too high - exceeds liming requirement",
"ok"))))))))</f>
        <v/>
      </c>
      <c r="AI61" s="91" t="str">
        <f ca="1">IF(B61="","",
IF(AND('Field information 2'!$O$5="", 'Field information 2'!$Q$5=""),
   IF('Waste results'!$P$10&lt;&gt;"data missing", Calc!BC59*'Waste results'!$P$10, "data missing"),
IF('Field information 2'!$Q$5="",
   IF(Calc!BD59=0,
     IF('Waste results'!$P$10&lt;&gt;"data missing", Calc!BC59*'Waste results'!$P$10, "data missing"),
   IF(Calc!BC59=0,
     IF('Waste results'!$P$45&lt;&gt;"data missing", Calc!BD59*'Waste results'!$P$45, "data missing"),
   IF(OR('Waste results'!$P$10&lt;&gt;"data missing", 'Waste results'!$P$45&lt;&gt;"data missing"), Calc!BC59*'Waste results'!$P$10+ Calc!BD59*'Waste results'!$P$45, "data missing"))),
IF(AND('Field information 2'!$M$5&lt;&gt;"", 'Field information 2'!$O$5&lt;&gt;"", 'Field information 2'!$Q$5&lt;&gt;""),
   IF(AND(Calc!BD59=0,Calc!BE59=0),
     IF('Waste results'!$P$10&lt;&gt;"data missing", Calc!BC59*'Waste results'!$P$10, "data missing"),
   IF(AND(Calc!BC59=0,Calc!BE59=0),
     IF('Waste results'!$P$45&lt;&gt;"data missing", Calc!BD59*'Waste results'!$P$45, "data missing"),
   IF(AND(Calc!BC59=0,Calc!BD59=0),
     IF('Waste results'!$P$82&lt;&gt;"data missing", Calc!BE59*'Waste results'!$P$82, "data missing"),
   IF(Calc!BE59=0,
     IF(OR('Waste results'!$P$10&lt;&gt;"data missing", 'Waste results'!$P$45&lt;&gt;"data missing"), Calc!BC59*'Waste results'!$P$10+ Calc!BD59*'Waste results'!$P$45, "data missing"),
   IF(Calc!BD59=0,
     IF(OR('Waste results'!$P$10&lt;&gt;"data missing", 'Waste results'!$P$82&lt;&gt;"data missing"), Calc!BC59*'Waste results'!$P$10+ Calc!BE59*'Waste results'!$P$82, "data missing"),
   IF(Calc!BC59=0,
     IF(OR('Waste results'!$P$45&lt;&gt;"data missing", 'Waste results'!$P$82&lt;&gt;"data missing"), Calc!BD59*'Waste results'!$P$45+Calc!BE59*'Waste results'!$P$82, "data missing"),
   IF(OR('Waste results'!$P$10&lt;&gt;"data missing", 'Waste results'!$P$45&lt;&gt;"data missing", 'Waste results'!$P$82&lt;&gt;"data missing"), Calc!BC59*'Waste results'!$P$10+Calc!BD59*'Waste results'!$P$45+ Calc!BE59*'Waste results'!$P$82, "data missing")))))))))))</f>
        <v/>
      </c>
      <c r="AJ61" s="237" t="str">
        <f ca="1">IF(B61="","",
IF(AI61="data missing","data missing",
IF(Calc!BF59=0,"n/a",
IF(AND(Calc!BH59&gt;=8,AI61&lt;500),"no benefit",
IF(OR(AND(Calc!BH59&lt;=4,AI61&gt;=500),AND(Calc!BH59&lt;8,AI61&gt;5000)),"benefit",
"limited benefit")))))</f>
        <v/>
      </c>
      <c r="AL61" s="238" t="str">
        <f ca="1">IF(B61="","",
IF(AND('Field information 2'!$O$5="", 'Field information 2'!$Q$5=""),
   IF('Waste results'!$S$25&lt;&gt;"data missing", Calc!BC59*'Waste results'!$S$25, "data missing"),
IF('Field information 2'!$Q$5="",
   IF(Calc!BD59=0,
     IF('Waste results'!$S$25&lt;&gt;"data missing", Calc!BC59*'Waste results'!$S$25, "data missing"),
   IF(Calc!BC59=0,
     IF('Waste results'!$S$61&lt;&gt;"data missing", Calc!BD59*'Waste results'!$S$61, "data missing"),
   IF(OR('Waste results'!$S$25&lt;&gt;"data missing", 'Waste results'!$S$61&lt;&gt;"data missing"), Calc!BC59*'Waste results'!$S$25+ Calc!BD59*'Waste results'!$S$61, "data missing"))),
IF(AND('Field information 2'!$M$5&lt;&gt;"", 'Field information 2'!$O$5&lt;&gt;"", 'Field information 2'!$Q$5&lt;&gt;""),
   IF(AND(Calc!BD59=0,Calc!BE59=0),
     IF('Waste results'!$S$25&lt;&gt;"data missing", Calc!BC59*'Waste results'!$S$25, "data missing"),
   IF(AND(Calc!BC59=0,Calc!BE59=0),
     IF('Waste results'!$S$61&lt;&gt;"data missing", Calc!BD59*'Waste results'!$S$61, "data missing"),
   IF(AND(Calc!BC59=0,Calc!BD59=0),
     IF('Waste results'!$S$97&lt;&gt;"data missing", Calc!BE59*'Waste results'!$S$97, "data missing"),
   IF(Calc!BE59=0,
     IF(OR('Waste results'!$S$25&lt;&gt;"data missing", 'Waste results'!$S$61&lt;&gt;"data missing"), Calc!BC59*'Waste results'!$S$25+ Calc!BD59*'Waste results'!$S$61, "data missing"),
   IF(Calc!BD59=0,
     IF(OR('Waste results'!$S$25&lt;&gt;"data missing", 'Waste results'!$S$97&lt;&gt;"data missing"), Calc!BC59*'Waste results'!$S$25+ Calc!BE59*'Waste results'!$S$97, "data missing"),
   IF(Calc!BC59=0,
     IF(OR('Waste results'!$S$61&lt;&gt;"data missing", 'Waste results'!$S$97&lt;&gt;"data missing"), Calc!BD59*'Waste results'!$S$61+Calc!BE59*'Waste results'!$S$97, "data missing"),
   IF(OR('Waste results'!$S$25&lt;&gt;"data missing", 'Waste results'!$S$61&lt;&gt;"data missing", 'Waste results'!$S$97&lt;&gt;"data missing"), Calc!BC59*'Waste results'!$S$25+Calc!BD59*'Waste results'!$S$61+ Calc!BE59*'Waste results'!$S$97, "data missing")))))))))))</f>
        <v/>
      </c>
      <c r="AM61" s="239" t="str">
        <f ca="1">IF($B61="","",
IF(ISBLANK('Soil results'!K64),"data missing",'Soil results'!K64))</f>
        <v/>
      </c>
      <c r="AN61" s="239" t="str">
        <f t="shared" ca="1" si="6"/>
        <v/>
      </c>
      <c r="AO61" s="9" t="str">
        <f t="shared" ca="1" si="7"/>
        <v/>
      </c>
      <c r="AQ61" s="240" t="str">
        <f ca="1">IF(B61="","",
IF(AND('Field information 2'!$O$5="", 'Field information 2'!$Q$5=""),
   IF('Waste results'!$S$26&lt;&gt;"data missing", Calc!BC59*'Waste results'!$S$26, "data missing"),
IF('Field information 2'!$Q$5="",
   IF(Calc!BD59=0,
     IF('Waste results'!$S$26&lt;&gt;"data missing", Calc!BC59*'Waste results'!$S$26, "data missing"),
   IF(Calc!BC59=0,
     IF('Waste results'!$S$62&lt;&gt;"data missing", Calc!BD59*'Waste results'!$S$62, "data missing"),
   IF(OR('Waste results'!$S$26&lt;&gt;"data missing", 'Waste results'!$S$62&lt;&gt;"data missing"), Calc!BC59*'Waste results'!$S$26+ Calc!BD59*'Waste results'!$S$62, "data missing"))),
IF(AND('Field information 2'!$M$5&lt;&gt;"", 'Field information 2'!$O$5&lt;&gt;"", 'Field information 2'!$Q$5&lt;&gt;""),
   IF(AND(Calc!BD59=0,Calc!BE59=0),
     IF('Waste results'!$S$26&lt;&gt;"data missing", Calc!BC59*'Waste results'!$S$26, "data missing"),
   IF(AND(Calc!BC59=0,Calc!BE59=0),
     IF('Waste results'!$S$62&lt;&gt;"data missing", Calc!BD59*'Waste results'!$S$62, "data missing"),
   IF(AND(Calc!BC59=0,Calc!BD59=0),
     IF('Waste results'!$S$98&lt;&gt;"data missing", Calc!BE59*'Waste results'!$S$98, "data missing"),
   IF(Calc!BE59=0,
     IF(OR('Waste results'!$S$26&lt;&gt;"data missing", 'Waste results'!$S$62&lt;&gt;"data missing"), Calc!BC59*'Waste results'!$S$26+ Calc!BD59*'Waste results'!$S$62, "data missing"),
   IF(Calc!BD59=0,
     IF(OR('Waste results'!$S$26&lt;&gt;"data missing", 'Waste results'!$S$98&lt;&gt;"data missing"), Calc!BC59*'Waste results'!$S$26+ Calc!BE59*'Waste results'!$S$98, "data missing"),
   IF(Calc!BC59=0,
     IF(OR('Waste results'!$S$62&lt;&gt;"data missing", 'Waste results'!$S$98&lt;&gt;"data missing"), Calc!BD59*'Waste results'!$S$62+Calc!BE59*'Waste results'!$S$98, "data missing"),
   IF(OR('Waste results'!$S$26&lt;&gt;"data missing", 'Waste results'!$S$62&lt;&gt;"data missing", 'Waste results'!$S$98&lt;&gt;"data missing"), Calc!BC59*'Waste results'!$S$26+Calc!BD59*'Waste results'!$S$62+ Calc!BE59*'Waste results'!$S$98, "data missing")))))))))))</f>
        <v/>
      </c>
      <c r="AR61" s="241" t="str">
        <f ca="1">IF($B61="","",
IF(ISBLANK('Soil results'!L64),"data missing",'Soil results'!L64))</f>
        <v/>
      </c>
      <c r="AS61" s="241" t="str">
        <f t="shared" ca="1" si="8"/>
        <v/>
      </c>
      <c r="AT61" s="66" t="str">
        <f t="shared" ca="1" si="9"/>
        <v/>
      </c>
      <c r="AV61" s="238" t="str">
        <f ca="1">IF(B61="","",
IF(AND('Field information 2'!$O$5="", 'Field information 2'!$Q$5=""),
   IF('Waste results'!$S$27&lt;&gt;"data missing", Calc!BC59*'Waste results'!$S$27, "data missing"),
IF('Field information 2'!$Q$5="",
   IF(Calc!BD59=0,
     IF('Waste results'!$S$27&lt;&gt;"data missing", Calc!BC59*'Waste results'!$S$27, "data missing"),
   IF(Calc!BC59=0,
     IF('Waste results'!$S$63&lt;&gt;"data missing", Calc!BD59*'Waste results'!$S$63, "data missing"),
   IF(OR('Waste results'!$S$27&lt;&gt;"data missing", 'Waste results'!$S$63&lt;&gt;"data missing"), Calc!BC59*'Waste results'!$S$27+ Calc!BD59*'Waste results'!$S$63, "data missing"))),
IF(AND('Field information 2'!$M$5&lt;&gt;"", 'Field information 2'!$O$5&lt;&gt;"", 'Field information 2'!$Q$5&lt;&gt;""),
   IF(AND(Calc!BD59=0,Calc!BE59=0),
     IF('Waste results'!$S$27&lt;&gt;"data missing", Calc!BC59*'Waste results'!$S$27, "data missing"),
   IF(AND(Calc!BC59=0,Calc!BE59=0),
     IF('Waste results'!$S$63&lt;&gt;"data missing", Calc!BD59*'Waste results'!$S$63, "data missing"),
   IF(AND(Calc!BC59=0,Calc!BD59=0),
     IF('Waste results'!$S$99&lt;&gt;"data missing", Calc!BE59*'Waste results'!$S$99, "data missing"),
   IF(Calc!BE59=0,
     IF(OR('Waste results'!$S$27&lt;&gt;"data missing", 'Waste results'!$S$63&lt;&gt;"data missing"), Calc!BC59*'Waste results'!$S$27+ Calc!BD59*'Waste results'!$S$63, "data missing"),
   IF(Calc!BD59=0,
     IF(OR('Waste results'!$S$27&lt;&gt;"data missing", 'Waste results'!$S$99&lt;&gt;"data missing"), Calc!BC59*'Waste results'!$S$27+ Calc!BE59*'Waste results'!$S$99, "data missing"),
   IF(Calc!BC59=0,
     IF(OR('Waste results'!$S$63&lt;&gt;"data missing", 'Waste results'!$S$99&lt;&gt;"data missing"), Calc!BD59*'Waste results'!$S$63+Calc!BE59*'Waste results'!$S$99, "data missing"),
   IF(OR('Waste results'!$S$27&lt;&gt;"data missing", 'Waste results'!$S$63&lt;&gt;"data missing", 'Waste results'!$S$99&lt;&gt;"data missing"), Calc!BC59*'Waste results'!$S$27+Calc!BD59*'Waste results'!$S$63+ Calc!BE59*'Waste results'!$S$99, "data missing")))))))))))</f>
        <v/>
      </c>
      <c r="AW61" s="239" t="str">
        <f ca="1">IF($B61="","",
IF(ISBLANK('Soil results'!M64),"data missing",'Soil results'!M64))</f>
        <v/>
      </c>
      <c r="AX61" s="239" t="str">
        <f t="shared" ca="1" si="10"/>
        <v/>
      </c>
      <c r="AY61" s="9" t="str">
        <f ca="1">IF(B61="","",
IF(AV61=0,"n/a",
IF(OR(AV61="data missing",AW61="data missing"),"data missing",
IF(AV61&gt;7.5,"application rate too high - permissible rate exceeds limit",
IF('Soil results'!$F64&lt;=5.5,
  IF(AW61&gt;80,"no application - soil conc. already above limit",
  IF(AX61&gt;80,"application rate too high - soil conc. will exceed limit",
  IF(AW61&gt;80*0.9,"soil conc. is at or above 90% of the limit",
  IF(10*AV61*1000/3000+AW61&gt;80,"soil limit likely to be exceeded in 10yrs",
  IF(50*AV61*1000/3000+AW61&gt;80,"soil limit likely to be exceeded in 50yrs","ok"))))),
IF('Soil results'!$F64&lt;=6,
  IF(AW61&gt;100,"no application - soil conc. already above limit",
  IF(AX61&gt;100,"application rate too high - soil conc. will exceed limit",
  IF(AW61&gt;100*0.9,"soil conc. is at or above 90% of the limit",
  IF(10*AV61*1000/3000+AW61&gt;100,"soil limit likely to be exceeded in 10yrs",
  IF(50*AV61*1000/3000+AW61&gt;100,"soil limit likely to be exceeded in 50yrs","ok"))))),
IF('Soil results'!$F64&lt;=7,
  IF(AW61&gt;135,"no application - soil conc. already above limit",
  IF(AX61&gt;135,"application rate too high - soil conc. will exceed limit",
  IF(AW61&gt;135*0.9,"soil conc. is at or above 90% of the limit",
  IF(10*AV61*1000/3000+AW61&gt;135,"soil limit likely to be exceeded in 10yrs",
  IF(50*AV61*1000/3000+AW61&gt;135,"soil limit likely to be exceeded in 50yrs","ok"))))),
IF('Soil results'!$F64&gt;7,
  IF(AW61&gt;200,"no application - soil conc. already above limit",
  IF(AX61&gt;200,"application too high - soil conc. will exceed limit",
  IF(AW61&gt;200*0.9,"soil conc. is at or above 90% of the limit",
  IF(10*AV61*1000/3000+AW61&gt;200,"soil limit likely to be exceeded in 10yrs",
  IF(50*AV61*1000/3000+AW61&gt;200,"soil limit likely to be exceeded in 50yrs","ok")))))
))))))))</f>
        <v/>
      </c>
      <c r="BA61" s="238" t="str">
        <f ca="1">IF(B61="","",
IF(AND('Field information 2'!$O$5="", 'Field information 2'!$Q$5=""),
   IF('Waste results'!$S$28&lt;&gt;"data missing", Calc!BC59*'Waste results'!$S$28, "data missing"),
IF('Field information 2'!$Q$5="",
   IF(Calc!BD59=0,
     IF('Waste results'!$S$28&lt;&gt;"data missing", Calc!BC59*'Waste results'!$S$28, "data missing"),
   IF(Calc!BC59=0,
     IF('Waste results'!$S$64&lt;&gt;"data missing", Calc!BD59*'Waste results'!$S$64, "data missing"),
   IF(OR('Waste results'!$S$28&lt;&gt;"data missing", 'Waste results'!$S$64&lt;&gt;"data missing"), Calc!BC59*'Waste results'!$S$28+ Calc!BD59*'Waste results'!$S$64, "data missing"))),
IF(AND('Field information 2'!$M$5&lt;&gt;"", 'Field information 2'!$O$5&lt;&gt;"", 'Field information 2'!$Q$5&lt;&gt;""),
   IF(AND(Calc!BD59=0,Calc!BE59=0),
     IF('Waste results'!$S$28&lt;&gt;"data missing", Calc!BC59*'Waste results'!$S$28, "data missing"),
   IF(AND(Calc!BC59=0,Calc!BE59=0),
     IF('Waste results'!$S$64&lt;&gt;"data missing", Calc!BD59*'Waste results'!$S$64, "data missing"),
   IF(AND(Calc!BC59=0,Calc!BD59=0),
     IF('Waste results'!$S$100&lt;&gt;"data missing", Calc!BE59*'Waste results'!$S$100, "data missing"),
   IF(Calc!BE59=0,
     IF(OR('Waste results'!$S$28&lt;&gt;"data missing", 'Waste results'!$S$64&lt;&gt;"data missing"), Calc!BC59*'Waste results'!$S$28+ Calc!BD59*'Waste results'!$S$64, "data missing"),
   IF(Calc!BD59=0,
     IF(OR('Waste results'!$S$28&lt;&gt;"data missing", 'Waste results'!$S$100&lt;&gt;"data missing"), Calc!BC59*'Waste results'!$S$28+ Calc!BE59*'Waste results'!$S$100, "data missing"),
   IF(Calc!BC59=0,
     IF(OR('Waste results'!$S$64&lt;&gt;"data missing", 'Waste results'!$S$100&lt;&gt;"data missing"), Calc!BD59*'Waste results'!$S$64+Calc!BE59*'Waste results'!$S$100, "data missing"),
   IF(OR('Waste results'!$S$28&lt;&gt;"data missing", 'Waste results'!$S$64&lt;&gt;"data missing", 'Waste results'!$S$100&lt;&gt;"data missing"), Calc!BC59*'Waste results'!$S$28+Calc!BD59*'Waste results'!$S$64+ Calc!BE59*'Waste results'!$S$100, "data missing")))))))))))</f>
        <v/>
      </c>
      <c r="BB61" s="239" t="str">
        <f ca="1">IF($B61="","",
IF(ISBLANK('Soil results'!N64),"data missing",'Soil results'!N64))</f>
        <v/>
      </c>
      <c r="BC61" s="239" t="str">
        <f t="shared" ca="1" si="11"/>
        <v/>
      </c>
      <c r="BD61" s="9" t="str">
        <f t="shared" ca="1" si="12"/>
        <v/>
      </c>
      <c r="BF61" s="238" t="str">
        <f ca="1">IF(B61="","",
IF(AND('Field information 2'!$O$5="", 'Field information 2'!$Q$5=""),
   IF('Waste results'!$S$29&lt;&gt;"data missing", Calc!BC59*'Waste results'!$S$29, "data missing"),
IF('Field information 2'!$Q$5="",
   IF(Calc!BD59=0,
     IF('Waste results'!$S$29&lt;&gt;"data missing", Calc!BC59*'Waste results'!$S$29, "data missing"),
   IF(Calc!BC59=0,
     IF('Waste results'!$S$65&lt;&gt;"data missing", Calc!BD59*'Waste results'!$S$65, "data missing"),
   IF(OR('Waste results'!$S$29&lt;&gt;"data missing", 'Waste results'!$S$65&lt;&gt;"data missing"), Calc!BC59*'Waste results'!$S$29+ Calc!BD59*'Waste results'!$S$65, "data missing"))),
IF(AND('Field information 2'!$M$5&lt;&gt;"", 'Field information 2'!$O$5&lt;&gt;"", 'Field information 2'!$Q$5&lt;&gt;""),
   IF(AND(Calc!BD59=0,Calc!BE59=0),
     IF('Waste results'!$S$29&lt;&gt;"data missing", Calc!BC59*'Waste results'!$S$29, "data missing"),
   IF(AND(Calc!BC59=0,Calc!BE59=0),
     IF('Waste results'!$S$65&lt;&gt;"data missing", Calc!BD59*'Waste results'!$S$65, "data missing"),
   IF(AND(Calc!BC59=0,Calc!BD59=0),
     IF('Waste results'!$S$101&lt;&gt;"data missing", Calc!BE59*'Waste results'!$S$101, "data missing"),
   IF(Calc!BE59=0,
     IF(OR('Waste results'!$S$29&lt;&gt;"data missing", 'Waste results'!$S$65&lt;&gt;"data missing"), Calc!BC59*'Waste results'!$S$29+ Calc!BD59*'Waste results'!$S$65, "data missing"),
   IF(Calc!BD59=0,
     IF(OR('Waste results'!$S$29&lt;&gt;"data missing", 'Waste results'!$S$101&lt;&gt;"data missing"), Calc!BC59*'Waste results'!$S$29+ Calc!BE59*'Waste results'!$S$101, "data missing"),
   IF(Calc!BC59=0,
     IF(OR('Waste results'!$S$65&lt;&gt;"data missing", 'Waste results'!$S$101&lt;&gt;"data missing"), Calc!BD59*'Waste results'!$S$65+Calc!BE59*'Waste results'!$S$101, "data missing"),
   IF(OR('Waste results'!$S$29&lt;&gt;"data missing", 'Waste results'!$S$65&lt;&gt;"data missing", 'Waste results'!$S$101&lt;&gt;"data missing"), Calc!BC59*'Waste results'!$S$29+Calc!BD59*'Waste results'!$S$65+ Calc!BE59*'Waste results'!$S$101, "data missing")))))))))))</f>
        <v/>
      </c>
      <c r="BG61" s="239" t="str">
        <f ca="1">IF($B61="","",
IF(ISBLANK('Soil results'!O64),"data missing",'Soil results'!O64))</f>
        <v/>
      </c>
      <c r="BH61" s="239" t="str">
        <f t="shared" ca="1" si="13"/>
        <v/>
      </c>
      <c r="BI61" s="9" t="str">
        <f ca="1">IF(B61="","",
IF(BF61=0,"n/a",
IF(OR(BF61="data missing",BG61="data missing"),"data missing",
IF(BF61&gt;3,"application rate too high - permissible rate exceeds limit",
IF('Soil results'!F64&lt;=5.5,
  IF(BG61&gt;50,"no application - soil conc. already above limit",
  IF(BH61&gt;50,"application rate too high - soil conc. will exceed limit",
  IF(BG61&gt;50*0.9,"soil conc. is at or above 90% of the limit",
  IF(10*BF61*1000/3000+BG61&gt;50,"soil limit likely to be exceeded in 10yrs",
  IF(50*BF61*1000/3000+BG61&gt;50,"soil limit likely to be exceeded in 50yrs","ok"))))),
IF('Soil results'!F64&lt;=6,
  IF(BG61&gt;60,"no application - soil conc. already above limit",
  IF(BH61&gt;60,"application rate too high - soil conc. will exceed limit",
  IF(BG61&gt;60*0.9,"soil conc. is at or above 90% of the limit",
  IF(10*BF61*1000/3000+BG61&gt;60,"soil limit likely to be exceeded in 10yrs",
  IF(50*BF61*1000/3000+BG61&gt;60,"soil limit likely to be exceeded in 50yrs","ok"))))),
IF('Soil results'!F64&lt;=7,
  IF(BG61&gt;75,"no application - soil conc. already above limit",
  IF(BH61&gt;75,"application rate too high - soil conc. will exceed limit",
  IF(BG61&gt;75*0.9,"soil conc. is at or above 90% of the limit",
  IF(10*BF61*1000/3000+BG61&gt;75,"soil limit likely to be exceeded in 10yrs",
  IF(50*BF61*1000/3000+BG61&gt;75,"soil limit likely to be exceeded in 50yrs","ok"))))),
IF('Soil results'!F64&gt;7,
  IF(BG61&gt;100,"no application - soil conc. already above limit",
  IF(BH61&gt;100,"application rate too high - soil conc. will exceed limit",
  IF(BG61&gt;100*0.9,"soil conc. is at or above 90% of the limit",
  IF(10*BF61*1000/3000+BG61&gt;100,"soil limit likely to be exceeded in 10yrs",
  IF(50*BF61*1000/3000+BG61&gt;100,"soil limit likely to beexceeded in 50yrs","ok")))))
))))))))</f>
        <v/>
      </c>
      <c r="BK61" s="240" t="str">
        <f ca="1">IF(B61="","",
IF(AND('Field information 2'!$O$5="", 'Field information 2'!$Q$5=""),
   IF('Waste results'!$S$30&lt;&gt;"data missing", Calc!BC59*'Waste results'!$S$30, "data missing"),
IF('Field information 2'!$Q$5="",
   IF(Calc!BD59=0,
     IF('Waste results'!$S$30&lt;&gt;"data missing", Calc!BC59*'Waste results'!$S$30, "data missing"),
   IF(Calc!BC59=0,
     IF('Waste results'!$S$66&lt;&gt;"data missing", Calc!BD59*'Waste results'!$S$66, "data missing"),
   IF(OR('Waste results'!$S$30&lt;&gt;"data missing", 'Waste results'!$S$66&lt;&gt;"data missing"), Calc!BC59*'Waste results'!$S$30+ Calc!BD59*'Waste results'!$S$66, "data missing"))),
IF(AND('Field information 2'!$M$5&lt;&gt;"", 'Field information 2'!$O$5&lt;&gt;"", 'Field information 2'!$Q$5&lt;&gt;""),
   IF(AND(Calc!BD59=0,Calc!BE59=0),
     IF('Waste results'!$S$30&lt;&gt;"data missing", Calc!BC59*'Waste results'!$S$30, "data missing"),
   IF(AND(Calc!BC59=0,Calc!BE59=0),
     IF('Waste results'!$S$66&lt;&gt;"data missing", Calc!BD59*'Waste results'!$S$66, "data missing"),
   IF(AND(Calc!BC59=0,Calc!BD59=0),
     IF('Waste results'!$S$102&lt;&gt;"data missing", Calc!BE59*'Waste results'!$S$102, "data missing"),
   IF(Calc!BE59=0,
     IF(OR('Waste results'!$S$30&lt;&gt;"data missing", 'Waste results'!$S$66&lt;&gt;"data missing"), Calc!BC59*'Waste results'!$S$30+ Calc!BD59*'Waste results'!$S$66, "data missing"),
   IF(Calc!BD59=0,
     IF(OR('Waste results'!$S$30&lt;&gt;"data missing", 'Waste results'!$S$102&lt;&gt;"data missing"), Calc!BC59*'Waste results'!$S$30+ Calc!BE59*'Waste results'!$S$102, "data missing"),
   IF(Calc!BC59=0,
     IF(OR('Waste results'!$S$66&lt;&gt;"data missing", 'Waste results'!$S$102&lt;&gt;"data missing"), Calc!BD59*'Waste results'!$S$66+Calc!BE59*'Waste results'!$S$102, "data missing"),
   IF(OR('Waste results'!$S$30&lt;&gt;"data missing", 'Waste results'!$S$66&lt;&gt;"data missing", 'Waste results'!$S$102&lt;&gt;"data missing"), Calc!BC59*'Waste results'!$S$30+Calc!BD59*'Waste results'!$S$66+ Calc!BE59*'Waste results'!$S$102, "data missing")))))))))))</f>
        <v/>
      </c>
      <c r="BL61" s="241" t="str">
        <f ca="1">IF($B61="","",
IF(ISBLANK('Soil results'!P64),"data missing",'Soil results'!P64))</f>
        <v/>
      </c>
      <c r="BM61" s="241" t="str">
        <f t="shared" ca="1" si="14"/>
        <v/>
      </c>
      <c r="BN61" s="66" t="str">
        <f t="shared" ca="1" si="15"/>
        <v/>
      </c>
      <c r="BP61" s="238" t="str">
        <f ca="1">IF(B61="","",
IF(AND('Field information 2'!$O$5="", 'Field information 2'!$Q$5=""),
   IF('Waste results'!$S$31&lt;&gt;"data missing", Calc!BC59*'Waste results'!$S$31, "data missing"),
IF('Field information 2'!$Q$5="",
   IF(Calc!BD59=0,
     IF('Waste results'!$S$31&lt;&gt;"data missing", Calc!BC59*'Waste results'!$S$31, "data missing"),
   IF(Calc!BC59=0,
     IF('Waste results'!$S$67&lt;&gt;"data missing", Calc!BD59*'Waste results'!$S$67, "data missing"),
   IF(OR('Waste results'!$S$31&lt;&gt;"data missing", 'Waste results'!$S$67&lt;&gt;"data missing"), Calc!BC59*'Waste results'!$S$31+ Calc!BD59*'Waste results'!$S$67, "data missing"))),
IF(AND('Field information 2'!$M$5&lt;&gt;"", 'Field information 2'!$O$5&lt;&gt;"", 'Field information 2'!$Q$5&lt;&gt;""),
   IF(AND(Calc!BD59=0,Calc!BE59=0),
     IF('Waste results'!$S$31&lt;&gt;"data missing", Calc!BC59*'Waste results'!$S$31, "data missing"),
   IF(AND(Calc!BC59=0,Calc!BE59=0),
     IF('Waste results'!$S$67&lt;&gt;"data missing", Calc!BD59*'Waste results'!$S$67, "data missing"),
   IF(AND(Calc!BC59=0,Calc!BD59=0),
     IF('Waste results'!$S$103&lt;&gt;"data missing", Calc!BE59*'Waste results'!$S$103, "data missing"),
   IF(Calc!BE59=0,
     IF(OR('Waste results'!$S$31&lt;&gt;"data missing", 'Waste results'!$S$67&lt;&gt;"data missing"), Calc!BC59*'Waste results'!$S$31+ Calc!BD59*'Waste results'!$S$67, "data missing"),
   IF(Calc!BD59=0,
     IF(OR('Waste results'!$S$31&lt;&gt;"data missing", 'Waste results'!$S$103&lt;&gt;"data missing"), Calc!BC59*'Waste results'!$S$31+ Calc!BE59*'Waste results'!$S$103, "data missing"),
   IF(Calc!BC59=0,
     IF(OR('Waste results'!$S$67&lt;&gt;"data missing", 'Waste results'!$S$103&lt;&gt;"data missing"), Calc!BD59*'Waste results'!$S$67+Calc!BE59*'Waste results'!$S$103, "data missing"),
   IF(OR('Waste results'!$S$31&lt;&gt;"data missing", 'Waste results'!$S$67&lt;&gt;"data missing", 'Waste results'!$S$103&lt;&gt;"data missing"), Calc!BC59*'Waste results'!$S$31+Calc!BD59*'Waste results'!$S$67+ Calc!BE59*'Waste results'!$S$103, "data missing")))))))))))</f>
        <v/>
      </c>
      <c r="BQ61" s="239" t="str">
        <f ca="1">IF($B61="","",
IF(ISBLANK('Soil results'!Q64),"data missing",'Soil results'!Q64))</f>
        <v/>
      </c>
      <c r="BR61" s="239" t="str">
        <f t="shared" ca="1" si="16"/>
        <v/>
      </c>
      <c r="BS61" s="9" t="str">
        <f ca="1">IF(B61="","",
IF(BP61=0,"n/a",
IF(OR(BP61="data missing",BQ61=""),"data missing",
IF(BP61&gt;15,"application rate too high - permissible rate exceeds limit",
IF('Soil results'!F64&lt;=5.5,
  IF(BQ61&gt;200,"no application - soil conc. already above limit",
  IF(BR61&gt;200,"application rate too high - soil conc. will exceed limit",
  IF(BQ61&gt;200*0.9,"soil conc. is at or above 90% of the limit",
  IF(10*BP61*1000/3000+BQ61&gt;200,"soil limit likely to be exceeded in 10yrs",
  IF(50*BP61*1000/3000+BQ61&gt;200,"soil limit likely to be exceeded in 50yrs","ok"))))),
IF('Soil results'!F64&lt;=6,
  IF(BQ61&gt;250,"no application - soil conc. already above limit",
  IF(BR61&gt;250,"application rate too high - soil conc. will exceed limit",
  IF(BQ61&gt;250*0.9,"soil conc. is at or above 90% of the limit",
  IF(10*BP61*1000/3000+BQ61&gt;250,"soil limit likely to be exceeded in 10yrs",
  IF(50*BP61*1000/3000+BQ61&gt;250,"soil limit likely to be exceeded in 50yrs","ok"))))),
IF('Soil results'!F64&lt;=7,
  IF(BQ61&gt;300,"no application - soil conc. already above limit",
  IF(BR61&gt;300,"application rate too high - soil conc. will exceed limit",
  IF(BQ61&gt;300*0.9,"soil conc. is at or above 90% of the limit",
  IF(10*BP61*1000/3000+BQ61&gt;300,"soil limit likey to be exceeded in 10yrs",
  IF(50*BP61*1000/3000+BQ61&gt;300,"soil limit likely to be exceeded in 50yrs","ok"))))),
IF('Soil results'!F64&gt;7,
  IF(BQ61&gt;450,"no application - soil conc. already above limit",
  IF(BR61&gt;450,"application rate too high - soil conc. will exceed limit",
  IF(AW61&gt;450*0.9,"soil conc. is at or above 90% of the limit",
  IF(10*BP61*1000/3000+BQ61&gt;450,"soil limit likely to be exceeded in 10yrs",
  IF(50*BP61*1000/3000+BQ61&gt;450,"soil limit likely to be exceeded in 50yrs","ok")))))
))))))))</f>
        <v/>
      </c>
    </row>
    <row r="62" spans="2:71" s="9" customFormat="1" ht="15" x14ac:dyDescent="0.25">
      <c r="B62" s="236" t="str">
        <f ca="1">'Soil results'!B65</f>
        <v/>
      </c>
      <c r="C62" s="91" t="str">
        <f ca="1">IF(B62="","",
IF(AND('Field information 2'!$O$5="", 'Field information 2'!$Q$5=""),
   IF('Waste results'!$S$12&lt;&gt;"data missing", Calc!BC60*'Waste results'!$S$12, "data missing"),
IF('Field information 2'!$Q$5="",
   IF(Calc!BD60=0,
     IF('Waste results'!$S$12&lt;&gt;"data missing", Calc!BC60*'Waste results'!$S$12, "data missing"),
   IF(Calc!BC60=0,
     IF('Waste results'!$S$48&lt;&gt;"data missing", Calc!BD60*'Waste results'!$S$48, "data missing"),
   IF(OR('Waste results'!$S$12&lt;&gt;"data missing", 'Waste results'!$S$48&lt;&gt;"data missing"), Calc!BC60*'Waste results'!$S$12+ Calc!BD60*'Waste results'!$S$48, "data missing"))),
IF(AND('Field information 2'!$M$5&lt;&gt;"", 'Field information 2'!$O$5&lt;&gt;"", 'Field information 2'!$Q$5&lt;&gt;""),
   IF(AND(Calc!BD60=0,Calc!BE60=0),
     IF('Waste results'!$S$12&lt;&gt;"data missing", Calc!BC60*'Waste results'!$S$12, "data missing"),
   IF(AND(Calc!BC60=0,Calc!BE60=0),
     IF('Waste results'!$S$48&lt;&gt;"data missing", Calc!BD60*'Waste results'!$S$48, "data missing"),
   IF(AND(Calc!BC60=0,Calc!BD60=0),
     IF('Waste results'!$S$84&lt;&gt;"data missing", Calc!BE60*'Waste results'!$S$84, "data missing"),
   IF(Calc!BE60=0,
     IF(OR('Waste results'!$S$12&lt;&gt;"data missing", 'Waste results'!$S$48&lt;&gt;"data missing"), Calc!BC60*'Waste results'!$S$12+ Calc!BD60*'Waste results'!$S$48, "data missing"),
   IF(Calc!BD60=0,
     IF(OR('Waste results'!$S$12&lt;&gt;"data missing", 'Waste results'!$S$84&lt;&gt;"data missing"), Calc!BC60*'Waste results'!$S$12+ Calc!BE60*'Waste results'!$S$84, "data missing"),
   IF(Calc!BC60=0,
     IF(OR('Waste results'!$S$48&lt;&gt;"data missing", 'Waste results'!$S$84&lt;&gt;"data missing"), Calc!BD60*'Waste results'!$S$48+Calc!BE60*'Waste results'!$S$84, "data missing"),
   IF(OR('Waste results'!$S$12&lt;&gt;"data missing", 'Waste results'!$S$48&lt;&gt;"data missing", 'Waste results'!$S$84&lt;&gt;"data missing"), Calc!BC60*'Waste results'!$S$12+Calc!BD60*'Waste results'!$S$48+ Calc!BE60*'Waste results'!$S$84, "data missing")))))))))))</f>
        <v/>
      </c>
      <c r="D62" s="161" t="str">
        <f ca="1">IF(B62="","",
IF(Calc!BG60="","soil texture missing",
IF(OR(Calc!BG60="SL; SZL; ZL",Calc!BG60="SCL; CL; ZCL; SC; ZC; C"),VLOOKUP(Calc!BI60,'Fertiliser recommendations'!$A$4:$C$63,3,FALSE),
IF(Calc!BG60="S; LS",VLOOKUP(Calc!BI60,'Fertiliser recommendations'!$A$4:$C$63,3,FALSE)+VLOOKUP(Calc!BI60,'Fertiliser recommendations'!$A$4:$D$63,4,FALSE),
IF(Calc!BG60="10-25% OM",VLOOKUP(Calc!BI60,'Fertiliser recommendations'!$A$4:$C$63,3,FALSE)+VLOOKUP(Calc!BI60,'Fertiliser recommendations'!$A$4:$E$63,5,FALSE),
IF(Calc!BG60="&gt;25% OM",VLOOKUP(Calc!BI60,'Fertiliser recommendations'!$A$4:$C$63,3,FALSE)+VLOOKUP(Calc!BI60,'Fertiliser recommendations'!$A$4:$F$63,6,FALSE),
""))))))</f>
        <v/>
      </c>
      <c r="E62" s="91" t="str">
        <f t="shared" ca="1" si="0"/>
        <v/>
      </c>
      <c r="F62" s="9" t="str">
        <f ca="1">IF(B62="","",
IF(OR(C62="data missing",D62="soil texture missing"),"data missing",
IF(Calc!BF60=0,"n/a",
IF(C62&lt;0.1*D62,"no benefit",
IF(C62&lt;0.3*D62,"limited benefit",
IF(C62&gt;250,"exceeds limit",
IF(OR(AND(D62=0,C62&gt;75),C62&gt;1.25*D62),"excessive",
IF(D62=0, "no requirement",
"benefit"))))))))</f>
        <v/>
      </c>
      <c r="H62" s="91" t="str">
        <f ca="1">IF(B62="","",
IF(AND('Field information 2'!$O$5="", 'Field information 2'!$Q$5=""),
   IF('Waste results'!$S$17&lt;&gt;"data missing", Calc!BC60*'Waste results'!$S$17, "data missing"),
IF('Field information 2'!$Q$5="",
   IF(Calc!BD60=0,
     IF('Waste results'!$S$17&lt;&gt;"data missing", Calc!BC60*'Waste results'!$S$17, "data missing"),
   IF(Calc!BC60=0,
     IF('Waste results'!$S$53&lt;&gt;"data missing", Calc!BD60*'Waste results'!$S$53, "data missing"),
   IF(OR('Waste results'!$S$17&lt;&gt;"data missing", 'Waste results'!$S$53&lt;&gt;"data missing"), Calc!BC60*'Waste results'!$S$17+ Calc!BD60*'Waste results'!$S$53, "data missing"))),
IF(AND('Field information 2'!$M$5&lt;&gt;"", 'Field information 2'!$O$5&lt;&gt;"", 'Field information 2'!$Q$5&lt;&gt;""),
   IF(AND(Calc!BD60=0,Calc!BE60=0),
     IF('Waste results'!$S$17&lt;&gt;"data missing", Calc!BC60*'Waste results'!$S$17, "data missing"),
   IF(AND(Calc!BC60=0,Calc!BE60=0),
     IF('Waste results'!$S$53&lt;&gt;"data missing", Calc!BD60*'Waste results'!$S$53, "data missing"),
   IF(AND(Calc!BC60=0,Calc!BD60=0),
     IF('Waste results'!$S$89&lt;&gt;"data missing", Calc!BE60*'Waste results'!$S$89, "data missing"),
   IF(Calc!BE60=0,
     IF(OR('Waste results'!$S$17&lt;&gt;"data missing", 'Waste results'!$S$53&lt;&gt;"data missing"), Calc!BC60*'Waste results'!$S$17+ Calc!BD60*'Waste results'!$S$53, "data missing"),
   IF(Calc!BD60=0,
     IF(OR('Waste results'!$S$17&lt;&gt;"data missing", 'Waste results'!$S$89&lt;&gt;"data missing"), Calc!BC60*'Waste results'!$S$17+ Calc!BE60*'Waste results'!$S$89, "data missing"),
   IF(Calc!BC60=0,
     IF(OR('Waste results'!$S$53&lt;&gt;"data missing", 'Waste results'!$S$89&lt;&gt;"data missing"), Calc!BD60*'Waste results'!$S$53+Calc!BE60*'Waste results'!$S$89, "data missing"),
   IF(OR('Waste results'!$S$17&lt;&gt;"data missing", 'Waste results'!$S$53&lt;&gt;"data missing", 'Waste results'!$S$89&lt;&gt;"data missing"), Calc!BC60*'Waste results'!$S$17+Calc!BD60*'Waste results'!$S$53+ Calc!BE60*'Waste results'!$S$89, "data missing")))))))))))</f>
        <v/>
      </c>
      <c r="I62" s="195" t="str">
        <f ca="1">IF(B62="","",
IF(OR(ISBLANK('Soil results'!G65), ISBLANK('Soil results'!G$7)),"data missing",
IF(OR(AND('Soil results'!G$7="Olsen (ADAS)",'Soil results'!G65&lt;16),AND('Soil results'!G$7="modified Morgan (SAC)",'Soil results'!G65&lt;4.5)),50,100)))</f>
        <v/>
      </c>
      <c r="J62" s="49" t="str">
        <f ca="1">IF(B62="","",
IF(OR(ISBLANK('Soil results'!G$7),ISBLANK('Soil results'!G65)),"data missing",
IF(OR(AND('Soil results'!G$7="Olsen (ADAS)",'Soil results'!G65&gt;45),AND('Soil results'!G$7="modified Morgan (SAC)",'Soil results'!G65&gt;30)),0,
IF(OR(AND('Soil results'!G$7="Olsen (ADAS)",'Soil results'!G65&gt;=16,'Soil results'!G65&lt;=20),AND('Soil results'!G$7="modified Morgan (SAC)",'Soil results'!G65&gt;=4.5,'Soil results'!G65&lt;=9.4)),VLOOKUP(Calc!BI60,'Fertiliser recommendations'!$A$4:$I$63,9,FALSE),
IF(OR(AND('Soil results'!G$7="Olsen (ADAS)",'Soil results'!G65&lt;10),AND('Soil results'!G$7="modified Morgan (SAC)",'Soil results'!G65&lt;1.8)),VLOOKUP(Calc!BI60,'Fertiliser recommendations'!$A$4:$I$63,9,FALSE)+VLOOKUP(Calc!BI60,'Fertiliser recommendations'!$A$4:$J$63,10,FALSE),
IF(OR(AND('Soil results'!G$7="Olsen (ADAS)",'Soil results'!G65&lt;16),AND('Soil results'!G$7="modified Morgan (SAC)",'Soil results'!G65&lt;4.5)),VLOOKUP(Calc!BI60,'Fertiliser recommendations'!$A$4:$I$63,9,FALSE)+VLOOKUP(Calc!BI60,'Fertiliser recommendations'!$A$4:$K$63,11,FALSE),
IF(OR(AND('Soil results'!G$7="Olsen (ADAS)",'Soil results'!G65&lt;26),AND('Soil results'!G$7="modified Morgan (SAC)",'Soil results'!G65&lt;13.5)),VLOOKUP(Calc!BI60,'Fertiliser recommendations'!$A$4:$I$63,9,FALSE)+VLOOKUP(Calc!BI60,'Fertiliser recommendations'!$A$4:$L$63,12,FALSE),
IF(OR(AND('Soil results'!G$7="Olsen (ADAS)",'Soil results'!G65&lt;=45),AND('Soil results'!G$7="modified Morgan (SAC)",'Soil results'!G65&lt;=30)),VLOOKUP(Calc!BI60,'Fertiliser recommendations'!$A$4:$I$63,9,FALSE)+VLOOKUP(Calc!BI60,'Fertiliser recommendations'!$A$4:$M$63,13,FALSE),
""))))))))</f>
        <v/>
      </c>
      <c r="K62" s="161" t="str">
        <f t="shared" ca="1" si="1"/>
        <v/>
      </c>
      <c r="L62" s="47" t="str">
        <f ca="1">IF(OR(ISBLANK('Soil results'!G$7),ISBLANK('Soil results'!G65),B62="", H62="data missing"),"",
IF('Soil results'!G$7="Olsen (ADAS)",
IF(((H62*Calc!BM60/2.291-(VLOOKUP(Calc!BI60,'Fertiliser recommendations'!$A$4:$I$63,9,FALSE))/2.291)*10/(400/2.291)+'Soil results'!G65)&lt;10,"0 (VL)",
IF(((H62*Calc!BM60/2.291-(VLOOKUP(Calc!BI60,'Fertiliser recommendations'!$A$4:$I$63,9,FALSE))/2.291)*10/(400/2.291)+'Soil results'!G65)&lt;16,"1 (L)",
IF(((H62*Calc!BM60/2.291-(VLOOKUP(Calc!BI60,'Fertiliser recommendations'!$A$4:$I$63,9,FALSE))/2.291)*10/(400/2.291)+'Soil results'!G65)&lt;21,"2 (M-)",
IF(((H62*Calc!BM60/2.291-(VLOOKUP(Calc!BI60,'Fertiliser recommendations'!$A$4:$I$63,9,FALSE))/2.291)*10/(400/2.291)+'Soil results'!G65)&lt;26,"2 (M+)",
IF(((H62*Calc!BM60/2.291-(VLOOKUP(Calc!BI60,'Fertiliser recommendations'!$A$4:$I$63,9,FALSE))/2.291)*10/(400/2.291)+'Soil results'!G65)&lt;45,"3 (H)","&gt;3 (VH)"))))),
IF('Soil results'!G$7="modified Morgan (SAC)",
IF('Soil results'!G65&gt;=6,
IF(((H62*Calc!BM60/2.291-(VLOOKUP(Calc!BI60,'Fertiliser recommendations'!$A$4:$I$63,9,FALSE))/2.291)*5/(147/2.291)+'Soil results'!G65)&lt;9.5,"2 (M-)",
IF(((H62*Calc!BM60/2.291-(VLOOKUP(Calc!BI60,'Fertiliser recommendations'!$A$4:$I$63,9,FALSE))/2.291)*5/(147/2.291)+'Soil results'!G65)&lt;13.5,"2 (M+)",
IF(((H62*Calc!BM60/2.291-(VLOOKUP(Calc!BI60,'Fertiliser recommendations'!$A$4:$I$63,9,FALSE))/2.291)*5/(147/2.291)+'Soil results'!G65)&lt;30,"3 (H)","4 (VH)"))),
IF(((H62*Calc!BM60/2.291-(VLOOKUP(Calc!BI60,'Fertiliser recommendations'!$A$4:$I$63,9,FALSE))/2.291)*5/(346/2.291)+'Soil results'!G65)&lt;1.8,"0 (VL)",
IF(((H62*Calc!BM60/2.291-(VLOOKUP(Calc!BI60,'Fertiliser recommendations'!$A$4:$I$63,9,FALSE))/2.291)*5/(147/2.291)+'Soil results'!G65)&lt;4.5,"1 (L)","2 (M-)"))))))</f>
        <v/>
      </c>
      <c r="M62" s="9" t="str">
        <f ca="1">IF(B62="","",
IF(OR(H62="data missing",I62="data missing",J62="data missing"),"data missing",
IF(Calc!BF60=0,"n/a",
IF(OR(AND('Soil results'!G$7="Olsen (ADAS)",'Soil results'!G65&gt;45),AND('Soil results'!G$7="modified Morgan (SAC)",'Soil results'!G65&gt;30)),
IF(H62&gt;2,"too high, not acceptable","no requirement"),IF(OR(AND('Soil results'!G$7="Olsen (ADAS)",'Soil results'!G65&gt;25),AND('Soil results'!G$7="modified Morgan (SAC)",'Soil results'!G65&gt;13.4)),
IF(H62*(I62/100)&lt;0.1*J62,"no benefit",
IF(H62*(I62/100)&lt;0.3*J62,"limited benefit",
IF(H62*(I62/100)&lt;1.1*J62,"benefit",
IF(H62*(I62/100)&lt;0.7*VLOOKUP(Calc!BI60,'Fertiliser recommendations'!$A$4:$I$63,9,FALSE),"excessive","too high, not acceptable")))),
IF(OR(AND('Soil results'!G$7="Olsen (ADAS)",'Soil results'!G65&gt;20),AND('Soil results'!G$7="modified Morgan (SAC)",'Soil results'!G65&gt;9.4)),
IF(H62*Calc!BM60*(I62/100)&lt;0.1*J62,"no benefit",
IF(H62*Calc!BM60*(I62/100)&lt;0.3*J62,"limited benefit",
IF(H62*Calc!BM60*(I62/100)&lt;1.1*J62,"benefit",
IF(L62="3 (H)","too high, not acceptable","excessive")))),
IF(OR(AND('Soil results'!G$7="Olsen (ADAS)",'Soil results'!G65&gt;15),AND('Soil results'!G$7="modified Morgan (SAC)",'Soil results'!G65&gt;4.4)),
IF(H62*Calc!BM60*(I62/100)&lt;0.1*VLOOKUP(Calc!BI60,'Fertiliser recommendations'!$A$4:$I$63,9,FALSE),"no benefit",
IF(H62*Calc!BM60*(I62/100)&lt;0.3*VLOOKUP(Calc!BI60,'Fertiliser recommendations'!$A$4:$I$63,9,FALSE),"limited benefit",
IF(H62*Calc!BM60*(I62/100)&lt;1.1*VLOOKUP(Calc!BI60,'Fertiliser recommendations'!$A$4:$I$63,9,FALSE),"benefit",
IF(L62="3 (H)", "too high, not acceptable", "excessive")))),
IF(OR(AND('Soil results'!G$7="Olsen (ADAS)",'Soil results'!G65&lt;=15),AND('Soil results'!G$7="modified Morgan (SAC)",'Soil results'!G65&lt;=4.4)),
IF(H62*Calc!BM60*(I62/100)&lt;0.1*VLOOKUP(Calc!BI60,'Fertiliser recommendations'!$A$4:$I$63,9,FALSE),"no benefit",
IF(H62*Calc!BM60*(I62/100)&lt;0.3*VLOOKUP(Calc!BI60,'Fertiliser recommendations'!$A$4:$I$63,9,FALSE),"limited benefit",
IF(H62*Calc!BM60*(I62/100)&lt;1.1*J62,"benefit","excessive")))))))))))</f>
        <v/>
      </c>
      <c r="O62" s="91" t="str">
        <f ca="1">IF(B62="","",
IF(AND('Field information 2'!$O$5="", 'Field information 2'!$Q$5=""),
   IF('Waste results'!$S$19&lt;&gt;"data missing", Calc!BC60*'Waste results'!$S$19, "data missing"),
IF('Field information 2'!$Q$5="",
   IF(Calc!BD60=0,
     IF('Waste results'!$S$19&lt;&gt;"data missing", Calc!BC60*'Waste results'!$S$19, "data missing"),
   IF(Calc!BC60=0,
     IF('Waste results'!$S$55&lt;&gt;"data missing", Calc!BD60*'Waste results'!$S$55, "data missing"),
   IF(OR('Waste results'!$S$19&lt;&gt;"data missing", 'Waste results'!$S$55&lt;&gt;"data missing"), Calc!BC60*'Waste results'!$S$19+ Calc!BD60*'Waste results'!$S$55, "data missing"))),
IF(AND('Field information 2'!$M$5&lt;&gt;"", 'Field information 2'!$O$5&lt;&gt;"", 'Field information 2'!$Q$5&lt;&gt;""),
   IF(AND(Calc!BD60=0,Calc!BE60=0),
     IF('Waste results'!$S$19&lt;&gt;"data missing", Calc!BC60*'Waste results'!$S$19, "data missing"),
   IF(AND(Calc!BC60=0,Calc!BE60=0),
     IF('Waste results'!$S$55&lt;&gt;"data missing", Calc!BD60*'Waste results'!$S$55, "data missing"),
   IF(AND(Calc!BC60=0,Calc!BD60=0),
     IF('Waste results'!$S$91&lt;&gt;"data missing", Calc!BE60*'Waste results'!$S$91, "data missing"),
   IF(Calc!BE60=0,
     IF(OR('Waste results'!$S$19&lt;&gt;"data missing", 'Waste results'!$S$55&lt;&gt;"data missing"), Calc!BC60*'Waste results'!$S$19+ Calc!BD60*'Waste results'!$S$55, "data missing"),
   IF(Calc!BD60=0,
     IF(OR('Waste results'!$S$19&lt;&gt;"data missing", 'Waste results'!$S$91&lt;&gt;"data missing"), Calc!BC60*'Waste results'!$S$19+ Calc!BE60*'Waste results'!$S$91, "data missing"),
   IF(Calc!BC60=0,
     IF(OR('Waste results'!$S$55&lt;&gt;"data missing", 'Waste results'!$S$91&lt;&gt;"data missing"), Calc!BD60*'Waste results'!$S$55+Calc!BE60*'Waste results'!$S$91, "data missing"),
   IF(OR('Waste results'!$S$19&lt;&gt;"data missing", 'Waste results'!$S$55&lt;&gt;"data missing", 'Waste results'!$S$91&lt;&gt;"data missing"), Calc!BC60*'Waste results'!$S$19+Calc!BD60*'Waste results'!$S$55+ Calc!BE60*'Waste results'!$S$91, "data missing")))))))))))</f>
        <v/>
      </c>
      <c r="P62" s="91" t="str">
        <f ca="1">IF(B62="","",
IF(OR(ISBLANK('Soil results'!H$7),ISBLANK('Soil results'!H65)),"data missing",
IF(OR(AND('Soil results'!H$7="ammonium nitrate (ADAS)",'Soil results'!H65&gt;400),AND('Soil results'!H$7="modified Morgan (SAC)",'Soil results'!H65&gt;400)),0,
IF(OR(AND('Soil results'!H$7="ammonium nitrate (ADAS)",'Soil results'!H65&gt;=121,'Soil results'!H65&lt;=180),AND('Soil results'!H$7="modified Morgan (SAC)",'Soil results'!H65&gt;=76,'Soil results'!H65&lt;=140)),VLOOKUP(Calc!BI60,'Fertiliser recommendations'!$A$4:$Z$63,26,FALSE),
IF(OR(AND('Soil results'!H$7="ammonium nitrate (ADAS)",'Soil results'!H65&lt;61),AND('Soil results'!H$7="modified Morgan (SAC)",'Soil results'!H65&lt;40)),VLOOKUP(Calc!BI60,'Fertiliser recommendations'!$A$4:$Z$63,26,FALSE)+VLOOKUP(Calc!BI60,'Fertiliser recommendations'!$A$4:$AA$63,27,FALSE),
IF(OR(AND('Soil results'!H$7="ammonium nitrate (ADAS)",'Soil results'!H65&lt;121),AND('Soil results'!H$7="modified Morgan (SAC)",'Soil results'!H65&lt;76)),VLOOKUP(Calc!BI60,'Fertiliser recommendations'!$A$4:$Z$63,26,FALSE)+VLOOKUP(Calc!BI60,'Fertiliser recommendations'!$A$4:$AB$63,28,FALSE),
IF(OR(AND('Soil results'!H$7="ammonium nitrate (ADAS)",'Soil results'!H65&lt;241),AND('Soil results'!H$7="modified Morgan (SAC)",'Soil results'!H65&lt;201)),VLOOKUP(Calc!BI60,'Fertiliser recommendations'!$A$4:$Z$63,26,FALSE)+VLOOKUP(Calc!BI60,'Fertiliser recommendations'!$A$4:$AC$63,29,FALSE),
IF(OR(AND('Soil results'!H$7="ammonium nitrate (ADAS)",'Soil results'!H65&lt;=400),AND('Soil results'!H$7="modified Morgan (SAC)",'Soil results'!H65&lt;=400)),VLOOKUP(Calc!BI60,'Fertiliser recommendations'!$A$4:$Z$63,26,FALSE)+VLOOKUP(Calc!BI60,'Fertiliser recommendations'!$A$4:$AD$63,30,FALSE),
"??"))))))))</f>
        <v/>
      </c>
      <c r="Q62" s="91" t="str">
        <f t="shared" ca="1" si="2"/>
        <v/>
      </c>
      <c r="R62" s="9" t="str">
        <f ca="1">IF(B62="","",
IF(OR(O62="data missing",P62="data missing"),"data missing",
IF(Calc!BF60=0,"n/a",
IF(P62=0, "no requirement",
IF(O62&lt;0.1*P62,"no benefit",
IF(O62&lt;0.3*P62,"limited benefit",
IF(O62&gt;1.25*P62,"excessive",
"benefit")))))))</f>
        <v/>
      </c>
      <c r="T62" s="91" t="str">
        <f ca="1">IF(B62="","",
IF(AND('Field information 2'!$O$5="", 'Field information 2'!$Q$5=""),
   IF('Waste results'!$S$21&lt;&gt;"data missing", Calc!BC60*'Waste results'!$S$21, "data missing"),
IF('Field information 2'!$Q$5="",
   IF(Calc!BD60=0,
     IF('Waste results'!$S$21&lt;&gt;"data missing", Calc!BC60*'Waste results'!$S$21, "data missing"),
   IF(Calc!BC60=0,
     IF('Waste results'!$S$57&lt;&gt;"data missing", Calc!BD60*'Waste results'!$S$57, "data missing"),
   IF(OR('Waste results'!$S$21&lt;&gt;"data missing", 'Waste results'!$S$57&lt;&gt;"data missing"), Calc!BC60*'Waste results'!$S$21+ Calc!BD60*'Waste results'!$S$57, "data missing"))),
IF(AND('Field information 2'!$M$5&lt;&gt;"", 'Field information 2'!$O$5&lt;&gt;"", 'Field information 2'!$Q$5&lt;&gt;""),
   IF(AND(Calc!BD60=0,Calc!BE60=0),
     IF('Waste results'!$S$21&lt;&gt;"data missing", Calc!BC60*'Waste results'!$S$21, "data missing"),
   IF(AND(Calc!BC60=0,Calc!BE60=0),
     IF('Waste results'!$S$57&lt;&gt;"data missing", Calc!BD60*'Waste results'!$S$57, "data missing"),
   IF(AND(Calc!BC60=0,Calc!BD60=0),
     IF('Waste results'!$S$93&lt;&gt;"data missing", Calc!BE60*'Waste results'!$S$93, "data missing"),
   IF(Calc!BE60=0,
     IF(OR('Waste results'!$S$21&lt;&gt;"data missing", 'Waste results'!$S$57&lt;&gt;"data missing"), Calc!BC60*'Waste results'!$S$21+ Calc!BD60*'Waste results'!$S$57, "data missing"),
   IF(Calc!BD60=0,
     IF(OR('Waste results'!$S$21&lt;&gt;"data missing", 'Waste results'!$S$93&lt;&gt;"data missing"), Calc!BC60*'Waste results'!$S$21+ Calc!BE60*'Waste results'!$S$93, "data missing"),
   IF(Calc!BC60=0,
     IF(OR('Waste results'!$S$57&lt;&gt;"data missing", 'Waste results'!$S$93&lt;&gt;"data missing"), Calc!BD60*'Waste results'!$S$57+Calc!BE60*'Waste results'!$S$93, "data missing"),
   IF(OR('Waste results'!$S$21&lt;&gt;"data missing", 'Waste results'!$S$57&lt;&gt;"data missing", 'Waste results'!$S$93&lt;&gt;"data missing"), Calc!BC60*'Waste results'!$S$21+Calc!BD60*'Waste results'!$S$57+ Calc!BE60*'Waste results'!$S$93, "data missing")))))))))))</f>
        <v/>
      </c>
      <c r="U62" s="7" t="str">
        <f ca="1">IF(B62="","",
IF(OR(ISBLANK('Soil results'!I$7),ISBLANK('Soil results'!I65)),"data missing",
IF(OR(AND('Soil results'!I$7="ammonium nitrate (ADAS)",'Soil results'!I65&gt;51),AND('Soil results'!I$7="modified Morgan (SAC)",'Soil results'!I65&gt;61)),0,
IF(OR(AND('Soil results'!I$7="ammonium nitrate (ADAS)",'Soil results'!I65&lt;25),AND('Soil results'!I$7="modified Morgan (SAC)",'Soil results'!I65&lt;19)),VLOOKUP(Calc!BI60,'Fertiliser recommendations'!$A$4:$AH$63,34,FALSE),
IF(OR(AND('Soil results'!I$7="ammonium nitrate (ADAS)",'Soil results'!I65&lt;=51),AND('Soil results'!I$7="modified Morgan (SAC)",'Soil results'!I65&lt;=61)),VLOOKUP(Calc!BI60,'Fertiliser recommendations'!$A$4:$AI$63,35,FALSE),
"")))))</f>
        <v/>
      </c>
      <c r="V62" s="91" t="str">
        <f t="shared" ca="1" si="3"/>
        <v/>
      </c>
      <c r="W62" s="9" t="str">
        <f ca="1">IF(B62="","",
IF(OR(T62="data missing",U62="data missing"),"data missing",
IF(Calc!BF60=0,"n/a",
IF(U62=0,"no requirement",
IF(T62&lt;0.1*U62,"no benefit",
IF(T62&lt;0.3*U62,"limited benefit",
IF(OR(T62&gt;1.5*U62,AND(Calc!BJ60="g",T62&gt;100)),"excessive",
"benefit")))))))</f>
        <v/>
      </c>
      <c r="Y62" s="91" t="str">
        <f ca="1">IF(B62="","",
IF(AND('Field information 2'!$O$5="", 'Field information 2'!$Q$5=""),
   IF('Waste results'!$P$23&lt;&gt;"", Calc!BC60*'Waste results'!$P$23, "no data"),
IF('Field information 2'!$Q$5="",
   IF(Calc!BD60=0,
     IF('Waste results'!$P$23&lt;&gt;"", Calc!BC60*'Waste results'!$P$23, "no data"),
   IF(Calc!BC60=0,
     IF('Waste results'!$P$59&lt;&gt;"", Calc!BD60*'Waste results'!$P$59, "no data"),
   IF(OR('Waste results'!$P$23&lt;&gt;"", 'Waste results'!$P$59&lt;&gt;""), Calc!BC60*'Waste results'!$P$23+ Calc!BD60*'Waste results'!$P$59, "no data"))),
IF(AND('Field information 2'!$M$5&lt;&gt;"", 'Field information 2'!$O$5&lt;&gt;"", 'Field information 2'!$Q$5&lt;&gt;""),
   IF(AND(Calc!BD60=0,Calc!BE60=0),
     IF('Waste results'!$P$23&lt;&gt;"", Calc!BC60*'Waste results'!$P$23, "no data"),
   IF(AND(Calc!BC60=0,Calc!BE60=0),
     IF('Waste results'!$P$59&lt;&gt;"", Calc!BD60*'Waste results'!$P$59, "no data"),
   IF(AND(Calc!BC60=0,Calc!BD60=0),
     IF('Waste results'!$P$95&lt;&gt;"", Calc!BE60*'Waste results'!$P$95, "no data"),
   IF(Calc!BE60=0,
     IF(OR('Waste results'!$P$23&lt;&gt;"", 'Waste results'!$P$59&lt;&gt;""), Calc!BC60*'Waste results'!$P$23+ Calc!BD60*'Waste results'!$P$59, "no data"),
   IF(Calc!BD60=0,
     IF(OR('Waste results'!$P$23&lt;&gt;"", 'Waste results'!$P$95&lt;&gt;""), Calc!BC60*'Waste results'!$P$23+ Calc!BE60*'Waste results'!$P$95, "no data"),
   IF(Calc!BC60=0,
     IF(OR('Waste results'!$P$59&lt;&gt;"", 'Waste results'!$P$95&lt;&gt;""), Calc!BD60*'Waste results'!$P$59+Calc!BE60*'Waste results'!$P$95, "no data"),
   IF(OR('Waste results'!$P$23&lt;&gt;"", 'Waste results'!$P$59&lt;&gt;"", 'Waste results'!$P$95&lt;&gt;""), Calc!BC60*'Waste results'!$P$23+Calc!BD60*'Waste results'!$P$59+ Calc!BE60*'Waste results'!$P$95, "no data")))))))))))</f>
        <v/>
      </c>
      <c r="Z62" s="7" t="str">
        <f ca="1">IF(OR(ISBLANK('Soil results'!I$7),ISBLANK('Soil results'!I65),'Soil results'!B65=""),"",
VLOOKUP(Calc!BI60,'Fertiliser recommendations'!$A$4:$AM$63,39,FALSE))</f>
        <v/>
      </c>
      <c r="AA62" s="91" t="str">
        <f t="shared" ca="1" si="4"/>
        <v/>
      </c>
      <c r="AB62" s="9" t="str">
        <f t="shared" ca="1" si="5"/>
        <v/>
      </c>
      <c r="AD62" s="48" t="str">
        <f>IF(ISBLANK('Soil results'!F65),"",'Soil results'!F65)</f>
        <v/>
      </c>
      <c r="AE62" s="49" t="str">
        <f ca="1">IF(B62="","",
IF(AND(Calc!BJ60="g", VLOOKUP(LEFT($B62,LEN($B62)-2),'Field information 2'!$B$12:$P$111,9,FALSE)&lt;&gt;"yes"),
 IF(Calc!BG60="10-25% OM", 5.9, IF(Calc!BG60="&gt;25% OM", 5.5, 6.2)),
IF(OR(Calc!BJ60="a", VLOOKUP(LEFT($B62,LEN($B62)-2),'Field information 2'!$B$12:$P$111,9,FALSE)="yes"),
 IF(Calc!BG60="10-25% OM", 6.4, IF(Calc!BG60="&gt;25% OM", 6, 6.7)), "")))</f>
        <v/>
      </c>
      <c r="AF62" s="91" t="str">
        <f ca="1">IF(B62="","",
IF('Waste results'!$Q$33="","no (significant) liming properties",
IF('Waste results'!Q$33&gt;100,"no (significant) liming properties",
IF(AD62="","",
IF(AD62&gt;=AE62,0,ROUNDDOWN((AE62-AD62)*Calc!BK60*'Waste results'!$Q$33+0.2,0))))))</f>
        <v/>
      </c>
      <c r="AG62" s="9" t="str">
        <f ca="1">IF(B62="","",
IF(T62=0,"n/a",
IF(AD62="","data missing",
IF(AND(AD62&lt;5,AF62="no (significant) liming properties"),"no waste application - pH too low",
IF(AND(AD62&gt;5.1,AF62="no (significant) liming properties",Calc!BH60&gt;25, LEFT(Calc!BI60,4)="graz"),"ok",
IF(AND(AD62&lt;=5.2,AF62="no (significant) liming properties"),"liming highly recommended",
IF(AF62=0,"no waste application - liming not required",
IF(AF62&lt;Calc!BC60,"application rate too high - exceeds liming requirement",
"ok"))))))))</f>
        <v/>
      </c>
      <c r="AI62" s="91" t="str">
        <f ca="1">IF(B62="","",
IF(AND('Field information 2'!$O$5="", 'Field information 2'!$Q$5=""),
   IF('Waste results'!$P$10&lt;&gt;"data missing", Calc!BC60*'Waste results'!$P$10, "data missing"),
IF('Field information 2'!$Q$5="",
   IF(Calc!BD60=0,
     IF('Waste results'!$P$10&lt;&gt;"data missing", Calc!BC60*'Waste results'!$P$10, "data missing"),
   IF(Calc!BC60=0,
     IF('Waste results'!$P$45&lt;&gt;"data missing", Calc!BD60*'Waste results'!$P$45, "data missing"),
   IF(OR('Waste results'!$P$10&lt;&gt;"data missing", 'Waste results'!$P$45&lt;&gt;"data missing"), Calc!BC60*'Waste results'!$P$10+ Calc!BD60*'Waste results'!$P$45, "data missing"))),
IF(AND('Field information 2'!$M$5&lt;&gt;"", 'Field information 2'!$O$5&lt;&gt;"", 'Field information 2'!$Q$5&lt;&gt;""),
   IF(AND(Calc!BD60=0,Calc!BE60=0),
     IF('Waste results'!$P$10&lt;&gt;"data missing", Calc!BC60*'Waste results'!$P$10, "data missing"),
   IF(AND(Calc!BC60=0,Calc!BE60=0),
     IF('Waste results'!$P$45&lt;&gt;"data missing", Calc!BD60*'Waste results'!$P$45, "data missing"),
   IF(AND(Calc!BC60=0,Calc!BD60=0),
     IF('Waste results'!$P$82&lt;&gt;"data missing", Calc!BE60*'Waste results'!$P$82, "data missing"),
   IF(Calc!BE60=0,
     IF(OR('Waste results'!$P$10&lt;&gt;"data missing", 'Waste results'!$P$45&lt;&gt;"data missing"), Calc!BC60*'Waste results'!$P$10+ Calc!BD60*'Waste results'!$P$45, "data missing"),
   IF(Calc!BD60=0,
     IF(OR('Waste results'!$P$10&lt;&gt;"data missing", 'Waste results'!$P$82&lt;&gt;"data missing"), Calc!BC60*'Waste results'!$P$10+ Calc!BE60*'Waste results'!$P$82, "data missing"),
   IF(Calc!BC60=0,
     IF(OR('Waste results'!$P$45&lt;&gt;"data missing", 'Waste results'!$P$82&lt;&gt;"data missing"), Calc!BD60*'Waste results'!$P$45+Calc!BE60*'Waste results'!$P$82, "data missing"),
   IF(OR('Waste results'!$P$10&lt;&gt;"data missing", 'Waste results'!$P$45&lt;&gt;"data missing", 'Waste results'!$P$82&lt;&gt;"data missing"), Calc!BC60*'Waste results'!$P$10+Calc!BD60*'Waste results'!$P$45+ Calc!BE60*'Waste results'!$P$82, "data missing")))))))))))</f>
        <v/>
      </c>
      <c r="AJ62" s="237" t="str">
        <f ca="1">IF(B62="","",
IF(AI62="data missing","data missing",
IF(Calc!BF60=0,"n/a",
IF(AND(Calc!BH60&gt;=8,AI62&lt;500),"no benefit",
IF(OR(AND(Calc!BH60&lt;=4,AI62&gt;=500),AND(Calc!BH60&lt;8,AI62&gt;5000)),"benefit",
"limited benefit")))))</f>
        <v/>
      </c>
      <c r="AL62" s="238" t="str">
        <f ca="1">IF(B62="","",
IF(AND('Field information 2'!$O$5="", 'Field information 2'!$Q$5=""),
   IF('Waste results'!$S$25&lt;&gt;"data missing", Calc!BC60*'Waste results'!$S$25, "data missing"),
IF('Field information 2'!$Q$5="",
   IF(Calc!BD60=0,
     IF('Waste results'!$S$25&lt;&gt;"data missing", Calc!BC60*'Waste results'!$S$25, "data missing"),
   IF(Calc!BC60=0,
     IF('Waste results'!$S$61&lt;&gt;"data missing", Calc!BD60*'Waste results'!$S$61, "data missing"),
   IF(OR('Waste results'!$S$25&lt;&gt;"data missing", 'Waste results'!$S$61&lt;&gt;"data missing"), Calc!BC60*'Waste results'!$S$25+ Calc!BD60*'Waste results'!$S$61, "data missing"))),
IF(AND('Field information 2'!$M$5&lt;&gt;"", 'Field information 2'!$O$5&lt;&gt;"", 'Field information 2'!$Q$5&lt;&gt;""),
   IF(AND(Calc!BD60=0,Calc!BE60=0),
     IF('Waste results'!$S$25&lt;&gt;"data missing", Calc!BC60*'Waste results'!$S$25, "data missing"),
   IF(AND(Calc!BC60=0,Calc!BE60=0),
     IF('Waste results'!$S$61&lt;&gt;"data missing", Calc!BD60*'Waste results'!$S$61, "data missing"),
   IF(AND(Calc!BC60=0,Calc!BD60=0),
     IF('Waste results'!$S$97&lt;&gt;"data missing", Calc!BE60*'Waste results'!$S$97, "data missing"),
   IF(Calc!BE60=0,
     IF(OR('Waste results'!$S$25&lt;&gt;"data missing", 'Waste results'!$S$61&lt;&gt;"data missing"), Calc!BC60*'Waste results'!$S$25+ Calc!BD60*'Waste results'!$S$61, "data missing"),
   IF(Calc!BD60=0,
     IF(OR('Waste results'!$S$25&lt;&gt;"data missing", 'Waste results'!$S$97&lt;&gt;"data missing"), Calc!BC60*'Waste results'!$S$25+ Calc!BE60*'Waste results'!$S$97, "data missing"),
   IF(Calc!BC60=0,
     IF(OR('Waste results'!$S$61&lt;&gt;"data missing", 'Waste results'!$S$97&lt;&gt;"data missing"), Calc!BD60*'Waste results'!$S$61+Calc!BE60*'Waste results'!$S$97, "data missing"),
   IF(OR('Waste results'!$S$25&lt;&gt;"data missing", 'Waste results'!$S$61&lt;&gt;"data missing", 'Waste results'!$S$97&lt;&gt;"data missing"), Calc!BC60*'Waste results'!$S$25+Calc!BD60*'Waste results'!$S$61+ Calc!BE60*'Waste results'!$S$97, "data missing")))))))))))</f>
        <v/>
      </c>
      <c r="AM62" s="239" t="str">
        <f ca="1">IF($B62="","",
IF(ISBLANK('Soil results'!K65),"data missing",'Soil results'!K65))</f>
        <v/>
      </c>
      <c r="AN62" s="239" t="str">
        <f t="shared" ca="1" si="6"/>
        <v/>
      </c>
      <c r="AO62" s="9" t="str">
        <f t="shared" ca="1" si="7"/>
        <v/>
      </c>
      <c r="AQ62" s="240" t="str">
        <f ca="1">IF(B62="","",
IF(AND('Field information 2'!$O$5="", 'Field information 2'!$Q$5=""),
   IF('Waste results'!$S$26&lt;&gt;"data missing", Calc!BC60*'Waste results'!$S$26, "data missing"),
IF('Field information 2'!$Q$5="",
   IF(Calc!BD60=0,
     IF('Waste results'!$S$26&lt;&gt;"data missing", Calc!BC60*'Waste results'!$S$26, "data missing"),
   IF(Calc!BC60=0,
     IF('Waste results'!$S$62&lt;&gt;"data missing", Calc!BD60*'Waste results'!$S$62, "data missing"),
   IF(OR('Waste results'!$S$26&lt;&gt;"data missing", 'Waste results'!$S$62&lt;&gt;"data missing"), Calc!BC60*'Waste results'!$S$26+ Calc!BD60*'Waste results'!$S$62, "data missing"))),
IF(AND('Field information 2'!$M$5&lt;&gt;"", 'Field information 2'!$O$5&lt;&gt;"", 'Field information 2'!$Q$5&lt;&gt;""),
   IF(AND(Calc!BD60=0,Calc!BE60=0),
     IF('Waste results'!$S$26&lt;&gt;"data missing", Calc!BC60*'Waste results'!$S$26, "data missing"),
   IF(AND(Calc!BC60=0,Calc!BE60=0),
     IF('Waste results'!$S$62&lt;&gt;"data missing", Calc!BD60*'Waste results'!$S$62, "data missing"),
   IF(AND(Calc!BC60=0,Calc!BD60=0),
     IF('Waste results'!$S$98&lt;&gt;"data missing", Calc!BE60*'Waste results'!$S$98, "data missing"),
   IF(Calc!BE60=0,
     IF(OR('Waste results'!$S$26&lt;&gt;"data missing", 'Waste results'!$S$62&lt;&gt;"data missing"), Calc!BC60*'Waste results'!$S$26+ Calc!BD60*'Waste results'!$S$62, "data missing"),
   IF(Calc!BD60=0,
     IF(OR('Waste results'!$S$26&lt;&gt;"data missing", 'Waste results'!$S$98&lt;&gt;"data missing"), Calc!BC60*'Waste results'!$S$26+ Calc!BE60*'Waste results'!$S$98, "data missing"),
   IF(Calc!BC60=0,
     IF(OR('Waste results'!$S$62&lt;&gt;"data missing", 'Waste results'!$S$98&lt;&gt;"data missing"), Calc!BD60*'Waste results'!$S$62+Calc!BE60*'Waste results'!$S$98, "data missing"),
   IF(OR('Waste results'!$S$26&lt;&gt;"data missing", 'Waste results'!$S$62&lt;&gt;"data missing", 'Waste results'!$S$98&lt;&gt;"data missing"), Calc!BC60*'Waste results'!$S$26+Calc!BD60*'Waste results'!$S$62+ Calc!BE60*'Waste results'!$S$98, "data missing")))))))))))</f>
        <v/>
      </c>
      <c r="AR62" s="241" t="str">
        <f ca="1">IF($B62="","",
IF(ISBLANK('Soil results'!L65),"data missing",'Soil results'!L65))</f>
        <v/>
      </c>
      <c r="AS62" s="241" t="str">
        <f t="shared" ca="1" si="8"/>
        <v/>
      </c>
      <c r="AT62" s="66" t="str">
        <f t="shared" ca="1" si="9"/>
        <v/>
      </c>
      <c r="AV62" s="238" t="str">
        <f ca="1">IF(B62="","",
IF(AND('Field information 2'!$O$5="", 'Field information 2'!$Q$5=""),
   IF('Waste results'!$S$27&lt;&gt;"data missing", Calc!BC60*'Waste results'!$S$27, "data missing"),
IF('Field information 2'!$Q$5="",
   IF(Calc!BD60=0,
     IF('Waste results'!$S$27&lt;&gt;"data missing", Calc!BC60*'Waste results'!$S$27, "data missing"),
   IF(Calc!BC60=0,
     IF('Waste results'!$S$63&lt;&gt;"data missing", Calc!BD60*'Waste results'!$S$63, "data missing"),
   IF(OR('Waste results'!$S$27&lt;&gt;"data missing", 'Waste results'!$S$63&lt;&gt;"data missing"), Calc!BC60*'Waste results'!$S$27+ Calc!BD60*'Waste results'!$S$63, "data missing"))),
IF(AND('Field information 2'!$M$5&lt;&gt;"", 'Field information 2'!$O$5&lt;&gt;"", 'Field information 2'!$Q$5&lt;&gt;""),
   IF(AND(Calc!BD60=0,Calc!BE60=0),
     IF('Waste results'!$S$27&lt;&gt;"data missing", Calc!BC60*'Waste results'!$S$27, "data missing"),
   IF(AND(Calc!BC60=0,Calc!BE60=0),
     IF('Waste results'!$S$63&lt;&gt;"data missing", Calc!BD60*'Waste results'!$S$63, "data missing"),
   IF(AND(Calc!BC60=0,Calc!BD60=0),
     IF('Waste results'!$S$99&lt;&gt;"data missing", Calc!BE60*'Waste results'!$S$99, "data missing"),
   IF(Calc!BE60=0,
     IF(OR('Waste results'!$S$27&lt;&gt;"data missing", 'Waste results'!$S$63&lt;&gt;"data missing"), Calc!BC60*'Waste results'!$S$27+ Calc!BD60*'Waste results'!$S$63, "data missing"),
   IF(Calc!BD60=0,
     IF(OR('Waste results'!$S$27&lt;&gt;"data missing", 'Waste results'!$S$99&lt;&gt;"data missing"), Calc!BC60*'Waste results'!$S$27+ Calc!BE60*'Waste results'!$S$99, "data missing"),
   IF(Calc!BC60=0,
     IF(OR('Waste results'!$S$63&lt;&gt;"data missing", 'Waste results'!$S$99&lt;&gt;"data missing"), Calc!BD60*'Waste results'!$S$63+Calc!BE60*'Waste results'!$S$99, "data missing"),
   IF(OR('Waste results'!$S$27&lt;&gt;"data missing", 'Waste results'!$S$63&lt;&gt;"data missing", 'Waste results'!$S$99&lt;&gt;"data missing"), Calc!BC60*'Waste results'!$S$27+Calc!BD60*'Waste results'!$S$63+ Calc!BE60*'Waste results'!$S$99, "data missing")))))))))))</f>
        <v/>
      </c>
      <c r="AW62" s="239" t="str">
        <f ca="1">IF($B62="","",
IF(ISBLANK('Soil results'!M65),"data missing",'Soil results'!M65))</f>
        <v/>
      </c>
      <c r="AX62" s="239" t="str">
        <f t="shared" ca="1" si="10"/>
        <v/>
      </c>
      <c r="AY62" s="9" t="str">
        <f ca="1">IF(B62="","",
IF(AV62=0,"n/a",
IF(OR(AV62="data missing",AW62="data missing"),"data missing",
IF(AV62&gt;7.5,"application rate too high - permissible rate exceeds limit",
IF('Soil results'!$F65&lt;=5.5,
  IF(AW62&gt;80,"no application - soil conc. already above limit",
  IF(AX62&gt;80,"application rate too high - soil conc. will exceed limit",
  IF(AW62&gt;80*0.9,"soil conc. is at or above 90% of the limit",
  IF(10*AV62*1000/3000+AW62&gt;80,"soil limit likely to be exceeded in 10yrs",
  IF(50*AV62*1000/3000+AW62&gt;80,"soil limit likely to be exceeded in 50yrs","ok"))))),
IF('Soil results'!$F65&lt;=6,
  IF(AW62&gt;100,"no application - soil conc. already above limit",
  IF(AX62&gt;100,"application rate too high - soil conc. will exceed limit",
  IF(AW62&gt;100*0.9,"soil conc. is at or above 90% of the limit",
  IF(10*AV62*1000/3000+AW62&gt;100,"soil limit likely to be exceeded in 10yrs",
  IF(50*AV62*1000/3000+AW62&gt;100,"soil limit likely to be exceeded in 50yrs","ok"))))),
IF('Soil results'!$F65&lt;=7,
  IF(AW62&gt;135,"no application - soil conc. already above limit",
  IF(AX62&gt;135,"application rate too high - soil conc. will exceed limit",
  IF(AW62&gt;135*0.9,"soil conc. is at or above 90% of the limit",
  IF(10*AV62*1000/3000+AW62&gt;135,"soil limit likely to be exceeded in 10yrs",
  IF(50*AV62*1000/3000+AW62&gt;135,"soil limit likely to be exceeded in 50yrs","ok"))))),
IF('Soil results'!$F65&gt;7,
  IF(AW62&gt;200,"no application - soil conc. already above limit",
  IF(AX62&gt;200,"application too high - soil conc. will exceed limit",
  IF(AW62&gt;200*0.9,"soil conc. is at or above 90% of the limit",
  IF(10*AV62*1000/3000+AW62&gt;200,"soil limit likely to be exceeded in 10yrs",
  IF(50*AV62*1000/3000+AW62&gt;200,"soil limit likely to be exceeded in 50yrs","ok")))))
))))))))</f>
        <v/>
      </c>
      <c r="BA62" s="238" t="str">
        <f ca="1">IF(B62="","",
IF(AND('Field information 2'!$O$5="", 'Field information 2'!$Q$5=""),
   IF('Waste results'!$S$28&lt;&gt;"data missing", Calc!BC60*'Waste results'!$S$28, "data missing"),
IF('Field information 2'!$Q$5="",
   IF(Calc!BD60=0,
     IF('Waste results'!$S$28&lt;&gt;"data missing", Calc!BC60*'Waste results'!$S$28, "data missing"),
   IF(Calc!BC60=0,
     IF('Waste results'!$S$64&lt;&gt;"data missing", Calc!BD60*'Waste results'!$S$64, "data missing"),
   IF(OR('Waste results'!$S$28&lt;&gt;"data missing", 'Waste results'!$S$64&lt;&gt;"data missing"), Calc!BC60*'Waste results'!$S$28+ Calc!BD60*'Waste results'!$S$64, "data missing"))),
IF(AND('Field information 2'!$M$5&lt;&gt;"", 'Field information 2'!$O$5&lt;&gt;"", 'Field information 2'!$Q$5&lt;&gt;""),
   IF(AND(Calc!BD60=0,Calc!BE60=0),
     IF('Waste results'!$S$28&lt;&gt;"data missing", Calc!BC60*'Waste results'!$S$28, "data missing"),
   IF(AND(Calc!BC60=0,Calc!BE60=0),
     IF('Waste results'!$S$64&lt;&gt;"data missing", Calc!BD60*'Waste results'!$S$64, "data missing"),
   IF(AND(Calc!BC60=0,Calc!BD60=0),
     IF('Waste results'!$S$100&lt;&gt;"data missing", Calc!BE60*'Waste results'!$S$100, "data missing"),
   IF(Calc!BE60=0,
     IF(OR('Waste results'!$S$28&lt;&gt;"data missing", 'Waste results'!$S$64&lt;&gt;"data missing"), Calc!BC60*'Waste results'!$S$28+ Calc!BD60*'Waste results'!$S$64, "data missing"),
   IF(Calc!BD60=0,
     IF(OR('Waste results'!$S$28&lt;&gt;"data missing", 'Waste results'!$S$100&lt;&gt;"data missing"), Calc!BC60*'Waste results'!$S$28+ Calc!BE60*'Waste results'!$S$100, "data missing"),
   IF(Calc!BC60=0,
     IF(OR('Waste results'!$S$64&lt;&gt;"data missing", 'Waste results'!$S$100&lt;&gt;"data missing"), Calc!BD60*'Waste results'!$S$64+Calc!BE60*'Waste results'!$S$100, "data missing"),
   IF(OR('Waste results'!$S$28&lt;&gt;"data missing", 'Waste results'!$S$64&lt;&gt;"data missing", 'Waste results'!$S$100&lt;&gt;"data missing"), Calc!BC60*'Waste results'!$S$28+Calc!BD60*'Waste results'!$S$64+ Calc!BE60*'Waste results'!$S$100, "data missing")))))))))))</f>
        <v/>
      </c>
      <c r="BB62" s="239" t="str">
        <f ca="1">IF($B62="","",
IF(ISBLANK('Soil results'!N65),"data missing",'Soil results'!N65))</f>
        <v/>
      </c>
      <c r="BC62" s="239" t="str">
        <f t="shared" ca="1" si="11"/>
        <v/>
      </c>
      <c r="BD62" s="9" t="str">
        <f t="shared" ca="1" si="12"/>
        <v/>
      </c>
      <c r="BF62" s="238" t="str">
        <f ca="1">IF(B62="","",
IF(AND('Field information 2'!$O$5="", 'Field information 2'!$Q$5=""),
   IF('Waste results'!$S$29&lt;&gt;"data missing", Calc!BC60*'Waste results'!$S$29, "data missing"),
IF('Field information 2'!$Q$5="",
   IF(Calc!BD60=0,
     IF('Waste results'!$S$29&lt;&gt;"data missing", Calc!BC60*'Waste results'!$S$29, "data missing"),
   IF(Calc!BC60=0,
     IF('Waste results'!$S$65&lt;&gt;"data missing", Calc!BD60*'Waste results'!$S$65, "data missing"),
   IF(OR('Waste results'!$S$29&lt;&gt;"data missing", 'Waste results'!$S$65&lt;&gt;"data missing"), Calc!BC60*'Waste results'!$S$29+ Calc!BD60*'Waste results'!$S$65, "data missing"))),
IF(AND('Field information 2'!$M$5&lt;&gt;"", 'Field information 2'!$O$5&lt;&gt;"", 'Field information 2'!$Q$5&lt;&gt;""),
   IF(AND(Calc!BD60=0,Calc!BE60=0),
     IF('Waste results'!$S$29&lt;&gt;"data missing", Calc!BC60*'Waste results'!$S$29, "data missing"),
   IF(AND(Calc!BC60=0,Calc!BE60=0),
     IF('Waste results'!$S$65&lt;&gt;"data missing", Calc!BD60*'Waste results'!$S$65, "data missing"),
   IF(AND(Calc!BC60=0,Calc!BD60=0),
     IF('Waste results'!$S$101&lt;&gt;"data missing", Calc!BE60*'Waste results'!$S$101, "data missing"),
   IF(Calc!BE60=0,
     IF(OR('Waste results'!$S$29&lt;&gt;"data missing", 'Waste results'!$S$65&lt;&gt;"data missing"), Calc!BC60*'Waste results'!$S$29+ Calc!BD60*'Waste results'!$S$65, "data missing"),
   IF(Calc!BD60=0,
     IF(OR('Waste results'!$S$29&lt;&gt;"data missing", 'Waste results'!$S$101&lt;&gt;"data missing"), Calc!BC60*'Waste results'!$S$29+ Calc!BE60*'Waste results'!$S$101, "data missing"),
   IF(Calc!BC60=0,
     IF(OR('Waste results'!$S$65&lt;&gt;"data missing", 'Waste results'!$S$101&lt;&gt;"data missing"), Calc!BD60*'Waste results'!$S$65+Calc!BE60*'Waste results'!$S$101, "data missing"),
   IF(OR('Waste results'!$S$29&lt;&gt;"data missing", 'Waste results'!$S$65&lt;&gt;"data missing", 'Waste results'!$S$101&lt;&gt;"data missing"), Calc!BC60*'Waste results'!$S$29+Calc!BD60*'Waste results'!$S$65+ Calc!BE60*'Waste results'!$S$101, "data missing")))))))))))</f>
        <v/>
      </c>
      <c r="BG62" s="239" t="str">
        <f ca="1">IF($B62="","",
IF(ISBLANK('Soil results'!O65),"data missing",'Soil results'!O65))</f>
        <v/>
      </c>
      <c r="BH62" s="239" t="str">
        <f t="shared" ca="1" si="13"/>
        <v/>
      </c>
      <c r="BI62" s="9" t="str">
        <f ca="1">IF(B62="","",
IF(BF62=0,"n/a",
IF(OR(BF62="data missing",BG62="data missing"),"data missing",
IF(BF62&gt;3,"application rate too high - permissible rate exceeds limit",
IF('Soil results'!F65&lt;=5.5,
  IF(BG62&gt;50,"no application - soil conc. already above limit",
  IF(BH62&gt;50,"application rate too high - soil conc. will exceed limit",
  IF(BG62&gt;50*0.9,"soil conc. is at or above 90% of the limit",
  IF(10*BF62*1000/3000+BG62&gt;50,"soil limit likely to be exceeded in 10yrs",
  IF(50*BF62*1000/3000+BG62&gt;50,"soil limit likely to be exceeded in 50yrs","ok"))))),
IF('Soil results'!F65&lt;=6,
  IF(BG62&gt;60,"no application - soil conc. already above limit",
  IF(BH62&gt;60,"application rate too high - soil conc. will exceed limit",
  IF(BG62&gt;60*0.9,"soil conc. is at or above 90% of the limit",
  IF(10*BF62*1000/3000+BG62&gt;60,"soil limit likely to be exceeded in 10yrs",
  IF(50*BF62*1000/3000+BG62&gt;60,"soil limit likely to be exceeded in 50yrs","ok"))))),
IF('Soil results'!F65&lt;=7,
  IF(BG62&gt;75,"no application - soil conc. already above limit",
  IF(BH62&gt;75,"application rate too high - soil conc. will exceed limit",
  IF(BG62&gt;75*0.9,"soil conc. is at or above 90% of the limit",
  IF(10*BF62*1000/3000+BG62&gt;75,"soil limit likely to be exceeded in 10yrs",
  IF(50*BF62*1000/3000+BG62&gt;75,"soil limit likely to be exceeded in 50yrs","ok"))))),
IF('Soil results'!F65&gt;7,
  IF(BG62&gt;100,"no application - soil conc. already above limit",
  IF(BH62&gt;100,"application rate too high - soil conc. will exceed limit",
  IF(BG62&gt;100*0.9,"soil conc. is at or above 90% of the limit",
  IF(10*BF62*1000/3000+BG62&gt;100,"soil limit likely to be exceeded in 10yrs",
  IF(50*BF62*1000/3000+BG62&gt;100,"soil limit likely to beexceeded in 50yrs","ok")))))
))))))))</f>
        <v/>
      </c>
      <c r="BK62" s="240" t="str">
        <f ca="1">IF(B62="","",
IF(AND('Field information 2'!$O$5="", 'Field information 2'!$Q$5=""),
   IF('Waste results'!$S$30&lt;&gt;"data missing", Calc!BC60*'Waste results'!$S$30, "data missing"),
IF('Field information 2'!$Q$5="",
   IF(Calc!BD60=0,
     IF('Waste results'!$S$30&lt;&gt;"data missing", Calc!BC60*'Waste results'!$S$30, "data missing"),
   IF(Calc!BC60=0,
     IF('Waste results'!$S$66&lt;&gt;"data missing", Calc!BD60*'Waste results'!$S$66, "data missing"),
   IF(OR('Waste results'!$S$30&lt;&gt;"data missing", 'Waste results'!$S$66&lt;&gt;"data missing"), Calc!BC60*'Waste results'!$S$30+ Calc!BD60*'Waste results'!$S$66, "data missing"))),
IF(AND('Field information 2'!$M$5&lt;&gt;"", 'Field information 2'!$O$5&lt;&gt;"", 'Field information 2'!$Q$5&lt;&gt;""),
   IF(AND(Calc!BD60=0,Calc!BE60=0),
     IF('Waste results'!$S$30&lt;&gt;"data missing", Calc!BC60*'Waste results'!$S$30, "data missing"),
   IF(AND(Calc!BC60=0,Calc!BE60=0),
     IF('Waste results'!$S$66&lt;&gt;"data missing", Calc!BD60*'Waste results'!$S$66, "data missing"),
   IF(AND(Calc!BC60=0,Calc!BD60=0),
     IF('Waste results'!$S$102&lt;&gt;"data missing", Calc!BE60*'Waste results'!$S$102, "data missing"),
   IF(Calc!BE60=0,
     IF(OR('Waste results'!$S$30&lt;&gt;"data missing", 'Waste results'!$S$66&lt;&gt;"data missing"), Calc!BC60*'Waste results'!$S$30+ Calc!BD60*'Waste results'!$S$66, "data missing"),
   IF(Calc!BD60=0,
     IF(OR('Waste results'!$S$30&lt;&gt;"data missing", 'Waste results'!$S$102&lt;&gt;"data missing"), Calc!BC60*'Waste results'!$S$30+ Calc!BE60*'Waste results'!$S$102, "data missing"),
   IF(Calc!BC60=0,
     IF(OR('Waste results'!$S$66&lt;&gt;"data missing", 'Waste results'!$S$102&lt;&gt;"data missing"), Calc!BD60*'Waste results'!$S$66+Calc!BE60*'Waste results'!$S$102, "data missing"),
   IF(OR('Waste results'!$S$30&lt;&gt;"data missing", 'Waste results'!$S$66&lt;&gt;"data missing", 'Waste results'!$S$102&lt;&gt;"data missing"), Calc!BC60*'Waste results'!$S$30+Calc!BD60*'Waste results'!$S$66+ Calc!BE60*'Waste results'!$S$102, "data missing")))))))))))</f>
        <v/>
      </c>
      <c r="BL62" s="241" t="str">
        <f ca="1">IF($B62="","",
IF(ISBLANK('Soil results'!P65),"data missing",'Soil results'!P65))</f>
        <v/>
      </c>
      <c r="BM62" s="241" t="str">
        <f t="shared" ca="1" si="14"/>
        <v/>
      </c>
      <c r="BN62" s="66" t="str">
        <f t="shared" ca="1" si="15"/>
        <v/>
      </c>
      <c r="BP62" s="238" t="str">
        <f ca="1">IF(B62="","",
IF(AND('Field information 2'!$O$5="", 'Field information 2'!$Q$5=""),
   IF('Waste results'!$S$31&lt;&gt;"data missing", Calc!BC60*'Waste results'!$S$31, "data missing"),
IF('Field information 2'!$Q$5="",
   IF(Calc!BD60=0,
     IF('Waste results'!$S$31&lt;&gt;"data missing", Calc!BC60*'Waste results'!$S$31, "data missing"),
   IF(Calc!BC60=0,
     IF('Waste results'!$S$67&lt;&gt;"data missing", Calc!BD60*'Waste results'!$S$67, "data missing"),
   IF(OR('Waste results'!$S$31&lt;&gt;"data missing", 'Waste results'!$S$67&lt;&gt;"data missing"), Calc!BC60*'Waste results'!$S$31+ Calc!BD60*'Waste results'!$S$67, "data missing"))),
IF(AND('Field information 2'!$M$5&lt;&gt;"", 'Field information 2'!$O$5&lt;&gt;"", 'Field information 2'!$Q$5&lt;&gt;""),
   IF(AND(Calc!BD60=0,Calc!BE60=0),
     IF('Waste results'!$S$31&lt;&gt;"data missing", Calc!BC60*'Waste results'!$S$31, "data missing"),
   IF(AND(Calc!BC60=0,Calc!BE60=0),
     IF('Waste results'!$S$67&lt;&gt;"data missing", Calc!BD60*'Waste results'!$S$67, "data missing"),
   IF(AND(Calc!BC60=0,Calc!BD60=0),
     IF('Waste results'!$S$103&lt;&gt;"data missing", Calc!BE60*'Waste results'!$S$103, "data missing"),
   IF(Calc!BE60=0,
     IF(OR('Waste results'!$S$31&lt;&gt;"data missing", 'Waste results'!$S$67&lt;&gt;"data missing"), Calc!BC60*'Waste results'!$S$31+ Calc!BD60*'Waste results'!$S$67, "data missing"),
   IF(Calc!BD60=0,
     IF(OR('Waste results'!$S$31&lt;&gt;"data missing", 'Waste results'!$S$103&lt;&gt;"data missing"), Calc!BC60*'Waste results'!$S$31+ Calc!BE60*'Waste results'!$S$103, "data missing"),
   IF(Calc!BC60=0,
     IF(OR('Waste results'!$S$67&lt;&gt;"data missing", 'Waste results'!$S$103&lt;&gt;"data missing"), Calc!BD60*'Waste results'!$S$67+Calc!BE60*'Waste results'!$S$103, "data missing"),
   IF(OR('Waste results'!$S$31&lt;&gt;"data missing", 'Waste results'!$S$67&lt;&gt;"data missing", 'Waste results'!$S$103&lt;&gt;"data missing"), Calc!BC60*'Waste results'!$S$31+Calc!BD60*'Waste results'!$S$67+ Calc!BE60*'Waste results'!$S$103, "data missing")))))))))))</f>
        <v/>
      </c>
      <c r="BQ62" s="239" t="str">
        <f ca="1">IF($B62="","",
IF(ISBLANK('Soil results'!Q65),"data missing",'Soil results'!Q65))</f>
        <v/>
      </c>
      <c r="BR62" s="239" t="str">
        <f t="shared" ca="1" si="16"/>
        <v/>
      </c>
      <c r="BS62" s="9" t="str">
        <f ca="1">IF(B62="","",
IF(BP62=0,"n/a",
IF(OR(BP62="data missing",BQ62=""),"data missing",
IF(BP62&gt;15,"application rate too high - permissible rate exceeds limit",
IF('Soil results'!F65&lt;=5.5,
  IF(BQ62&gt;200,"no application - soil conc. already above limit",
  IF(BR62&gt;200,"application rate too high - soil conc. will exceed limit",
  IF(BQ62&gt;200*0.9,"soil conc. is at or above 90% of the limit",
  IF(10*BP62*1000/3000+BQ62&gt;200,"soil limit likely to be exceeded in 10yrs",
  IF(50*BP62*1000/3000+BQ62&gt;200,"soil limit likely to be exceeded in 50yrs","ok"))))),
IF('Soil results'!F65&lt;=6,
  IF(BQ62&gt;250,"no application - soil conc. already above limit",
  IF(BR62&gt;250,"application rate too high - soil conc. will exceed limit",
  IF(BQ62&gt;250*0.9,"soil conc. is at or above 90% of the limit",
  IF(10*BP62*1000/3000+BQ62&gt;250,"soil limit likely to be exceeded in 10yrs",
  IF(50*BP62*1000/3000+BQ62&gt;250,"soil limit likely to be exceeded in 50yrs","ok"))))),
IF('Soil results'!F65&lt;=7,
  IF(BQ62&gt;300,"no application - soil conc. already above limit",
  IF(BR62&gt;300,"application rate too high - soil conc. will exceed limit",
  IF(BQ62&gt;300*0.9,"soil conc. is at or above 90% of the limit",
  IF(10*BP62*1000/3000+BQ62&gt;300,"soil limit likey to be exceeded in 10yrs",
  IF(50*BP62*1000/3000+BQ62&gt;300,"soil limit likely to be exceeded in 50yrs","ok"))))),
IF('Soil results'!F65&gt;7,
  IF(BQ62&gt;450,"no application - soil conc. already above limit",
  IF(BR62&gt;450,"application rate too high - soil conc. will exceed limit",
  IF(AW62&gt;450*0.9,"soil conc. is at or above 90% of the limit",
  IF(10*BP62*1000/3000+BQ62&gt;450,"soil limit likely to be exceeded in 10yrs",
  IF(50*BP62*1000/3000+BQ62&gt;450,"soil limit likely to be exceeded in 50yrs","ok")))))
))))))))</f>
        <v/>
      </c>
    </row>
    <row r="63" spans="2:71" s="9" customFormat="1" ht="15" x14ac:dyDescent="0.25">
      <c r="B63" s="236" t="str">
        <f ca="1">'Soil results'!B66</f>
        <v/>
      </c>
      <c r="C63" s="91" t="str">
        <f ca="1">IF(B63="","",
IF(AND('Field information 2'!$O$5="", 'Field information 2'!$Q$5=""),
   IF('Waste results'!$S$12&lt;&gt;"data missing", Calc!BC61*'Waste results'!$S$12, "data missing"),
IF('Field information 2'!$Q$5="",
   IF(Calc!BD61=0,
     IF('Waste results'!$S$12&lt;&gt;"data missing", Calc!BC61*'Waste results'!$S$12, "data missing"),
   IF(Calc!BC61=0,
     IF('Waste results'!$S$48&lt;&gt;"data missing", Calc!BD61*'Waste results'!$S$48, "data missing"),
   IF(OR('Waste results'!$S$12&lt;&gt;"data missing", 'Waste results'!$S$48&lt;&gt;"data missing"), Calc!BC61*'Waste results'!$S$12+ Calc!BD61*'Waste results'!$S$48, "data missing"))),
IF(AND('Field information 2'!$M$5&lt;&gt;"", 'Field information 2'!$O$5&lt;&gt;"", 'Field information 2'!$Q$5&lt;&gt;""),
   IF(AND(Calc!BD61=0,Calc!BE61=0),
     IF('Waste results'!$S$12&lt;&gt;"data missing", Calc!BC61*'Waste results'!$S$12, "data missing"),
   IF(AND(Calc!BC61=0,Calc!BE61=0),
     IF('Waste results'!$S$48&lt;&gt;"data missing", Calc!BD61*'Waste results'!$S$48, "data missing"),
   IF(AND(Calc!BC61=0,Calc!BD61=0),
     IF('Waste results'!$S$84&lt;&gt;"data missing", Calc!BE61*'Waste results'!$S$84, "data missing"),
   IF(Calc!BE61=0,
     IF(OR('Waste results'!$S$12&lt;&gt;"data missing", 'Waste results'!$S$48&lt;&gt;"data missing"), Calc!BC61*'Waste results'!$S$12+ Calc!BD61*'Waste results'!$S$48, "data missing"),
   IF(Calc!BD61=0,
     IF(OR('Waste results'!$S$12&lt;&gt;"data missing", 'Waste results'!$S$84&lt;&gt;"data missing"), Calc!BC61*'Waste results'!$S$12+ Calc!BE61*'Waste results'!$S$84, "data missing"),
   IF(Calc!BC61=0,
     IF(OR('Waste results'!$S$48&lt;&gt;"data missing", 'Waste results'!$S$84&lt;&gt;"data missing"), Calc!BD61*'Waste results'!$S$48+Calc!BE61*'Waste results'!$S$84, "data missing"),
   IF(OR('Waste results'!$S$12&lt;&gt;"data missing", 'Waste results'!$S$48&lt;&gt;"data missing", 'Waste results'!$S$84&lt;&gt;"data missing"), Calc!BC61*'Waste results'!$S$12+Calc!BD61*'Waste results'!$S$48+ Calc!BE61*'Waste results'!$S$84, "data missing")))))))))))</f>
        <v/>
      </c>
      <c r="D63" s="161" t="str">
        <f ca="1">IF(B63="","",
IF(Calc!BG61="","soil texture missing",
IF(OR(Calc!BG61="SL; SZL; ZL",Calc!BG61="SCL; CL; ZCL; SC; ZC; C"),VLOOKUP(Calc!BI61,'Fertiliser recommendations'!$A$4:$C$63,3,FALSE),
IF(Calc!BG61="S; LS",VLOOKUP(Calc!BI61,'Fertiliser recommendations'!$A$4:$C$63,3,FALSE)+VLOOKUP(Calc!BI61,'Fertiliser recommendations'!$A$4:$D$63,4,FALSE),
IF(Calc!BG61="10-25% OM",VLOOKUP(Calc!BI61,'Fertiliser recommendations'!$A$4:$C$63,3,FALSE)+VLOOKUP(Calc!BI61,'Fertiliser recommendations'!$A$4:$E$63,5,FALSE),
IF(Calc!BG61="&gt;25% OM",VLOOKUP(Calc!BI61,'Fertiliser recommendations'!$A$4:$C$63,3,FALSE)+VLOOKUP(Calc!BI61,'Fertiliser recommendations'!$A$4:$F$63,6,FALSE),
""))))))</f>
        <v/>
      </c>
      <c r="E63" s="91" t="str">
        <f t="shared" ca="1" si="0"/>
        <v/>
      </c>
      <c r="F63" s="9" t="str">
        <f ca="1">IF(B63="","",
IF(OR(C63="data missing",D63="soil texture missing"),"data missing",
IF(Calc!BF61=0,"n/a",
IF(C63&lt;0.1*D63,"no benefit",
IF(C63&lt;0.3*D63,"limited benefit",
IF(C63&gt;250,"exceeds limit",
IF(OR(AND(D63=0,C63&gt;75),C63&gt;1.25*D63),"excessive",
IF(D63=0, "no requirement",
"benefit"))))))))</f>
        <v/>
      </c>
      <c r="H63" s="91" t="str">
        <f ca="1">IF(B63="","",
IF(AND('Field information 2'!$O$5="", 'Field information 2'!$Q$5=""),
   IF('Waste results'!$S$17&lt;&gt;"data missing", Calc!BC61*'Waste results'!$S$17, "data missing"),
IF('Field information 2'!$Q$5="",
   IF(Calc!BD61=0,
     IF('Waste results'!$S$17&lt;&gt;"data missing", Calc!BC61*'Waste results'!$S$17, "data missing"),
   IF(Calc!BC61=0,
     IF('Waste results'!$S$53&lt;&gt;"data missing", Calc!BD61*'Waste results'!$S$53, "data missing"),
   IF(OR('Waste results'!$S$17&lt;&gt;"data missing", 'Waste results'!$S$53&lt;&gt;"data missing"), Calc!BC61*'Waste results'!$S$17+ Calc!BD61*'Waste results'!$S$53, "data missing"))),
IF(AND('Field information 2'!$M$5&lt;&gt;"", 'Field information 2'!$O$5&lt;&gt;"", 'Field information 2'!$Q$5&lt;&gt;""),
   IF(AND(Calc!BD61=0,Calc!BE61=0),
     IF('Waste results'!$S$17&lt;&gt;"data missing", Calc!BC61*'Waste results'!$S$17, "data missing"),
   IF(AND(Calc!BC61=0,Calc!BE61=0),
     IF('Waste results'!$S$53&lt;&gt;"data missing", Calc!BD61*'Waste results'!$S$53, "data missing"),
   IF(AND(Calc!BC61=0,Calc!BD61=0),
     IF('Waste results'!$S$89&lt;&gt;"data missing", Calc!BE61*'Waste results'!$S$89, "data missing"),
   IF(Calc!BE61=0,
     IF(OR('Waste results'!$S$17&lt;&gt;"data missing", 'Waste results'!$S$53&lt;&gt;"data missing"), Calc!BC61*'Waste results'!$S$17+ Calc!BD61*'Waste results'!$S$53, "data missing"),
   IF(Calc!BD61=0,
     IF(OR('Waste results'!$S$17&lt;&gt;"data missing", 'Waste results'!$S$89&lt;&gt;"data missing"), Calc!BC61*'Waste results'!$S$17+ Calc!BE61*'Waste results'!$S$89, "data missing"),
   IF(Calc!BC61=0,
     IF(OR('Waste results'!$S$53&lt;&gt;"data missing", 'Waste results'!$S$89&lt;&gt;"data missing"), Calc!BD61*'Waste results'!$S$53+Calc!BE61*'Waste results'!$S$89, "data missing"),
   IF(OR('Waste results'!$S$17&lt;&gt;"data missing", 'Waste results'!$S$53&lt;&gt;"data missing", 'Waste results'!$S$89&lt;&gt;"data missing"), Calc!BC61*'Waste results'!$S$17+Calc!BD61*'Waste results'!$S$53+ Calc!BE61*'Waste results'!$S$89, "data missing")))))))))))</f>
        <v/>
      </c>
      <c r="I63" s="195" t="str">
        <f ca="1">IF(B63="","",
IF(OR(ISBLANK('Soil results'!G66), ISBLANK('Soil results'!G$7)),"data missing",
IF(OR(AND('Soil results'!G$7="Olsen (ADAS)",'Soil results'!G66&lt;16),AND('Soil results'!G$7="modified Morgan (SAC)",'Soil results'!G66&lt;4.5)),50,100)))</f>
        <v/>
      </c>
      <c r="J63" s="49" t="str">
        <f ca="1">IF(B63="","",
IF(OR(ISBLANK('Soil results'!G$7),ISBLANK('Soil results'!G66)),"data missing",
IF(OR(AND('Soil results'!G$7="Olsen (ADAS)",'Soil results'!G66&gt;45),AND('Soil results'!G$7="modified Morgan (SAC)",'Soil results'!G66&gt;30)),0,
IF(OR(AND('Soil results'!G$7="Olsen (ADAS)",'Soil results'!G66&gt;=16,'Soil results'!G66&lt;=20),AND('Soil results'!G$7="modified Morgan (SAC)",'Soil results'!G66&gt;=4.5,'Soil results'!G66&lt;=9.4)),VLOOKUP(Calc!BI61,'Fertiliser recommendations'!$A$4:$I$63,9,FALSE),
IF(OR(AND('Soil results'!G$7="Olsen (ADAS)",'Soil results'!G66&lt;10),AND('Soil results'!G$7="modified Morgan (SAC)",'Soil results'!G66&lt;1.8)),VLOOKUP(Calc!BI61,'Fertiliser recommendations'!$A$4:$I$63,9,FALSE)+VLOOKUP(Calc!BI61,'Fertiliser recommendations'!$A$4:$J$63,10,FALSE),
IF(OR(AND('Soil results'!G$7="Olsen (ADAS)",'Soil results'!G66&lt;16),AND('Soil results'!G$7="modified Morgan (SAC)",'Soil results'!G66&lt;4.5)),VLOOKUP(Calc!BI61,'Fertiliser recommendations'!$A$4:$I$63,9,FALSE)+VLOOKUP(Calc!BI61,'Fertiliser recommendations'!$A$4:$K$63,11,FALSE),
IF(OR(AND('Soil results'!G$7="Olsen (ADAS)",'Soil results'!G66&lt;26),AND('Soil results'!G$7="modified Morgan (SAC)",'Soil results'!G66&lt;13.5)),VLOOKUP(Calc!BI61,'Fertiliser recommendations'!$A$4:$I$63,9,FALSE)+VLOOKUP(Calc!BI61,'Fertiliser recommendations'!$A$4:$L$63,12,FALSE),
IF(OR(AND('Soil results'!G$7="Olsen (ADAS)",'Soil results'!G66&lt;=45),AND('Soil results'!G$7="modified Morgan (SAC)",'Soil results'!G66&lt;=30)),VLOOKUP(Calc!BI61,'Fertiliser recommendations'!$A$4:$I$63,9,FALSE)+VLOOKUP(Calc!BI61,'Fertiliser recommendations'!$A$4:$M$63,13,FALSE),
""))))))))</f>
        <v/>
      </c>
      <c r="K63" s="161" t="str">
        <f t="shared" ca="1" si="1"/>
        <v/>
      </c>
      <c r="L63" s="47" t="str">
        <f ca="1">IF(OR(ISBLANK('Soil results'!G$7),ISBLANK('Soil results'!G66),B63="", H63="data missing"),"",
IF('Soil results'!G$7="Olsen (ADAS)",
IF(((H63*Calc!BM61/2.291-(VLOOKUP(Calc!BI61,'Fertiliser recommendations'!$A$4:$I$63,9,FALSE))/2.291)*10/(400/2.291)+'Soil results'!G66)&lt;10,"0 (VL)",
IF(((H63*Calc!BM61/2.291-(VLOOKUP(Calc!BI61,'Fertiliser recommendations'!$A$4:$I$63,9,FALSE))/2.291)*10/(400/2.291)+'Soil results'!G66)&lt;16,"1 (L)",
IF(((H63*Calc!BM61/2.291-(VLOOKUP(Calc!BI61,'Fertiliser recommendations'!$A$4:$I$63,9,FALSE))/2.291)*10/(400/2.291)+'Soil results'!G66)&lt;21,"2 (M-)",
IF(((H63*Calc!BM61/2.291-(VLOOKUP(Calc!BI61,'Fertiliser recommendations'!$A$4:$I$63,9,FALSE))/2.291)*10/(400/2.291)+'Soil results'!G66)&lt;26,"2 (M+)",
IF(((H63*Calc!BM61/2.291-(VLOOKUP(Calc!BI61,'Fertiliser recommendations'!$A$4:$I$63,9,FALSE))/2.291)*10/(400/2.291)+'Soil results'!G66)&lt;45,"3 (H)","&gt;3 (VH)"))))),
IF('Soil results'!G$7="modified Morgan (SAC)",
IF('Soil results'!G66&gt;=6,
IF(((H63*Calc!BM61/2.291-(VLOOKUP(Calc!BI61,'Fertiliser recommendations'!$A$4:$I$63,9,FALSE))/2.291)*5/(147/2.291)+'Soil results'!G66)&lt;9.5,"2 (M-)",
IF(((H63*Calc!BM61/2.291-(VLOOKUP(Calc!BI61,'Fertiliser recommendations'!$A$4:$I$63,9,FALSE))/2.291)*5/(147/2.291)+'Soil results'!G66)&lt;13.5,"2 (M+)",
IF(((H63*Calc!BM61/2.291-(VLOOKUP(Calc!BI61,'Fertiliser recommendations'!$A$4:$I$63,9,FALSE))/2.291)*5/(147/2.291)+'Soil results'!G66)&lt;30,"3 (H)","4 (VH)"))),
IF(((H63*Calc!BM61/2.291-(VLOOKUP(Calc!BI61,'Fertiliser recommendations'!$A$4:$I$63,9,FALSE))/2.291)*5/(346/2.291)+'Soil results'!G66)&lt;1.8,"0 (VL)",
IF(((H63*Calc!BM61/2.291-(VLOOKUP(Calc!BI61,'Fertiliser recommendations'!$A$4:$I$63,9,FALSE))/2.291)*5/(147/2.291)+'Soil results'!G66)&lt;4.5,"1 (L)","2 (M-)"))))))</f>
        <v/>
      </c>
      <c r="M63" s="9" t="str">
        <f ca="1">IF(B63="","",
IF(OR(H63="data missing",I63="data missing",J63="data missing"),"data missing",
IF(Calc!BF61=0,"n/a",
IF(OR(AND('Soil results'!G$7="Olsen (ADAS)",'Soil results'!G66&gt;45),AND('Soil results'!G$7="modified Morgan (SAC)",'Soil results'!G66&gt;30)),
IF(H63&gt;2,"too high, not acceptable","no requirement"),IF(OR(AND('Soil results'!G$7="Olsen (ADAS)",'Soil results'!G66&gt;25),AND('Soil results'!G$7="modified Morgan (SAC)",'Soil results'!G66&gt;13.4)),
IF(H63*(I63/100)&lt;0.1*J63,"no benefit",
IF(H63*(I63/100)&lt;0.3*J63,"limited benefit",
IF(H63*(I63/100)&lt;1.1*J63,"benefit",
IF(H63*(I63/100)&lt;0.7*VLOOKUP(Calc!BI61,'Fertiliser recommendations'!$A$4:$I$63,9,FALSE),"excessive","too high, not acceptable")))),
IF(OR(AND('Soil results'!G$7="Olsen (ADAS)",'Soil results'!G66&gt;20),AND('Soil results'!G$7="modified Morgan (SAC)",'Soil results'!G66&gt;9.4)),
IF(H63*Calc!BM61*(I63/100)&lt;0.1*J63,"no benefit",
IF(H63*Calc!BM61*(I63/100)&lt;0.3*J63,"limited benefit",
IF(H63*Calc!BM61*(I63/100)&lt;1.1*J63,"benefit",
IF(L63="3 (H)","too high, not acceptable","excessive")))),
IF(OR(AND('Soil results'!G$7="Olsen (ADAS)",'Soil results'!G66&gt;15),AND('Soil results'!G$7="modified Morgan (SAC)",'Soil results'!G66&gt;4.4)),
IF(H63*Calc!BM61*(I63/100)&lt;0.1*VLOOKUP(Calc!BI61,'Fertiliser recommendations'!$A$4:$I$63,9,FALSE),"no benefit",
IF(H63*Calc!BM61*(I63/100)&lt;0.3*VLOOKUP(Calc!BI61,'Fertiliser recommendations'!$A$4:$I$63,9,FALSE),"limited benefit",
IF(H63*Calc!BM61*(I63/100)&lt;1.1*VLOOKUP(Calc!BI61,'Fertiliser recommendations'!$A$4:$I$63,9,FALSE),"benefit",
IF(L63="3 (H)", "too high, not acceptable", "excessive")))),
IF(OR(AND('Soil results'!G$7="Olsen (ADAS)",'Soil results'!G66&lt;=15),AND('Soil results'!G$7="modified Morgan (SAC)",'Soil results'!G66&lt;=4.4)),
IF(H63*Calc!BM61*(I63/100)&lt;0.1*VLOOKUP(Calc!BI61,'Fertiliser recommendations'!$A$4:$I$63,9,FALSE),"no benefit",
IF(H63*Calc!BM61*(I63/100)&lt;0.3*VLOOKUP(Calc!BI61,'Fertiliser recommendations'!$A$4:$I$63,9,FALSE),"limited benefit",
IF(H63*Calc!BM61*(I63/100)&lt;1.1*J63,"benefit","excessive")))))))))))</f>
        <v/>
      </c>
      <c r="O63" s="91" t="str">
        <f ca="1">IF(B63="","",
IF(AND('Field information 2'!$O$5="", 'Field information 2'!$Q$5=""),
   IF('Waste results'!$S$19&lt;&gt;"data missing", Calc!BC61*'Waste results'!$S$19, "data missing"),
IF('Field information 2'!$Q$5="",
   IF(Calc!BD61=0,
     IF('Waste results'!$S$19&lt;&gt;"data missing", Calc!BC61*'Waste results'!$S$19, "data missing"),
   IF(Calc!BC61=0,
     IF('Waste results'!$S$55&lt;&gt;"data missing", Calc!BD61*'Waste results'!$S$55, "data missing"),
   IF(OR('Waste results'!$S$19&lt;&gt;"data missing", 'Waste results'!$S$55&lt;&gt;"data missing"), Calc!BC61*'Waste results'!$S$19+ Calc!BD61*'Waste results'!$S$55, "data missing"))),
IF(AND('Field information 2'!$M$5&lt;&gt;"", 'Field information 2'!$O$5&lt;&gt;"", 'Field information 2'!$Q$5&lt;&gt;""),
   IF(AND(Calc!BD61=0,Calc!BE61=0),
     IF('Waste results'!$S$19&lt;&gt;"data missing", Calc!BC61*'Waste results'!$S$19, "data missing"),
   IF(AND(Calc!BC61=0,Calc!BE61=0),
     IF('Waste results'!$S$55&lt;&gt;"data missing", Calc!BD61*'Waste results'!$S$55, "data missing"),
   IF(AND(Calc!BC61=0,Calc!BD61=0),
     IF('Waste results'!$S$91&lt;&gt;"data missing", Calc!BE61*'Waste results'!$S$91, "data missing"),
   IF(Calc!BE61=0,
     IF(OR('Waste results'!$S$19&lt;&gt;"data missing", 'Waste results'!$S$55&lt;&gt;"data missing"), Calc!BC61*'Waste results'!$S$19+ Calc!BD61*'Waste results'!$S$55, "data missing"),
   IF(Calc!BD61=0,
     IF(OR('Waste results'!$S$19&lt;&gt;"data missing", 'Waste results'!$S$91&lt;&gt;"data missing"), Calc!BC61*'Waste results'!$S$19+ Calc!BE61*'Waste results'!$S$91, "data missing"),
   IF(Calc!BC61=0,
     IF(OR('Waste results'!$S$55&lt;&gt;"data missing", 'Waste results'!$S$91&lt;&gt;"data missing"), Calc!BD61*'Waste results'!$S$55+Calc!BE61*'Waste results'!$S$91, "data missing"),
   IF(OR('Waste results'!$S$19&lt;&gt;"data missing", 'Waste results'!$S$55&lt;&gt;"data missing", 'Waste results'!$S$91&lt;&gt;"data missing"), Calc!BC61*'Waste results'!$S$19+Calc!BD61*'Waste results'!$S$55+ Calc!BE61*'Waste results'!$S$91, "data missing")))))))))))</f>
        <v/>
      </c>
      <c r="P63" s="91" t="str">
        <f ca="1">IF(B63="","",
IF(OR(ISBLANK('Soil results'!H$7),ISBLANK('Soil results'!H66)),"data missing",
IF(OR(AND('Soil results'!H$7="ammonium nitrate (ADAS)",'Soil results'!H66&gt;400),AND('Soil results'!H$7="modified Morgan (SAC)",'Soil results'!H66&gt;400)),0,
IF(OR(AND('Soil results'!H$7="ammonium nitrate (ADAS)",'Soil results'!H66&gt;=121,'Soil results'!H66&lt;=180),AND('Soil results'!H$7="modified Morgan (SAC)",'Soil results'!H66&gt;=76,'Soil results'!H66&lt;=140)),VLOOKUP(Calc!BI61,'Fertiliser recommendations'!$A$4:$Z$63,26,FALSE),
IF(OR(AND('Soil results'!H$7="ammonium nitrate (ADAS)",'Soil results'!H66&lt;61),AND('Soil results'!H$7="modified Morgan (SAC)",'Soil results'!H66&lt;40)),VLOOKUP(Calc!BI61,'Fertiliser recommendations'!$A$4:$Z$63,26,FALSE)+VLOOKUP(Calc!BI61,'Fertiliser recommendations'!$A$4:$AA$63,27,FALSE),
IF(OR(AND('Soil results'!H$7="ammonium nitrate (ADAS)",'Soil results'!H66&lt;121),AND('Soil results'!H$7="modified Morgan (SAC)",'Soil results'!H66&lt;76)),VLOOKUP(Calc!BI61,'Fertiliser recommendations'!$A$4:$Z$63,26,FALSE)+VLOOKUP(Calc!BI61,'Fertiliser recommendations'!$A$4:$AB$63,28,FALSE),
IF(OR(AND('Soil results'!H$7="ammonium nitrate (ADAS)",'Soil results'!H66&lt;241),AND('Soil results'!H$7="modified Morgan (SAC)",'Soil results'!H66&lt;201)),VLOOKUP(Calc!BI61,'Fertiliser recommendations'!$A$4:$Z$63,26,FALSE)+VLOOKUP(Calc!BI61,'Fertiliser recommendations'!$A$4:$AC$63,29,FALSE),
IF(OR(AND('Soil results'!H$7="ammonium nitrate (ADAS)",'Soil results'!H66&lt;=400),AND('Soil results'!H$7="modified Morgan (SAC)",'Soil results'!H66&lt;=400)),VLOOKUP(Calc!BI61,'Fertiliser recommendations'!$A$4:$Z$63,26,FALSE)+VLOOKUP(Calc!BI61,'Fertiliser recommendations'!$A$4:$AD$63,30,FALSE),
"??"))))))))</f>
        <v/>
      </c>
      <c r="Q63" s="91" t="str">
        <f t="shared" ca="1" si="2"/>
        <v/>
      </c>
      <c r="R63" s="9" t="str">
        <f ca="1">IF(B63="","",
IF(OR(O63="data missing",P63="data missing"),"data missing",
IF(Calc!BF61=0,"n/a",
IF(P63=0, "no requirement",
IF(O63&lt;0.1*P63,"no benefit",
IF(O63&lt;0.3*P63,"limited benefit",
IF(O63&gt;1.25*P63,"excessive",
"benefit")))))))</f>
        <v/>
      </c>
      <c r="T63" s="91" t="str">
        <f ca="1">IF(B63="","",
IF(AND('Field information 2'!$O$5="", 'Field information 2'!$Q$5=""),
   IF('Waste results'!$S$21&lt;&gt;"data missing", Calc!BC61*'Waste results'!$S$21, "data missing"),
IF('Field information 2'!$Q$5="",
   IF(Calc!BD61=0,
     IF('Waste results'!$S$21&lt;&gt;"data missing", Calc!BC61*'Waste results'!$S$21, "data missing"),
   IF(Calc!BC61=0,
     IF('Waste results'!$S$57&lt;&gt;"data missing", Calc!BD61*'Waste results'!$S$57, "data missing"),
   IF(OR('Waste results'!$S$21&lt;&gt;"data missing", 'Waste results'!$S$57&lt;&gt;"data missing"), Calc!BC61*'Waste results'!$S$21+ Calc!BD61*'Waste results'!$S$57, "data missing"))),
IF(AND('Field information 2'!$M$5&lt;&gt;"", 'Field information 2'!$O$5&lt;&gt;"", 'Field information 2'!$Q$5&lt;&gt;""),
   IF(AND(Calc!BD61=0,Calc!BE61=0),
     IF('Waste results'!$S$21&lt;&gt;"data missing", Calc!BC61*'Waste results'!$S$21, "data missing"),
   IF(AND(Calc!BC61=0,Calc!BE61=0),
     IF('Waste results'!$S$57&lt;&gt;"data missing", Calc!BD61*'Waste results'!$S$57, "data missing"),
   IF(AND(Calc!BC61=0,Calc!BD61=0),
     IF('Waste results'!$S$93&lt;&gt;"data missing", Calc!BE61*'Waste results'!$S$93, "data missing"),
   IF(Calc!BE61=0,
     IF(OR('Waste results'!$S$21&lt;&gt;"data missing", 'Waste results'!$S$57&lt;&gt;"data missing"), Calc!BC61*'Waste results'!$S$21+ Calc!BD61*'Waste results'!$S$57, "data missing"),
   IF(Calc!BD61=0,
     IF(OR('Waste results'!$S$21&lt;&gt;"data missing", 'Waste results'!$S$93&lt;&gt;"data missing"), Calc!BC61*'Waste results'!$S$21+ Calc!BE61*'Waste results'!$S$93, "data missing"),
   IF(Calc!BC61=0,
     IF(OR('Waste results'!$S$57&lt;&gt;"data missing", 'Waste results'!$S$93&lt;&gt;"data missing"), Calc!BD61*'Waste results'!$S$57+Calc!BE61*'Waste results'!$S$93, "data missing"),
   IF(OR('Waste results'!$S$21&lt;&gt;"data missing", 'Waste results'!$S$57&lt;&gt;"data missing", 'Waste results'!$S$93&lt;&gt;"data missing"), Calc!BC61*'Waste results'!$S$21+Calc!BD61*'Waste results'!$S$57+ Calc!BE61*'Waste results'!$S$93, "data missing")))))))))))</f>
        <v/>
      </c>
      <c r="U63" s="7" t="str">
        <f ca="1">IF(B63="","",
IF(OR(ISBLANK('Soil results'!I$7),ISBLANK('Soil results'!I66)),"data missing",
IF(OR(AND('Soil results'!I$7="ammonium nitrate (ADAS)",'Soil results'!I66&gt;51),AND('Soil results'!I$7="modified Morgan (SAC)",'Soil results'!I66&gt;61)),0,
IF(OR(AND('Soil results'!I$7="ammonium nitrate (ADAS)",'Soil results'!I66&lt;25),AND('Soil results'!I$7="modified Morgan (SAC)",'Soil results'!I66&lt;19)),VLOOKUP(Calc!BI61,'Fertiliser recommendations'!$A$4:$AH$63,34,FALSE),
IF(OR(AND('Soil results'!I$7="ammonium nitrate (ADAS)",'Soil results'!I66&lt;=51),AND('Soil results'!I$7="modified Morgan (SAC)",'Soil results'!I66&lt;=61)),VLOOKUP(Calc!BI61,'Fertiliser recommendations'!$A$4:$AI$63,35,FALSE),
"")))))</f>
        <v/>
      </c>
      <c r="V63" s="91" t="str">
        <f t="shared" ca="1" si="3"/>
        <v/>
      </c>
      <c r="W63" s="9" t="str">
        <f ca="1">IF(B63="","",
IF(OR(T63="data missing",U63="data missing"),"data missing",
IF(Calc!BF61=0,"n/a",
IF(U63=0,"no requirement",
IF(T63&lt;0.1*U63,"no benefit",
IF(T63&lt;0.3*U63,"limited benefit",
IF(OR(T63&gt;1.5*U63,AND(Calc!BJ61="g",T63&gt;100)),"excessive",
"benefit")))))))</f>
        <v/>
      </c>
      <c r="Y63" s="91" t="str">
        <f ca="1">IF(B63="","",
IF(AND('Field information 2'!$O$5="", 'Field information 2'!$Q$5=""),
   IF('Waste results'!$P$23&lt;&gt;"", Calc!BC61*'Waste results'!$P$23, "no data"),
IF('Field information 2'!$Q$5="",
   IF(Calc!BD61=0,
     IF('Waste results'!$P$23&lt;&gt;"", Calc!BC61*'Waste results'!$P$23, "no data"),
   IF(Calc!BC61=0,
     IF('Waste results'!$P$59&lt;&gt;"", Calc!BD61*'Waste results'!$P$59, "no data"),
   IF(OR('Waste results'!$P$23&lt;&gt;"", 'Waste results'!$P$59&lt;&gt;""), Calc!BC61*'Waste results'!$P$23+ Calc!BD61*'Waste results'!$P$59, "no data"))),
IF(AND('Field information 2'!$M$5&lt;&gt;"", 'Field information 2'!$O$5&lt;&gt;"", 'Field information 2'!$Q$5&lt;&gt;""),
   IF(AND(Calc!BD61=0,Calc!BE61=0),
     IF('Waste results'!$P$23&lt;&gt;"", Calc!BC61*'Waste results'!$P$23, "no data"),
   IF(AND(Calc!BC61=0,Calc!BE61=0),
     IF('Waste results'!$P$59&lt;&gt;"", Calc!BD61*'Waste results'!$P$59, "no data"),
   IF(AND(Calc!BC61=0,Calc!BD61=0),
     IF('Waste results'!$P$95&lt;&gt;"", Calc!BE61*'Waste results'!$P$95, "no data"),
   IF(Calc!BE61=0,
     IF(OR('Waste results'!$P$23&lt;&gt;"", 'Waste results'!$P$59&lt;&gt;""), Calc!BC61*'Waste results'!$P$23+ Calc!BD61*'Waste results'!$P$59, "no data"),
   IF(Calc!BD61=0,
     IF(OR('Waste results'!$P$23&lt;&gt;"", 'Waste results'!$P$95&lt;&gt;""), Calc!BC61*'Waste results'!$P$23+ Calc!BE61*'Waste results'!$P$95, "no data"),
   IF(Calc!BC61=0,
     IF(OR('Waste results'!$P$59&lt;&gt;"", 'Waste results'!$P$95&lt;&gt;""), Calc!BD61*'Waste results'!$P$59+Calc!BE61*'Waste results'!$P$95, "no data"),
   IF(OR('Waste results'!$P$23&lt;&gt;"", 'Waste results'!$P$59&lt;&gt;"", 'Waste results'!$P$95&lt;&gt;""), Calc!BC61*'Waste results'!$P$23+Calc!BD61*'Waste results'!$P$59+ Calc!BE61*'Waste results'!$P$95, "no data")))))))))))</f>
        <v/>
      </c>
      <c r="Z63" s="7" t="str">
        <f ca="1">IF(OR(ISBLANK('Soil results'!I$7),ISBLANK('Soil results'!I66),'Soil results'!B66=""),"",
VLOOKUP(Calc!BI61,'Fertiliser recommendations'!$A$4:$AM$63,39,FALSE))</f>
        <v/>
      </c>
      <c r="AA63" s="91" t="str">
        <f t="shared" ca="1" si="4"/>
        <v/>
      </c>
      <c r="AB63" s="9" t="str">
        <f t="shared" ca="1" si="5"/>
        <v/>
      </c>
      <c r="AD63" s="48" t="str">
        <f>IF(ISBLANK('Soil results'!F66),"",'Soil results'!F66)</f>
        <v/>
      </c>
      <c r="AE63" s="49" t="str">
        <f ca="1">IF(B63="","",
IF(AND(Calc!BJ61="g", VLOOKUP(LEFT($B63,LEN($B63)-2),'Field information 2'!$B$12:$P$111,9,FALSE)&lt;&gt;"yes"),
 IF(Calc!BG61="10-25% OM", 5.9, IF(Calc!BG61="&gt;25% OM", 5.5, 6.2)),
IF(OR(Calc!BJ61="a", VLOOKUP(LEFT($B63,LEN($B63)-2),'Field information 2'!$B$12:$P$111,9,FALSE)="yes"),
 IF(Calc!BG61="10-25% OM", 6.4, IF(Calc!BG61="&gt;25% OM", 6, 6.7)), "")))</f>
        <v/>
      </c>
      <c r="AF63" s="91" t="str">
        <f ca="1">IF(B63="","",
IF('Waste results'!$Q$33="","no (significant) liming properties",
IF('Waste results'!Q$33&gt;100,"no (significant) liming properties",
IF(AD63="","",
IF(AD63&gt;=AE63,0,ROUNDDOWN((AE63-AD63)*Calc!BK61*'Waste results'!$Q$33+0.2,0))))))</f>
        <v/>
      </c>
      <c r="AG63" s="9" t="str">
        <f ca="1">IF(B63="","",
IF(T63=0,"n/a",
IF(AD63="","data missing",
IF(AND(AD63&lt;5,AF63="no (significant) liming properties"),"no waste application - pH too low",
IF(AND(AD63&gt;5.1,AF63="no (significant) liming properties",Calc!BH61&gt;25, LEFT(Calc!BI61,4)="graz"),"ok",
IF(AND(AD63&lt;=5.2,AF63="no (significant) liming properties"),"liming highly recommended",
IF(AF63=0,"no waste application - liming not required",
IF(AF63&lt;Calc!BC61,"application rate too high - exceeds liming requirement",
"ok"))))))))</f>
        <v/>
      </c>
      <c r="AI63" s="91" t="str">
        <f ca="1">IF(B63="","",
IF(AND('Field information 2'!$O$5="", 'Field information 2'!$Q$5=""),
   IF('Waste results'!$P$10&lt;&gt;"data missing", Calc!BC61*'Waste results'!$P$10, "data missing"),
IF('Field information 2'!$Q$5="",
   IF(Calc!BD61=0,
     IF('Waste results'!$P$10&lt;&gt;"data missing", Calc!BC61*'Waste results'!$P$10, "data missing"),
   IF(Calc!BC61=0,
     IF('Waste results'!$P$45&lt;&gt;"data missing", Calc!BD61*'Waste results'!$P$45, "data missing"),
   IF(OR('Waste results'!$P$10&lt;&gt;"data missing", 'Waste results'!$P$45&lt;&gt;"data missing"), Calc!BC61*'Waste results'!$P$10+ Calc!BD61*'Waste results'!$P$45, "data missing"))),
IF(AND('Field information 2'!$M$5&lt;&gt;"", 'Field information 2'!$O$5&lt;&gt;"", 'Field information 2'!$Q$5&lt;&gt;""),
   IF(AND(Calc!BD61=0,Calc!BE61=0),
     IF('Waste results'!$P$10&lt;&gt;"data missing", Calc!BC61*'Waste results'!$P$10, "data missing"),
   IF(AND(Calc!BC61=0,Calc!BE61=0),
     IF('Waste results'!$P$45&lt;&gt;"data missing", Calc!BD61*'Waste results'!$P$45, "data missing"),
   IF(AND(Calc!BC61=0,Calc!BD61=0),
     IF('Waste results'!$P$82&lt;&gt;"data missing", Calc!BE61*'Waste results'!$P$82, "data missing"),
   IF(Calc!BE61=0,
     IF(OR('Waste results'!$P$10&lt;&gt;"data missing", 'Waste results'!$P$45&lt;&gt;"data missing"), Calc!BC61*'Waste results'!$P$10+ Calc!BD61*'Waste results'!$P$45, "data missing"),
   IF(Calc!BD61=0,
     IF(OR('Waste results'!$P$10&lt;&gt;"data missing", 'Waste results'!$P$82&lt;&gt;"data missing"), Calc!BC61*'Waste results'!$P$10+ Calc!BE61*'Waste results'!$P$82, "data missing"),
   IF(Calc!BC61=0,
     IF(OR('Waste results'!$P$45&lt;&gt;"data missing", 'Waste results'!$P$82&lt;&gt;"data missing"), Calc!BD61*'Waste results'!$P$45+Calc!BE61*'Waste results'!$P$82, "data missing"),
   IF(OR('Waste results'!$P$10&lt;&gt;"data missing", 'Waste results'!$P$45&lt;&gt;"data missing", 'Waste results'!$P$82&lt;&gt;"data missing"), Calc!BC61*'Waste results'!$P$10+Calc!BD61*'Waste results'!$P$45+ Calc!BE61*'Waste results'!$P$82, "data missing")))))))))))</f>
        <v/>
      </c>
      <c r="AJ63" s="237" t="str">
        <f ca="1">IF(B63="","",
IF(AI63="data missing","data missing",
IF(Calc!BF61=0,"n/a",
IF(AND(Calc!BH61&gt;=8,AI63&lt;500),"no benefit",
IF(OR(AND(Calc!BH61&lt;=4,AI63&gt;=500),AND(Calc!BH61&lt;8,AI63&gt;5000)),"benefit",
"limited benefit")))))</f>
        <v/>
      </c>
      <c r="AL63" s="238" t="str">
        <f ca="1">IF(B63="","",
IF(AND('Field information 2'!$O$5="", 'Field information 2'!$Q$5=""),
   IF('Waste results'!$S$25&lt;&gt;"data missing", Calc!BC61*'Waste results'!$S$25, "data missing"),
IF('Field information 2'!$Q$5="",
   IF(Calc!BD61=0,
     IF('Waste results'!$S$25&lt;&gt;"data missing", Calc!BC61*'Waste results'!$S$25, "data missing"),
   IF(Calc!BC61=0,
     IF('Waste results'!$S$61&lt;&gt;"data missing", Calc!BD61*'Waste results'!$S$61, "data missing"),
   IF(OR('Waste results'!$S$25&lt;&gt;"data missing", 'Waste results'!$S$61&lt;&gt;"data missing"), Calc!BC61*'Waste results'!$S$25+ Calc!BD61*'Waste results'!$S$61, "data missing"))),
IF(AND('Field information 2'!$M$5&lt;&gt;"", 'Field information 2'!$O$5&lt;&gt;"", 'Field information 2'!$Q$5&lt;&gt;""),
   IF(AND(Calc!BD61=0,Calc!BE61=0),
     IF('Waste results'!$S$25&lt;&gt;"data missing", Calc!BC61*'Waste results'!$S$25, "data missing"),
   IF(AND(Calc!BC61=0,Calc!BE61=0),
     IF('Waste results'!$S$61&lt;&gt;"data missing", Calc!BD61*'Waste results'!$S$61, "data missing"),
   IF(AND(Calc!BC61=0,Calc!BD61=0),
     IF('Waste results'!$S$97&lt;&gt;"data missing", Calc!BE61*'Waste results'!$S$97, "data missing"),
   IF(Calc!BE61=0,
     IF(OR('Waste results'!$S$25&lt;&gt;"data missing", 'Waste results'!$S$61&lt;&gt;"data missing"), Calc!BC61*'Waste results'!$S$25+ Calc!BD61*'Waste results'!$S$61, "data missing"),
   IF(Calc!BD61=0,
     IF(OR('Waste results'!$S$25&lt;&gt;"data missing", 'Waste results'!$S$97&lt;&gt;"data missing"), Calc!BC61*'Waste results'!$S$25+ Calc!BE61*'Waste results'!$S$97, "data missing"),
   IF(Calc!BC61=0,
     IF(OR('Waste results'!$S$61&lt;&gt;"data missing", 'Waste results'!$S$97&lt;&gt;"data missing"), Calc!BD61*'Waste results'!$S$61+Calc!BE61*'Waste results'!$S$97, "data missing"),
   IF(OR('Waste results'!$S$25&lt;&gt;"data missing", 'Waste results'!$S$61&lt;&gt;"data missing", 'Waste results'!$S$97&lt;&gt;"data missing"), Calc!BC61*'Waste results'!$S$25+Calc!BD61*'Waste results'!$S$61+ Calc!BE61*'Waste results'!$S$97, "data missing")))))))))))</f>
        <v/>
      </c>
      <c r="AM63" s="239" t="str">
        <f ca="1">IF($B63="","",
IF(ISBLANK('Soil results'!K66),"data missing",'Soil results'!K66))</f>
        <v/>
      </c>
      <c r="AN63" s="239" t="str">
        <f t="shared" ca="1" si="6"/>
        <v/>
      </c>
      <c r="AO63" s="9" t="str">
        <f t="shared" ca="1" si="7"/>
        <v/>
      </c>
      <c r="AQ63" s="240" t="str">
        <f ca="1">IF(B63="","",
IF(AND('Field information 2'!$O$5="", 'Field information 2'!$Q$5=""),
   IF('Waste results'!$S$26&lt;&gt;"data missing", Calc!BC61*'Waste results'!$S$26, "data missing"),
IF('Field information 2'!$Q$5="",
   IF(Calc!BD61=0,
     IF('Waste results'!$S$26&lt;&gt;"data missing", Calc!BC61*'Waste results'!$S$26, "data missing"),
   IF(Calc!BC61=0,
     IF('Waste results'!$S$62&lt;&gt;"data missing", Calc!BD61*'Waste results'!$S$62, "data missing"),
   IF(OR('Waste results'!$S$26&lt;&gt;"data missing", 'Waste results'!$S$62&lt;&gt;"data missing"), Calc!BC61*'Waste results'!$S$26+ Calc!BD61*'Waste results'!$S$62, "data missing"))),
IF(AND('Field information 2'!$M$5&lt;&gt;"", 'Field information 2'!$O$5&lt;&gt;"", 'Field information 2'!$Q$5&lt;&gt;""),
   IF(AND(Calc!BD61=0,Calc!BE61=0),
     IF('Waste results'!$S$26&lt;&gt;"data missing", Calc!BC61*'Waste results'!$S$26, "data missing"),
   IF(AND(Calc!BC61=0,Calc!BE61=0),
     IF('Waste results'!$S$62&lt;&gt;"data missing", Calc!BD61*'Waste results'!$S$62, "data missing"),
   IF(AND(Calc!BC61=0,Calc!BD61=0),
     IF('Waste results'!$S$98&lt;&gt;"data missing", Calc!BE61*'Waste results'!$S$98, "data missing"),
   IF(Calc!BE61=0,
     IF(OR('Waste results'!$S$26&lt;&gt;"data missing", 'Waste results'!$S$62&lt;&gt;"data missing"), Calc!BC61*'Waste results'!$S$26+ Calc!BD61*'Waste results'!$S$62, "data missing"),
   IF(Calc!BD61=0,
     IF(OR('Waste results'!$S$26&lt;&gt;"data missing", 'Waste results'!$S$98&lt;&gt;"data missing"), Calc!BC61*'Waste results'!$S$26+ Calc!BE61*'Waste results'!$S$98, "data missing"),
   IF(Calc!BC61=0,
     IF(OR('Waste results'!$S$62&lt;&gt;"data missing", 'Waste results'!$S$98&lt;&gt;"data missing"), Calc!BD61*'Waste results'!$S$62+Calc!BE61*'Waste results'!$S$98, "data missing"),
   IF(OR('Waste results'!$S$26&lt;&gt;"data missing", 'Waste results'!$S$62&lt;&gt;"data missing", 'Waste results'!$S$98&lt;&gt;"data missing"), Calc!BC61*'Waste results'!$S$26+Calc!BD61*'Waste results'!$S$62+ Calc!BE61*'Waste results'!$S$98, "data missing")))))))))))</f>
        <v/>
      </c>
      <c r="AR63" s="241" t="str">
        <f ca="1">IF($B63="","",
IF(ISBLANK('Soil results'!L66),"data missing",'Soil results'!L66))</f>
        <v/>
      </c>
      <c r="AS63" s="241" t="str">
        <f t="shared" ca="1" si="8"/>
        <v/>
      </c>
      <c r="AT63" s="66" t="str">
        <f t="shared" ca="1" si="9"/>
        <v/>
      </c>
      <c r="AV63" s="238" t="str">
        <f ca="1">IF(B63="","",
IF(AND('Field information 2'!$O$5="", 'Field information 2'!$Q$5=""),
   IF('Waste results'!$S$27&lt;&gt;"data missing", Calc!BC61*'Waste results'!$S$27, "data missing"),
IF('Field information 2'!$Q$5="",
   IF(Calc!BD61=0,
     IF('Waste results'!$S$27&lt;&gt;"data missing", Calc!BC61*'Waste results'!$S$27, "data missing"),
   IF(Calc!BC61=0,
     IF('Waste results'!$S$63&lt;&gt;"data missing", Calc!BD61*'Waste results'!$S$63, "data missing"),
   IF(OR('Waste results'!$S$27&lt;&gt;"data missing", 'Waste results'!$S$63&lt;&gt;"data missing"), Calc!BC61*'Waste results'!$S$27+ Calc!BD61*'Waste results'!$S$63, "data missing"))),
IF(AND('Field information 2'!$M$5&lt;&gt;"", 'Field information 2'!$O$5&lt;&gt;"", 'Field information 2'!$Q$5&lt;&gt;""),
   IF(AND(Calc!BD61=0,Calc!BE61=0),
     IF('Waste results'!$S$27&lt;&gt;"data missing", Calc!BC61*'Waste results'!$S$27, "data missing"),
   IF(AND(Calc!BC61=0,Calc!BE61=0),
     IF('Waste results'!$S$63&lt;&gt;"data missing", Calc!BD61*'Waste results'!$S$63, "data missing"),
   IF(AND(Calc!BC61=0,Calc!BD61=0),
     IF('Waste results'!$S$99&lt;&gt;"data missing", Calc!BE61*'Waste results'!$S$99, "data missing"),
   IF(Calc!BE61=0,
     IF(OR('Waste results'!$S$27&lt;&gt;"data missing", 'Waste results'!$S$63&lt;&gt;"data missing"), Calc!BC61*'Waste results'!$S$27+ Calc!BD61*'Waste results'!$S$63, "data missing"),
   IF(Calc!BD61=0,
     IF(OR('Waste results'!$S$27&lt;&gt;"data missing", 'Waste results'!$S$99&lt;&gt;"data missing"), Calc!BC61*'Waste results'!$S$27+ Calc!BE61*'Waste results'!$S$99, "data missing"),
   IF(Calc!BC61=0,
     IF(OR('Waste results'!$S$63&lt;&gt;"data missing", 'Waste results'!$S$99&lt;&gt;"data missing"), Calc!BD61*'Waste results'!$S$63+Calc!BE61*'Waste results'!$S$99, "data missing"),
   IF(OR('Waste results'!$S$27&lt;&gt;"data missing", 'Waste results'!$S$63&lt;&gt;"data missing", 'Waste results'!$S$99&lt;&gt;"data missing"), Calc!BC61*'Waste results'!$S$27+Calc!BD61*'Waste results'!$S$63+ Calc!BE61*'Waste results'!$S$99, "data missing")))))))))))</f>
        <v/>
      </c>
      <c r="AW63" s="239" t="str">
        <f ca="1">IF($B63="","",
IF(ISBLANK('Soil results'!M66),"data missing",'Soil results'!M66))</f>
        <v/>
      </c>
      <c r="AX63" s="239" t="str">
        <f t="shared" ca="1" si="10"/>
        <v/>
      </c>
      <c r="AY63" s="9" t="str">
        <f ca="1">IF(B63="","",
IF(AV63=0,"n/a",
IF(OR(AV63="data missing",AW63="data missing"),"data missing",
IF(AV63&gt;7.5,"application rate too high - permissible rate exceeds limit",
IF('Soil results'!$F66&lt;=5.5,
  IF(AW63&gt;80,"no application - soil conc. already above limit",
  IF(AX63&gt;80,"application rate too high - soil conc. will exceed limit",
  IF(AW63&gt;80*0.9,"soil conc. is at or above 90% of the limit",
  IF(10*AV63*1000/3000+AW63&gt;80,"soil limit likely to be exceeded in 10yrs",
  IF(50*AV63*1000/3000+AW63&gt;80,"soil limit likely to be exceeded in 50yrs","ok"))))),
IF('Soil results'!$F66&lt;=6,
  IF(AW63&gt;100,"no application - soil conc. already above limit",
  IF(AX63&gt;100,"application rate too high - soil conc. will exceed limit",
  IF(AW63&gt;100*0.9,"soil conc. is at or above 90% of the limit",
  IF(10*AV63*1000/3000+AW63&gt;100,"soil limit likely to be exceeded in 10yrs",
  IF(50*AV63*1000/3000+AW63&gt;100,"soil limit likely to be exceeded in 50yrs","ok"))))),
IF('Soil results'!$F66&lt;=7,
  IF(AW63&gt;135,"no application - soil conc. already above limit",
  IF(AX63&gt;135,"application rate too high - soil conc. will exceed limit",
  IF(AW63&gt;135*0.9,"soil conc. is at or above 90% of the limit",
  IF(10*AV63*1000/3000+AW63&gt;135,"soil limit likely to be exceeded in 10yrs",
  IF(50*AV63*1000/3000+AW63&gt;135,"soil limit likely to be exceeded in 50yrs","ok"))))),
IF('Soil results'!$F66&gt;7,
  IF(AW63&gt;200,"no application - soil conc. already above limit",
  IF(AX63&gt;200,"application too high - soil conc. will exceed limit",
  IF(AW63&gt;200*0.9,"soil conc. is at or above 90% of the limit",
  IF(10*AV63*1000/3000+AW63&gt;200,"soil limit likely to be exceeded in 10yrs",
  IF(50*AV63*1000/3000+AW63&gt;200,"soil limit likely to be exceeded in 50yrs","ok")))))
))))))))</f>
        <v/>
      </c>
      <c r="BA63" s="238" t="str">
        <f ca="1">IF(B63="","",
IF(AND('Field information 2'!$O$5="", 'Field information 2'!$Q$5=""),
   IF('Waste results'!$S$28&lt;&gt;"data missing", Calc!BC61*'Waste results'!$S$28, "data missing"),
IF('Field information 2'!$Q$5="",
   IF(Calc!BD61=0,
     IF('Waste results'!$S$28&lt;&gt;"data missing", Calc!BC61*'Waste results'!$S$28, "data missing"),
   IF(Calc!BC61=0,
     IF('Waste results'!$S$64&lt;&gt;"data missing", Calc!BD61*'Waste results'!$S$64, "data missing"),
   IF(OR('Waste results'!$S$28&lt;&gt;"data missing", 'Waste results'!$S$64&lt;&gt;"data missing"), Calc!BC61*'Waste results'!$S$28+ Calc!BD61*'Waste results'!$S$64, "data missing"))),
IF(AND('Field information 2'!$M$5&lt;&gt;"", 'Field information 2'!$O$5&lt;&gt;"", 'Field information 2'!$Q$5&lt;&gt;""),
   IF(AND(Calc!BD61=0,Calc!BE61=0),
     IF('Waste results'!$S$28&lt;&gt;"data missing", Calc!BC61*'Waste results'!$S$28, "data missing"),
   IF(AND(Calc!BC61=0,Calc!BE61=0),
     IF('Waste results'!$S$64&lt;&gt;"data missing", Calc!BD61*'Waste results'!$S$64, "data missing"),
   IF(AND(Calc!BC61=0,Calc!BD61=0),
     IF('Waste results'!$S$100&lt;&gt;"data missing", Calc!BE61*'Waste results'!$S$100, "data missing"),
   IF(Calc!BE61=0,
     IF(OR('Waste results'!$S$28&lt;&gt;"data missing", 'Waste results'!$S$64&lt;&gt;"data missing"), Calc!BC61*'Waste results'!$S$28+ Calc!BD61*'Waste results'!$S$64, "data missing"),
   IF(Calc!BD61=0,
     IF(OR('Waste results'!$S$28&lt;&gt;"data missing", 'Waste results'!$S$100&lt;&gt;"data missing"), Calc!BC61*'Waste results'!$S$28+ Calc!BE61*'Waste results'!$S$100, "data missing"),
   IF(Calc!BC61=0,
     IF(OR('Waste results'!$S$64&lt;&gt;"data missing", 'Waste results'!$S$100&lt;&gt;"data missing"), Calc!BD61*'Waste results'!$S$64+Calc!BE61*'Waste results'!$S$100, "data missing"),
   IF(OR('Waste results'!$S$28&lt;&gt;"data missing", 'Waste results'!$S$64&lt;&gt;"data missing", 'Waste results'!$S$100&lt;&gt;"data missing"), Calc!BC61*'Waste results'!$S$28+Calc!BD61*'Waste results'!$S$64+ Calc!BE61*'Waste results'!$S$100, "data missing")))))))))))</f>
        <v/>
      </c>
      <c r="BB63" s="239" t="str">
        <f ca="1">IF($B63="","",
IF(ISBLANK('Soil results'!N66),"data missing",'Soil results'!N66))</f>
        <v/>
      </c>
      <c r="BC63" s="239" t="str">
        <f t="shared" ca="1" si="11"/>
        <v/>
      </c>
      <c r="BD63" s="9" t="str">
        <f t="shared" ca="1" si="12"/>
        <v/>
      </c>
      <c r="BF63" s="238" t="str">
        <f ca="1">IF(B63="","",
IF(AND('Field information 2'!$O$5="", 'Field information 2'!$Q$5=""),
   IF('Waste results'!$S$29&lt;&gt;"data missing", Calc!BC61*'Waste results'!$S$29, "data missing"),
IF('Field information 2'!$Q$5="",
   IF(Calc!BD61=0,
     IF('Waste results'!$S$29&lt;&gt;"data missing", Calc!BC61*'Waste results'!$S$29, "data missing"),
   IF(Calc!BC61=0,
     IF('Waste results'!$S$65&lt;&gt;"data missing", Calc!BD61*'Waste results'!$S$65, "data missing"),
   IF(OR('Waste results'!$S$29&lt;&gt;"data missing", 'Waste results'!$S$65&lt;&gt;"data missing"), Calc!BC61*'Waste results'!$S$29+ Calc!BD61*'Waste results'!$S$65, "data missing"))),
IF(AND('Field information 2'!$M$5&lt;&gt;"", 'Field information 2'!$O$5&lt;&gt;"", 'Field information 2'!$Q$5&lt;&gt;""),
   IF(AND(Calc!BD61=0,Calc!BE61=0),
     IF('Waste results'!$S$29&lt;&gt;"data missing", Calc!BC61*'Waste results'!$S$29, "data missing"),
   IF(AND(Calc!BC61=0,Calc!BE61=0),
     IF('Waste results'!$S$65&lt;&gt;"data missing", Calc!BD61*'Waste results'!$S$65, "data missing"),
   IF(AND(Calc!BC61=0,Calc!BD61=0),
     IF('Waste results'!$S$101&lt;&gt;"data missing", Calc!BE61*'Waste results'!$S$101, "data missing"),
   IF(Calc!BE61=0,
     IF(OR('Waste results'!$S$29&lt;&gt;"data missing", 'Waste results'!$S$65&lt;&gt;"data missing"), Calc!BC61*'Waste results'!$S$29+ Calc!BD61*'Waste results'!$S$65, "data missing"),
   IF(Calc!BD61=0,
     IF(OR('Waste results'!$S$29&lt;&gt;"data missing", 'Waste results'!$S$101&lt;&gt;"data missing"), Calc!BC61*'Waste results'!$S$29+ Calc!BE61*'Waste results'!$S$101, "data missing"),
   IF(Calc!BC61=0,
     IF(OR('Waste results'!$S$65&lt;&gt;"data missing", 'Waste results'!$S$101&lt;&gt;"data missing"), Calc!BD61*'Waste results'!$S$65+Calc!BE61*'Waste results'!$S$101, "data missing"),
   IF(OR('Waste results'!$S$29&lt;&gt;"data missing", 'Waste results'!$S$65&lt;&gt;"data missing", 'Waste results'!$S$101&lt;&gt;"data missing"), Calc!BC61*'Waste results'!$S$29+Calc!BD61*'Waste results'!$S$65+ Calc!BE61*'Waste results'!$S$101, "data missing")))))))))))</f>
        <v/>
      </c>
      <c r="BG63" s="239" t="str">
        <f ca="1">IF($B63="","",
IF(ISBLANK('Soil results'!O66),"data missing",'Soil results'!O66))</f>
        <v/>
      </c>
      <c r="BH63" s="239" t="str">
        <f t="shared" ca="1" si="13"/>
        <v/>
      </c>
      <c r="BI63" s="9" t="str">
        <f ca="1">IF(B63="","",
IF(BF63=0,"n/a",
IF(OR(BF63="data missing",BG63="data missing"),"data missing",
IF(BF63&gt;3,"application rate too high - permissible rate exceeds limit",
IF('Soil results'!F66&lt;=5.5,
  IF(BG63&gt;50,"no application - soil conc. already above limit",
  IF(BH63&gt;50,"application rate too high - soil conc. will exceed limit",
  IF(BG63&gt;50*0.9,"soil conc. is at or above 90% of the limit",
  IF(10*BF63*1000/3000+BG63&gt;50,"soil limit likely to be exceeded in 10yrs",
  IF(50*BF63*1000/3000+BG63&gt;50,"soil limit likely to be exceeded in 50yrs","ok"))))),
IF('Soil results'!F66&lt;=6,
  IF(BG63&gt;60,"no application - soil conc. already above limit",
  IF(BH63&gt;60,"application rate too high - soil conc. will exceed limit",
  IF(BG63&gt;60*0.9,"soil conc. is at or above 90% of the limit",
  IF(10*BF63*1000/3000+BG63&gt;60,"soil limit likely to be exceeded in 10yrs",
  IF(50*BF63*1000/3000+BG63&gt;60,"soil limit likely to be exceeded in 50yrs","ok"))))),
IF('Soil results'!F66&lt;=7,
  IF(BG63&gt;75,"no application - soil conc. already above limit",
  IF(BH63&gt;75,"application rate too high - soil conc. will exceed limit",
  IF(BG63&gt;75*0.9,"soil conc. is at or above 90% of the limit",
  IF(10*BF63*1000/3000+BG63&gt;75,"soil limit likely to be exceeded in 10yrs",
  IF(50*BF63*1000/3000+BG63&gt;75,"soil limit likely to be exceeded in 50yrs","ok"))))),
IF('Soil results'!F66&gt;7,
  IF(BG63&gt;100,"no application - soil conc. already above limit",
  IF(BH63&gt;100,"application rate too high - soil conc. will exceed limit",
  IF(BG63&gt;100*0.9,"soil conc. is at or above 90% of the limit",
  IF(10*BF63*1000/3000+BG63&gt;100,"soil limit likely to be exceeded in 10yrs",
  IF(50*BF63*1000/3000+BG63&gt;100,"soil limit likely to beexceeded in 50yrs","ok")))))
))))))))</f>
        <v/>
      </c>
      <c r="BK63" s="240" t="str">
        <f ca="1">IF(B63="","",
IF(AND('Field information 2'!$O$5="", 'Field information 2'!$Q$5=""),
   IF('Waste results'!$S$30&lt;&gt;"data missing", Calc!BC61*'Waste results'!$S$30, "data missing"),
IF('Field information 2'!$Q$5="",
   IF(Calc!BD61=0,
     IF('Waste results'!$S$30&lt;&gt;"data missing", Calc!BC61*'Waste results'!$S$30, "data missing"),
   IF(Calc!BC61=0,
     IF('Waste results'!$S$66&lt;&gt;"data missing", Calc!BD61*'Waste results'!$S$66, "data missing"),
   IF(OR('Waste results'!$S$30&lt;&gt;"data missing", 'Waste results'!$S$66&lt;&gt;"data missing"), Calc!BC61*'Waste results'!$S$30+ Calc!BD61*'Waste results'!$S$66, "data missing"))),
IF(AND('Field information 2'!$M$5&lt;&gt;"", 'Field information 2'!$O$5&lt;&gt;"", 'Field information 2'!$Q$5&lt;&gt;""),
   IF(AND(Calc!BD61=0,Calc!BE61=0),
     IF('Waste results'!$S$30&lt;&gt;"data missing", Calc!BC61*'Waste results'!$S$30, "data missing"),
   IF(AND(Calc!BC61=0,Calc!BE61=0),
     IF('Waste results'!$S$66&lt;&gt;"data missing", Calc!BD61*'Waste results'!$S$66, "data missing"),
   IF(AND(Calc!BC61=0,Calc!BD61=0),
     IF('Waste results'!$S$102&lt;&gt;"data missing", Calc!BE61*'Waste results'!$S$102, "data missing"),
   IF(Calc!BE61=0,
     IF(OR('Waste results'!$S$30&lt;&gt;"data missing", 'Waste results'!$S$66&lt;&gt;"data missing"), Calc!BC61*'Waste results'!$S$30+ Calc!BD61*'Waste results'!$S$66, "data missing"),
   IF(Calc!BD61=0,
     IF(OR('Waste results'!$S$30&lt;&gt;"data missing", 'Waste results'!$S$102&lt;&gt;"data missing"), Calc!BC61*'Waste results'!$S$30+ Calc!BE61*'Waste results'!$S$102, "data missing"),
   IF(Calc!BC61=0,
     IF(OR('Waste results'!$S$66&lt;&gt;"data missing", 'Waste results'!$S$102&lt;&gt;"data missing"), Calc!BD61*'Waste results'!$S$66+Calc!BE61*'Waste results'!$S$102, "data missing"),
   IF(OR('Waste results'!$S$30&lt;&gt;"data missing", 'Waste results'!$S$66&lt;&gt;"data missing", 'Waste results'!$S$102&lt;&gt;"data missing"), Calc!BC61*'Waste results'!$S$30+Calc!BD61*'Waste results'!$S$66+ Calc!BE61*'Waste results'!$S$102, "data missing")))))))))))</f>
        <v/>
      </c>
      <c r="BL63" s="241" t="str">
        <f ca="1">IF($B63="","",
IF(ISBLANK('Soil results'!P66),"data missing",'Soil results'!P66))</f>
        <v/>
      </c>
      <c r="BM63" s="241" t="str">
        <f t="shared" ca="1" si="14"/>
        <v/>
      </c>
      <c r="BN63" s="66" t="str">
        <f t="shared" ca="1" si="15"/>
        <v/>
      </c>
      <c r="BP63" s="238" t="str">
        <f ca="1">IF(B63="","",
IF(AND('Field information 2'!$O$5="", 'Field information 2'!$Q$5=""),
   IF('Waste results'!$S$31&lt;&gt;"data missing", Calc!BC61*'Waste results'!$S$31, "data missing"),
IF('Field information 2'!$Q$5="",
   IF(Calc!BD61=0,
     IF('Waste results'!$S$31&lt;&gt;"data missing", Calc!BC61*'Waste results'!$S$31, "data missing"),
   IF(Calc!BC61=0,
     IF('Waste results'!$S$67&lt;&gt;"data missing", Calc!BD61*'Waste results'!$S$67, "data missing"),
   IF(OR('Waste results'!$S$31&lt;&gt;"data missing", 'Waste results'!$S$67&lt;&gt;"data missing"), Calc!BC61*'Waste results'!$S$31+ Calc!BD61*'Waste results'!$S$67, "data missing"))),
IF(AND('Field information 2'!$M$5&lt;&gt;"", 'Field information 2'!$O$5&lt;&gt;"", 'Field information 2'!$Q$5&lt;&gt;""),
   IF(AND(Calc!BD61=0,Calc!BE61=0),
     IF('Waste results'!$S$31&lt;&gt;"data missing", Calc!BC61*'Waste results'!$S$31, "data missing"),
   IF(AND(Calc!BC61=0,Calc!BE61=0),
     IF('Waste results'!$S$67&lt;&gt;"data missing", Calc!BD61*'Waste results'!$S$67, "data missing"),
   IF(AND(Calc!BC61=0,Calc!BD61=0),
     IF('Waste results'!$S$103&lt;&gt;"data missing", Calc!BE61*'Waste results'!$S$103, "data missing"),
   IF(Calc!BE61=0,
     IF(OR('Waste results'!$S$31&lt;&gt;"data missing", 'Waste results'!$S$67&lt;&gt;"data missing"), Calc!BC61*'Waste results'!$S$31+ Calc!BD61*'Waste results'!$S$67, "data missing"),
   IF(Calc!BD61=0,
     IF(OR('Waste results'!$S$31&lt;&gt;"data missing", 'Waste results'!$S$103&lt;&gt;"data missing"), Calc!BC61*'Waste results'!$S$31+ Calc!BE61*'Waste results'!$S$103, "data missing"),
   IF(Calc!BC61=0,
     IF(OR('Waste results'!$S$67&lt;&gt;"data missing", 'Waste results'!$S$103&lt;&gt;"data missing"), Calc!BD61*'Waste results'!$S$67+Calc!BE61*'Waste results'!$S$103, "data missing"),
   IF(OR('Waste results'!$S$31&lt;&gt;"data missing", 'Waste results'!$S$67&lt;&gt;"data missing", 'Waste results'!$S$103&lt;&gt;"data missing"), Calc!BC61*'Waste results'!$S$31+Calc!BD61*'Waste results'!$S$67+ Calc!BE61*'Waste results'!$S$103, "data missing")))))))))))</f>
        <v/>
      </c>
      <c r="BQ63" s="239" t="str">
        <f ca="1">IF($B63="","",
IF(ISBLANK('Soil results'!Q66),"data missing",'Soil results'!Q66))</f>
        <v/>
      </c>
      <c r="BR63" s="239" t="str">
        <f t="shared" ca="1" si="16"/>
        <v/>
      </c>
      <c r="BS63" s="9" t="str">
        <f ca="1">IF(B63="","",
IF(BP63=0,"n/a",
IF(OR(BP63="data missing",BQ63=""),"data missing",
IF(BP63&gt;15,"application rate too high - permissible rate exceeds limit",
IF('Soil results'!F66&lt;=5.5,
  IF(BQ63&gt;200,"no application - soil conc. already above limit",
  IF(BR63&gt;200,"application rate too high - soil conc. will exceed limit",
  IF(BQ63&gt;200*0.9,"soil conc. is at or above 90% of the limit",
  IF(10*BP63*1000/3000+BQ63&gt;200,"soil limit likely to be exceeded in 10yrs",
  IF(50*BP63*1000/3000+BQ63&gt;200,"soil limit likely to be exceeded in 50yrs","ok"))))),
IF('Soil results'!F66&lt;=6,
  IF(BQ63&gt;250,"no application - soil conc. already above limit",
  IF(BR63&gt;250,"application rate too high - soil conc. will exceed limit",
  IF(BQ63&gt;250*0.9,"soil conc. is at or above 90% of the limit",
  IF(10*BP63*1000/3000+BQ63&gt;250,"soil limit likely to be exceeded in 10yrs",
  IF(50*BP63*1000/3000+BQ63&gt;250,"soil limit likely to be exceeded in 50yrs","ok"))))),
IF('Soil results'!F66&lt;=7,
  IF(BQ63&gt;300,"no application - soil conc. already above limit",
  IF(BR63&gt;300,"application rate too high - soil conc. will exceed limit",
  IF(BQ63&gt;300*0.9,"soil conc. is at or above 90% of the limit",
  IF(10*BP63*1000/3000+BQ63&gt;300,"soil limit likey to be exceeded in 10yrs",
  IF(50*BP63*1000/3000+BQ63&gt;300,"soil limit likely to be exceeded in 50yrs","ok"))))),
IF('Soil results'!F66&gt;7,
  IF(BQ63&gt;450,"no application - soil conc. already above limit",
  IF(BR63&gt;450,"application rate too high - soil conc. will exceed limit",
  IF(AW63&gt;450*0.9,"soil conc. is at or above 90% of the limit",
  IF(10*BP63*1000/3000+BQ63&gt;450,"soil limit likely to be exceeded in 10yrs",
  IF(50*BP63*1000/3000+BQ63&gt;450,"soil limit likely to be exceeded in 50yrs","ok")))))
))))))))</f>
        <v/>
      </c>
    </row>
    <row r="64" spans="2:71" s="9" customFormat="1" ht="15" x14ac:dyDescent="0.25">
      <c r="B64" s="236" t="str">
        <f ca="1">'Soil results'!B67</f>
        <v/>
      </c>
      <c r="C64" s="91" t="str">
        <f ca="1">IF(B64="","",
IF(AND('Field information 2'!$O$5="", 'Field information 2'!$Q$5=""),
   IF('Waste results'!$S$12&lt;&gt;"data missing", Calc!BC62*'Waste results'!$S$12, "data missing"),
IF('Field information 2'!$Q$5="",
   IF(Calc!BD62=0,
     IF('Waste results'!$S$12&lt;&gt;"data missing", Calc!BC62*'Waste results'!$S$12, "data missing"),
   IF(Calc!BC62=0,
     IF('Waste results'!$S$48&lt;&gt;"data missing", Calc!BD62*'Waste results'!$S$48, "data missing"),
   IF(OR('Waste results'!$S$12&lt;&gt;"data missing", 'Waste results'!$S$48&lt;&gt;"data missing"), Calc!BC62*'Waste results'!$S$12+ Calc!BD62*'Waste results'!$S$48, "data missing"))),
IF(AND('Field information 2'!$M$5&lt;&gt;"", 'Field information 2'!$O$5&lt;&gt;"", 'Field information 2'!$Q$5&lt;&gt;""),
   IF(AND(Calc!BD62=0,Calc!BE62=0),
     IF('Waste results'!$S$12&lt;&gt;"data missing", Calc!BC62*'Waste results'!$S$12, "data missing"),
   IF(AND(Calc!BC62=0,Calc!BE62=0),
     IF('Waste results'!$S$48&lt;&gt;"data missing", Calc!BD62*'Waste results'!$S$48, "data missing"),
   IF(AND(Calc!BC62=0,Calc!BD62=0),
     IF('Waste results'!$S$84&lt;&gt;"data missing", Calc!BE62*'Waste results'!$S$84, "data missing"),
   IF(Calc!BE62=0,
     IF(OR('Waste results'!$S$12&lt;&gt;"data missing", 'Waste results'!$S$48&lt;&gt;"data missing"), Calc!BC62*'Waste results'!$S$12+ Calc!BD62*'Waste results'!$S$48, "data missing"),
   IF(Calc!BD62=0,
     IF(OR('Waste results'!$S$12&lt;&gt;"data missing", 'Waste results'!$S$84&lt;&gt;"data missing"), Calc!BC62*'Waste results'!$S$12+ Calc!BE62*'Waste results'!$S$84, "data missing"),
   IF(Calc!BC62=0,
     IF(OR('Waste results'!$S$48&lt;&gt;"data missing", 'Waste results'!$S$84&lt;&gt;"data missing"), Calc!BD62*'Waste results'!$S$48+Calc!BE62*'Waste results'!$S$84, "data missing"),
   IF(OR('Waste results'!$S$12&lt;&gt;"data missing", 'Waste results'!$S$48&lt;&gt;"data missing", 'Waste results'!$S$84&lt;&gt;"data missing"), Calc!BC62*'Waste results'!$S$12+Calc!BD62*'Waste results'!$S$48+ Calc!BE62*'Waste results'!$S$84, "data missing")))))))))))</f>
        <v/>
      </c>
      <c r="D64" s="161" t="str">
        <f ca="1">IF(B64="","",
IF(Calc!BG62="","soil texture missing",
IF(OR(Calc!BG62="SL; SZL; ZL",Calc!BG62="SCL; CL; ZCL; SC; ZC; C"),VLOOKUP(Calc!BI62,'Fertiliser recommendations'!$A$4:$C$63,3,FALSE),
IF(Calc!BG62="S; LS",VLOOKUP(Calc!BI62,'Fertiliser recommendations'!$A$4:$C$63,3,FALSE)+VLOOKUP(Calc!BI62,'Fertiliser recommendations'!$A$4:$D$63,4,FALSE),
IF(Calc!BG62="10-25% OM",VLOOKUP(Calc!BI62,'Fertiliser recommendations'!$A$4:$C$63,3,FALSE)+VLOOKUP(Calc!BI62,'Fertiliser recommendations'!$A$4:$E$63,5,FALSE),
IF(Calc!BG62="&gt;25% OM",VLOOKUP(Calc!BI62,'Fertiliser recommendations'!$A$4:$C$63,3,FALSE)+VLOOKUP(Calc!BI62,'Fertiliser recommendations'!$A$4:$F$63,6,FALSE),
""))))))</f>
        <v/>
      </c>
      <c r="E64" s="91" t="str">
        <f t="shared" ca="1" si="0"/>
        <v/>
      </c>
      <c r="F64" s="9" t="str">
        <f ca="1">IF(B64="","",
IF(OR(C64="data missing",D64="soil texture missing"),"data missing",
IF(Calc!BF62=0,"n/a",
IF(C64&lt;0.1*D64,"no benefit",
IF(C64&lt;0.3*D64,"limited benefit",
IF(C64&gt;250,"exceeds limit",
IF(OR(AND(D64=0,C64&gt;75),C64&gt;1.25*D64),"excessive",
IF(D64=0, "no requirement",
"benefit"))))))))</f>
        <v/>
      </c>
      <c r="H64" s="91" t="str">
        <f ca="1">IF(B64="","",
IF(AND('Field information 2'!$O$5="", 'Field information 2'!$Q$5=""),
   IF('Waste results'!$S$17&lt;&gt;"data missing", Calc!BC62*'Waste results'!$S$17, "data missing"),
IF('Field information 2'!$Q$5="",
   IF(Calc!BD62=0,
     IF('Waste results'!$S$17&lt;&gt;"data missing", Calc!BC62*'Waste results'!$S$17, "data missing"),
   IF(Calc!BC62=0,
     IF('Waste results'!$S$53&lt;&gt;"data missing", Calc!BD62*'Waste results'!$S$53, "data missing"),
   IF(OR('Waste results'!$S$17&lt;&gt;"data missing", 'Waste results'!$S$53&lt;&gt;"data missing"), Calc!BC62*'Waste results'!$S$17+ Calc!BD62*'Waste results'!$S$53, "data missing"))),
IF(AND('Field information 2'!$M$5&lt;&gt;"", 'Field information 2'!$O$5&lt;&gt;"", 'Field information 2'!$Q$5&lt;&gt;""),
   IF(AND(Calc!BD62=0,Calc!BE62=0),
     IF('Waste results'!$S$17&lt;&gt;"data missing", Calc!BC62*'Waste results'!$S$17, "data missing"),
   IF(AND(Calc!BC62=0,Calc!BE62=0),
     IF('Waste results'!$S$53&lt;&gt;"data missing", Calc!BD62*'Waste results'!$S$53, "data missing"),
   IF(AND(Calc!BC62=0,Calc!BD62=0),
     IF('Waste results'!$S$89&lt;&gt;"data missing", Calc!BE62*'Waste results'!$S$89, "data missing"),
   IF(Calc!BE62=0,
     IF(OR('Waste results'!$S$17&lt;&gt;"data missing", 'Waste results'!$S$53&lt;&gt;"data missing"), Calc!BC62*'Waste results'!$S$17+ Calc!BD62*'Waste results'!$S$53, "data missing"),
   IF(Calc!BD62=0,
     IF(OR('Waste results'!$S$17&lt;&gt;"data missing", 'Waste results'!$S$89&lt;&gt;"data missing"), Calc!BC62*'Waste results'!$S$17+ Calc!BE62*'Waste results'!$S$89, "data missing"),
   IF(Calc!BC62=0,
     IF(OR('Waste results'!$S$53&lt;&gt;"data missing", 'Waste results'!$S$89&lt;&gt;"data missing"), Calc!BD62*'Waste results'!$S$53+Calc!BE62*'Waste results'!$S$89, "data missing"),
   IF(OR('Waste results'!$S$17&lt;&gt;"data missing", 'Waste results'!$S$53&lt;&gt;"data missing", 'Waste results'!$S$89&lt;&gt;"data missing"), Calc!BC62*'Waste results'!$S$17+Calc!BD62*'Waste results'!$S$53+ Calc!BE62*'Waste results'!$S$89, "data missing")))))))))))</f>
        <v/>
      </c>
      <c r="I64" s="195" t="str">
        <f ca="1">IF(B64="","",
IF(OR(ISBLANK('Soil results'!G67), ISBLANK('Soil results'!G$7)),"data missing",
IF(OR(AND('Soil results'!G$7="Olsen (ADAS)",'Soil results'!G67&lt;16),AND('Soil results'!G$7="modified Morgan (SAC)",'Soil results'!G67&lt;4.5)),50,100)))</f>
        <v/>
      </c>
      <c r="J64" s="49" t="str">
        <f ca="1">IF(B64="","",
IF(OR(ISBLANK('Soil results'!G$7),ISBLANK('Soil results'!G67)),"data missing",
IF(OR(AND('Soil results'!G$7="Olsen (ADAS)",'Soil results'!G67&gt;45),AND('Soil results'!G$7="modified Morgan (SAC)",'Soil results'!G67&gt;30)),0,
IF(OR(AND('Soil results'!G$7="Olsen (ADAS)",'Soil results'!G67&gt;=16,'Soil results'!G67&lt;=20),AND('Soil results'!G$7="modified Morgan (SAC)",'Soil results'!G67&gt;=4.5,'Soil results'!G67&lt;=9.4)),VLOOKUP(Calc!BI62,'Fertiliser recommendations'!$A$4:$I$63,9,FALSE),
IF(OR(AND('Soil results'!G$7="Olsen (ADAS)",'Soil results'!G67&lt;10),AND('Soil results'!G$7="modified Morgan (SAC)",'Soil results'!G67&lt;1.8)),VLOOKUP(Calc!BI62,'Fertiliser recommendations'!$A$4:$I$63,9,FALSE)+VLOOKUP(Calc!BI62,'Fertiliser recommendations'!$A$4:$J$63,10,FALSE),
IF(OR(AND('Soil results'!G$7="Olsen (ADAS)",'Soil results'!G67&lt;16),AND('Soil results'!G$7="modified Morgan (SAC)",'Soil results'!G67&lt;4.5)),VLOOKUP(Calc!BI62,'Fertiliser recommendations'!$A$4:$I$63,9,FALSE)+VLOOKUP(Calc!BI62,'Fertiliser recommendations'!$A$4:$K$63,11,FALSE),
IF(OR(AND('Soil results'!G$7="Olsen (ADAS)",'Soil results'!G67&lt;26),AND('Soil results'!G$7="modified Morgan (SAC)",'Soil results'!G67&lt;13.5)),VLOOKUP(Calc!BI62,'Fertiliser recommendations'!$A$4:$I$63,9,FALSE)+VLOOKUP(Calc!BI62,'Fertiliser recommendations'!$A$4:$L$63,12,FALSE),
IF(OR(AND('Soil results'!G$7="Olsen (ADAS)",'Soil results'!G67&lt;=45),AND('Soil results'!G$7="modified Morgan (SAC)",'Soil results'!G67&lt;=30)),VLOOKUP(Calc!BI62,'Fertiliser recommendations'!$A$4:$I$63,9,FALSE)+VLOOKUP(Calc!BI62,'Fertiliser recommendations'!$A$4:$M$63,13,FALSE),
""))))))))</f>
        <v/>
      </c>
      <c r="K64" s="161" t="str">
        <f t="shared" ca="1" si="1"/>
        <v/>
      </c>
      <c r="L64" s="47" t="str">
        <f ca="1">IF(OR(ISBLANK('Soil results'!G$7),ISBLANK('Soil results'!G67),B64="", H64="data missing"),"",
IF('Soil results'!G$7="Olsen (ADAS)",
IF(((H64*Calc!BM62/2.291-(VLOOKUP(Calc!BI62,'Fertiliser recommendations'!$A$4:$I$63,9,FALSE))/2.291)*10/(400/2.291)+'Soil results'!G67)&lt;10,"0 (VL)",
IF(((H64*Calc!BM62/2.291-(VLOOKUP(Calc!BI62,'Fertiliser recommendations'!$A$4:$I$63,9,FALSE))/2.291)*10/(400/2.291)+'Soil results'!G67)&lt;16,"1 (L)",
IF(((H64*Calc!BM62/2.291-(VLOOKUP(Calc!BI62,'Fertiliser recommendations'!$A$4:$I$63,9,FALSE))/2.291)*10/(400/2.291)+'Soil results'!G67)&lt;21,"2 (M-)",
IF(((H64*Calc!BM62/2.291-(VLOOKUP(Calc!BI62,'Fertiliser recommendations'!$A$4:$I$63,9,FALSE))/2.291)*10/(400/2.291)+'Soil results'!G67)&lt;26,"2 (M+)",
IF(((H64*Calc!BM62/2.291-(VLOOKUP(Calc!BI62,'Fertiliser recommendations'!$A$4:$I$63,9,FALSE))/2.291)*10/(400/2.291)+'Soil results'!G67)&lt;45,"3 (H)","&gt;3 (VH)"))))),
IF('Soil results'!G$7="modified Morgan (SAC)",
IF('Soil results'!G67&gt;=6,
IF(((H64*Calc!BM62/2.291-(VLOOKUP(Calc!BI62,'Fertiliser recommendations'!$A$4:$I$63,9,FALSE))/2.291)*5/(147/2.291)+'Soil results'!G67)&lt;9.5,"2 (M-)",
IF(((H64*Calc!BM62/2.291-(VLOOKUP(Calc!BI62,'Fertiliser recommendations'!$A$4:$I$63,9,FALSE))/2.291)*5/(147/2.291)+'Soil results'!G67)&lt;13.5,"2 (M+)",
IF(((H64*Calc!BM62/2.291-(VLOOKUP(Calc!BI62,'Fertiliser recommendations'!$A$4:$I$63,9,FALSE))/2.291)*5/(147/2.291)+'Soil results'!G67)&lt;30,"3 (H)","4 (VH)"))),
IF(((H64*Calc!BM62/2.291-(VLOOKUP(Calc!BI62,'Fertiliser recommendations'!$A$4:$I$63,9,FALSE))/2.291)*5/(346/2.291)+'Soil results'!G67)&lt;1.8,"0 (VL)",
IF(((H64*Calc!BM62/2.291-(VLOOKUP(Calc!BI62,'Fertiliser recommendations'!$A$4:$I$63,9,FALSE))/2.291)*5/(147/2.291)+'Soil results'!G67)&lt;4.5,"1 (L)","2 (M-)"))))))</f>
        <v/>
      </c>
      <c r="M64" s="9" t="str">
        <f ca="1">IF(B64="","",
IF(OR(H64="data missing",I64="data missing",J64="data missing"),"data missing",
IF(Calc!BF62=0,"n/a",
IF(OR(AND('Soil results'!G$7="Olsen (ADAS)",'Soil results'!G67&gt;45),AND('Soil results'!G$7="modified Morgan (SAC)",'Soil results'!G67&gt;30)),
IF(H64&gt;2,"too high, not acceptable","no requirement"),IF(OR(AND('Soil results'!G$7="Olsen (ADAS)",'Soil results'!G67&gt;25),AND('Soil results'!G$7="modified Morgan (SAC)",'Soil results'!G67&gt;13.4)),
IF(H64*(I64/100)&lt;0.1*J64,"no benefit",
IF(H64*(I64/100)&lt;0.3*J64,"limited benefit",
IF(H64*(I64/100)&lt;1.1*J64,"benefit",
IF(H64*(I64/100)&lt;0.7*VLOOKUP(Calc!BI62,'Fertiliser recommendations'!$A$4:$I$63,9,FALSE),"excessive","too high, not acceptable")))),
IF(OR(AND('Soil results'!G$7="Olsen (ADAS)",'Soil results'!G67&gt;20),AND('Soil results'!G$7="modified Morgan (SAC)",'Soil results'!G67&gt;9.4)),
IF(H64*Calc!BM62*(I64/100)&lt;0.1*J64,"no benefit",
IF(H64*Calc!BM62*(I64/100)&lt;0.3*J64,"limited benefit",
IF(H64*Calc!BM62*(I64/100)&lt;1.1*J64,"benefit",
IF(L64="3 (H)","too high, not acceptable","excessive")))),
IF(OR(AND('Soil results'!G$7="Olsen (ADAS)",'Soil results'!G67&gt;15),AND('Soil results'!G$7="modified Morgan (SAC)",'Soil results'!G67&gt;4.4)),
IF(H64*Calc!BM62*(I64/100)&lt;0.1*VLOOKUP(Calc!BI62,'Fertiliser recommendations'!$A$4:$I$63,9,FALSE),"no benefit",
IF(H64*Calc!BM62*(I64/100)&lt;0.3*VLOOKUP(Calc!BI62,'Fertiliser recommendations'!$A$4:$I$63,9,FALSE),"limited benefit",
IF(H64*Calc!BM62*(I64/100)&lt;1.1*VLOOKUP(Calc!BI62,'Fertiliser recommendations'!$A$4:$I$63,9,FALSE),"benefit",
IF(L64="3 (H)", "too high, not acceptable", "excessive")))),
IF(OR(AND('Soil results'!G$7="Olsen (ADAS)",'Soil results'!G67&lt;=15),AND('Soil results'!G$7="modified Morgan (SAC)",'Soil results'!G67&lt;=4.4)),
IF(H64*Calc!BM62*(I64/100)&lt;0.1*VLOOKUP(Calc!BI62,'Fertiliser recommendations'!$A$4:$I$63,9,FALSE),"no benefit",
IF(H64*Calc!BM62*(I64/100)&lt;0.3*VLOOKUP(Calc!BI62,'Fertiliser recommendations'!$A$4:$I$63,9,FALSE),"limited benefit",
IF(H64*Calc!BM62*(I64/100)&lt;1.1*J64,"benefit","excessive")))))))))))</f>
        <v/>
      </c>
      <c r="O64" s="91" t="str">
        <f ca="1">IF(B64="","",
IF(AND('Field information 2'!$O$5="", 'Field information 2'!$Q$5=""),
   IF('Waste results'!$S$19&lt;&gt;"data missing", Calc!BC62*'Waste results'!$S$19, "data missing"),
IF('Field information 2'!$Q$5="",
   IF(Calc!BD62=0,
     IF('Waste results'!$S$19&lt;&gt;"data missing", Calc!BC62*'Waste results'!$S$19, "data missing"),
   IF(Calc!BC62=0,
     IF('Waste results'!$S$55&lt;&gt;"data missing", Calc!BD62*'Waste results'!$S$55, "data missing"),
   IF(OR('Waste results'!$S$19&lt;&gt;"data missing", 'Waste results'!$S$55&lt;&gt;"data missing"), Calc!BC62*'Waste results'!$S$19+ Calc!BD62*'Waste results'!$S$55, "data missing"))),
IF(AND('Field information 2'!$M$5&lt;&gt;"", 'Field information 2'!$O$5&lt;&gt;"", 'Field information 2'!$Q$5&lt;&gt;""),
   IF(AND(Calc!BD62=0,Calc!BE62=0),
     IF('Waste results'!$S$19&lt;&gt;"data missing", Calc!BC62*'Waste results'!$S$19, "data missing"),
   IF(AND(Calc!BC62=0,Calc!BE62=0),
     IF('Waste results'!$S$55&lt;&gt;"data missing", Calc!BD62*'Waste results'!$S$55, "data missing"),
   IF(AND(Calc!BC62=0,Calc!BD62=0),
     IF('Waste results'!$S$91&lt;&gt;"data missing", Calc!BE62*'Waste results'!$S$91, "data missing"),
   IF(Calc!BE62=0,
     IF(OR('Waste results'!$S$19&lt;&gt;"data missing", 'Waste results'!$S$55&lt;&gt;"data missing"), Calc!BC62*'Waste results'!$S$19+ Calc!BD62*'Waste results'!$S$55, "data missing"),
   IF(Calc!BD62=0,
     IF(OR('Waste results'!$S$19&lt;&gt;"data missing", 'Waste results'!$S$91&lt;&gt;"data missing"), Calc!BC62*'Waste results'!$S$19+ Calc!BE62*'Waste results'!$S$91, "data missing"),
   IF(Calc!BC62=0,
     IF(OR('Waste results'!$S$55&lt;&gt;"data missing", 'Waste results'!$S$91&lt;&gt;"data missing"), Calc!BD62*'Waste results'!$S$55+Calc!BE62*'Waste results'!$S$91, "data missing"),
   IF(OR('Waste results'!$S$19&lt;&gt;"data missing", 'Waste results'!$S$55&lt;&gt;"data missing", 'Waste results'!$S$91&lt;&gt;"data missing"), Calc!BC62*'Waste results'!$S$19+Calc!BD62*'Waste results'!$S$55+ Calc!BE62*'Waste results'!$S$91, "data missing")))))))))))</f>
        <v/>
      </c>
      <c r="P64" s="91" t="str">
        <f ca="1">IF(B64="","",
IF(OR(ISBLANK('Soil results'!H$7),ISBLANK('Soil results'!H67)),"data missing",
IF(OR(AND('Soil results'!H$7="ammonium nitrate (ADAS)",'Soil results'!H67&gt;400),AND('Soil results'!H$7="modified Morgan (SAC)",'Soil results'!H67&gt;400)),0,
IF(OR(AND('Soil results'!H$7="ammonium nitrate (ADAS)",'Soil results'!H67&gt;=121,'Soil results'!H67&lt;=180),AND('Soil results'!H$7="modified Morgan (SAC)",'Soil results'!H67&gt;=76,'Soil results'!H67&lt;=140)),VLOOKUP(Calc!BI62,'Fertiliser recommendations'!$A$4:$Z$63,26,FALSE),
IF(OR(AND('Soil results'!H$7="ammonium nitrate (ADAS)",'Soil results'!H67&lt;61),AND('Soil results'!H$7="modified Morgan (SAC)",'Soil results'!H67&lt;40)),VLOOKUP(Calc!BI62,'Fertiliser recommendations'!$A$4:$Z$63,26,FALSE)+VLOOKUP(Calc!BI62,'Fertiliser recommendations'!$A$4:$AA$63,27,FALSE),
IF(OR(AND('Soil results'!H$7="ammonium nitrate (ADAS)",'Soil results'!H67&lt;121),AND('Soil results'!H$7="modified Morgan (SAC)",'Soil results'!H67&lt;76)),VLOOKUP(Calc!BI62,'Fertiliser recommendations'!$A$4:$Z$63,26,FALSE)+VLOOKUP(Calc!BI62,'Fertiliser recommendations'!$A$4:$AB$63,28,FALSE),
IF(OR(AND('Soil results'!H$7="ammonium nitrate (ADAS)",'Soil results'!H67&lt;241),AND('Soil results'!H$7="modified Morgan (SAC)",'Soil results'!H67&lt;201)),VLOOKUP(Calc!BI62,'Fertiliser recommendations'!$A$4:$Z$63,26,FALSE)+VLOOKUP(Calc!BI62,'Fertiliser recommendations'!$A$4:$AC$63,29,FALSE),
IF(OR(AND('Soil results'!H$7="ammonium nitrate (ADAS)",'Soil results'!H67&lt;=400),AND('Soil results'!H$7="modified Morgan (SAC)",'Soil results'!H67&lt;=400)),VLOOKUP(Calc!BI62,'Fertiliser recommendations'!$A$4:$Z$63,26,FALSE)+VLOOKUP(Calc!BI62,'Fertiliser recommendations'!$A$4:$AD$63,30,FALSE),
"??"))))))))</f>
        <v/>
      </c>
      <c r="Q64" s="91" t="str">
        <f t="shared" ca="1" si="2"/>
        <v/>
      </c>
      <c r="R64" s="9" t="str">
        <f ca="1">IF(B64="","",
IF(OR(O64="data missing",P64="data missing"),"data missing",
IF(Calc!BF62=0,"n/a",
IF(P64=0, "no requirement",
IF(O64&lt;0.1*P64,"no benefit",
IF(O64&lt;0.3*P64,"limited benefit",
IF(O64&gt;1.25*P64,"excessive",
"benefit")))))))</f>
        <v/>
      </c>
      <c r="T64" s="91" t="str">
        <f ca="1">IF(B64="","",
IF(AND('Field information 2'!$O$5="", 'Field information 2'!$Q$5=""),
   IF('Waste results'!$S$21&lt;&gt;"data missing", Calc!BC62*'Waste results'!$S$21, "data missing"),
IF('Field information 2'!$Q$5="",
   IF(Calc!BD62=0,
     IF('Waste results'!$S$21&lt;&gt;"data missing", Calc!BC62*'Waste results'!$S$21, "data missing"),
   IF(Calc!BC62=0,
     IF('Waste results'!$S$57&lt;&gt;"data missing", Calc!BD62*'Waste results'!$S$57, "data missing"),
   IF(OR('Waste results'!$S$21&lt;&gt;"data missing", 'Waste results'!$S$57&lt;&gt;"data missing"), Calc!BC62*'Waste results'!$S$21+ Calc!BD62*'Waste results'!$S$57, "data missing"))),
IF(AND('Field information 2'!$M$5&lt;&gt;"", 'Field information 2'!$O$5&lt;&gt;"", 'Field information 2'!$Q$5&lt;&gt;""),
   IF(AND(Calc!BD62=0,Calc!BE62=0),
     IF('Waste results'!$S$21&lt;&gt;"data missing", Calc!BC62*'Waste results'!$S$21, "data missing"),
   IF(AND(Calc!BC62=0,Calc!BE62=0),
     IF('Waste results'!$S$57&lt;&gt;"data missing", Calc!BD62*'Waste results'!$S$57, "data missing"),
   IF(AND(Calc!BC62=0,Calc!BD62=0),
     IF('Waste results'!$S$93&lt;&gt;"data missing", Calc!BE62*'Waste results'!$S$93, "data missing"),
   IF(Calc!BE62=0,
     IF(OR('Waste results'!$S$21&lt;&gt;"data missing", 'Waste results'!$S$57&lt;&gt;"data missing"), Calc!BC62*'Waste results'!$S$21+ Calc!BD62*'Waste results'!$S$57, "data missing"),
   IF(Calc!BD62=0,
     IF(OR('Waste results'!$S$21&lt;&gt;"data missing", 'Waste results'!$S$93&lt;&gt;"data missing"), Calc!BC62*'Waste results'!$S$21+ Calc!BE62*'Waste results'!$S$93, "data missing"),
   IF(Calc!BC62=0,
     IF(OR('Waste results'!$S$57&lt;&gt;"data missing", 'Waste results'!$S$93&lt;&gt;"data missing"), Calc!BD62*'Waste results'!$S$57+Calc!BE62*'Waste results'!$S$93, "data missing"),
   IF(OR('Waste results'!$S$21&lt;&gt;"data missing", 'Waste results'!$S$57&lt;&gt;"data missing", 'Waste results'!$S$93&lt;&gt;"data missing"), Calc!BC62*'Waste results'!$S$21+Calc!BD62*'Waste results'!$S$57+ Calc!BE62*'Waste results'!$S$93, "data missing")))))))))))</f>
        <v/>
      </c>
      <c r="U64" s="7" t="str">
        <f ca="1">IF(B64="","",
IF(OR(ISBLANK('Soil results'!I$7),ISBLANK('Soil results'!I67)),"data missing",
IF(OR(AND('Soil results'!I$7="ammonium nitrate (ADAS)",'Soil results'!I67&gt;51),AND('Soil results'!I$7="modified Morgan (SAC)",'Soil results'!I67&gt;61)),0,
IF(OR(AND('Soil results'!I$7="ammonium nitrate (ADAS)",'Soil results'!I67&lt;25),AND('Soil results'!I$7="modified Morgan (SAC)",'Soil results'!I67&lt;19)),VLOOKUP(Calc!BI62,'Fertiliser recommendations'!$A$4:$AH$63,34,FALSE),
IF(OR(AND('Soil results'!I$7="ammonium nitrate (ADAS)",'Soil results'!I67&lt;=51),AND('Soil results'!I$7="modified Morgan (SAC)",'Soil results'!I67&lt;=61)),VLOOKUP(Calc!BI62,'Fertiliser recommendations'!$A$4:$AI$63,35,FALSE),
"")))))</f>
        <v/>
      </c>
      <c r="V64" s="91" t="str">
        <f t="shared" ca="1" si="3"/>
        <v/>
      </c>
      <c r="W64" s="9" t="str">
        <f ca="1">IF(B64="","",
IF(OR(T64="data missing",U64="data missing"),"data missing",
IF(Calc!BF62=0,"n/a",
IF(U64=0,"no requirement",
IF(T64&lt;0.1*U64,"no benefit",
IF(T64&lt;0.3*U64,"limited benefit",
IF(OR(T64&gt;1.5*U64,AND(Calc!BJ62="g",T64&gt;100)),"excessive",
"benefit")))))))</f>
        <v/>
      </c>
      <c r="Y64" s="91" t="str">
        <f ca="1">IF(B64="","",
IF(AND('Field information 2'!$O$5="", 'Field information 2'!$Q$5=""),
   IF('Waste results'!$P$23&lt;&gt;"", Calc!BC62*'Waste results'!$P$23, "no data"),
IF('Field information 2'!$Q$5="",
   IF(Calc!BD62=0,
     IF('Waste results'!$P$23&lt;&gt;"", Calc!BC62*'Waste results'!$P$23, "no data"),
   IF(Calc!BC62=0,
     IF('Waste results'!$P$59&lt;&gt;"", Calc!BD62*'Waste results'!$P$59, "no data"),
   IF(OR('Waste results'!$P$23&lt;&gt;"", 'Waste results'!$P$59&lt;&gt;""), Calc!BC62*'Waste results'!$P$23+ Calc!BD62*'Waste results'!$P$59, "no data"))),
IF(AND('Field information 2'!$M$5&lt;&gt;"", 'Field information 2'!$O$5&lt;&gt;"", 'Field information 2'!$Q$5&lt;&gt;""),
   IF(AND(Calc!BD62=0,Calc!BE62=0),
     IF('Waste results'!$P$23&lt;&gt;"", Calc!BC62*'Waste results'!$P$23, "no data"),
   IF(AND(Calc!BC62=0,Calc!BE62=0),
     IF('Waste results'!$P$59&lt;&gt;"", Calc!BD62*'Waste results'!$P$59, "no data"),
   IF(AND(Calc!BC62=0,Calc!BD62=0),
     IF('Waste results'!$P$95&lt;&gt;"", Calc!BE62*'Waste results'!$P$95, "no data"),
   IF(Calc!BE62=0,
     IF(OR('Waste results'!$P$23&lt;&gt;"", 'Waste results'!$P$59&lt;&gt;""), Calc!BC62*'Waste results'!$P$23+ Calc!BD62*'Waste results'!$P$59, "no data"),
   IF(Calc!BD62=0,
     IF(OR('Waste results'!$P$23&lt;&gt;"", 'Waste results'!$P$95&lt;&gt;""), Calc!BC62*'Waste results'!$P$23+ Calc!BE62*'Waste results'!$P$95, "no data"),
   IF(Calc!BC62=0,
     IF(OR('Waste results'!$P$59&lt;&gt;"", 'Waste results'!$P$95&lt;&gt;""), Calc!BD62*'Waste results'!$P$59+Calc!BE62*'Waste results'!$P$95, "no data"),
   IF(OR('Waste results'!$P$23&lt;&gt;"", 'Waste results'!$P$59&lt;&gt;"", 'Waste results'!$P$95&lt;&gt;""), Calc!BC62*'Waste results'!$P$23+Calc!BD62*'Waste results'!$P$59+ Calc!BE62*'Waste results'!$P$95, "no data")))))))))))</f>
        <v/>
      </c>
      <c r="Z64" s="7" t="str">
        <f ca="1">IF(OR(ISBLANK('Soil results'!I$7),ISBLANK('Soil results'!I67),'Soil results'!B67=""),"",
VLOOKUP(Calc!BI62,'Fertiliser recommendations'!$A$4:$AM$63,39,FALSE))</f>
        <v/>
      </c>
      <c r="AA64" s="91" t="str">
        <f t="shared" ca="1" si="4"/>
        <v/>
      </c>
      <c r="AB64" s="9" t="str">
        <f t="shared" ca="1" si="5"/>
        <v/>
      </c>
      <c r="AD64" s="48" t="str">
        <f>IF(ISBLANK('Soil results'!F67),"",'Soil results'!F67)</f>
        <v/>
      </c>
      <c r="AE64" s="49" t="str">
        <f ca="1">IF(B64="","",
IF(AND(Calc!BJ62="g", VLOOKUP(LEFT($B64,LEN($B64)-2),'Field information 2'!$B$12:$P$111,9,FALSE)&lt;&gt;"yes"),
 IF(Calc!BG62="10-25% OM", 5.9, IF(Calc!BG62="&gt;25% OM", 5.5, 6.2)),
IF(OR(Calc!BJ62="a", VLOOKUP(LEFT($B64,LEN($B64)-2),'Field information 2'!$B$12:$P$111,9,FALSE)="yes"),
 IF(Calc!BG62="10-25% OM", 6.4, IF(Calc!BG62="&gt;25% OM", 6, 6.7)), "")))</f>
        <v/>
      </c>
      <c r="AF64" s="91" t="str">
        <f ca="1">IF(B64="","",
IF('Waste results'!$Q$33="","no (significant) liming properties",
IF('Waste results'!Q$33&gt;100,"no (significant) liming properties",
IF(AD64="","",
IF(AD64&gt;=AE64,0,ROUNDDOWN((AE64-AD64)*Calc!BK62*'Waste results'!$Q$33+0.2,0))))))</f>
        <v/>
      </c>
      <c r="AG64" s="9" t="str">
        <f ca="1">IF(B64="","",
IF(T64=0,"n/a",
IF(AD64="","data missing",
IF(AND(AD64&lt;5,AF64="no (significant) liming properties"),"no waste application - pH too low",
IF(AND(AD64&gt;5.1,AF64="no (significant) liming properties",Calc!BH62&gt;25, LEFT(Calc!BI62,4)="graz"),"ok",
IF(AND(AD64&lt;=5.2,AF64="no (significant) liming properties"),"liming highly recommended",
IF(AF64=0,"no waste application - liming not required",
IF(AF64&lt;Calc!BC62,"application rate too high - exceeds liming requirement",
"ok"))))))))</f>
        <v/>
      </c>
      <c r="AI64" s="91" t="str">
        <f ca="1">IF(B64="","",
IF(AND('Field information 2'!$O$5="", 'Field information 2'!$Q$5=""),
   IF('Waste results'!$P$10&lt;&gt;"data missing", Calc!BC62*'Waste results'!$P$10, "data missing"),
IF('Field information 2'!$Q$5="",
   IF(Calc!BD62=0,
     IF('Waste results'!$P$10&lt;&gt;"data missing", Calc!BC62*'Waste results'!$P$10, "data missing"),
   IF(Calc!BC62=0,
     IF('Waste results'!$P$45&lt;&gt;"data missing", Calc!BD62*'Waste results'!$P$45, "data missing"),
   IF(OR('Waste results'!$P$10&lt;&gt;"data missing", 'Waste results'!$P$45&lt;&gt;"data missing"), Calc!BC62*'Waste results'!$P$10+ Calc!BD62*'Waste results'!$P$45, "data missing"))),
IF(AND('Field information 2'!$M$5&lt;&gt;"", 'Field information 2'!$O$5&lt;&gt;"", 'Field information 2'!$Q$5&lt;&gt;""),
   IF(AND(Calc!BD62=0,Calc!BE62=0),
     IF('Waste results'!$P$10&lt;&gt;"data missing", Calc!BC62*'Waste results'!$P$10, "data missing"),
   IF(AND(Calc!BC62=0,Calc!BE62=0),
     IF('Waste results'!$P$45&lt;&gt;"data missing", Calc!BD62*'Waste results'!$P$45, "data missing"),
   IF(AND(Calc!BC62=0,Calc!BD62=0),
     IF('Waste results'!$P$82&lt;&gt;"data missing", Calc!BE62*'Waste results'!$P$82, "data missing"),
   IF(Calc!BE62=0,
     IF(OR('Waste results'!$P$10&lt;&gt;"data missing", 'Waste results'!$P$45&lt;&gt;"data missing"), Calc!BC62*'Waste results'!$P$10+ Calc!BD62*'Waste results'!$P$45, "data missing"),
   IF(Calc!BD62=0,
     IF(OR('Waste results'!$P$10&lt;&gt;"data missing", 'Waste results'!$P$82&lt;&gt;"data missing"), Calc!BC62*'Waste results'!$P$10+ Calc!BE62*'Waste results'!$P$82, "data missing"),
   IF(Calc!BC62=0,
     IF(OR('Waste results'!$P$45&lt;&gt;"data missing", 'Waste results'!$P$82&lt;&gt;"data missing"), Calc!BD62*'Waste results'!$P$45+Calc!BE62*'Waste results'!$P$82, "data missing"),
   IF(OR('Waste results'!$P$10&lt;&gt;"data missing", 'Waste results'!$P$45&lt;&gt;"data missing", 'Waste results'!$P$82&lt;&gt;"data missing"), Calc!BC62*'Waste results'!$P$10+Calc!BD62*'Waste results'!$P$45+ Calc!BE62*'Waste results'!$P$82, "data missing")))))))))))</f>
        <v/>
      </c>
      <c r="AJ64" s="237" t="str">
        <f ca="1">IF(B64="","",
IF(AI64="data missing","data missing",
IF(Calc!BF62=0,"n/a",
IF(AND(Calc!BH62&gt;=8,AI64&lt;500),"no benefit",
IF(OR(AND(Calc!BH62&lt;=4,AI64&gt;=500),AND(Calc!BH62&lt;8,AI64&gt;5000)),"benefit",
"limited benefit")))))</f>
        <v/>
      </c>
      <c r="AL64" s="238" t="str">
        <f ca="1">IF(B64="","",
IF(AND('Field information 2'!$O$5="", 'Field information 2'!$Q$5=""),
   IF('Waste results'!$S$25&lt;&gt;"data missing", Calc!BC62*'Waste results'!$S$25, "data missing"),
IF('Field information 2'!$Q$5="",
   IF(Calc!BD62=0,
     IF('Waste results'!$S$25&lt;&gt;"data missing", Calc!BC62*'Waste results'!$S$25, "data missing"),
   IF(Calc!BC62=0,
     IF('Waste results'!$S$61&lt;&gt;"data missing", Calc!BD62*'Waste results'!$S$61, "data missing"),
   IF(OR('Waste results'!$S$25&lt;&gt;"data missing", 'Waste results'!$S$61&lt;&gt;"data missing"), Calc!BC62*'Waste results'!$S$25+ Calc!BD62*'Waste results'!$S$61, "data missing"))),
IF(AND('Field information 2'!$M$5&lt;&gt;"", 'Field information 2'!$O$5&lt;&gt;"", 'Field information 2'!$Q$5&lt;&gt;""),
   IF(AND(Calc!BD62=0,Calc!BE62=0),
     IF('Waste results'!$S$25&lt;&gt;"data missing", Calc!BC62*'Waste results'!$S$25, "data missing"),
   IF(AND(Calc!BC62=0,Calc!BE62=0),
     IF('Waste results'!$S$61&lt;&gt;"data missing", Calc!BD62*'Waste results'!$S$61, "data missing"),
   IF(AND(Calc!BC62=0,Calc!BD62=0),
     IF('Waste results'!$S$97&lt;&gt;"data missing", Calc!BE62*'Waste results'!$S$97, "data missing"),
   IF(Calc!BE62=0,
     IF(OR('Waste results'!$S$25&lt;&gt;"data missing", 'Waste results'!$S$61&lt;&gt;"data missing"), Calc!BC62*'Waste results'!$S$25+ Calc!BD62*'Waste results'!$S$61, "data missing"),
   IF(Calc!BD62=0,
     IF(OR('Waste results'!$S$25&lt;&gt;"data missing", 'Waste results'!$S$97&lt;&gt;"data missing"), Calc!BC62*'Waste results'!$S$25+ Calc!BE62*'Waste results'!$S$97, "data missing"),
   IF(Calc!BC62=0,
     IF(OR('Waste results'!$S$61&lt;&gt;"data missing", 'Waste results'!$S$97&lt;&gt;"data missing"), Calc!BD62*'Waste results'!$S$61+Calc!BE62*'Waste results'!$S$97, "data missing"),
   IF(OR('Waste results'!$S$25&lt;&gt;"data missing", 'Waste results'!$S$61&lt;&gt;"data missing", 'Waste results'!$S$97&lt;&gt;"data missing"), Calc!BC62*'Waste results'!$S$25+Calc!BD62*'Waste results'!$S$61+ Calc!BE62*'Waste results'!$S$97, "data missing")))))))))))</f>
        <v/>
      </c>
      <c r="AM64" s="239" t="str">
        <f ca="1">IF($B64="","",
IF(ISBLANK('Soil results'!K67),"data missing",'Soil results'!K67))</f>
        <v/>
      </c>
      <c r="AN64" s="239" t="str">
        <f t="shared" ca="1" si="6"/>
        <v/>
      </c>
      <c r="AO64" s="9" t="str">
        <f t="shared" ca="1" si="7"/>
        <v/>
      </c>
      <c r="AQ64" s="240" t="str">
        <f ca="1">IF(B64="","",
IF(AND('Field information 2'!$O$5="", 'Field information 2'!$Q$5=""),
   IF('Waste results'!$S$26&lt;&gt;"data missing", Calc!BC62*'Waste results'!$S$26, "data missing"),
IF('Field information 2'!$Q$5="",
   IF(Calc!BD62=0,
     IF('Waste results'!$S$26&lt;&gt;"data missing", Calc!BC62*'Waste results'!$S$26, "data missing"),
   IF(Calc!BC62=0,
     IF('Waste results'!$S$62&lt;&gt;"data missing", Calc!BD62*'Waste results'!$S$62, "data missing"),
   IF(OR('Waste results'!$S$26&lt;&gt;"data missing", 'Waste results'!$S$62&lt;&gt;"data missing"), Calc!BC62*'Waste results'!$S$26+ Calc!BD62*'Waste results'!$S$62, "data missing"))),
IF(AND('Field information 2'!$M$5&lt;&gt;"", 'Field information 2'!$O$5&lt;&gt;"", 'Field information 2'!$Q$5&lt;&gt;""),
   IF(AND(Calc!BD62=0,Calc!BE62=0),
     IF('Waste results'!$S$26&lt;&gt;"data missing", Calc!BC62*'Waste results'!$S$26, "data missing"),
   IF(AND(Calc!BC62=0,Calc!BE62=0),
     IF('Waste results'!$S$62&lt;&gt;"data missing", Calc!BD62*'Waste results'!$S$62, "data missing"),
   IF(AND(Calc!BC62=0,Calc!BD62=0),
     IF('Waste results'!$S$98&lt;&gt;"data missing", Calc!BE62*'Waste results'!$S$98, "data missing"),
   IF(Calc!BE62=0,
     IF(OR('Waste results'!$S$26&lt;&gt;"data missing", 'Waste results'!$S$62&lt;&gt;"data missing"), Calc!BC62*'Waste results'!$S$26+ Calc!BD62*'Waste results'!$S$62, "data missing"),
   IF(Calc!BD62=0,
     IF(OR('Waste results'!$S$26&lt;&gt;"data missing", 'Waste results'!$S$98&lt;&gt;"data missing"), Calc!BC62*'Waste results'!$S$26+ Calc!BE62*'Waste results'!$S$98, "data missing"),
   IF(Calc!BC62=0,
     IF(OR('Waste results'!$S$62&lt;&gt;"data missing", 'Waste results'!$S$98&lt;&gt;"data missing"), Calc!BD62*'Waste results'!$S$62+Calc!BE62*'Waste results'!$S$98, "data missing"),
   IF(OR('Waste results'!$S$26&lt;&gt;"data missing", 'Waste results'!$S$62&lt;&gt;"data missing", 'Waste results'!$S$98&lt;&gt;"data missing"), Calc!BC62*'Waste results'!$S$26+Calc!BD62*'Waste results'!$S$62+ Calc!BE62*'Waste results'!$S$98, "data missing")))))))))))</f>
        <v/>
      </c>
      <c r="AR64" s="241" t="str">
        <f ca="1">IF($B64="","",
IF(ISBLANK('Soil results'!L67),"data missing",'Soil results'!L67))</f>
        <v/>
      </c>
      <c r="AS64" s="241" t="str">
        <f t="shared" ca="1" si="8"/>
        <v/>
      </c>
      <c r="AT64" s="66" t="str">
        <f t="shared" ca="1" si="9"/>
        <v/>
      </c>
      <c r="AV64" s="238" t="str">
        <f ca="1">IF(B64="","",
IF(AND('Field information 2'!$O$5="", 'Field information 2'!$Q$5=""),
   IF('Waste results'!$S$27&lt;&gt;"data missing", Calc!BC62*'Waste results'!$S$27, "data missing"),
IF('Field information 2'!$Q$5="",
   IF(Calc!BD62=0,
     IF('Waste results'!$S$27&lt;&gt;"data missing", Calc!BC62*'Waste results'!$S$27, "data missing"),
   IF(Calc!BC62=0,
     IF('Waste results'!$S$63&lt;&gt;"data missing", Calc!BD62*'Waste results'!$S$63, "data missing"),
   IF(OR('Waste results'!$S$27&lt;&gt;"data missing", 'Waste results'!$S$63&lt;&gt;"data missing"), Calc!BC62*'Waste results'!$S$27+ Calc!BD62*'Waste results'!$S$63, "data missing"))),
IF(AND('Field information 2'!$M$5&lt;&gt;"", 'Field information 2'!$O$5&lt;&gt;"", 'Field information 2'!$Q$5&lt;&gt;""),
   IF(AND(Calc!BD62=0,Calc!BE62=0),
     IF('Waste results'!$S$27&lt;&gt;"data missing", Calc!BC62*'Waste results'!$S$27, "data missing"),
   IF(AND(Calc!BC62=0,Calc!BE62=0),
     IF('Waste results'!$S$63&lt;&gt;"data missing", Calc!BD62*'Waste results'!$S$63, "data missing"),
   IF(AND(Calc!BC62=0,Calc!BD62=0),
     IF('Waste results'!$S$99&lt;&gt;"data missing", Calc!BE62*'Waste results'!$S$99, "data missing"),
   IF(Calc!BE62=0,
     IF(OR('Waste results'!$S$27&lt;&gt;"data missing", 'Waste results'!$S$63&lt;&gt;"data missing"), Calc!BC62*'Waste results'!$S$27+ Calc!BD62*'Waste results'!$S$63, "data missing"),
   IF(Calc!BD62=0,
     IF(OR('Waste results'!$S$27&lt;&gt;"data missing", 'Waste results'!$S$99&lt;&gt;"data missing"), Calc!BC62*'Waste results'!$S$27+ Calc!BE62*'Waste results'!$S$99, "data missing"),
   IF(Calc!BC62=0,
     IF(OR('Waste results'!$S$63&lt;&gt;"data missing", 'Waste results'!$S$99&lt;&gt;"data missing"), Calc!BD62*'Waste results'!$S$63+Calc!BE62*'Waste results'!$S$99, "data missing"),
   IF(OR('Waste results'!$S$27&lt;&gt;"data missing", 'Waste results'!$S$63&lt;&gt;"data missing", 'Waste results'!$S$99&lt;&gt;"data missing"), Calc!BC62*'Waste results'!$S$27+Calc!BD62*'Waste results'!$S$63+ Calc!BE62*'Waste results'!$S$99, "data missing")))))))))))</f>
        <v/>
      </c>
      <c r="AW64" s="239" t="str">
        <f ca="1">IF($B64="","",
IF(ISBLANK('Soil results'!M67),"data missing",'Soil results'!M67))</f>
        <v/>
      </c>
      <c r="AX64" s="239" t="str">
        <f t="shared" ca="1" si="10"/>
        <v/>
      </c>
      <c r="AY64" s="9" t="str">
        <f ca="1">IF(B64="","",
IF(AV64=0,"n/a",
IF(OR(AV64="data missing",AW64="data missing"),"data missing",
IF(AV64&gt;7.5,"application rate too high - permissible rate exceeds limit",
IF('Soil results'!$F67&lt;=5.5,
  IF(AW64&gt;80,"no application - soil conc. already above limit",
  IF(AX64&gt;80,"application rate too high - soil conc. will exceed limit",
  IF(AW64&gt;80*0.9,"soil conc. is at or above 90% of the limit",
  IF(10*AV64*1000/3000+AW64&gt;80,"soil limit likely to be exceeded in 10yrs",
  IF(50*AV64*1000/3000+AW64&gt;80,"soil limit likely to be exceeded in 50yrs","ok"))))),
IF('Soil results'!$F67&lt;=6,
  IF(AW64&gt;100,"no application - soil conc. already above limit",
  IF(AX64&gt;100,"application rate too high - soil conc. will exceed limit",
  IF(AW64&gt;100*0.9,"soil conc. is at or above 90% of the limit",
  IF(10*AV64*1000/3000+AW64&gt;100,"soil limit likely to be exceeded in 10yrs",
  IF(50*AV64*1000/3000+AW64&gt;100,"soil limit likely to be exceeded in 50yrs","ok"))))),
IF('Soil results'!$F67&lt;=7,
  IF(AW64&gt;135,"no application - soil conc. already above limit",
  IF(AX64&gt;135,"application rate too high - soil conc. will exceed limit",
  IF(AW64&gt;135*0.9,"soil conc. is at or above 90% of the limit",
  IF(10*AV64*1000/3000+AW64&gt;135,"soil limit likely to be exceeded in 10yrs",
  IF(50*AV64*1000/3000+AW64&gt;135,"soil limit likely to be exceeded in 50yrs","ok"))))),
IF('Soil results'!$F67&gt;7,
  IF(AW64&gt;200,"no application - soil conc. already above limit",
  IF(AX64&gt;200,"application too high - soil conc. will exceed limit",
  IF(AW64&gt;200*0.9,"soil conc. is at or above 90% of the limit",
  IF(10*AV64*1000/3000+AW64&gt;200,"soil limit likely to be exceeded in 10yrs",
  IF(50*AV64*1000/3000+AW64&gt;200,"soil limit likely to be exceeded in 50yrs","ok")))))
))))))))</f>
        <v/>
      </c>
      <c r="BA64" s="238" t="str">
        <f ca="1">IF(B64="","",
IF(AND('Field information 2'!$O$5="", 'Field information 2'!$Q$5=""),
   IF('Waste results'!$S$28&lt;&gt;"data missing", Calc!BC62*'Waste results'!$S$28, "data missing"),
IF('Field information 2'!$Q$5="",
   IF(Calc!BD62=0,
     IF('Waste results'!$S$28&lt;&gt;"data missing", Calc!BC62*'Waste results'!$S$28, "data missing"),
   IF(Calc!BC62=0,
     IF('Waste results'!$S$64&lt;&gt;"data missing", Calc!BD62*'Waste results'!$S$64, "data missing"),
   IF(OR('Waste results'!$S$28&lt;&gt;"data missing", 'Waste results'!$S$64&lt;&gt;"data missing"), Calc!BC62*'Waste results'!$S$28+ Calc!BD62*'Waste results'!$S$64, "data missing"))),
IF(AND('Field information 2'!$M$5&lt;&gt;"", 'Field information 2'!$O$5&lt;&gt;"", 'Field information 2'!$Q$5&lt;&gt;""),
   IF(AND(Calc!BD62=0,Calc!BE62=0),
     IF('Waste results'!$S$28&lt;&gt;"data missing", Calc!BC62*'Waste results'!$S$28, "data missing"),
   IF(AND(Calc!BC62=0,Calc!BE62=0),
     IF('Waste results'!$S$64&lt;&gt;"data missing", Calc!BD62*'Waste results'!$S$64, "data missing"),
   IF(AND(Calc!BC62=0,Calc!BD62=0),
     IF('Waste results'!$S$100&lt;&gt;"data missing", Calc!BE62*'Waste results'!$S$100, "data missing"),
   IF(Calc!BE62=0,
     IF(OR('Waste results'!$S$28&lt;&gt;"data missing", 'Waste results'!$S$64&lt;&gt;"data missing"), Calc!BC62*'Waste results'!$S$28+ Calc!BD62*'Waste results'!$S$64, "data missing"),
   IF(Calc!BD62=0,
     IF(OR('Waste results'!$S$28&lt;&gt;"data missing", 'Waste results'!$S$100&lt;&gt;"data missing"), Calc!BC62*'Waste results'!$S$28+ Calc!BE62*'Waste results'!$S$100, "data missing"),
   IF(Calc!BC62=0,
     IF(OR('Waste results'!$S$64&lt;&gt;"data missing", 'Waste results'!$S$100&lt;&gt;"data missing"), Calc!BD62*'Waste results'!$S$64+Calc!BE62*'Waste results'!$S$100, "data missing"),
   IF(OR('Waste results'!$S$28&lt;&gt;"data missing", 'Waste results'!$S$64&lt;&gt;"data missing", 'Waste results'!$S$100&lt;&gt;"data missing"), Calc!BC62*'Waste results'!$S$28+Calc!BD62*'Waste results'!$S$64+ Calc!BE62*'Waste results'!$S$100, "data missing")))))))))))</f>
        <v/>
      </c>
      <c r="BB64" s="239" t="str">
        <f ca="1">IF($B64="","",
IF(ISBLANK('Soil results'!N67),"data missing",'Soil results'!N67))</f>
        <v/>
      </c>
      <c r="BC64" s="239" t="str">
        <f t="shared" ca="1" si="11"/>
        <v/>
      </c>
      <c r="BD64" s="9" t="str">
        <f t="shared" ca="1" si="12"/>
        <v/>
      </c>
      <c r="BF64" s="238" t="str">
        <f ca="1">IF(B64="","",
IF(AND('Field information 2'!$O$5="", 'Field information 2'!$Q$5=""),
   IF('Waste results'!$S$29&lt;&gt;"data missing", Calc!BC62*'Waste results'!$S$29, "data missing"),
IF('Field information 2'!$Q$5="",
   IF(Calc!BD62=0,
     IF('Waste results'!$S$29&lt;&gt;"data missing", Calc!BC62*'Waste results'!$S$29, "data missing"),
   IF(Calc!BC62=0,
     IF('Waste results'!$S$65&lt;&gt;"data missing", Calc!BD62*'Waste results'!$S$65, "data missing"),
   IF(OR('Waste results'!$S$29&lt;&gt;"data missing", 'Waste results'!$S$65&lt;&gt;"data missing"), Calc!BC62*'Waste results'!$S$29+ Calc!BD62*'Waste results'!$S$65, "data missing"))),
IF(AND('Field information 2'!$M$5&lt;&gt;"", 'Field information 2'!$O$5&lt;&gt;"", 'Field information 2'!$Q$5&lt;&gt;""),
   IF(AND(Calc!BD62=0,Calc!BE62=0),
     IF('Waste results'!$S$29&lt;&gt;"data missing", Calc!BC62*'Waste results'!$S$29, "data missing"),
   IF(AND(Calc!BC62=0,Calc!BE62=0),
     IF('Waste results'!$S$65&lt;&gt;"data missing", Calc!BD62*'Waste results'!$S$65, "data missing"),
   IF(AND(Calc!BC62=0,Calc!BD62=0),
     IF('Waste results'!$S$101&lt;&gt;"data missing", Calc!BE62*'Waste results'!$S$101, "data missing"),
   IF(Calc!BE62=0,
     IF(OR('Waste results'!$S$29&lt;&gt;"data missing", 'Waste results'!$S$65&lt;&gt;"data missing"), Calc!BC62*'Waste results'!$S$29+ Calc!BD62*'Waste results'!$S$65, "data missing"),
   IF(Calc!BD62=0,
     IF(OR('Waste results'!$S$29&lt;&gt;"data missing", 'Waste results'!$S$101&lt;&gt;"data missing"), Calc!BC62*'Waste results'!$S$29+ Calc!BE62*'Waste results'!$S$101, "data missing"),
   IF(Calc!BC62=0,
     IF(OR('Waste results'!$S$65&lt;&gt;"data missing", 'Waste results'!$S$101&lt;&gt;"data missing"), Calc!BD62*'Waste results'!$S$65+Calc!BE62*'Waste results'!$S$101, "data missing"),
   IF(OR('Waste results'!$S$29&lt;&gt;"data missing", 'Waste results'!$S$65&lt;&gt;"data missing", 'Waste results'!$S$101&lt;&gt;"data missing"), Calc!BC62*'Waste results'!$S$29+Calc!BD62*'Waste results'!$S$65+ Calc!BE62*'Waste results'!$S$101, "data missing")))))))))))</f>
        <v/>
      </c>
      <c r="BG64" s="239" t="str">
        <f ca="1">IF($B64="","",
IF(ISBLANK('Soil results'!O67),"data missing",'Soil results'!O67))</f>
        <v/>
      </c>
      <c r="BH64" s="239" t="str">
        <f t="shared" ca="1" si="13"/>
        <v/>
      </c>
      <c r="BI64" s="9" t="str">
        <f ca="1">IF(B64="","",
IF(BF64=0,"n/a",
IF(OR(BF64="data missing",BG64="data missing"),"data missing",
IF(BF64&gt;3,"application rate too high - permissible rate exceeds limit",
IF('Soil results'!F67&lt;=5.5,
  IF(BG64&gt;50,"no application - soil conc. already above limit",
  IF(BH64&gt;50,"application rate too high - soil conc. will exceed limit",
  IF(BG64&gt;50*0.9,"soil conc. is at or above 90% of the limit",
  IF(10*BF64*1000/3000+BG64&gt;50,"soil limit likely to be exceeded in 10yrs",
  IF(50*BF64*1000/3000+BG64&gt;50,"soil limit likely to be exceeded in 50yrs","ok"))))),
IF('Soil results'!F67&lt;=6,
  IF(BG64&gt;60,"no application - soil conc. already above limit",
  IF(BH64&gt;60,"application rate too high - soil conc. will exceed limit",
  IF(BG64&gt;60*0.9,"soil conc. is at or above 90% of the limit",
  IF(10*BF64*1000/3000+BG64&gt;60,"soil limit likely to be exceeded in 10yrs",
  IF(50*BF64*1000/3000+BG64&gt;60,"soil limit likely to be exceeded in 50yrs","ok"))))),
IF('Soil results'!F67&lt;=7,
  IF(BG64&gt;75,"no application - soil conc. already above limit",
  IF(BH64&gt;75,"application rate too high - soil conc. will exceed limit",
  IF(BG64&gt;75*0.9,"soil conc. is at or above 90% of the limit",
  IF(10*BF64*1000/3000+BG64&gt;75,"soil limit likely to be exceeded in 10yrs",
  IF(50*BF64*1000/3000+BG64&gt;75,"soil limit likely to be exceeded in 50yrs","ok"))))),
IF('Soil results'!F67&gt;7,
  IF(BG64&gt;100,"no application - soil conc. already above limit",
  IF(BH64&gt;100,"application rate too high - soil conc. will exceed limit",
  IF(BG64&gt;100*0.9,"soil conc. is at or above 90% of the limit",
  IF(10*BF64*1000/3000+BG64&gt;100,"soil limit likely to be exceeded in 10yrs",
  IF(50*BF64*1000/3000+BG64&gt;100,"soil limit likely to beexceeded in 50yrs","ok")))))
))))))))</f>
        <v/>
      </c>
      <c r="BK64" s="240" t="str">
        <f ca="1">IF(B64="","",
IF(AND('Field information 2'!$O$5="", 'Field information 2'!$Q$5=""),
   IF('Waste results'!$S$30&lt;&gt;"data missing", Calc!BC62*'Waste results'!$S$30, "data missing"),
IF('Field information 2'!$Q$5="",
   IF(Calc!BD62=0,
     IF('Waste results'!$S$30&lt;&gt;"data missing", Calc!BC62*'Waste results'!$S$30, "data missing"),
   IF(Calc!BC62=0,
     IF('Waste results'!$S$66&lt;&gt;"data missing", Calc!BD62*'Waste results'!$S$66, "data missing"),
   IF(OR('Waste results'!$S$30&lt;&gt;"data missing", 'Waste results'!$S$66&lt;&gt;"data missing"), Calc!BC62*'Waste results'!$S$30+ Calc!BD62*'Waste results'!$S$66, "data missing"))),
IF(AND('Field information 2'!$M$5&lt;&gt;"", 'Field information 2'!$O$5&lt;&gt;"", 'Field information 2'!$Q$5&lt;&gt;""),
   IF(AND(Calc!BD62=0,Calc!BE62=0),
     IF('Waste results'!$S$30&lt;&gt;"data missing", Calc!BC62*'Waste results'!$S$30, "data missing"),
   IF(AND(Calc!BC62=0,Calc!BE62=0),
     IF('Waste results'!$S$66&lt;&gt;"data missing", Calc!BD62*'Waste results'!$S$66, "data missing"),
   IF(AND(Calc!BC62=0,Calc!BD62=0),
     IF('Waste results'!$S$102&lt;&gt;"data missing", Calc!BE62*'Waste results'!$S$102, "data missing"),
   IF(Calc!BE62=0,
     IF(OR('Waste results'!$S$30&lt;&gt;"data missing", 'Waste results'!$S$66&lt;&gt;"data missing"), Calc!BC62*'Waste results'!$S$30+ Calc!BD62*'Waste results'!$S$66, "data missing"),
   IF(Calc!BD62=0,
     IF(OR('Waste results'!$S$30&lt;&gt;"data missing", 'Waste results'!$S$102&lt;&gt;"data missing"), Calc!BC62*'Waste results'!$S$30+ Calc!BE62*'Waste results'!$S$102, "data missing"),
   IF(Calc!BC62=0,
     IF(OR('Waste results'!$S$66&lt;&gt;"data missing", 'Waste results'!$S$102&lt;&gt;"data missing"), Calc!BD62*'Waste results'!$S$66+Calc!BE62*'Waste results'!$S$102, "data missing"),
   IF(OR('Waste results'!$S$30&lt;&gt;"data missing", 'Waste results'!$S$66&lt;&gt;"data missing", 'Waste results'!$S$102&lt;&gt;"data missing"), Calc!BC62*'Waste results'!$S$30+Calc!BD62*'Waste results'!$S$66+ Calc!BE62*'Waste results'!$S$102, "data missing")))))))))))</f>
        <v/>
      </c>
      <c r="BL64" s="241" t="str">
        <f ca="1">IF($B64="","",
IF(ISBLANK('Soil results'!P67),"data missing",'Soil results'!P67))</f>
        <v/>
      </c>
      <c r="BM64" s="241" t="str">
        <f t="shared" ca="1" si="14"/>
        <v/>
      </c>
      <c r="BN64" s="66" t="str">
        <f t="shared" ca="1" si="15"/>
        <v/>
      </c>
      <c r="BP64" s="238" t="str">
        <f ca="1">IF(B64="","",
IF(AND('Field information 2'!$O$5="", 'Field information 2'!$Q$5=""),
   IF('Waste results'!$S$31&lt;&gt;"data missing", Calc!BC62*'Waste results'!$S$31, "data missing"),
IF('Field information 2'!$Q$5="",
   IF(Calc!BD62=0,
     IF('Waste results'!$S$31&lt;&gt;"data missing", Calc!BC62*'Waste results'!$S$31, "data missing"),
   IF(Calc!BC62=0,
     IF('Waste results'!$S$67&lt;&gt;"data missing", Calc!BD62*'Waste results'!$S$67, "data missing"),
   IF(OR('Waste results'!$S$31&lt;&gt;"data missing", 'Waste results'!$S$67&lt;&gt;"data missing"), Calc!BC62*'Waste results'!$S$31+ Calc!BD62*'Waste results'!$S$67, "data missing"))),
IF(AND('Field information 2'!$M$5&lt;&gt;"", 'Field information 2'!$O$5&lt;&gt;"", 'Field information 2'!$Q$5&lt;&gt;""),
   IF(AND(Calc!BD62=0,Calc!BE62=0),
     IF('Waste results'!$S$31&lt;&gt;"data missing", Calc!BC62*'Waste results'!$S$31, "data missing"),
   IF(AND(Calc!BC62=0,Calc!BE62=0),
     IF('Waste results'!$S$67&lt;&gt;"data missing", Calc!BD62*'Waste results'!$S$67, "data missing"),
   IF(AND(Calc!BC62=0,Calc!BD62=0),
     IF('Waste results'!$S$103&lt;&gt;"data missing", Calc!BE62*'Waste results'!$S$103, "data missing"),
   IF(Calc!BE62=0,
     IF(OR('Waste results'!$S$31&lt;&gt;"data missing", 'Waste results'!$S$67&lt;&gt;"data missing"), Calc!BC62*'Waste results'!$S$31+ Calc!BD62*'Waste results'!$S$67, "data missing"),
   IF(Calc!BD62=0,
     IF(OR('Waste results'!$S$31&lt;&gt;"data missing", 'Waste results'!$S$103&lt;&gt;"data missing"), Calc!BC62*'Waste results'!$S$31+ Calc!BE62*'Waste results'!$S$103, "data missing"),
   IF(Calc!BC62=0,
     IF(OR('Waste results'!$S$67&lt;&gt;"data missing", 'Waste results'!$S$103&lt;&gt;"data missing"), Calc!BD62*'Waste results'!$S$67+Calc!BE62*'Waste results'!$S$103, "data missing"),
   IF(OR('Waste results'!$S$31&lt;&gt;"data missing", 'Waste results'!$S$67&lt;&gt;"data missing", 'Waste results'!$S$103&lt;&gt;"data missing"), Calc!BC62*'Waste results'!$S$31+Calc!BD62*'Waste results'!$S$67+ Calc!BE62*'Waste results'!$S$103, "data missing")))))))))))</f>
        <v/>
      </c>
      <c r="BQ64" s="239" t="str">
        <f ca="1">IF($B64="","",
IF(ISBLANK('Soil results'!Q67),"data missing",'Soil results'!Q67))</f>
        <v/>
      </c>
      <c r="BR64" s="239" t="str">
        <f t="shared" ca="1" si="16"/>
        <v/>
      </c>
      <c r="BS64" s="9" t="str">
        <f ca="1">IF(B64="","",
IF(BP64=0,"n/a",
IF(OR(BP64="data missing",BQ64=""),"data missing",
IF(BP64&gt;15,"application rate too high - permissible rate exceeds limit",
IF('Soil results'!F67&lt;=5.5,
  IF(BQ64&gt;200,"no application - soil conc. already above limit",
  IF(BR64&gt;200,"application rate too high - soil conc. will exceed limit",
  IF(BQ64&gt;200*0.9,"soil conc. is at or above 90% of the limit",
  IF(10*BP64*1000/3000+BQ64&gt;200,"soil limit likely to be exceeded in 10yrs",
  IF(50*BP64*1000/3000+BQ64&gt;200,"soil limit likely to be exceeded in 50yrs","ok"))))),
IF('Soil results'!F67&lt;=6,
  IF(BQ64&gt;250,"no application - soil conc. already above limit",
  IF(BR64&gt;250,"application rate too high - soil conc. will exceed limit",
  IF(BQ64&gt;250*0.9,"soil conc. is at or above 90% of the limit",
  IF(10*BP64*1000/3000+BQ64&gt;250,"soil limit likely to be exceeded in 10yrs",
  IF(50*BP64*1000/3000+BQ64&gt;250,"soil limit likely to be exceeded in 50yrs","ok"))))),
IF('Soil results'!F67&lt;=7,
  IF(BQ64&gt;300,"no application - soil conc. already above limit",
  IF(BR64&gt;300,"application rate too high - soil conc. will exceed limit",
  IF(BQ64&gt;300*0.9,"soil conc. is at or above 90% of the limit",
  IF(10*BP64*1000/3000+BQ64&gt;300,"soil limit likey to be exceeded in 10yrs",
  IF(50*BP64*1000/3000+BQ64&gt;300,"soil limit likely to be exceeded in 50yrs","ok"))))),
IF('Soil results'!F67&gt;7,
  IF(BQ64&gt;450,"no application - soil conc. already above limit",
  IF(BR64&gt;450,"application rate too high - soil conc. will exceed limit",
  IF(AW64&gt;450*0.9,"soil conc. is at or above 90% of the limit",
  IF(10*BP64*1000/3000+BQ64&gt;450,"soil limit likely to be exceeded in 10yrs",
  IF(50*BP64*1000/3000+BQ64&gt;450,"soil limit likely to be exceeded in 50yrs","ok")))))
))))))))</f>
        <v/>
      </c>
    </row>
    <row r="65" spans="2:71" s="9" customFormat="1" ht="15" x14ac:dyDescent="0.25">
      <c r="B65" s="236" t="str">
        <f ca="1">'Soil results'!B68</f>
        <v/>
      </c>
      <c r="C65" s="91" t="str">
        <f ca="1">IF(B65="","",
IF(AND('Field information 2'!$O$5="", 'Field information 2'!$Q$5=""),
   IF('Waste results'!$S$12&lt;&gt;"data missing", Calc!BC63*'Waste results'!$S$12, "data missing"),
IF('Field information 2'!$Q$5="",
   IF(Calc!BD63=0,
     IF('Waste results'!$S$12&lt;&gt;"data missing", Calc!BC63*'Waste results'!$S$12, "data missing"),
   IF(Calc!BC63=0,
     IF('Waste results'!$S$48&lt;&gt;"data missing", Calc!BD63*'Waste results'!$S$48, "data missing"),
   IF(OR('Waste results'!$S$12&lt;&gt;"data missing", 'Waste results'!$S$48&lt;&gt;"data missing"), Calc!BC63*'Waste results'!$S$12+ Calc!BD63*'Waste results'!$S$48, "data missing"))),
IF(AND('Field information 2'!$M$5&lt;&gt;"", 'Field information 2'!$O$5&lt;&gt;"", 'Field information 2'!$Q$5&lt;&gt;""),
   IF(AND(Calc!BD63=0,Calc!BE63=0),
     IF('Waste results'!$S$12&lt;&gt;"data missing", Calc!BC63*'Waste results'!$S$12, "data missing"),
   IF(AND(Calc!BC63=0,Calc!BE63=0),
     IF('Waste results'!$S$48&lt;&gt;"data missing", Calc!BD63*'Waste results'!$S$48, "data missing"),
   IF(AND(Calc!BC63=0,Calc!BD63=0),
     IF('Waste results'!$S$84&lt;&gt;"data missing", Calc!BE63*'Waste results'!$S$84, "data missing"),
   IF(Calc!BE63=0,
     IF(OR('Waste results'!$S$12&lt;&gt;"data missing", 'Waste results'!$S$48&lt;&gt;"data missing"), Calc!BC63*'Waste results'!$S$12+ Calc!BD63*'Waste results'!$S$48, "data missing"),
   IF(Calc!BD63=0,
     IF(OR('Waste results'!$S$12&lt;&gt;"data missing", 'Waste results'!$S$84&lt;&gt;"data missing"), Calc!BC63*'Waste results'!$S$12+ Calc!BE63*'Waste results'!$S$84, "data missing"),
   IF(Calc!BC63=0,
     IF(OR('Waste results'!$S$48&lt;&gt;"data missing", 'Waste results'!$S$84&lt;&gt;"data missing"), Calc!BD63*'Waste results'!$S$48+Calc!BE63*'Waste results'!$S$84, "data missing"),
   IF(OR('Waste results'!$S$12&lt;&gt;"data missing", 'Waste results'!$S$48&lt;&gt;"data missing", 'Waste results'!$S$84&lt;&gt;"data missing"), Calc!BC63*'Waste results'!$S$12+Calc!BD63*'Waste results'!$S$48+ Calc!BE63*'Waste results'!$S$84, "data missing")))))))))))</f>
        <v/>
      </c>
      <c r="D65" s="161" t="str">
        <f ca="1">IF(B65="","",
IF(Calc!BG63="","soil texture missing",
IF(OR(Calc!BG63="SL; SZL; ZL",Calc!BG63="SCL; CL; ZCL; SC; ZC; C"),VLOOKUP(Calc!BI63,'Fertiliser recommendations'!$A$4:$C$63,3,FALSE),
IF(Calc!BG63="S; LS",VLOOKUP(Calc!BI63,'Fertiliser recommendations'!$A$4:$C$63,3,FALSE)+VLOOKUP(Calc!BI63,'Fertiliser recommendations'!$A$4:$D$63,4,FALSE),
IF(Calc!BG63="10-25% OM",VLOOKUP(Calc!BI63,'Fertiliser recommendations'!$A$4:$C$63,3,FALSE)+VLOOKUP(Calc!BI63,'Fertiliser recommendations'!$A$4:$E$63,5,FALSE),
IF(Calc!BG63="&gt;25% OM",VLOOKUP(Calc!BI63,'Fertiliser recommendations'!$A$4:$C$63,3,FALSE)+VLOOKUP(Calc!BI63,'Fertiliser recommendations'!$A$4:$F$63,6,FALSE),
""))))))</f>
        <v/>
      </c>
      <c r="E65" s="91" t="str">
        <f t="shared" ca="1" si="0"/>
        <v/>
      </c>
      <c r="F65" s="9" t="str">
        <f ca="1">IF(B65="","",
IF(OR(C65="data missing",D65="soil texture missing"),"data missing",
IF(Calc!BF63=0,"n/a",
IF(C65&lt;0.1*D65,"no benefit",
IF(C65&lt;0.3*D65,"limited benefit",
IF(C65&gt;250,"exceeds limit",
IF(OR(AND(D65=0,C65&gt;75),C65&gt;1.25*D65),"excessive",
IF(D65=0, "no requirement",
"benefit"))))))))</f>
        <v/>
      </c>
      <c r="H65" s="91" t="str">
        <f ca="1">IF(B65="","",
IF(AND('Field information 2'!$O$5="", 'Field information 2'!$Q$5=""),
   IF('Waste results'!$S$17&lt;&gt;"data missing", Calc!BC63*'Waste results'!$S$17, "data missing"),
IF('Field information 2'!$Q$5="",
   IF(Calc!BD63=0,
     IF('Waste results'!$S$17&lt;&gt;"data missing", Calc!BC63*'Waste results'!$S$17, "data missing"),
   IF(Calc!BC63=0,
     IF('Waste results'!$S$53&lt;&gt;"data missing", Calc!BD63*'Waste results'!$S$53, "data missing"),
   IF(OR('Waste results'!$S$17&lt;&gt;"data missing", 'Waste results'!$S$53&lt;&gt;"data missing"), Calc!BC63*'Waste results'!$S$17+ Calc!BD63*'Waste results'!$S$53, "data missing"))),
IF(AND('Field information 2'!$M$5&lt;&gt;"", 'Field information 2'!$O$5&lt;&gt;"", 'Field information 2'!$Q$5&lt;&gt;""),
   IF(AND(Calc!BD63=0,Calc!BE63=0),
     IF('Waste results'!$S$17&lt;&gt;"data missing", Calc!BC63*'Waste results'!$S$17, "data missing"),
   IF(AND(Calc!BC63=0,Calc!BE63=0),
     IF('Waste results'!$S$53&lt;&gt;"data missing", Calc!BD63*'Waste results'!$S$53, "data missing"),
   IF(AND(Calc!BC63=0,Calc!BD63=0),
     IF('Waste results'!$S$89&lt;&gt;"data missing", Calc!BE63*'Waste results'!$S$89, "data missing"),
   IF(Calc!BE63=0,
     IF(OR('Waste results'!$S$17&lt;&gt;"data missing", 'Waste results'!$S$53&lt;&gt;"data missing"), Calc!BC63*'Waste results'!$S$17+ Calc!BD63*'Waste results'!$S$53, "data missing"),
   IF(Calc!BD63=0,
     IF(OR('Waste results'!$S$17&lt;&gt;"data missing", 'Waste results'!$S$89&lt;&gt;"data missing"), Calc!BC63*'Waste results'!$S$17+ Calc!BE63*'Waste results'!$S$89, "data missing"),
   IF(Calc!BC63=0,
     IF(OR('Waste results'!$S$53&lt;&gt;"data missing", 'Waste results'!$S$89&lt;&gt;"data missing"), Calc!BD63*'Waste results'!$S$53+Calc!BE63*'Waste results'!$S$89, "data missing"),
   IF(OR('Waste results'!$S$17&lt;&gt;"data missing", 'Waste results'!$S$53&lt;&gt;"data missing", 'Waste results'!$S$89&lt;&gt;"data missing"), Calc!BC63*'Waste results'!$S$17+Calc!BD63*'Waste results'!$S$53+ Calc!BE63*'Waste results'!$S$89, "data missing")))))))))))</f>
        <v/>
      </c>
      <c r="I65" s="195" t="str">
        <f ca="1">IF(B65="","",
IF(OR(ISBLANK('Soil results'!G68), ISBLANK('Soil results'!G$7)),"data missing",
IF(OR(AND('Soil results'!G$7="Olsen (ADAS)",'Soil results'!G68&lt;16),AND('Soil results'!G$7="modified Morgan (SAC)",'Soil results'!G68&lt;4.5)),50,100)))</f>
        <v/>
      </c>
      <c r="J65" s="49" t="str">
        <f ca="1">IF(B65="","",
IF(OR(ISBLANK('Soil results'!G$7),ISBLANK('Soil results'!G68)),"data missing",
IF(OR(AND('Soil results'!G$7="Olsen (ADAS)",'Soil results'!G68&gt;45),AND('Soil results'!G$7="modified Morgan (SAC)",'Soil results'!G68&gt;30)),0,
IF(OR(AND('Soil results'!G$7="Olsen (ADAS)",'Soil results'!G68&gt;=16,'Soil results'!G68&lt;=20),AND('Soil results'!G$7="modified Morgan (SAC)",'Soil results'!G68&gt;=4.5,'Soil results'!G68&lt;=9.4)),VLOOKUP(Calc!BI63,'Fertiliser recommendations'!$A$4:$I$63,9,FALSE),
IF(OR(AND('Soil results'!G$7="Olsen (ADAS)",'Soil results'!G68&lt;10),AND('Soil results'!G$7="modified Morgan (SAC)",'Soil results'!G68&lt;1.8)),VLOOKUP(Calc!BI63,'Fertiliser recommendations'!$A$4:$I$63,9,FALSE)+VLOOKUP(Calc!BI63,'Fertiliser recommendations'!$A$4:$J$63,10,FALSE),
IF(OR(AND('Soil results'!G$7="Olsen (ADAS)",'Soil results'!G68&lt;16),AND('Soil results'!G$7="modified Morgan (SAC)",'Soil results'!G68&lt;4.5)),VLOOKUP(Calc!BI63,'Fertiliser recommendations'!$A$4:$I$63,9,FALSE)+VLOOKUP(Calc!BI63,'Fertiliser recommendations'!$A$4:$K$63,11,FALSE),
IF(OR(AND('Soil results'!G$7="Olsen (ADAS)",'Soil results'!G68&lt;26),AND('Soil results'!G$7="modified Morgan (SAC)",'Soil results'!G68&lt;13.5)),VLOOKUP(Calc!BI63,'Fertiliser recommendations'!$A$4:$I$63,9,FALSE)+VLOOKUP(Calc!BI63,'Fertiliser recommendations'!$A$4:$L$63,12,FALSE),
IF(OR(AND('Soil results'!G$7="Olsen (ADAS)",'Soil results'!G68&lt;=45),AND('Soil results'!G$7="modified Morgan (SAC)",'Soil results'!G68&lt;=30)),VLOOKUP(Calc!BI63,'Fertiliser recommendations'!$A$4:$I$63,9,FALSE)+VLOOKUP(Calc!BI63,'Fertiliser recommendations'!$A$4:$M$63,13,FALSE),
""))))))))</f>
        <v/>
      </c>
      <c r="K65" s="161" t="str">
        <f t="shared" ca="1" si="1"/>
        <v/>
      </c>
      <c r="L65" s="47" t="str">
        <f ca="1">IF(OR(ISBLANK('Soil results'!G$7),ISBLANK('Soil results'!G68),B65="", H65="data missing"),"",
IF('Soil results'!G$7="Olsen (ADAS)",
IF(((H65*Calc!BM63/2.291-(VLOOKUP(Calc!BI63,'Fertiliser recommendations'!$A$4:$I$63,9,FALSE))/2.291)*10/(400/2.291)+'Soil results'!G68)&lt;10,"0 (VL)",
IF(((H65*Calc!BM63/2.291-(VLOOKUP(Calc!BI63,'Fertiliser recommendations'!$A$4:$I$63,9,FALSE))/2.291)*10/(400/2.291)+'Soil results'!G68)&lt;16,"1 (L)",
IF(((H65*Calc!BM63/2.291-(VLOOKUP(Calc!BI63,'Fertiliser recommendations'!$A$4:$I$63,9,FALSE))/2.291)*10/(400/2.291)+'Soil results'!G68)&lt;21,"2 (M-)",
IF(((H65*Calc!BM63/2.291-(VLOOKUP(Calc!BI63,'Fertiliser recommendations'!$A$4:$I$63,9,FALSE))/2.291)*10/(400/2.291)+'Soil results'!G68)&lt;26,"2 (M+)",
IF(((H65*Calc!BM63/2.291-(VLOOKUP(Calc!BI63,'Fertiliser recommendations'!$A$4:$I$63,9,FALSE))/2.291)*10/(400/2.291)+'Soil results'!G68)&lt;45,"3 (H)","&gt;3 (VH)"))))),
IF('Soil results'!G$7="modified Morgan (SAC)",
IF('Soil results'!G68&gt;=6,
IF(((H65*Calc!BM63/2.291-(VLOOKUP(Calc!BI63,'Fertiliser recommendations'!$A$4:$I$63,9,FALSE))/2.291)*5/(147/2.291)+'Soil results'!G68)&lt;9.5,"2 (M-)",
IF(((H65*Calc!BM63/2.291-(VLOOKUP(Calc!BI63,'Fertiliser recommendations'!$A$4:$I$63,9,FALSE))/2.291)*5/(147/2.291)+'Soil results'!G68)&lt;13.5,"2 (M+)",
IF(((H65*Calc!BM63/2.291-(VLOOKUP(Calc!BI63,'Fertiliser recommendations'!$A$4:$I$63,9,FALSE))/2.291)*5/(147/2.291)+'Soil results'!G68)&lt;30,"3 (H)","4 (VH)"))),
IF(((H65*Calc!BM63/2.291-(VLOOKUP(Calc!BI63,'Fertiliser recommendations'!$A$4:$I$63,9,FALSE))/2.291)*5/(346/2.291)+'Soil results'!G68)&lt;1.8,"0 (VL)",
IF(((H65*Calc!BM63/2.291-(VLOOKUP(Calc!BI63,'Fertiliser recommendations'!$A$4:$I$63,9,FALSE))/2.291)*5/(147/2.291)+'Soil results'!G68)&lt;4.5,"1 (L)","2 (M-)"))))))</f>
        <v/>
      </c>
      <c r="M65" s="9" t="str">
        <f ca="1">IF(B65="","",
IF(OR(H65="data missing",I65="data missing",J65="data missing"),"data missing",
IF(Calc!BF63=0,"n/a",
IF(OR(AND('Soil results'!G$7="Olsen (ADAS)",'Soil results'!G68&gt;45),AND('Soil results'!G$7="modified Morgan (SAC)",'Soil results'!G68&gt;30)),
IF(H65&gt;2,"too high, not acceptable","no requirement"),IF(OR(AND('Soil results'!G$7="Olsen (ADAS)",'Soil results'!G68&gt;25),AND('Soil results'!G$7="modified Morgan (SAC)",'Soil results'!G68&gt;13.4)),
IF(H65*(I65/100)&lt;0.1*J65,"no benefit",
IF(H65*(I65/100)&lt;0.3*J65,"limited benefit",
IF(H65*(I65/100)&lt;1.1*J65,"benefit",
IF(H65*(I65/100)&lt;0.7*VLOOKUP(Calc!BI63,'Fertiliser recommendations'!$A$4:$I$63,9,FALSE),"excessive","too high, not acceptable")))),
IF(OR(AND('Soil results'!G$7="Olsen (ADAS)",'Soil results'!G68&gt;20),AND('Soil results'!G$7="modified Morgan (SAC)",'Soil results'!G68&gt;9.4)),
IF(H65*Calc!BM63*(I65/100)&lt;0.1*J65,"no benefit",
IF(H65*Calc!BM63*(I65/100)&lt;0.3*J65,"limited benefit",
IF(H65*Calc!BM63*(I65/100)&lt;1.1*J65,"benefit",
IF(L65="3 (H)","too high, not acceptable","excessive")))),
IF(OR(AND('Soil results'!G$7="Olsen (ADAS)",'Soil results'!G68&gt;15),AND('Soil results'!G$7="modified Morgan (SAC)",'Soil results'!G68&gt;4.4)),
IF(H65*Calc!BM63*(I65/100)&lt;0.1*VLOOKUP(Calc!BI63,'Fertiliser recommendations'!$A$4:$I$63,9,FALSE),"no benefit",
IF(H65*Calc!BM63*(I65/100)&lt;0.3*VLOOKUP(Calc!BI63,'Fertiliser recommendations'!$A$4:$I$63,9,FALSE),"limited benefit",
IF(H65*Calc!BM63*(I65/100)&lt;1.1*VLOOKUP(Calc!BI63,'Fertiliser recommendations'!$A$4:$I$63,9,FALSE),"benefit",
IF(L65="3 (H)", "too high, not acceptable", "excessive")))),
IF(OR(AND('Soil results'!G$7="Olsen (ADAS)",'Soil results'!G68&lt;=15),AND('Soil results'!G$7="modified Morgan (SAC)",'Soil results'!G68&lt;=4.4)),
IF(H65*Calc!BM63*(I65/100)&lt;0.1*VLOOKUP(Calc!BI63,'Fertiliser recommendations'!$A$4:$I$63,9,FALSE),"no benefit",
IF(H65*Calc!BM63*(I65/100)&lt;0.3*VLOOKUP(Calc!BI63,'Fertiliser recommendations'!$A$4:$I$63,9,FALSE),"limited benefit",
IF(H65*Calc!BM63*(I65/100)&lt;1.1*J65,"benefit","excessive")))))))))))</f>
        <v/>
      </c>
      <c r="O65" s="91" t="str">
        <f ca="1">IF(B65="","",
IF(AND('Field information 2'!$O$5="", 'Field information 2'!$Q$5=""),
   IF('Waste results'!$S$19&lt;&gt;"data missing", Calc!BC63*'Waste results'!$S$19, "data missing"),
IF('Field information 2'!$Q$5="",
   IF(Calc!BD63=0,
     IF('Waste results'!$S$19&lt;&gt;"data missing", Calc!BC63*'Waste results'!$S$19, "data missing"),
   IF(Calc!BC63=0,
     IF('Waste results'!$S$55&lt;&gt;"data missing", Calc!BD63*'Waste results'!$S$55, "data missing"),
   IF(OR('Waste results'!$S$19&lt;&gt;"data missing", 'Waste results'!$S$55&lt;&gt;"data missing"), Calc!BC63*'Waste results'!$S$19+ Calc!BD63*'Waste results'!$S$55, "data missing"))),
IF(AND('Field information 2'!$M$5&lt;&gt;"", 'Field information 2'!$O$5&lt;&gt;"", 'Field information 2'!$Q$5&lt;&gt;""),
   IF(AND(Calc!BD63=0,Calc!BE63=0),
     IF('Waste results'!$S$19&lt;&gt;"data missing", Calc!BC63*'Waste results'!$S$19, "data missing"),
   IF(AND(Calc!BC63=0,Calc!BE63=0),
     IF('Waste results'!$S$55&lt;&gt;"data missing", Calc!BD63*'Waste results'!$S$55, "data missing"),
   IF(AND(Calc!BC63=0,Calc!BD63=0),
     IF('Waste results'!$S$91&lt;&gt;"data missing", Calc!BE63*'Waste results'!$S$91, "data missing"),
   IF(Calc!BE63=0,
     IF(OR('Waste results'!$S$19&lt;&gt;"data missing", 'Waste results'!$S$55&lt;&gt;"data missing"), Calc!BC63*'Waste results'!$S$19+ Calc!BD63*'Waste results'!$S$55, "data missing"),
   IF(Calc!BD63=0,
     IF(OR('Waste results'!$S$19&lt;&gt;"data missing", 'Waste results'!$S$91&lt;&gt;"data missing"), Calc!BC63*'Waste results'!$S$19+ Calc!BE63*'Waste results'!$S$91, "data missing"),
   IF(Calc!BC63=0,
     IF(OR('Waste results'!$S$55&lt;&gt;"data missing", 'Waste results'!$S$91&lt;&gt;"data missing"), Calc!BD63*'Waste results'!$S$55+Calc!BE63*'Waste results'!$S$91, "data missing"),
   IF(OR('Waste results'!$S$19&lt;&gt;"data missing", 'Waste results'!$S$55&lt;&gt;"data missing", 'Waste results'!$S$91&lt;&gt;"data missing"), Calc!BC63*'Waste results'!$S$19+Calc!BD63*'Waste results'!$S$55+ Calc!BE63*'Waste results'!$S$91, "data missing")))))))))))</f>
        <v/>
      </c>
      <c r="P65" s="91" t="str">
        <f ca="1">IF(B65="","",
IF(OR(ISBLANK('Soil results'!H$7),ISBLANK('Soil results'!H68)),"data missing",
IF(OR(AND('Soil results'!H$7="ammonium nitrate (ADAS)",'Soil results'!H68&gt;400),AND('Soil results'!H$7="modified Morgan (SAC)",'Soil results'!H68&gt;400)),0,
IF(OR(AND('Soil results'!H$7="ammonium nitrate (ADAS)",'Soil results'!H68&gt;=121,'Soil results'!H68&lt;=180),AND('Soil results'!H$7="modified Morgan (SAC)",'Soil results'!H68&gt;=76,'Soil results'!H68&lt;=140)),VLOOKUP(Calc!BI63,'Fertiliser recommendations'!$A$4:$Z$63,26,FALSE),
IF(OR(AND('Soil results'!H$7="ammonium nitrate (ADAS)",'Soil results'!H68&lt;61),AND('Soil results'!H$7="modified Morgan (SAC)",'Soil results'!H68&lt;40)),VLOOKUP(Calc!BI63,'Fertiliser recommendations'!$A$4:$Z$63,26,FALSE)+VLOOKUP(Calc!BI63,'Fertiliser recommendations'!$A$4:$AA$63,27,FALSE),
IF(OR(AND('Soil results'!H$7="ammonium nitrate (ADAS)",'Soil results'!H68&lt;121),AND('Soil results'!H$7="modified Morgan (SAC)",'Soil results'!H68&lt;76)),VLOOKUP(Calc!BI63,'Fertiliser recommendations'!$A$4:$Z$63,26,FALSE)+VLOOKUP(Calc!BI63,'Fertiliser recommendations'!$A$4:$AB$63,28,FALSE),
IF(OR(AND('Soil results'!H$7="ammonium nitrate (ADAS)",'Soil results'!H68&lt;241),AND('Soil results'!H$7="modified Morgan (SAC)",'Soil results'!H68&lt;201)),VLOOKUP(Calc!BI63,'Fertiliser recommendations'!$A$4:$Z$63,26,FALSE)+VLOOKUP(Calc!BI63,'Fertiliser recommendations'!$A$4:$AC$63,29,FALSE),
IF(OR(AND('Soil results'!H$7="ammonium nitrate (ADAS)",'Soil results'!H68&lt;=400),AND('Soil results'!H$7="modified Morgan (SAC)",'Soil results'!H68&lt;=400)),VLOOKUP(Calc!BI63,'Fertiliser recommendations'!$A$4:$Z$63,26,FALSE)+VLOOKUP(Calc!BI63,'Fertiliser recommendations'!$A$4:$AD$63,30,FALSE),
"??"))))))))</f>
        <v/>
      </c>
      <c r="Q65" s="91" t="str">
        <f t="shared" ca="1" si="2"/>
        <v/>
      </c>
      <c r="R65" s="9" t="str">
        <f ca="1">IF(B65="","",
IF(OR(O65="data missing",P65="data missing"),"data missing",
IF(Calc!BF63=0,"n/a",
IF(P65=0, "no requirement",
IF(O65&lt;0.1*P65,"no benefit",
IF(O65&lt;0.3*P65,"limited benefit",
IF(O65&gt;1.25*P65,"excessive",
"benefit")))))))</f>
        <v/>
      </c>
      <c r="T65" s="91" t="str">
        <f ca="1">IF(B65="","",
IF(AND('Field information 2'!$O$5="", 'Field information 2'!$Q$5=""),
   IF('Waste results'!$S$21&lt;&gt;"data missing", Calc!BC63*'Waste results'!$S$21, "data missing"),
IF('Field information 2'!$Q$5="",
   IF(Calc!BD63=0,
     IF('Waste results'!$S$21&lt;&gt;"data missing", Calc!BC63*'Waste results'!$S$21, "data missing"),
   IF(Calc!BC63=0,
     IF('Waste results'!$S$57&lt;&gt;"data missing", Calc!BD63*'Waste results'!$S$57, "data missing"),
   IF(OR('Waste results'!$S$21&lt;&gt;"data missing", 'Waste results'!$S$57&lt;&gt;"data missing"), Calc!BC63*'Waste results'!$S$21+ Calc!BD63*'Waste results'!$S$57, "data missing"))),
IF(AND('Field information 2'!$M$5&lt;&gt;"", 'Field information 2'!$O$5&lt;&gt;"", 'Field information 2'!$Q$5&lt;&gt;""),
   IF(AND(Calc!BD63=0,Calc!BE63=0),
     IF('Waste results'!$S$21&lt;&gt;"data missing", Calc!BC63*'Waste results'!$S$21, "data missing"),
   IF(AND(Calc!BC63=0,Calc!BE63=0),
     IF('Waste results'!$S$57&lt;&gt;"data missing", Calc!BD63*'Waste results'!$S$57, "data missing"),
   IF(AND(Calc!BC63=0,Calc!BD63=0),
     IF('Waste results'!$S$93&lt;&gt;"data missing", Calc!BE63*'Waste results'!$S$93, "data missing"),
   IF(Calc!BE63=0,
     IF(OR('Waste results'!$S$21&lt;&gt;"data missing", 'Waste results'!$S$57&lt;&gt;"data missing"), Calc!BC63*'Waste results'!$S$21+ Calc!BD63*'Waste results'!$S$57, "data missing"),
   IF(Calc!BD63=0,
     IF(OR('Waste results'!$S$21&lt;&gt;"data missing", 'Waste results'!$S$93&lt;&gt;"data missing"), Calc!BC63*'Waste results'!$S$21+ Calc!BE63*'Waste results'!$S$93, "data missing"),
   IF(Calc!BC63=0,
     IF(OR('Waste results'!$S$57&lt;&gt;"data missing", 'Waste results'!$S$93&lt;&gt;"data missing"), Calc!BD63*'Waste results'!$S$57+Calc!BE63*'Waste results'!$S$93, "data missing"),
   IF(OR('Waste results'!$S$21&lt;&gt;"data missing", 'Waste results'!$S$57&lt;&gt;"data missing", 'Waste results'!$S$93&lt;&gt;"data missing"), Calc!BC63*'Waste results'!$S$21+Calc!BD63*'Waste results'!$S$57+ Calc!BE63*'Waste results'!$S$93, "data missing")))))))))))</f>
        <v/>
      </c>
      <c r="U65" s="7" t="str">
        <f ca="1">IF(B65="","",
IF(OR(ISBLANK('Soil results'!I$7),ISBLANK('Soil results'!I68)),"data missing",
IF(OR(AND('Soil results'!I$7="ammonium nitrate (ADAS)",'Soil results'!I68&gt;51),AND('Soil results'!I$7="modified Morgan (SAC)",'Soil results'!I68&gt;61)),0,
IF(OR(AND('Soil results'!I$7="ammonium nitrate (ADAS)",'Soil results'!I68&lt;25),AND('Soil results'!I$7="modified Morgan (SAC)",'Soil results'!I68&lt;19)),VLOOKUP(Calc!BI63,'Fertiliser recommendations'!$A$4:$AH$63,34,FALSE),
IF(OR(AND('Soil results'!I$7="ammonium nitrate (ADAS)",'Soil results'!I68&lt;=51),AND('Soil results'!I$7="modified Morgan (SAC)",'Soil results'!I68&lt;=61)),VLOOKUP(Calc!BI63,'Fertiliser recommendations'!$A$4:$AI$63,35,FALSE),
"")))))</f>
        <v/>
      </c>
      <c r="V65" s="91" t="str">
        <f t="shared" ca="1" si="3"/>
        <v/>
      </c>
      <c r="W65" s="9" t="str">
        <f ca="1">IF(B65="","",
IF(OR(T65="data missing",U65="data missing"),"data missing",
IF(Calc!BF63=0,"n/a",
IF(U65=0,"no requirement",
IF(T65&lt;0.1*U65,"no benefit",
IF(T65&lt;0.3*U65,"limited benefit",
IF(OR(T65&gt;1.5*U65,AND(Calc!BJ63="g",T65&gt;100)),"excessive",
"benefit")))))))</f>
        <v/>
      </c>
      <c r="Y65" s="91" t="str">
        <f ca="1">IF(B65="","",
IF(AND('Field information 2'!$O$5="", 'Field information 2'!$Q$5=""),
   IF('Waste results'!$P$23&lt;&gt;"", Calc!BC63*'Waste results'!$P$23, "no data"),
IF('Field information 2'!$Q$5="",
   IF(Calc!BD63=0,
     IF('Waste results'!$P$23&lt;&gt;"", Calc!BC63*'Waste results'!$P$23, "no data"),
   IF(Calc!BC63=0,
     IF('Waste results'!$P$59&lt;&gt;"", Calc!BD63*'Waste results'!$P$59, "no data"),
   IF(OR('Waste results'!$P$23&lt;&gt;"", 'Waste results'!$P$59&lt;&gt;""), Calc!BC63*'Waste results'!$P$23+ Calc!BD63*'Waste results'!$P$59, "no data"))),
IF(AND('Field information 2'!$M$5&lt;&gt;"", 'Field information 2'!$O$5&lt;&gt;"", 'Field information 2'!$Q$5&lt;&gt;""),
   IF(AND(Calc!BD63=0,Calc!BE63=0),
     IF('Waste results'!$P$23&lt;&gt;"", Calc!BC63*'Waste results'!$P$23, "no data"),
   IF(AND(Calc!BC63=0,Calc!BE63=0),
     IF('Waste results'!$P$59&lt;&gt;"", Calc!BD63*'Waste results'!$P$59, "no data"),
   IF(AND(Calc!BC63=0,Calc!BD63=0),
     IF('Waste results'!$P$95&lt;&gt;"", Calc!BE63*'Waste results'!$P$95, "no data"),
   IF(Calc!BE63=0,
     IF(OR('Waste results'!$P$23&lt;&gt;"", 'Waste results'!$P$59&lt;&gt;""), Calc!BC63*'Waste results'!$P$23+ Calc!BD63*'Waste results'!$P$59, "no data"),
   IF(Calc!BD63=0,
     IF(OR('Waste results'!$P$23&lt;&gt;"", 'Waste results'!$P$95&lt;&gt;""), Calc!BC63*'Waste results'!$P$23+ Calc!BE63*'Waste results'!$P$95, "no data"),
   IF(Calc!BC63=0,
     IF(OR('Waste results'!$P$59&lt;&gt;"", 'Waste results'!$P$95&lt;&gt;""), Calc!BD63*'Waste results'!$P$59+Calc!BE63*'Waste results'!$P$95, "no data"),
   IF(OR('Waste results'!$P$23&lt;&gt;"", 'Waste results'!$P$59&lt;&gt;"", 'Waste results'!$P$95&lt;&gt;""), Calc!BC63*'Waste results'!$P$23+Calc!BD63*'Waste results'!$P$59+ Calc!BE63*'Waste results'!$P$95, "no data")))))))))))</f>
        <v/>
      </c>
      <c r="Z65" s="7" t="str">
        <f ca="1">IF(OR(ISBLANK('Soil results'!I$7),ISBLANK('Soil results'!I68),'Soil results'!B68=""),"",
VLOOKUP(Calc!BI63,'Fertiliser recommendations'!$A$4:$AM$63,39,FALSE))</f>
        <v/>
      </c>
      <c r="AA65" s="91" t="str">
        <f t="shared" ca="1" si="4"/>
        <v/>
      </c>
      <c r="AB65" s="9" t="str">
        <f t="shared" ca="1" si="5"/>
        <v/>
      </c>
      <c r="AD65" s="48" t="str">
        <f>IF(ISBLANK('Soil results'!F68),"",'Soil results'!F68)</f>
        <v/>
      </c>
      <c r="AE65" s="49" t="str">
        <f ca="1">IF(B65="","",
IF(AND(Calc!BJ63="g", VLOOKUP(LEFT($B65,LEN($B65)-2),'Field information 2'!$B$12:$P$111,9,FALSE)&lt;&gt;"yes"),
 IF(Calc!BG63="10-25% OM", 5.9, IF(Calc!BG63="&gt;25% OM", 5.5, 6.2)),
IF(OR(Calc!BJ63="a", VLOOKUP(LEFT($B65,LEN($B65)-2),'Field information 2'!$B$12:$P$111,9,FALSE)="yes"),
 IF(Calc!BG63="10-25% OM", 6.4, IF(Calc!BG63="&gt;25% OM", 6, 6.7)), "")))</f>
        <v/>
      </c>
      <c r="AF65" s="91" t="str">
        <f ca="1">IF(B65="","",
IF('Waste results'!$Q$33="","no (significant) liming properties",
IF('Waste results'!Q$33&gt;100,"no (significant) liming properties",
IF(AD65="","",
IF(AD65&gt;=AE65,0,ROUNDDOWN((AE65-AD65)*Calc!BK63*'Waste results'!$Q$33+0.2,0))))))</f>
        <v/>
      </c>
      <c r="AG65" s="9" t="str">
        <f ca="1">IF(B65="","",
IF(T65=0,"n/a",
IF(AD65="","data missing",
IF(AND(AD65&lt;5,AF65="no (significant) liming properties"),"no waste application - pH too low",
IF(AND(AD65&gt;5.1,AF65="no (significant) liming properties",Calc!BH63&gt;25, LEFT(Calc!BI63,4)="graz"),"ok",
IF(AND(AD65&lt;=5.2,AF65="no (significant) liming properties"),"liming highly recommended",
IF(AF65=0,"no waste application - liming not required",
IF(AF65&lt;Calc!BC63,"application rate too high - exceeds liming requirement",
"ok"))))))))</f>
        <v/>
      </c>
      <c r="AI65" s="91" t="str">
        <f ca="1">IF(B65="","",
IF(AND('Field information 2'!$O$5="", 'Field information 2'!$Q$5=""),
   IF('Waste results'!$P$10&lt;&gt;"data missing", Calc!BC63*'Waste results'!$P$10, "data missing"),
IF('Field information 2'!$Q$5="",
   IF(Calc!BD63=0,
     IF('Waste results'!$P$10&lt;&gt;"data missing", Calc!BC63*'Waste results'!$P$10, "data missing"),
   IF(Calc!BC63=0,
     IF('Waste results'!$P$45&lt;&gt;"data missing", Calc!BD63*'Waste results'!$P$45, "data missing"),
   IF(OR('Waste results'!$P$10&lt;&gt;"data missing", 'Waste results'!$P$45&lt;&gt;"data missing"), Calc!BC63*'Waste results'!$P$10+ Calc!BD63*'Waste results'!$P$45, "data missing"))),
IF(AND('Field information 2'!$M$5&lt;&gt;"", 'Field information 2'!$O$5&lt;&gt;"", 'Field information 2'!$Q$5&lt;&gt;""),
   IF(AND(Calc!BD63=0,Calc!BE63=0),
     IF('Waste results'!$P$10&lt;&gt;"data missing", Calc!BC63*'Waste results'!$P$10, "data missing"),
   IF(AND(Calc!BC63=0,Calc!BE63=0),
     IF('Waste results'!$P$45&lt;&gt;"data missing", Calc!BD63*'Waste results'!$P$45, "data missing"),
   IF(AND(Calc!BC63=0,Calc!BD63=0),
     IF('Waste results'!$P$82&lt;&gt;"data missing", Calc!BE63*'Waste results'!$P$82, "data missing"),
   IF(Calc!BE63=0,
     IF(OR('Waste results'!$P$10&lt;&gt;"data missing", 'Waste results'!$P$45&lt;&gt;"data missing"), Calc!BC63*'Waste results'!$P$10+ Calc!BD63*'Waste results'!$P$45, "data missing"),
   IF(Calc!BD63=0,
     IF(OR('Waste results'!$P$10&lt;&gt;"data missing", 'Waste results'!$P$82&lt;&gt;"data missing"), Calc!BC63*'Waste results'!$P$10+ Calc!BE63*'Waste results'!$P$82, "data missing"),
   IF(Calc!BC63=0,
     IF(OR('Waste results'!$P$45&lt;&gt;"data missing", 'Waste results'!$P$82&lt;&gt;"data missing"), Calc!BD63*'Waste results'!$P$45+Calc!BE63*'Waste results'!$P$82, "data missing"),
   IF(OR('Waste results'!$P$10&lt;&gt;"data missing", 'Waste results'!$P$45&lt;&gt;"data missing", 'Waste results'!$P$82&lt;&gt;"data missing"), Calc!BC63*'Waste results'!$P$10+Calc!BD63*'Waste results'!$P$45+ Calc!BE63*'Waste results'!$P$82, "data missing")))))))))))</f>
        <v/>
      </c>
      <c r="AJ65" s="237" t="str">
        <f ca="1">IF(B65="","",
IF(AI65="data missing","data missing",
IF(Calc!BF63=0,"n/a",
IF(AND(Calc!BH63&gt;=8,AI65&lt;500),"no benefit",
IF(OR(AND(Calc!BH63&lt;=4,AI65&gt;=500),AND(Calc!BH63&lt;8,AI65&gt;5000)),"benefit",
"limited benefit")))))</f>
        <v/>
      </c>
      <c r="AL65" s="238" t="str">
        <f ca="1">IF(B65="","",
IF(AND('Field information 2'!$O$5="", 'Field information 2'!$Q$5=""),
   IF('Waste results'!$S$25&lt;&gt;"data missing", Calc!BC63*'Waste results'!$S$25, "data missing"),
IF('Field information 2'!$Q$5="",
   IF(Calc!BD63=0,
     IF('Waste results'!$S$25&lt;&gt;"data missing", Calc!BC63*'Waste results'!$S$25, "data missing"),
   IF(Calc!BC63=0,
     IF('Waste results'!$S$61&lt;&gt;"data missing", Calc!BD63*'Waste results'!$S$61, "data missing"),
   IF(OR('Waste results'!$S$25&lt;&gt;"data missing", 'Waste results'!$S$61&lt;&gt;"data missing"), Calc!BC63*'Waste results'!$S$25+ Calc!BD63*'Waste results'!$S$61, "data missing"))),
IF(AND('Field information 2'!$M$5&lt;&gt;"", 'Field information 2'!$O$5&lt;&gt;"", 'Field information 2'!$Q$5&lt;&gt;""),
   IF(AND(Calc!BD63=0,Calc!BE63=0),
     IF('Waste results'!$S$25&lt;&gt;"data missing", Calc!BC63*'Waste results'!$S$25, "data missing"),
   IF(AND(Calc!BC63=0,Calc!BE63=0),
     IF('Waste results'!$S$61&lt;&gt;"data missing", Calc!BD63*'Waste results'!$S$61, "data missing"),
   IF(AND(Calc!BC63=0,Calc!BD63=0),
     IF('Waste results'!$S$97&lt;&gt;"data missing", Calc!BE63*'Waste results'!$S$97, "data missing"),
   IF(Calc!BE63=0,
     IF(OR('Waste results'!$S$25&lt;&gt;"data missing", 'Waste results'!$S$61&lt;&gt;"data missing"), Calc!BC63*'Waste results'!$S$25+ Calc!BD63*'Waste results'!$S$61, "data missing"),
   IF(Calc!BD63=0,
     IF(OR('Waste results'!$S$25&lt;&gt;"data missing", 'Waste results'!$S$97&lt;&gt;"data missing"), Calc!BC63*'Waste results'!$S$25+ Calc!BE63*'Waste results'!$S$97, "data missing"),
   IF(Calc!BC63=0,
     IF(OR('Waste results'!$S$61&lt;&gt;"data missing", 'Waste results'!$S$97&lt;&gt;"data missing"), Calc!BD63*'Waste results'!$S$61+Calc!BE63*'Waste results'!$S$97, "data missing"),
   IF(OR('Waste results'!$S$25&lt;&gt;"data missing", 'Waste results'!$S$61&lt;&gt;"data missing", 'Waste results'!$S$97&lt;&gt;"data missing"), Calc!BC63*'Waste results'!$S$25+Calc!BD63*'Waste results'!$S$61+ Calc!BE63*'Waste results'!$S$97, "data missing")))))))))))</f>
        <v/>
      </c>
      <c r="AM65" s="239" t="str">
        <f ca="1">IF($B65="","",
IF(ISBLANK('Soil results'!K68),"data missing",'Soil results'!K68))</f>
        <v/>
      </c>
      <c r="AN65" s="239" t="str">
        <f t="shared" ca="1" si="6"/>
        <v/>
      </c>
      <c r="AO65" s="9" t="str">
        <f t="shared" ca="1" si="7"/>
        <v/>
      </c>
      <c r="AQ65" s="240" t="str">
        <f ca="1">IF(B65="","",
IF(AND('Field information 2'!$O$5="", 'Field information 2'!$Q$5=""),
   IF('Waste results'!$S$26&lt;&gt;"data missing", Calc!BC63*'Waste results'!$S$26, "data missing"),
IF('Field information 2'!$Q$5="",
   IF(Calc!BD63=0,
     IF('Waste results'!$S$26&lt;&gt;"data missing", Calc!BC63*'Waste results'!$S$26, "data missing"),
   IF(Calc!BC63=0,
     IF('Waste results'!$S$62&lt;&gt;"data missing", Calc!BD63*'Waste results'!$S$62, "data missing"),
   IF(OR('Waste results'!$S$26&lt;&gt;"data missing", 'Waste results'!$S$62&lt;&gt;"data missing"), Calc!BC63*'Waste results'!$S$26+ Calc!BD63*'Waste results'!$S$62, "data missing"))),
IF(AND('Field information 2'!$M$5&lt;&gt;"", 'Field information 2'!$O$5&lt;&gt;"", 'Field information 2'!$Q$5&lt;&gt;""),
   IF(AND(Calc!BD63=0,Calc!BE63=0),
     IF('Waste results'!$S$26&lt;&gt;"data missing", Calc!BC63*'Waste results'!$S$26, "data missing"),
   IF(AND(Calc!BC63=0,Calc!BE63=0),
     IF('Waste results'!$S$62&lt;&gt;"data missing", Calc!BD63*'Waste results'!$S$62, "data missing"),
   IF(AND(Calc!BC63=0,Calc!BD63=0),
     IF('Waste results'!$S$98&lt;&gt;"data missing", Calc!BE63*'Waste results'!$S$98, "data missing"),
   IF(Calc!BE63=0,
     IF(OR('Waste results'!$S$26&lt;&gt;"data missing", 'Waste results'!$S$62&lt;&gt;"data missing"), Calc!BC63*'Waste results'!$S$26+ Calc!BD63*'Waste results'!$S$62, "data missing"),
   IF(Calc!BD63=0,
     IF(OR('Waste results'!$S$26&lt;&gt;"data missing", 'Waste results'!$S$98&lt;&gt;"data missing"), Calc!BC63*'Waste results'!$S$26+ Calc!BE63*'Waste results'!$S$98, "data missing"),
   IF(Calc!BC63=0,
     IF(OR('Waste results'!$S$62&lt;&gt;"data missing", 'Waste results'!$S$98&lt;&gt;"data missing"), Calc!BD63*'Waste results'!$S$62+Calc!BE63*'Waste results'!$S$98, "data missing"),
   IF(OR('Waste results'!$S$26&lt;&gt;"data missing", 'Waste results'!$S$62&lt;&gt;"data missing", 'Waste results'!$S$98&lt;&gt;"data missing"), Calc!BC63*'Waste results'!$S$26+Calc!BD63*'Waste results'!$S$62+ Calc!BE63*'Waste results'!$S$98, "data missing")))))))))))</f>
        <v/>
      </c>
      <c r="AR65" s="241" t="str">
        <f ca="1">IF($B65="","",
IF(ISBLANK('Soil results'!L68),"data missing",'Soil results'!L68))</f>
        <v/>
      </c>
      <c r="AS65" s="241" t="str">
        <f t="shared" ca="1" si="8"/>
        <v/>
      </c>
      <c r="AT65" s="66" t="str">
        <f t="shared" ca="1" si="9"/>
        <v/>
      </c>
      <c r="AV65" s="238" t="str">
        <f ca="1">IF(B65="","",
IF(AND('Field information 2'!$O$5="", 'Field information 2'!$Q$5=""),
   IF('Waste results'!$S$27&lt;&gt;"data missing", Calc!BC63*'Waste results'!$S$27, "data missing"),
IF('Field information 2'!$Q$5="",
   IF(Calc!BD63=0,
     IF('Waste results'!$S$27&lt;&gt;"data missing", Calc!BC63*'Waste results'!$S$27, "data missing"),
   IF(Calc!BC63=0,
     IF('Waste results'!$S$63&lt;&gt;"data missing", Calc!BD63*'Waste results'!$S$63, "data missing"),
   IF(OR('Waste results'!$S$27&lt;&gt;"data missing", 'Waste results'!$S$63&lt;&gt;"data missing"), Calc!BC63*'Waste results'!$S$27+ Calc!BD63*'Waste results'!$S$63, "data missing"))),
IF(AND('Field information 2'!$M$5&lt;&gt;"", 'Field information 2'!$O$5&lt;&gt;"", 'Field information 2'!$Q$5&lt;&gt;""),
   IF(AND(Calc!BD63=0,Calc!BE63=0),
     IF('Waste results'!$S$27&lt;&gt;"data missing", Calc!BC63*'Waste results'!$S$27, "data missing"),
   IF(AND(Calc!BC63=0,Calc!BE63=0),
     IF('Waste results'!$S$63&lt;&gt;"data missing", Calc!BD63*'Waste results'!$S$63, "data missing"),
   IF(AND(Calc!BC63=0,Calc!BD63=0),
     IF('Waste results'!$S$99&lt;&gt;"data missing", Calc!BE63*'Waste results'!$S$99, "data missing"),
   IF(Calc!BE63=0,
     IF(OR('Waste results'!$S$27&lt;&gt;"data missing", 'Waste results'!$S$63&lt;&gt;"data missing"), Calc!BC63*'Waste results'!$S$27+ Calc!BD63*'Waste results'!$S$63, "data missing"),
   IF(Calc!BD63=0,
     IF(OR('Waste results'!$S$27&lt;&gt;"data missing", 'Waste results'!$S$99&lt;&gt;"data missing"), Calc!BC63*'Waste results'!$S$27+ Calc!BE63*'Waste results'!$S$99, "data missing"),
   IF(Calc!BC63=0,
     IF(OR('Waste results'!$S$63&lt;&gt;"data missing", 'Waste results'!$S$99&lt;&gt;"data missing"), Calc!BD63*'Waste results'!$S$63+Calc!BE63*'Waste results'!$S$99, "data missing"),
   IF(OR('Waste results'!$S$27&lt;&gt;"data missing", 'Waste results'!$S$63&lt;&gt;"data missing", 'Waste results'!$S$99&lt;&gt;"data missing"), Calc!BC63*'Waste results'!$S$27+Calc!BD63*'Waste results'!$S$63+ Calc!BE63*'Waste results'!$S$99, "data missing")))))))))))</f>
        <v/>
      </c>
      <c r="AW65" s="239" t="str">
        <f ca="1">IF($B65="","",
IF(ISBLANK('Soil results'!M68),"data missing",'Soil results'!M68))</f>
        <v/>
      </c>
      <c r="AX65" s="239" t="str">
        <f t="shared" ca="1" si="10"/>
        <v/>
      </c>
      <c r="AY65" s="9" t="str">
        <f ca="1">IF(B65="","",
IF(AV65=0,"n/a",
IF(OR(AV65="data missing",AW65="data missing"),"data missing",
IF(AV65&gt;7.5,"application rate too high - permissible rate exceeds limit",
IF('Soil results'!$F68&lt;=5.5,
  IF(AW65&gt;80,"no application - soil conc. already above limit",
  IF(AX65&gt;80,"application rate too high - soil conc. will exceed limit",
  IF(AW65&gt;80*0.9,"soil conc. is at or above 90% of the limit",
  IF(10*AV65*1000/3000+AW65&gt;80,"soil limit likely to be exceeded in 10yrs",
  IF(50*AV65*1000/3000+AW65&gt;80,"soil limit likely to be exceeded in 50yrs","ok"))))),
IF('Soil results'!$F68&lt;=6,
  IF(AW65&gt;100,"no application - soil conc. already above limit",
  IF(AX65&gt;100,"application rate too high - soil conc. will exceed limit",
  IF(AW65&gt;100*0.9,"soil conc. is at or above 90% of the limit",
  IF(10*AV65*1000/3000+AW65&gt;100,"soil limit likely to be exceeded in 10yrs",
  IF(50*AV65*1000/3000+AW65&gt;100,"soil limit likely to be exceeded in 50yrs","ok"))))),
IF('Soil results'!$F68&lt;=7,
  IF(AW65&gt;135,"no application - soil conc. already above limit",
  IF(AX65&gt;135,"application rate too high - soil conc. will exceed limit",
  IF(AW65&gt;135*0.9,"soil conc. is at or above 90% of the limit",
  IF(10*AV65*1000/3000+AW65&gt;135,"soil limit likely to be exceeded in 10yrs",
  IF(50*AV65*1000/3000+AW65&gt;135,"soil limit likely to be exceeded in 50yrs","ok"))))),
IF('Soil results'!$F68&gt;7,
  IF(AW65&gt;200,"no application - soil conc. already above limit",
  IF(AX65&gt;200,"application too high - soil conc. will exceed limit",
  IF(AW65&gt;200*0.9,"soil conc. is at or above 90% of the limit",
  IF(10*AV65*1000/3000+AW65&gt;200,"soil limit likely to be exceeded in 10yrs",
  IF(50*AV65*1000/3000+AW65&gt;200,"soil limit likely to be exceeded in 50yrs","ok")))))
))))))))</f>
        <v/>
      </c>
      <c r="BA65" s="238" t="str">
        <f ca="1">IF(B65="","",
IF(AND('Field information 2'!$O$5="", 'Field information 2'!$Q$5=""),
   IF('Waste results'!$S$28&lt;&gt;"data missing", Calc!BC63*'Waste results'!$S$28, "data missing"),
IF('Field information 2'!$Q$5="",
   IF(Calc!BD63=0,
     IF('Waste results'!$S$28&lt;&gt;"data missing", Calc!BC63*'Waste results'!$S$28, "data missing"),
   IF(Calc!BC63=0,
     IF('Waste results'!$S$64&lt;&gt;"data missing", Calc!BD63*'Waste results'!$S$64, "data missing"),
   IF(OR('Waste results'!$S$28&lt;&gt;"data missing", 'Waste results'!$S$64&lt;&gt;"data missing"), Calc!BC63*'Waste results'!$S$28+ Calc!BD63*'Waste results'!$S$64, "data missing"))),
IF(AND('Field information 2'!$M$5&lt;&gt;"", 'Field information 2'!$O$5&lt;&gt;"", 'Field information 2'!$Q$5&lt;&gt;""),
   IF(AND(Calc!BD63=0,Calc!BE63=0),
     IF('Waste results'!$S$28&lt;&gt;"data missing", Calc!BC63*'Waste results'!$S$28, "data missing"),
   IF(AND(Calc!BC63=0,Calc!BE63=0),
     IF('Waste results'!$S$64&lt;&gt;"data missing", Calc!BD63*'Waste results'!$S$64, "data missing"),
   IF(AND(Calc!BC63=0,Calc!BD63=0),
     IF('Waste results'!$S$100&lt;&gt;"data missing", Calc!BE63*'Waste results'!$S$100, "data missing"),
   IF(Calc!BE63=0,
     IF(OR('Waste results'!$S$28&lt;&gt;"data missing", 'Waste results'!$S$64&lt;&gt;"data missing"), Calc!BC63*'Waste results'!$S$28+ Calc!BD63*'Waste results'!$S$64, "data missing"),
   IF(Calc!BD63=0,
     IF(OR('Waste results'!$S$28&lt;&gt;"data missing", 'Waste results'!$S$100&lt;&gt;"data missing"), Calc!BC63*'Waste results'!$S$28+ Calc!BE63*'Waste results'!$S$100, "data missing"),
   IF(Calc!BC63=0,
     IF(OR('Waste results'!$S$64&lt;&gt;"data missing", 'Waste results'!$S$100&lt;&gt;"data missing"), Calc!BD63*'Waste results'!$S$64+Calc!BE63*'Waste results'!$S$100, "data missing"),
   IF(OR('Waste results'!$S$28&lt;&gt;"data missing", 'Waste results'!$S$64&lt;&gt;"data missing", 'Waste results'!$S$100&lt;&gt;"data missing"), Calc!BC63*'Waste results'!$S$28+Calc!BD63*'Waste results'!$S$64+ Calc!BE63*'Waste results'!$S$100, "data missing")))))))))))</f>
        <v/>
      </c>
      <c r="BB65" s="239" t="str">
        <f ca="1">IF($B65="","",
IF(ISBLANK('Soil results'!N68),"data missing",'Soil results'!N68))</f>
        <v/>
      </c>
      <c r="BC65" s="239" t="str">
        <f t="shared" ca="1" si="11"/>
        <v/>
      </c>
      <c r="BD65" s="9" t="str">
        <f t="shared" ca="1" si="12"/>
        <v/>
      </c>
      <c r="BF65" s="238" t="str">
        <f ca="1">IF(B65="","",
IF(AND('Field information 2'!$O$5="", 'Field information 2'!$Q$5=""),
   IF('Waste results'!$S$29&lt;&gt;"data missing", Calc!BC63*'Waste results'!$S$29, "data missing"),
IF('Field information 2'!$Q$5="",
   IF(Calc!BD63=0,
     IF('Waste results'!$S$29&lt;&gt;"data missing", Calc!BC63*'Waste results'!$S$29, "data missing"),
   IF(Calc!BC63=0,
     IF('Waste results'!$S$65&lt;&gt;"data missing", Calc!BD63*'Waste results'!$S$65, "data missing"),
   IF(OR('Waste results'!$S$29&lt;&gt;"data missing", 'Waste results'!$S$65&lt;&gt;"data missing"), Calc!BC63*'Waste results'!$S$29+ Calc!BD63*'Waste results'!$S$65, "data missing"))),
IF(AND('Field information 2'!$M$5&lt;&gt;"", 'Field information 2'!$O$5&lt;&gt;"", 'Field information 2'!$Q$5&lt;&gt;""),
   IF(AND(Calc!BD63=0,Calc!BE63=0),
     IF('Waste results'!$S$29&lt;&gt;"data missing", Calc!BC63*'Waste results'!$S$29, "data missing"),
   IF(AND(Calc!BC63=0,Calc!BE63=0),
     IF('Waste results'!$S$65&lt;&gt;"data missing", Calc!BD63*'Waste results'!$S$65, "data missing"),
   IF(AND(Calc!BC63=0,Calc!BD63=0),
     IF('Waste results'!$S$101&lt;&gt;"data missing", Calc!BE63*'Waste results'!$S$101, "data missing"),
   IF(Calc!BE63=0,
     IF(OR('Waste results'!$S$29&lt;&gt;"data missing", 'Waste results'!$S$65&lt;&gt;"data missing"), Calc!BC63*'Waste results'!$S$29+ Calc!BD63*'Waste results'!$S$65, "data missing"),
   IF(Calc!BD63=0,
     IF(OR('Waste results'!$S$29&lt;&gt;"data missing", 'Waste results'!$S$101&lt;&gt;"data missing"), Calc!BC63*'Waste results'!$S$29+ Calc!BE63*'Waste results'!$S$101, "data missing"),
   IF(Calc!BC63=0,
     IF(OR('Waste results'!$S$65&lt;&gt;"data missing", 'Waste results'!$S$101&lt;&gt;"data missing"), Calc!BD63*'Waste results'!$S$65+Calc!BE63*'Waste results'!$S$101, "data missing"),
   IF(OR('Waste results'!$S$29&lt;&gt;"data missing", 'Waste results'!$S$65&lt;&gt;"data missing", 'Waste results'!$S$101&lt;&gt;"data missing"), Calc!BC63*'Waste results'!$S$29+Calc!BD63*'Waste results'!$S$65+ Calc!BE63*'Waste results'!$S$101, "data missing")))))))))))</f>
        <v/>
      </c>
      <c r="BG65" s="239" t="str">
        <f ca="1">IF($B65="","",
IF(ISBLANK('Soil results'!O68),"data missing",'Soil results'!O68))</f>
        <v/>
      </c>
      <c r="BH65" s="239" t="str">
        <f t="shared" ca="1" si="13"/>
        <v/>
      </c>
      <c r="BI65" s="9" t="str">
        <f ca="1">IF(B65="","",
IF(BF65=0,"n/a",
IF(OR(BF65="data missing",BG65="data missing"),"data missing",
IF(BF65&gt;3,"application rate too high - permissible rate exceeds limit",
IF('Soil results'!F68&lt;=5.5,
  IF(BG65&gt;50,"no application - soil conc. already above limit",
  IF(BH65&gt;50,"application rate too high - soil conc. will exceed limit",
  IF(BG65&gt;50*0.9,"soil conc. is at or above 90% of the limit",
  IF(10*BF65*1000/3000+BG65&gt;50,"soil limit likely to be exceeded in 10yrs",
  IF(50*BF65*1000/3000+BG65&gt;50,"soil limit likely to be exceeded in 50yrs","ok"))))),
IF('Soil results'!F68&lt;=6,
  IF(BG65&gt;60,"no application - soil conc. already above limit",
  IF(BH65&gt;60,"application rate too high - soil conc. will exceed limit",
  IF(BG65&gt;60*0.9,"soil conc. is at or above 90% of the limit",
  IF(10*BF65*1000/3000+BG65&gt;60,"soil limit likely to be exceeded in 10yrs",
  IF(50*BF65*1000/3000+BG65&gt;60,"soil limit likely to be exceeded in 50yrs","ok"))))),
IF('Soil results'!F68&lt;=7,
  IF(BG65&gt;75,"no application - soil conc. already above limit",
  IF(BH65&gt;75,"application rate too high - soil conc. will exceed limit",
  IF(BG65&gt;75*0.9,"soil conc. is at or above 90% of the limit",
  IF(10*BF65*1000/3000+BG65&gt;75,"soil limit likely to be exceeded in 10yrs",
  IF(50*BF65*1000/3000+BG65&gt;75,"soil limit likely to be exceeded in 50yrs","ok"))))),
IF('Soil results'!F68&gt;7,
  IF(BG65&gt;100,"no application - soil conc. already above limit",
  IF(BH65&gt;100,"application rate too high - soil conc. will exceed limit",
  IF(BG65&gt;100*0.9,"soil conc. is at or above 90% of the limit",
  IF(10*BF65*1000/3000+BG65&gt;100,"soil limit likely to be exceeded in 10yrs",
  IF(50*BF65*1000/3000+BG65&gt;100,"soil limit likely to beexceeded in 50yrs","ok")))))
))))))))</f>
        <v/>
      </c>
      <c r="BK65" s="240" t="str">
        <f ca="1">IF(B65="","",
IF(AND('Field information 2'!$O$5="", 'Field information 2'!$Q$5=""),
   IF('Waste results'!$S$30&lt;&gt;"data missing", Calc!BC63*'Waste results'!$S$30, "data missing"),
IF('Field information 2'!$Q$5="",
   IF(Calc!BD63=0,
     IF('Waste results'!$S$30&lt;&gt;"data missing", Calc!BC63*'Waste results'!$S$30, "data missing"),
   IF(Calc!BC63=0,
     IF('Waste results'!$S$66&lt;&gt;"data missing", Calc!BD63*'Waste results'!$S$66, "data missing"),
   IF(OR('Waste results'!$S$30&lt;&gt;"data missing", 'Waste results'!$S$66&lt;&gt;"data missing"), Calc!BC63*'Waste results'!$S$30+ Calc!BD63*'Waste results'!$S$66, "data missing"))),
IF(AND('Field information 2'!$M$5&lt;&gt;"", 'Field information 2'!$O$5&lt;&gt;"", 'Field information 2'!$Q$5&lt;&gt;""),
   IF(AND(Calc!BD63=0,Calc!BE63=0),
     IF('Waste results'!$S$30&lt;&gt;"data missing", Calc!BC63*'Waste results'!$S$30, "data missing"),
   IF(AND(Calc!BC63=0,Calc!BE63=0),
     IF('Waste results'!$S$66&lt;&gt;"data missing", Calc!BD63*'Waste results'!$S$66, "data missing"),
   IF(AND(Calc!BC63=0,Calc!BD63=0),
     IF('Waste results'!$S$102&lt;&gt;"data missing", Calc!BE63*'Waste results'!$S$102, "data missing"),
   IF(Calc!BE63=0,
     IF(OR('Waste results'!$S$30&lt;&gt;"data missing", 'Waste results'!$S$66&lt;&gt;"data missing"), Calc!BC63*'Waste results'!$S$30+ Calc!BD63*'Waste results'!$S$66, "data missing"),
   IF(Calc!BD63=0,
     IF(OR('Waste results'!$S$30&lt;&gt;"data missing", 'Waste results'!$S$102&lt;&gt;"data missing"), Calc!BC63*'Waste results'!$S$30+ Calc!BE63*'Waste results'!$S$102, "data missing"),
   IF(Calc!BC63=0,
     IF(OR('Waste results'!$S$66&lt;&gt;"data missing", 'Waste results'!$S$102&lt;&gt;"data missing"), Calc!BD63*'Waste results'!$S$66+Calc!BE63*'Waste results'!$S$102, "data missing"),
   IF(OR('Waste results'!$S$30&lt;&gt;"data missing", 'Waste results'!$S$66&lt;&gt;"data missing", 'Waste results'!$S$102&lt;&gt;"data missing"), Calc!BC63*'Waste results'!$S$30+Calc!BD63*'Waste results'!$S$66+ Calc!BE63*'Waste results'!$S$102, "data missing")))))))))))</f>
        <v/>
      </c>
      <c r="BL65" s="241" t="str">
        <f ca="1">IF($B65="","",
IF(ISBLANK('Soil results'!P68),"data missing",'Soil results'!P68))</f>
        <v/>
      </c>
      <c r="BM65" s="241" t="str">
        <f t="shared" ca="1" si="14"/>
        <v/>
      </c>
      <c r="BN65" s="66" t="str">
        <f t="shared" ca="1" si="15"/>
        <v/>
      </c>
      <c r="BP65" s="238" t="str">
        <f ca="1">IF(B65="","",
IF(AND('Field information 2'!$O$5="", 'Field information 2'!$Q$5=""),
   IF('Waste results'!$S$31&lt;&gt;"data missing", Calc!BC63*'Waste results'!$S$31, "data missing"),
IF('Field information 2'!$Q$5="",
   IF(Calc!BD63=0,
     IF('Waste results'!$S$31&lt;&gt;"data missing", Calc!BC63*'Waste results'!$S$31, "data missing"),
   IF(Calc!BC63=0,
     IF('Waste results'!$S$67&lt;&gt;"data missing", Calc!BD63*'Waste results'!$S$67, "data missing"),
   IF(OR('Waste results'!$S$31&lt;&gt;"data missing", 'Waste results'!$S$67&lt;&gt;"data missing"), Calc!BC63*'Waste results'!$S$31+ Calc!BD63*'Waste results'!$S$67, "data missing"))),
IF(AND('Field information 2'!$M$5&lt;&gt;"", 'Field information 2'!$O$5&lt;&gt;"", 'Field information 2'!$Q$5&lt;&gt;""),
   IF(AND(Calc!BD63=0,Calc!BE63=0),
     IF('Waste results'!$S$31&lt;&gt;"data missing", Calc!BC63*'Waste results'!$S$31, "data missing"),
   IF(AND(Calc!BC63=0,Calc!BE63=0),
     IF('Waste results'!$S$67&lt;&gt;"data missing", Calc!BD63*'Waste results'!$S$67, "data missing"),
   IF(AND(Calc!BC63=0,Calc!BD63=0),
     IF('Waste results'!$S$103&lt;&gt;"data missing", Calc!BE63*'Waste results'!$S$103, "data missing"),
   IF(Calc!BE63=0,
     IF(OR('Waste results'!$S$31&lt;&gt;"data missing", 'Waste results'!$S$67&lt;&gt;"data missing"), Calc!BC63*'Waste results'!$S$31+ Calc!BD63*'Waste results'!$S$67, "data missing"),
   IF(Calc!BD63=0,
     IF(OR('Waste results'!$S$31&lt;&gt;"data missing", 'Waste results'!$S$103&lt;&gt;"data missing"), Calc!BC63*'Waste results'!$S$31+ Calc!BE63*'Waste results'!$S$103, "data missing"),
   IF(Calc!BC63=0,
     IF(OR('Waste results'!$S$67&lt;&gt;"data missing", 'Waste results'!$S$103&lt;&gt;"data missing"), Calc!BD63*'Waste results'!$S$67+Calc!BE63*'Waste results'!$S$103, "data missing"),
   IF(OR('Waste results'!$S$31&lt;&gt;"data missing", 'Waste results'!$S$67&lt;&gt;"data missing", 'Waste results'!$S$103&lt;&gt;"data missing"), Calc!BC63*'Waste results'!$S$31+Calc!BD63*'Waste results'!$S$67+ Calc!BE63*'Waste results'!$S$103, "data missing")))))))))))</f>
        <v/>
      </c>
      <c r="BQ65" s="239" t="str">
        <f ca="1">IF($B65="","",
IF(ISBLANK('Soil results'!Q68),"data missing",'Soil results'!Q68))</f>
        <v/>
      </c>
      <c r="BR65" s="239" t="str">
        <f t="shared" ca="1" si="16"/>
        <v/>
      </c>
      <c r="BS65" s="9" t="str">
        <f ca="1">IF(B65="","",
IF(BP65=0,"n/a",
IF(OR(BP65="data missing",BQ65=""),"data missing",
IF(BP65&gt;15,"application rate too high - permissible rate exceeds limit",
IF('Soil results'!F68&lt;=5.5,
  IF(BQ65&gt;200,"no application - soil conc. already above limit",
  IF(BR65&gt;200,"application rate too high - soil conc. will exceed limit",
  IF(BQ65&gt;200*0.9,"soil conc. is at or above 90% of the limit",
  IF(10*BP65*1000/3000+BQ65&gt;200,"soil limit likely to be exceeded in 10yrs",
  IF(50*BP65*1000/3000+BQ65&gt;200,"soil limit likely to be exceeded in 50yrs","ok"))))),
IF('Soil results'!F68&lt;=6,
  IF(BQ65&gt;250,"no application - soil conc. already above limit",
  IF(BR65&gt;250,"application rate too high - soil conc. will exceed limit",
  IF(BQ65&gt;250*0.9,"soil conc. is at or above 90% of the limit",
  IF(10*BP65*1000/3000+BQ65&gt;250,"soil limit likely to be exceeded in 10yrs",
  IF(50*BP65*1000/3000+BQ65&gt;250,"soil limit likely to be exceeded in 50yrs","ok"))))),
IF('Soil results'!F68&lt;=7,
  IF(BQ65&gt;300,"no application - soil conc. already above limit",
  IF(BR65&gt;300,"application rate too high - soil conc. will exceed limit",
  IF(BQ65&gt;300*0.9,"soil conc. is at or above 90% of the limit",
  IF(10*BP65*1000/3000+BQ65&gt;300,"soil limit likey to be exceeded in 10yrs",
  IF(50*BP65*1000/3000+BQ65&gt;300,"soil limit likely to be exceeded in 50yrs","ok"))))),
IF('Soil results'!F68&gt;7,
  IF(BQ65&gt;450,"no application - soil conc. already above limit",
  IF(BR65&gt;450,"application rate too high - soil conc. will exceed limit",
  IF(AW65&gt;450*0.9,"soil conc. is at or above 90% of the limit",
  IF(10*BP65*1000/3000+BQ65&gt;450,"soil limit likely to be exceeded in 10yrs",
  IF(50*BP65*1000/3000+BQ65&gt;450,"soil limit likely to be exceeded in 50yrs","ok")))))
))))))))</f>
        <v/>
      </c>
    </row>
    <row r="66" spans="2:71" s="9" customFormat="1" ht="15" x14ac:dyDescent="0.25">
      <c r="B66" s="236" t="str">
        <f ca="1">'Soil results'!B69</f>
        <v/>
      </c>
      <c r="C66" s="91" t="str">
        <f ca="1">IF(B66="","",
IF(AND('Field information 2'!$O$5="", 'Field information 2'!$Q$5=""),
   IF('Waste results'!$S$12&lt;&gt;"data missing", Calc!BC64*'Waste results'!$S$12, "data missing"),
IF('Field information 2'!$Q$5="",
   IF(Calc!BD64=0,
     IF('Waste results'!$S$12&lt;&gt;"data missing", Calc!BC64*'Waste results'!$S$12, "data missing"),
   IF(Calc!BC64=0,
     IF('Waste results'!$S$48&lt;&gt;"data missing", Calc!BD64*'Waste results'!$S$48, "data missing"),
   IF(OR('Waste results'!$S$12&lt;&gt;"data missing", 'Waste results'!$S$48&lt;&gt;"data missing"), Calc!BC64*'Waste results'!$S$12+ Calc!BD64*'Waste results'!$S$48, "data missing"))),
IF(AND('Field information 2'!$M$5&lt;&gt;"", 'Field information 2'!$O$5&lt;&gt;"", 'Field information 2'!$Q$5&lt;&gt;""),
   IF(AND(Calc!BD64=0,Calc!BE64=0),
     IF('Waste results'!$S$12&lt;&gt;"data missing", Calc!BC64*'Waste results'!$S$12, "data missing"),
   IF(AND(Calc!BC64=0,Calc!BE64=0),
     IF('Waste results'!$S$48&lt;&gt;"data missing", Calc!BD64*'Waste results'!$S$48, "data missing"),
   IF(AND(Calc!BC64=0,Calc!BD64=0),
     IF('Waste results'!$S$84&lt;&gt;"data missing", Calc!BE64*'Waste results'!$S$84, "data missing"),
   IF(Calc!BE64=0,
     IF(OR('Waste results'!$S$12&lt;&gt;"data missing", 'Waste results'!$S$48&lt;&gt;"data missing"), Calc!BC64*'Waste results'!$S$12+ Calc!BD64*'Waste results'!$S$48, "data missing"),
   IF(Calc!BD64=0,
     IF(OR('Waste results'!$S$12&lt;&gt;"data missing", 'Waste results'!$S$84&lt;&gt;"data missing"), Calc!BC64*'Waste results'!$S$12+ Calc!BE64*'Waste results'!$S$84, "data missing"),
   IF(Calc!BC64=0,
     IF(OR('Waste results'!$S$48&lt;&gt;"data missing", 'Waste results'!$S$84&lt;&gt;"data missing"), Calc!BD64*'Waste results'!$S$48+Calc!BE64*'Waste results'!$S$84, "data missing"),
   IF(OR('Waste results'!$S$12&lt;&gt;"data missing", 'Waste results'!$S$48&lt;&gt;"data missing", 'Waste results'!$S$84&lt;&gt;"data missing"), Calc!BC64*'Waste results'!$S$12+Calc!BD64*'Waste results'!$S$48+ Calc!BE64*'Waste results'!$S$84, "data missing")))))))))))</f>
        <v/>
      </c>
      <c r="D66" s="161" t="str">
        <f ca="1">IF(B66="","",
IF(Calc!BG64="","soil texture missing",
IF(OR(Calc!BG64="SL; SZL; ZL",Calc!BG64="SCL; CL; ZCL; SC; ZC; C"),VLOOKUP(Calc!BI64,'Fertiliser recommendations'!$A$4:$C$63,3,FALSE),
IF(Calc!BG64="S; LS",VLOOKUP(Calc!BI64,'Fertiliser recommendations'!$A$4:$C$63,3,FALSE)+VLOOKUP(Calc!BI64,'Fertiliser recommendations'!$A$4:$D$63,4,FALSE),
IF(Calc!BG64="10-25% OM",VLOOKUP(Calc!BI64,'Fertiliser recommendations'!$A$4:$C$63,3,FALSE)+VLOOKUP(Calc!BI64,'Fertiliser recommendations'!$A$4:$E$63,5,FALSE),
IF(Calc!BG64="&gt;25% OM",VLOOKUP(Calc!BI64,'Fertiliser recommendations'!$A$4:$C$63,3,FALSE)+VLOOKUP(Calc!BI64,'Fertiliser recommendations'!$A$4:$F$63,6,FALSE),
""))))))</f>
        <v/>
      </c>
      <c r="E66" s="91" t="str">
        <f t="shared" ca="1" si="0"/>
        <v/>
      </c>
      <c r="F66" s="9" t="str">
        <f ca="1">IF(B66="","",
IF(OR(C66="data missing",D66="soil texture missing"),"data missing",
IF(Calc!BF64=0,"n/a",
IF(C66&lt;0.1*D66,"no benefit",
IF(C66&lt;0.3*D66,"limited benefit",
IF(C66&gt;250,"exceeds limit",
IF(OR(AND(D66=0,C66&gt;75),C66&gt;1.25*D66),"excessive",
IF(D66=0, "no requirement",
"benefit"))))))))</f>
        <v/>
      </c>
      <c r="H66" s="91" t="str">
        <f ca="1">IF(B66="","",
IF(AND('Field information 2'!$O$5="", 'Field information 2'!$Q$5=""),
   IF('Waste results'!$S$17&lt;&gt;"data missing", Calc!BC64*'Waste results'!$S$17, "data missing"),
IF('Field information 2'!$Q$5="",
   IF(Calc!BD64=0,
     IF('Waste results'!$S$17&lt;&gt;"data missing", Calc!BC64*'Waste results'!$S$17, "data missing"),
   IF(Calc!BC64=0,
     IF('Waste results'!$S$53&lt;&gt;"data missing", Calc!BD64*'Waste results'!$S$53, "data missing"),
   IF(OR('Waste results'!$S$17&lt;&gt;"data missing", 'Waste results'!$S$53&lt;&gt;"data missing"), Calc!BC64*'Waste results'!$S$17+ Calc!BD64*'Waste results'!$S$53, "data missing"))),
IF(AND('Field information 2'!$M$5&lt;&gt;"", 'Field information 2'!$O$5&lt;&gt;"", 'Field information 2'!$Q$5&lt;&gt;""),
   IF(AND(Calc!BD64=0,Calc!BE64=0),
     IF('Waste results'!$S$17&lt;&gt;"data missing", Calc!BC64*'Waste results'!$S$17, "data missing"),
   IF(AND(Calc!BC64=0,Calc!BE64=0),
     IF('Waste results'!$S$53&lt;&gt;"data missing", Calc!BD64*'Waste results'!$S$53, "data missing"),
   IF(AND(Calc!BC64=0,Calc!BD64=0),
     IF('Waste results'!$S$89&lt;&gt;"data missing", Calc!BE64*'Waste results'!$S$89, "data missing"),
   IF(Calc!BE64=0,
     IF(OR('Waste results'!$S$17&lt;&gt;"data missing", 'Waste results'!$S$53&lt;&gt;"data missing"), Calc!BC64*'Waste results'!$S$17+ Calc!BD64*'Waste results'!$S$53, "data missing"),
   IF(Calc!BD64=0,
     IF(OR('Waste results'!$S$17&lt;&gt;"data missing", 'Waste results'!$S$89&lt;&gt;"data missing"), Calc!BC64*'Waste results'!$S$17+ Calc!BE64*'Waste results'!$S$89, "data missing"),
   IF(Calc!BC64=0,
     IF(OR('Waste results'!$S$53&lt;&gt;"data missing", 'Waste results'!$S$89&lt;&gt;"data missing"), Calc!BD64*'Waste results'!$S$53+Calc!BE64*'Waste results'!$S$89, "data missing"),
   IF(OR('Waste results'!$S$17&lt;&gt;"data missing", 'Waste results'!$S$53&lt;&gt;"data missing", 'Waste results'!$S$89&lt;&gt;"data missing"), Calc!BC64*'Waste results'!$S$17+Calc!BD64*'Waste results'!$S$53+ Calc!BE64*'Waste results'!$S$89, "data missing")))))))))))</f>
        <v/>
      </c>
      <c r="I66" s="195" t="str">
        <f ca="1">IF(B66="","",
IF(OR(ISBLANK('Soil results'!G69), ISBLANK('Soil results'!G$7)),"data missing",
IF(OR(AND('Soil results'!G$7="Olsen (ADAS)",'Soil results'!G69&lt;16),AND('Soil results'!G$7="modified Morgan (SAC)",'Soil results'!G69&lt;4.5)),50,100)))</f>
        <v/>
      </c>
      <c r="J66" s="49" t="str">
        <f ca="1">IF(B66="","",
IF(OR(ISBLANK('Soil results'!G$7),ISBLANK('Soil results'!G69)),"data missing",
IF(OR(AND('Soil results'!G$7="Olsen (ADAS)",'Soil results'!G69&gt;45),AND('Soil results'!G$7="modified Morgan (SAC)",'Soil results'!G69&gt;30)),0,
IF(OR(AND('Soil results'!G$7="Olsen (ADAS)",'Soil results'!G69&gt;=16,'Soil results'!G69&lt;=20),AND('Soil results'!G$7="modified Morgan (SAC)",'Soil results'!G69&gt;=4.5,'Soil results'!G69&lt;=9.4)),VLOOKUP(Calc!BI64,'Fertiliser recommendations'!$A$4:$I$63,9,FALSE),
IF(OR(AND('Soil results'!G$7="Olsen (ADAS)",'Soil results'!G69&lt;10),AND('Soil results'!G$7="modified Morgan (SAC)",'Soil results'!G69&lt;1.8)),VLOOKUP(Calc!BI64,'Fertiliser recommendations'!$A$4:$I$63,9,FALSE)+VLOOKUP(Calc!BI64,'Fertiliser recommendations'!$A$4:$J$63,10,FALSE),
IF(OR(AND('Soil results'!G$7="Olsen (ADAS)",'Soil results'!G69&lt;16),AND('Soil results'!G$7="modified Morgan (SAC)",'Soil results'!G69&lt;4.5)),VLOOKUP(Calc!BI64,'Fertiliser recommendations'!$A$4:$I$63,9,FALSE)+VLOOKUP(Calc!BI64,'Fertiliser recommendations'!$A$4:$K$63,11,FALSE),
IF(OR(AND('Soil results'!G$7="Olsen (ADAS)",'Soil results'!G69&lt;26),AND('Soil results'!G$7="modified Morgan (SAC)",'Soil results'!G69&lt;13.5)),VLOOKUP(Calc!BI64,'Fertiliser recommendations'!$A$4:$I$63,9,FALSE)+VLOOKUP(Calc!BI64,'Fertiliser recommendations'!$A$4:$L$63,12,FALSE),
IF(OR(AND('Soil results'!G$7="Olsen (ADAS)",'Soil results'!G69&lt;=45),AND('Soil results'!G$7="modified Morgan (SAC)",'Soil results'!G69&lt;=30)),VLOOKUP(Calc!BI64,'Fertiliser recommendations'!$A$4:$I$63,9,FALSE)+VLOOKUP(Calc!BI64,'Fertiliser recommendations'!$A$4:$M$63,13,FALSE),
""))))))))</f>
        <v/>
      </c>
      <c r="K66" s="161" t="str">
        <f t="shared" ca="1" si="1"/>
        <v/>
      </c>
      <c r="L66" s="47" t="str">
        <f ca="1">IF(OR(ISBLANK('Soil results'!G$7),ISBLANK('Soil results'!G69),B66="", H66="data missing"),"",
IF('Soil results'!G$7="Olsen (ADAS)",
IF(((H66*Calc!BM64/2.291-(VLOOKUP(Calc!BI64,'Fertiliser recommendations'!$A$4:$I$63,9,FALSE))/2.291)*10/(400/2.291)+'Soil results'!G69)&lt;10,"0 (VL)",
IF(((H66*Calc!BM64/2.291-(VLOOKUP(Calc!BI64,'Fertiliser recommendations'!$A$4:$I$63,9,FALSE))/2.291)*10/(400/2.291)+'Soil results'!G69)&lt;16,"1 (L)",
IF(((H66*Calc!BM64/2.291-(VLOOKUP(Calc!BI64,'Fertiliser recommendations'!$A$4:$I$63,9,FALSE))/2.291)*10/(400/2.291)+'Soil results'!G69)&lt;21,"2 (M-)",
IF(((H66*Calc!BM64/2.291-(VLOOKUP(Calc!BI64,'Fertiliser recommendations'!$A$4:$I$63,9,FALSE))/2.291)*10/(400/2.291)+'Soil results'!G69)&lt;26,"2 (M+)",
IF(((H66*Calc!BM64/2.291-(VLOOKUP(Calc!BI64,'Fertiliser recommendations'!$A$4:$I$63,9,FALSE))/2.291)*10/(400/2.291)+'Soil results'!G69)&lt;45,"3 (H)","&gt;3 (VH)"))))),
IF('Soil results'!G$7="modified Morgan (SAC)",
IF('Soil results'!G69&gt;=6,
IF(((H66*Calc!BM64/2.291-(VLOOKUP(Calc!BI64,'Fertiliser recommendations'!$A$4:$I$63,9,FALSE))/2.291)*5/(147/2.291)+'Soil results'!G69)&lt;9.5,"2 (M-)",
IF(((H66*Calc!BM64/2.291-(VLOOKUP(Calc!BI64,'Fertiliser recommendations'!$A$4:$I$63,9,FALSE))/2.291)*5/(147/2.291)+'Soil results'!G69)&lt;13.5,"2 (M+)",
IF(((H66*Calc!BM64/2.291-(VLOOKUP(Calc!BI64,'Fertiliser recommendations'!$A$4:$I$63,9,FALSE))/2.291)*5/(147/2.291)+'Soil results'!G69)&lt;30,"3 (H)","4 (VH)"))),
IF(((H66*Calc!BM64/2.291-(VLOOKUP(Calc!BI64,'Fertiliser recommendations'!$A$4:$I$63,9,FALSE))/2.291)*5/(346/2.291)+'Soil results'!G69)&lt;1.8,"0 (VL)",
IF(((H66*Calc!BM64/2.291-(VLOOKUP(Calc!BI64,'Fertiliser recommendations'!$A$4:$I$63,9,FALSE))/2.291)*5/(147/2.291)+'Soil results'!G69)&lt;4.5,"1 (L)","2 (M-)"))))))</f>
        <v/>
      </c>
      <c r="M66" s="9" t="str">
        <f ca="1">IF(B66="","",
IF(OR(H66="data missing",I66="data missing",J66="data missing"),"data missing",
IF(Calc!BF64=0,"n/a",
IF(OR(AND('Soil results'!G$7="Olsen (ADAS)",'Soil results'!G69&gt;45),AND('Soil results'!G$7="modified Morgan (SAC)",'Soil results'!G69&gt;30)),
IF(H66&gt;2,"too high, not acceptable","no requirement"),IF(OR(AND('Soil results'!G$7="Olsen (ADAS)",'Soil results'!G69&gt;25),AND('Soil results'!G$7="modified Morgan (SAC)",'Soil results'!G69&gt;13.4)),
IF(H66*(I66/100)&lt;0.1*J66,"no benefit",
IF(H66*(I66/100)&lt;0.3*J66,"limited benefit",
IF(H66*(I66/100)&lt;1.1*J66,"benefit",
IF(H66*(I66/100)&lt;0.7*VLOOKUP(Calc!BI64,'Fertiliser recommendations'!$A$4:$I$63,9,FALSE),"excessive","too high, not acceptable")))),
IF(OR(AND('Soil results'!G$7="Olsen (ADAS)",'Soil results'!G69&gt;20),AND('Soil results'!G$7="modified Morgan (SAC)",'Soil results'!G69&gt;9.4)),
IF(H66*Calc!BM64*(I66/100)&lt;0.1*J66,"no benefit",
IF(H66*Calc!BM64*(I66/100)&lt;0.3*J66,"limited benefit",
IF(H66*Calc!BM64*(I66/100)&lt;1.1*J66,"benefit",
IF(L66="3 (H)","too high, not acceptable","excessive")))),
IF(OR(AND('Soil results'!G$7="Olsen (ADAS)",'Soil results'!G69&gt;15),AND('Soil results'!G$7="modified Morgan (SAC)",'Soil results'!G69&gt;4.4)),
IF(H66*Calc!BM64*(I66/100)&lt;0.1*VLOOKUP(Calc!BI64,'Fertiliser recommendations'!$A$4:$I$63,9,FALSE),"no benefit",
IF(H66*Calc!BM64*(I66/100)&lt;0.3*VLOOKUP(Calc!BI64,'Fertiliser recommendations'!$A$4:$I$63,9,FALSE),"limited benefit",
IF(H66*Calc!BM64*(I66/100)&lt;1.1*VLOOKUP(Calc!BI64,'Fertiliser recommendations'!$A$4:$I$63,9,FALSE),"benefit",
IF(L66="3 (H)", "too high, not acceptable", "excessive")))),
IF(OR(AND('Soil results'!G$7="Olsen (ADAS)",'Soil results'!G69&lt;=15),AND('Soil results'!G$7="modified Morgan (SAC)",'Soil results'!G69&lt;=4.4)),
IF(H66*Calc!BM64*(I66/100)&lt;0.1*VLOOKUP(Calc!BI64,'Fertiliser recommendations'!$A$4:$I$63,9,FALSE),"no benefit",
IF(H66*Calc!BM64*(I66/100)&lt;0.3*VLOOKUP(Calc!BI64,'Fertiliser recommendations'!$A$4:$I$63,9,FALSE),"limited benefit",
IF(H66*Calc!BM64*(I66/100)&lt;1.1*J66,"benefit","excessive")))))))))))</f>
        <v/>
      </c>
      <c r="O66" s="91" t="str">
        <f ca="1">IF(B66="","",
IF(AND('Field information 2'!$O$5="", 'Field information 2'!$Q$5=""),
   IF('Waste results'!$S$19&lt;&gt;"data missing", Calc!BC64*'Waste results'!$S$19, "data missing"),
IF('Field information 2'!$Q$5="",
   IF(Calc!BD64=0,
     IF('Waste results'!$S$19&lt;&gt;"data missing", Calc!BC64*'Waste results'!$S$19, "data missing"),
   IF(Calc!BC64=0,
     IF('Waste results'!$S$55&lt;&gt;"data missing", Calc!BD64*'Waste results'!$S$55, "data missing"),
   IF(OR('Waste results'!$S$19&lt;&gt;"data missing", 'Waste results'!$S$55&lt;&gt;"data missing"), Calc!BC64*'Waste results'!$S$19+ Calc!BD64*'Waste results'!$S$55, "data missing"))),
IF(AND('Field information 2'!$M$5&lt;&gt;"", 'Field information 2'!$O$5&lt;&gt;"", 'Field information 2'!$Q$5&lt;&gt;""),
   IF(AND(Calc!BD64=0,Calc!BE64=0),
     IF('Waste results'!$S$19&lt;&gt;"data missing", Calc!BC64*'Waste results'!$S$19, "data missing"),
   IF(AND(Calc!BC64=0,Calc!BE64=0),
     IF('Waste results'!$S$55&lt;&gt;"data missing", Calc!BD64*'Waste results'!$S$55, "data missing"),
   IF(AND(Calc!BC64=0,Calc!BD64=0),
     IF('Waste results'!$S$91&lt;&gt;"data missing", Calc!BE64*'Waste results'!$S$91, "data missing"),
   IF(Calc!BE64=0,
     IF(OR('Waste results'!$S$19&lt;&gt;"data missing", 'Waste results'!$S$55&lt;&gt;"data missing"), Calc!BC64*'Waste results'!$S$19+ Calc!BD64*'Waste results'!$S$55, "data missing"),
   IF(Calc!BD64=0,
     IF(OR('Waste results'!$S$19&lt;&gt;"data missing", 'Waste results'!$S$91&lt;&gt;"data missing"), Calc!BC64*'Waste results'!$S$19+ Calc!BE64*'Waste results'!$S$91, "data missing"),
   IF(Calc!BC64=0,
     IF(OR('Waste results'!$S$55&lt;&gt;"data missing", 'Waste results'!$S$91&lt;&gt;"data missing"), Calc!BD64*'Waste results'!$S$55+Calc!BE64*'Waste results'!$S$91, "data missing"),
   IF(OR('Waste results'!$S$19&lt;&gt;"data missing", 'Waste results'!$S$55&lt;&gt;"data missing", 'Waste results'!$S$91&lt;&gt;"data missing"), Calc!BC64*'Waste results'!$S$19+Calc!BD64*'Waste results'!$S$55+ Calc!BE64*'Waste results'!$S$91, "data missing")))))))))))</f>
        <v/>
      </c>
      <c r="P66" s="91" t="str">
        <f ca="1">IF(B66="","",
IF(OR(ISBLANK('Soil results'!H$7),ISBLANK('Soil results'!H69)),"data missing",
IF(OR(AND('Soil results'!H$7="ammonium nitrate (ADAS)",'Soil results'!H69&gt;400),AND('Soil results'!H$7="modified Morgan (SAC)",'Soil results'!H69&gt;400)),0,
IF(OR(AND('Soil results'!H$7="ammonium nitrate (ADAS)",'Soil results'!H69&gt;=121,'Soil results'!H69&lt;=180),AND('Soil results'!H$7="modified Morgan (SAC)",'Soil results'!H69&gt;=76,'Soil results'!H69&lt;=140)),VLOOKUP(Calc!BI64,'Fertiliser recommendations'!$A$4:$Z$63,26,FALSE),
IF(OR(AND('Soil results'!H$7="ammonium nitrate (ADAS)",'Soil results'!H69&lt;61),AND('Soil results'!H$7="modified Morgan (SAC)",'Soil results'!H69&lt;40)),VLOOKUP(Calc!BI64,'Fertiliser recommendations'!$A$4:$Z$63,26,FALSE)+VLOOKUP(Calc!BI64,'Fertiliser recommendations'!$A$4:$AA$63,27,FALSE),
IF(OR(AND('Soil results'!H$7="ammonium nitrate (ADAS)",'Soil results'!H69&lt;121),AND('Soil results'!H$7="modified Morgan (SAC)",'Soil results'!H69&lt;76)),VLOOKUP(Calc!BI64,'Fertiliser recommendations'!$A$4:$Z$63,26,FALSE)+VLOOKUP(Calc!BI64,'Fertiliser recommendations'!$A$4:$AB$63,28,FALSE),
IF(OR(AND('Soil results'!H$7="ammonium nitrate (ADAS)",'Soil results'!H69&lt;241),AND('Soil results'!H$7="modified Morgan (SAC)",'Soil results'!H69&lt;201)),VLOOKUP(Calc!BI64,'Fertiliser recommendations'!$A$4:$Z$63,26,FALSE)+VLOOKUP(Calc!BI64,'Fertiliser recommendations'!$A$4:$AC$63,29,FALSE),
IF(OR(AND('Soil results'!H$7="ammonium nitrate (ADAS)",'Soil results'!H69&lt;=400),AND('Soil results'!H$7="modified Morgan (SAC)",'Soil results'!H69&lt;=400)),VLOOKUP(Calc!BI64,'Fertiliser recommendations'!$A$4:$Z$63,26,FALSE)+VLOOKUP(Calc!BI64,'Fertiliser recommendations'!$A$4:$AD$63,30,FALSE),
"??"))))))))</f>
        <v/>
      </c>
      <c r="Q66" s="91" t="str">
        <f t="shared" ca="1" si="2"/>
        <v/>
      </c>
      <c r="R66" s="9" t="str">
        <f ca="1">IF(B66="","",
IF(OR(O66="data missing",P66="data missing"),"data missing",
IF(Calc!BF64=0,"n/a",
IF(P66=0, "no requirement",
IF(O66&lt;0.1*P66,"no benefit",
IF(O66&lt;0.3*P66,"limited benefit",
IF(O66&gt;1.25*P66,"excessive",
"benefit")))))))</f>
        <v/>
      </c>
      <c r="T66" s="91" t="str">
        <f ca="1">IF(B66="","",
IF(AND('Field information 2'!$O$5="", 'Field information 2'!$Q$5=""),
   IF('Waste results'!$S$21&lt;&gt;"data missing", Calc!BC64*'Waste results'!$S$21, "data missing"),
IF('Field information 2'!$Q$5="",
   IF(Calc!BD64=0,
     IF('Waste results'!$S$21&lt;&gt;"data missing", Calc!BC64*'Waste results'!$S$21, "data missing"),
   IF(Calc!BC64=0,
     IF('Waste results'!$S$57&lt;&gt;"data missing", Calc!BD64*'Waste results'!$S$57, "data missing"),
   IF(OR('Waste results'!$S$21&lt;&gt;"data missing", 'Waste results'!$S$57&lt;&gt;"data missing"), Calc!BC64*'Waste results'!$S$21+ Calc!BD64*'Waste results'!$S$57, "data missing"))),
IF(AND('Field information 2'!$M$5&lt;&gt;"", 'Field information 2'!$O$5&lt;&gt;"", 'Field information 2'!$Q$5&lt;&gt;""),
   IF(AND(Calc!BD64=0,Calc!BE64=0),
     IF('Waste results'!$S$21&lt;&gt;"data missing", Calc!BC64*'Waste results'!$S$21, "data missing"),
   IF(AND(Calc!BC64=0,Calc!BE64=0),
     IF('Waste results'!$S$57&lt;&gt;"data missing", Calc!BD64*'Waste results'!$S$57, "data missing"),
   IF(AND(Calc!BC64=0,Calc!BD64=0),
     IF('Waste results'!$S$93&lt;&gt;"data missing", Calc!BE64*'Waste results'!$S$93, "data missing"),
   IF(Calc!BE64=0,
     IF(OR('Waste results'!$S$21&lt;&gt;"data missing", 'Waste results'!$S$57&lt;&gt;"data missing"), Calc!BC64*'Waste results'!$S$21+ Calc!BD64*'Waste results'!$S$57, "data missing"),
   IF(Calc!BD64=0,
     IF(OR('Waste results'!$S$21&lt;&gt;"data missing", 'Waste results'!$S$93&lt;&gt;"data missing"), Calc!BC64*'Waste results'!$S$21+ Calc!BE64*'Waste results'!$S$93, "data missing"),
   IF(Calc!BC64=0,
     IF(OR('Waste results'!$S$57&lt;&gt;"data missing", 'Waste results'!$S$93&lt;&gt;"data missing"), Calc!BD64*'Waste results'!$S$57+Calc!BE64*'Waste results'!$S$93, "data missing"),
   IF(OR('Waste results'!$S$21&lt;&gt;"data missing", 'Waste results'!$S$57&lt;&gt;"data missing", 'Waste results'!$S$93&lt;&gt;"data missing"), Calc!BC64*'Waste results'!$S$21+Calc!BD64*'Waste results'!$S$57+ Calc!BE64*'Waste results'!$S$93, "data missing")))))))))))</f>
        <v/>
      </c>
      <c r="U66" s="7" t="str">
        <f ca="1">IF(B66="","",
IF(OR(ISBLANK('Soil results'!I$7),ISBLANK('Soil results'!I69)),"data missing",
IF(OR(AND('Soil results'!I$7="ammonium nitrate (ADAS)",'Soil results'!I69&gt;51),AND('Soil results'!I$7="modified Morgan (SAC)",'Soil results'!I69&gt;61)),0,
IF(OR(AND('Soil results'!I$7="ammonium nitrate (ADAS)",'Soil results'!I69&lt;25),AND('Soil results'!I$7="modified Morgan (SAC)",'Soil results'!I69&lt;19)),VLOOKUP(Calc!BI64,'Fertiliser recommendations'!$A$4:$AH$63,34,FALSE),
IF(OR(AND('Soil results'!I$7="ammonium nitrate (ADAS)",'Soil results'!I69&lt;=51),AND('Soil results'!I$7="modified Morgan (SAC)",'Soil results'!I69&lt;=61)),VLOOKUP(Calc!BI64,'Fertiliser recommendations'!$A$4:$AI$63,35,FALSE),
"")))))</f>
        <v/>
      </c>
      <c r="V66" s="91" t="str">
        <f t="shared" ca="1" si="3"/>
        <v/>
      </c>
      <c r="W66" s="9" t="str">
        <f ca="1">IF(B66="","",
IF(OR(T66="data missing",U66="data missing"),"data missing",
IF(Calc!BF64=0,"n/a",
IF(U66=0,"no requirement",
IF(T66&lt;0.1*U66,"no benefit",
IF(T66&lt;0.3*U66,"limited benefit",
IF(OR(T66&gt;1.5*U66,AND(Calc!BJ64="g",T66&gt;100)),"excessive",
"benefit")))))))</f>
        <v/>
      </c>
      <c r="Y66" s="91" t="str">
        <f ca="1">IF(B66="","",
IF(AND('Field information 2'!$O$5="", 'Field information 2'!$Q$5=""),
   IF('Waste results'!$P$23&lt;&gt;"", Calc!BC64*'Waste results'!$P$23, "no data"),
IF('Field information 2'!$Q$5="",
   IF(Calc!BD64=0,
     IF('Waste results'!$P$23&lt;&gt;"", Calc!BC64*'Waste results'!$P$23, "no data"),
   IF(Calc!BC64=0,
     IF('Waste results'!$P$59&lt;&gt;"", Calc!BD64*'Waste results'!$P$59, "no data"),
   IF(OR('Waste results'!$P$23&lt;&gt;"", 'Waste results'!$P$59&lt;&gt;""), Calc!BC64*'Waste results'!$P$23+ Calc!BD64*'Waste results'!$P$59, "no data"))),
IF(AND('Field information 2'!$M$5&lt;&gt;"", 'Field information 2'!$O$5&lt;&gt;"", 'Field information 2'!$Q$5&lt;&gt;""),
   IF(AND(Calc!BD64=0,Calc!BE64=0),
     IF('Waste results'!$P$23&lt;&gt;"", Calc!BC64*'Waste results'!$P$23, "no data"),
   IF(AND(Calc!BC64=0,Calc!BE64=0),
     IF('Waste results'!$P$59&lt;&gt;"", Calc!BD64*'Waste results'!$P$59, "no data"),
   IF(AND(Calc!BC64=0,Calc!BD64=0),
     IF('Waste results'!$P$95&lt;&gt;"", Calc!BE64*'Waste results'!$P$95, "no data"),
   IF(Calc!BE64=0,
     IF(OR('Waste results'!$P$23&lt;&gt;"", 'Waste results'!$P$59&lt;&gt;""), Calc!BC64*'Waste results'!$P$23+ Calc!BD64*'Waste results'!$P$59, "no data"),
   IF(Calc!BD64=0,
     IF(OR('Waste results'!$P$23&lt;&gt;"", 'Waste results'!$P$95&lt;&gt;""), Calc!BC64*'Waste results'!$P$23+ Calc!BE64*'Waste results'!$P$95, "no data"),
   IF(Calc!BC64=0,
     IF(OR('Waste results'!$P$59&lt;&gt;"", 'Waste results'!$P$95&lt;&gt;""), Calc!BD64*'Waste results'!$P$59+Calc!BE64*'Waste results'!$P$95, "no data"),
   IF(OR('Waste results'!$P$23&lt;&gt;"", 'Waste results'!$P$59&lt;&gt;"", 'Waste results'!$P$95&lt;&gt;""), Calc!BC64*'Waste results'!$P$23+Calc!BD64*'Waste results'!$P$59+ Calc!BE64*'Waste results'!$P$95, "no data")))))))))))</f>
        <v/>
      </c>
      <c r="Z66" s="7" t="str">
        <f ca="1">IF(OR(ISBLANK('Soil results'!I$7),ISBLANK('Soil results'!I69),'Soil results'!B69=""),"",
VLOOKUP(Calc!BI64,'Fertiliser recommendations'!$A$4:$AM$63,39,FALSE))</f>
        <v/>
      </c>
      <c r="AA66" s="91" t="str">
        <f t="shared" ca="1" si="4"/>
        <v/>
      </c>
      <c r="AB66" s="9" t="str">
        <f t="shared" ca="1" si="5"/>
        <v/>
      </c>
      <c r="AD66" s="48" t="str">
        <f>IF(ISBLANK('Soil results'!F69),"",'Soil results'!F69)</f>
        <v/>
      </c>
      <c r="AE66" s="49" t="str">
        <f ca="1">IF(B66="","",
IF(AND(Calc!BJ64="g", VLOOKUP(LEFT($B66,LEN($B66)-2),'Field information 2'!$B$12:$P$111,9,FALSE)&lt;&gt;"yes"),
 IF(Calc!BG64="10-25% OM", 5.9, IF(Calc!BG64="&gt;25% OM", 5.5, 6.2)),
IF(OR(Calc!BJ64="a", VLOOKUP(LEFT($B66,LEN($B66)-2),'Field information 2'!$B$12:$P$111,9,FALSE)="yes"),
 IF(Calc!BG64="10-25% OM", 6.4, IF(Calc!BG64="&gt;25% OM", 6, 6.7)), "")))</f>
        <v/>
      </c>
      <c r="AF66" s="91" t="str">
        <f ca="1">IF(B66="","",
IF('Waste results'!$Q$33="","no (significant) liming properties",
IF('Waste results'!Q$33&gt;100,"no (significant) liming properties",
IF(AD66="","",
IF(AD66&gt;=AE66,0,ROUNDDOWN((AE66-AD66)*Calc!BK64*'Waste results'!$Q$33+0.2,0))))))</f>
        <v/>
      </c>
      <c r="AG66" s="9" t="str">
        <f ca="1">IF(B66="","",
IF(T66=0,"n/a",
IF(AD66="","data missing",
IF(AND(AD66&lt;5,AF66="no (significant) liming properties"),"no waste application - pH too low",
IF(AND(AD66&gt;5.1,AF66="no (significant) liming properties",Calc!BH64&gt;25, LEFT(Calc!BI64,4)="graz"),"ok",
IF(AND(AD66&lt;=5.2,AF66="no (significant) liming properties"),"liming highly recommended",
IF(AF66=0,"no waste application - liming not required",
IF(AF66&lt;Calc!BC64,"application rate too high - exceeds liming requirement",
"ok"))))))))</f>
        <v/>
      </c>
      <c r="AI66" s="91" t="str">
        <f ca="1">IF(B66="","",
IF(AND('Field information 2'!$O$5="", 'Field information 2'!$Q$5=""),
   IF('Waste results'!$P$10&lt;&gt;"data missing", Calc!BC64*'Waste results'!$P$10, "data missing"),
IF('Field information 2'!$Q$5="",
   IF(Calc!BD64=0,
     IF('Waste results'!$P$10&lt;&gt;"data missing", Calc!BC64*'Waste results'!$P$10, "data missing"),
   IF(Calc!BC64=0,
     IF('Waste results'!$P$45&lt;&gt;"data missing", Calc!BD64*'Waste results'!$P$45, "data missing"),
   IF(OR('Waste results'!$P$10&lt;&gt;"data missing", 'Waste results'!$P$45&lt;&gt;"data missing"), Calc!BC64*'Waste results'!$P$10+ Calc!BD64*'Waste results'!$P$45, "data missing"))),
IF(AND('Field information 2'!$M$5&lt;&gt;"", 'Field information 2'!$O$5&lt;&gt;"", 'Field information 2'!$Q$5&lt;&gt;""),
   IF(AND(Calc!BD64=0,Calc!BE64=0),
     IF('Waste results'!$P$10&lt;&gt;"data missing", Calc!BC64*'Waste results'!$P$10, "data missing"),
   IF(AND(Calc!BC64=0,Calc!BE64=0),
     IF('Waste results'!$P$45&lt;&gt;"data missing", Calc!BD64*'Waste results'!$P$45, "data missing"),
   IF(AND(Calc!BC64=0,Calc!BD64=0),
     IF('Waste results'!$P$82&lt;&gt;"data missing", Calc!BE64*'Waste results'!$P$82, "data missing"),
   IF(Calc!BE64=0,
     IF(OR('Waste results'!$P$10&lt;&gt;"data missing", 'Waste results'!$P$45&lt;&gt;"data missing"), Calc!BC64*'Waste results'!$P$10+ Calc!BD64*'Waste results'!$P$45, "data missing"),
   IF(Calc!BD64=0,
     IF(OR('Waste results'!$P$10&lt;&gt;"data missing", 'Waste results'!$P$82&lt;&gt;"data missing"), Calc!BC64*'Waste results'!$P$10+ Calc!BE64*'Waste results'!$P$82, "data missing"),
   IF(Calc!BC64=0,
     IF(OR('Waste results'!$P$45&lt;&gt;"data missing", 'Waste results'!$P$82&lt;&gt;"data missing"), Calc!BD64*'Waste results'!$P$45+Calc!BE64*'Waste results'!$P$82, "data missing"),
   IF(OR('Waste results'!$P$10&lt;&gt;"data missing", 'Waste results'!$P$45&lt;&gt;"data missing", 'Waste results'!$P$82&lt;&gt;"data missing"), Calc!BC64*'Waste results'!$P$10+Calc!BD64*'Waste results'!$P$45+ Calc!BE64*'Waste results'!$P$82, "data missing")))))))))))</f>
        <v/>
      </c>
      <c r="AJ66" s="237" t="str">
        <f ca="1">IF(B66="","",
IF(AI66="data missing","data missing",
IF(Calc!BF64=0,"n/a",
IF(AND(Calc!BH64&gt;=8,AI66&lt;500),"no benefit",
IF(OR(AND(Calc!BH64&lt;=4,AI66&gt;=500),AND(Calc!BH64&lt;8,AI66&gt;5000)),"benefit",
"limited benefit")))))</f>
        <v/>
      </c>
      <c r="AL66" s="238" t="str">
        <f ca="1">IF(B66="","",
IF(AND('Field information 2'!$O$5="", 'Field information 2'!$Q$5=""),
   IF('Waste results'!$S$25&lt;&gt;"data missing", Calc!BC64*'Waste results'!$S$25, "data missing"),
IF('Field information 2'!$Q$5="",
   IF(Calc!BD64=0,
     IF('Waste results'!$S$25&lt;&gt;"data missing", Calc!BC64*'Waste results'!$S$25, "data missing"),
   IF(Calc!BC64=0,
     IF('Waste results'!$S$61&lt;&gt;"data missing", Calc!BD64*'Waste results'!$S$61, "data missing"),
   IF(OR('Waste results'!$S$25&lt;&gt;"data missing", 'Waste results'!$S$61&lt;&gt;"data missing"), Calc!BC64*'Waste results'!$S$25+ Calc!BD64*'Waste results'!$S$61, "data missing"))),
IF(AND('Field information 2'!$M$5&lt;&gt;"", 'Field information 2'!$O$5&lt;&gt;"", 'Field information 2'!$Q$5&lt;&gt;""),
   IF(AND(Calc!BD64=0,Calc!BE64=0),
     IF('Waste results'!$S$25&lt;&gt;"data missing", Calc!BC64*'Waste results'!$S$25, "data missing"),
   IF(AND(Calc!BC64=0,Calc!BE64=0),
     IF('Waste results'!$S$61&lt;&gt;"data missing", Calc!BD64*'Waste results'!$S$61, "data missing"),
   IF(AND(Calc!BC64=0,Calc!BD64=0),
     IF('Waste results'!$S$97&lt;&gt;"data missing", Calc!BE64*'Waste results'!$S$97, "data missing"),
   IF(Calc!BE64=0,
     IF(OR('Waste results'!$S$25&lt;&gt;"data missing", 'Waste results'!$S$61&lt;&gt;"data missing"), Calc!BC64*'Waste results'!$S$25+ Calc!BD64*'Waste results'!$S$61, "data missing"),
   IF(Calc!BD64=0,
     IF(OR('Waste results'!$S$25&lt;&gt;"data missing", 'Waste results'!$S$97&lt;&gt;"data missing"), Calc!BC64*'Waste results'!$S$25+ Calc!BE64*'Waste results'!$S$97, "data missing"),
   IF(Calc!BC64=0,
     IF(OR('Waste results'!$S$61&lt;&gt;"data missing", 'Waste results'!$S$97&lt;&gt;"data missing"), Calc!BD64*'Waste results'!$S$61+Calc!BE64*'Waste results'!$S$97, "data missing"),
   IF(OR('Waste results'!$S$25&lt;&gt;"data missing", 'Waste results'!$S$61&lt;&gt;"data missing", 'Waste results'!$S$97&lt;&gt;"data missing"), Calc!BC64*'Waste results'!$S$25+Calc!BD64*'Waste results'!$S$61+ Calc!BE64*'Waste results'!$S$97, "data missing")))))))))))</f>
        <v/>
      </c>
      <c r="AM66" s="239" t="str">
        <f ca="1">IF($B66="","",
IF(ISBLANK('Soil results'!K69),"data missing",'Soil results'!K69))</f>
        <v/>
      </c>
      <c r="AN66" s="239" t="str">
        <f t="shared" ca="1" si="6"/>
        <v/>
      </c>
      <c r="AO66" s="9" t="str">
        <f t="shared" ca="1" si="7"/>
        <v/>
      </c>
      <c r="AQ66" s="240" t="str">
        <f ca="1">IF(B66="","",
IF(AND('Field information 2'!$O$5="", 'Field information 2'!$Q$5=""),
   IF('Waste results'!$S$26&lt;&gt;"data missing", Calc!BC64*'Waste results'!$S$26, "data missing"),
IF('Field information 2'!$Q$5="",
   IF(Calc!BD64=0,
     IF('Waste results'!$S$26&lt;&gt;"data missing", Calc!BC64*'Waste results'!$S$26, "data missing"),
   IF(Calc!BC64=0,
     IF('Waste results'!$S$62&lt;&gt;"data missing", Calc!BD64*'Waste results'!$S$62, "data missing"),
   IF(OR('Waste results'!$S$26&lt;&gt;"data missing", 'Waste results'!$S$62&lt;&gt;"data missing"), Calc!BC64*'Waste results'!$S$26+ Calc!BD64*'Waste results'!$S$62, "data missing"))),
IF(AND('Field information 2'!$M$5&lt;&gt;"", 'Field information 2'!$O$5&lt;&gt;"", 'Field information 2'!$Q$5&lt;&gt;""),
   IF(AND(Calc!BD64=0,Calc!BE64=0),
     IF('Waste results'!$S$26&lt;&gt;"data missing", Calc!BC64*'Waste results'!$S$26, "data missing"),
   IF(AND(Calc!BC64=0,Calc!BE64=0),
     IF('Waste results'!$S$62&lt;&gt;"data missing", Calc!BD64*'Waste results'!$S$62, "data missing"),
   IF(AND(Calc!BC64=0,Calc!BD64=0),
     IF('Waste results'!$S$98&lt;&gt;"data missing", Calc!BE64*'Waste results'!$S$98, "data missing"),
   IF(Calc!BE64=0,
     IF(OR('Waste results'!$S$26&lt;&gt;"data missing", 'Waste results'!$S$62&lt;&gt;"data missing"), Calc!BC64*'Waste results'!$S$26+ Calc!BD64*'Waste results'!$S$62, "data missing"),
   IF(Calc!BD64=0,
     IF(OR('Waste results'!$S$26&lt;&gt;"data missing", 'Waste results'!$S$98&lt;&gt;"data missing"), Calc!BC64*'Waste results'!$S$26+ Calc!BE64*'Waste results'!$S$98, "data missing"),
   IF(Calc!BC64=0,
     IF(OR('Waste results'!$S$62&lt;&gt;"data missing", 'Waste results'!$S$98&lt;&gt;"data missing"), Calc!BD64*'Waste results'!$S$62+Calc!BE64*'Waste results'!$S$98, "data missing"),
   IF(OR('Waste results'!$S$26&lt;&gt;"data missing", 'Waste results'!$S$62&lt;&gt;"data missing", 'Waste results'!$S$98&lt;&gt;"data missing"), Calc!BC64*'Waste results'!$S$26+Calc!BD64*'Waste results'!$S$62+ Calc!BE64*'Waste results'!$S$98, "data missing")))))))))))</f>
        <v/>
      </c>
      <c r="AR66" s="241" t="str">
        <f ca="1">IF($B66="","",
IF(ISBLANK('Soil results'!L69),"data missing",'Soil results'!L69))</f>
        <v/>
      </c>
      <c r="AS66" s="241" t="str">
        <f t="shared" ca="1" si="8"/>
        <v/>
      </c>
      <c r="AT66" s="66" t="str">
        <f t="shared" ca="1" si="9"/>
        <v/>
      </c>
      <c r="AV66" s="238" t="str">
        <f ca="1">IF(B66="","",
IF(AND('Field information 2'!$O$5="", 'Field information 2'!$Q$5=""),
   IF('Waste results'!$S$27&lt;&gt;"data missing", Calc!BC64*'Waste results'!$S$27, "data missing"),
IF('Field information 2'!$Q$5="",
   IF(Calc!BD64=0,
     IF('Waste results'!$S$27&lt;&gt;"data missing", Calc!BC64*'Waste results'!$S$27, "data missing"),
   IF(Calc!BC64=0,
     IF('Waste results'!$S$63&lt;&gt;"data missing", Calc!BD64*'Waste results'!$S$63, "data missing"),
   IF(OR('Waste results'!$S$27&lt;&gt;"data missing", 'Waste results'!$S$63&lt;&gt;"data missing"), Calc!BC64*'Waste results'!$S$27+ Calc!BD64*'Waste results'!$S$63, "data missing"))),
IF(AND('Field information 2'!$M$5&lt;&gt;"", 'Field information 2'!$O$5&lt;&gt;"", 'Field information 2'!$Q$5&lt;&gt;""),
   IF(AND(Calc!BD64=0,Calc!BE64=0),
     IF('Waste results'!$S$27&lt;&gt;"data missing", Calc!BC64*'Waste results'!$S$27, "data missing"),
   IF(AND(Calc!BC64=0,Calc!BE64=0),
     IF('Waste results'!$S$63&lt;&gt;"data missing", Calc!BD64*'Waste results'!$S$63, "data missing"),
   IF(AND(Calc!BC64=0,Calc!BD64=0),
     IF('Waste results'!$S$99&lt;&gt;"data missing", Calc!BE64*'Waste results'!$S$99, "data missing"),
   IF(Calc!BE64=0,
     IF(OR('Waste results'!$S$27&lt;&gt;"data missing", 'Waste results'!$S$63&lt;&gt;"data missing"), Calc!BC64*'Waste results'!$S$27+ Calc!BD64*'Waste results'!$S$63, "data missing"),
   IF(Calc!BD64=0,
     IF(OR('Waste results'!$S$27&lt;&gt;"data missing", 'Waste results'!$S$99&lt;&gt;"data missing"), Calc!BC64*'Waste results'!$S$27+ Calc!BE64*'Waste results'!$S$99, "data missing"),
   IF(Calc!BC64=0,
     IF(OR('Waste results'!$S$63&lt;&gt;"data missing", 'Waste results'!$S$99&lt;&gt;"data missing"), Calc!BD64*'Waste results'!$S$63+Calc!BE64*'Waste results'!$S$99, "data missing"),
   IF(OR('Waste results'!$S$27&lt;&gt;"data missing", 'Waste results'!$S$63&lt;&gt;"data missing", 'Waste results'!$S$99&lt;&gt;"data missing"), Calc!BC64*'Waste results'!$S$27+Calc!BD64*'Waste results'!$S$63+ Calc!BE64*'Waste results'!$S$99, "data missing")))))))))))</f>
        <v/>
      </c>
      <c r="AW66" s="239" t="str">
        <f ca="1">IF($B66="","",
IF(ISBLANK('Soil results'!M69),"data missing",'Soil results'!M69))</f>
        <v/>
      </c>
      <c r="AX66" s="239" t="str">
        <f t="shared" ca="1" si="10"/>
        <v/>
      </c>
      <c r="AY66" s="9" t="str">
        <f ca="1">IF(B66="","",
IF(AV66=0,"n/a",
IF(OR(AV66="data missing",AW66="data missing"),"data missing",
IF(AV66&gt;7.5,"application rate too high - permissible rate exceeds limit",
IF('Soil results'!$F69&lt;=5.5,
  IF(AW66&gt;80,"no application - soil conc. already above limit",
  IF(AX66&gt;80,"application rate too high - soil conc. will exceed limit",
  IF(AW66&gt;80*0.9,"soil conc. is at or above 90% of the limit",
  IF(10*AV66*1000/3000+AW66&gt;80,"soil limit likely to be exceeded in 10yrs",
  IF(50*AV66*1000/3000+AW66&gt;80,"soil limit likely to be exceeded in 50yrs","ok"))))),
IF('Soil results'!$F69&lt;=6,
  IF(AW66&gt;100,"no application - soil conc. already above limit",
  IF(AX66&gt;100,"application rate too high - soil conc. will exceed limit",
  IF(AW66&gt;100*0.9,"soil conc. is at or above 90% of the limit",
  IF(10*AV66*1000/3000+AW66&gt;100,"soil limit likely to be exceeded in 10yrs",
  IF(50*AV66*1000/3000+AW66&gt;100,"soil limit likely to be exceeded in 50yrs","ok"))))),
IF('Soil results'!$F69&lt;=7,
  IF(AW66&gt;135,"no application - soil conc. already above limit",
  IF(AX66&gt;135,"application rate too high - soil conc. will exceed limit",
  IF(AW66&gt;135*0.9,"soil conc. is at or above 90% of the limit",
  IF(10*AV66*1000/3000+AW66&gt;135,"soil limit likely to be exceeded in 10yrs",
  IF(50*AV66*1000/3000+AW66&gt;135,"soil limit likely to be exceeded in 50yrs","ok"))))),
IF('Soil results'!$F69&gt;7,
  IF(AW66&gt;200,"no application - soil conc. already above limit",
  IF(AX66&gt;200,"application too high - soil conc. will exceed limit",
  IF(AW66&gt;200*0.9,"soil conc. is at or above 90% of the limit",
  IF(10*AV66*1000/3000+AW66&gt;200,"soil limit likely to be exceeded in 10yrs",
  IF(50*AV66*1000/3000+AW66&gt;200,"soil limit likely to be exceeded in 50yrs","ok")))))
))))))))</f>
        <v/>
      </c>
      <c r="BA66" s="238" t="str">
        <f ca="1">IF(B66="","",
IF(AND('Field information 2'!$O$5="", 'Field information 2'!$Q$5=""),
   IF('Waste results'!$S$28&lt;&gt;"data missing", Calc!BC64*'Waste results'!$S$28, "data missing"),
IF('Field information 2'!$Q$5="",
   IF(Calc!BD64=0,
     IF('Waste results'!$S$28&lt;&gt;"data missing", Calc!BC64*'Waste results'!$S$28, "data missing"),
   IF(Calc!BC64=0,
     IF('Waste results'!$S$64&lt;&gt;"data missing", Calc!BD64*'Waste results'!$S$64, "data missing"),
   IF(OR('Waste results'!$S$28&lt;&gt;"data missing", 'Waste results'!$S$64&lt;&gt;"data missing"), Calc!BC64*'Waste results'!$S$28+ Calc!BD64*'Waste results'!$S$64, "data missing"))),
IF(AND('Field information 2'!$M$5&lt;&gt;"", 'Field information 2'!$O$5&lt;&gt;"", 'Field information 2'!$Q$5&lt;&gt;""),
   IF(AND(Calc!BD64=0,Calc!BE64=0),
     IF('Waste results'!$S$28&lt;&gt;"data missing", Calc!BC64*'Waste results'!$S$28, "data missing"),
   IF(AND(Calc!BC64=0,Calc!BE64=0),
     IF('Waste results'!$S$64&lt;&gt;"data missing", Calc!BD64*'Waste results'!$S$64, "data missing"),
   IF(AND(Calc!BC64=0,Calc!BD64=0),
     IF('Waste results'!$S$100&lt;&gt;"data missing", Calc!BE64*'Waste results'!$S$100, "data missing"),
   IF(Calc!BE64=0,
     IF(OR('Waste results'!$S$28&lt;&gt;"data missing", 'Waste results'!$S$64&lt;&gt;"data missing"), Calc!BC64*'Waste results'!$S$28+ Calc!BD64*'Waste results'!$S$64, "data missing"),
   IF(Calc!BD64=0,
     IF(OR('Waste results'!$S$28&lt;&gt;"data missing", 'Waste results'!$S$100&lt;&gt;"data missing"), Calc!BC64*'Waste results'!$S$28+ Calc!BE64*'Waste results'!$S$100, "data missing"),
   IF(Calc!BC64=0,
     IF(OR('Waste results'!$S$64&lt;&gt;"data missing", 'Waste results'!$S$100&lt;&gt;"data missing"), Calc!BD64*'Waste results'!$S$64+Calc!BE64*'Waste results'!$S$100, "data missing"),
   IF(OR('Waste results'!$S$28&lt;&gt;"data missing", 'Waste results'!$S$64&lt;&gt;"data missing", 'Waste results'!$S$100&lt;&gt;"data missing"), Calc!BC64*'Waste results'!$S$28+Calc!BD64*'Waste results'!$S$64+ Calc!BE64*'Waste results'!$S$100, "data missing")))))))))))</f>
        <v/>
      </c>
      <c r="BB66" s="239" t="str">
        <f ca="1">IF($B66="","",
IF(ISBLANK('Soil results'!N69),"data missing",'Soil results'!N69))</f>
        <v/>
      </c>
      <c r="BC66" s="239" t="str">
        <f t="shared" ca="1" si="11"/>
        <v/>
      </c>
      <c r="BD66" s="9" t="str">
        <f t="shared" ca="1" si="12"/>
        <v/>
      </c>
      <c r="BF66" s="238" t="str">
        <f ca="1">IF(B66="","",
IF(AND('Field information 2'!$O$5="", 'Field information 2'!$Q$5=""),
   IF('Waste results'!$S$29&lt;&gt;"data missing", Calc!BC64*'Waste results'!$S$29, "data missing"),
IF('Field information 2'!$Q$5="",
   IF(Calc!BD64=0,
     IF('Waste results'!$S$29&lt;&gt;"data missing", Calc!BC64*'Waste results'!$S$29, "data missing"),
   IF(Calc!BC64=0,
     IF('Waste results'!$S$65&lt;&gt;"data missing", Calc!BD64*'Waste results'!$S$65, "data missing"),
   IF(OR('Waste results'!$S$29&lt;&gt;"data missing", 'Waste results'!$S$65&lt;&gt;"data missing"), Calc!BC64*'Waste results'!$S$29+ Calc!BD64*'Waste results'!$S$65, "data missing"))),
IF(AND('Field information 2'!$M$5&lt;&gt;"", 'Field information 2'!$O$5&lt;&gt;"", 'Field information 2'!$Q$5&lt;&gt;""),
   IF(AND(Calc!BD64=0,Calc!BE64=0),
     IF('Waste results'!$S$29&lt;&gt;"data missing", Calc!BC64*'Waste results'!$S$29, "data missing"),
   IF(AND(Calc!BC64=0,Calc!BE64=0),
     IF('Waste results'!$S$65&lt;&gt;"data missing", Calc!BD64*'Waste results'!$S$65, "data missing"),
   IF(AND(Calc!BC64=0,Calc!BD64=0),
     IF('Waste results'!$S$101&lt;&gt;"data missing", Calc!BE64*'Waste results'!$S$101, "data missing"),
   IF(Calc!BE64=0,
     IF(OR('Waste results'!$S$29&lt;&gt;"data missing", 'Waste results'!$S$65&lt;&gt;"data missing"), Calc!BC64*'Waste results'!$S$29+ Calc!BD64*'Waste results'!$S$65, "data missing"),
   IF(Calc!BD64=0,
     IF(OR('Waste results'!$S$29&lt;&gt;"data missing", 'Waste results'!$S$101&lt;&gt;"data missing"), Calc!BC64*'Waste results'!$S$29+ Calc!BE64*'Waste results'!$S$101, "data missing"),
   IF(Calc!BC64=0,
     IF(OR('Waste results'!$S$65&lt;&gt;"data missing", 'Waste results'!$S$101&lt;&gt;"data missing"), Calc!BD64*'Waste results'!$S$65+Calc!BE64*'Waste results'!$S$101, "data missing"),
   IF(OR('Waste results'!$S$29&lt;&gt;"data missing", 'Waste results'!$S$65&lt;&gt;"data missing", 'Waste results'!$S$101&lt;&gt;"data missing"), Calc!BC64*'Waste results'!$S$29+Calc!BD64*'Waste results'!$S$65+ Calc!BE64*'Waste results'!$S$101, "data missing")))))))))))</f>
        <v/>
      </c>
      <c r="BG66" s="239" t="str">
        <f ca="1">IF($B66="","",
IF(ISBLANK('Soil results'!O69),"data missing",'Soil results'!O69))</f>
        <v/>
      </c>
      <c r="BH66" s="239" t="str">
        <f t="shared" ca="1" si="13"/>
        <v/>
      </c>
      <c r="BI66" s="9" t="str">
        <f ca="1">IF(B66="","",
IF(BF66=0,"n/a",
IF(OR(BF66="data missing",BG66="data missing"),"data missing",
IF(BF66&gt;3,"application rate too high - permissible rate exceeds limit",
IF('Soil results'!F69&lt;=5.5,
  IF(BG66&gt;50,"no application - soil conc. already above limit",
  IF(BH66&gt;50,"application rate too high - soil conc. will exceed limit",
  IF(BG66&gt;50*0.9,"soil conc. is at or above 90% of the limit",
  IF(10*BF66*1000/3000+BG66&gt;50,"soil limit likely to be exceeded in 10yrs",
  IF(50*BF66*1000/3000+BG66&gt;50,"soil limit likely to be exceeded in 50yrs","ok"))))),
IF('Soil results'!F69&lt;=6,
  IF(BG66&gt;60,"no application - soil conc. already above limit",
  IF(BH66&gt;60,"application rate too high - soil conc. will exceed limit",
  IF(BG66&gt;60*0.9,"soil conc. is at or above 90% of the limit",
  IF(10*BF66*1000/3000+BG66&gt;60,"soil limit likely to be exceeded in 10yrs",
  IF(50*BF66*1000/3000+BG66&gt;60,"soil limit likely to be exceeded in 50yrs","ok"))))),
IF('Soil results'!F69&lt;=7,
  IF(BG66&gt;75,"no application - soil conc. already above limit",
  IF(BH66&gt;75,"application rate too high - soil conc. will exceed limit",
  IF(BG66&gt;75*0.9,"soil conc. is at or above 90% of the limit",
  IF(10*BF66*1000/3000+BG66&gt;75,"soil limit likely to be exceeded in 10yrs",
  IF(50*BF66*1000/3000+BG66&gt;75,"soil limit likely to be exceeded in 50yrs","ok"))))),
IF('Soil results'!F69&gt;7,
  IF(BG66&gt;100,"no application - soil conc. already above limit",
  IF(BH66&gt;100,"application rate too high - soil conc. will exceed limit",
  IF(BG66&gt;100*0.9,"soil conc. is at or above 90% of the limit",
  IF(10*BF66*1000/3000+BG66&gt;100,"soil limit likely to be exceeded in 10yrs",
  IF(50*BF66*1000/3000+BG66&gt;100,"soil limit likely to beexceeded in 50yrs","ok")))))
))))))))</f>
        <v/>
      </c>
      <c r="BK66" s="240" t="str">
        <f ca="1">IF(B66="","",
IF(AND('Field information 2'!$O$5="", 'Field information 2'!$Q$5=""),
   IF('Waste results'!$S$30&lt;&gt;"data missing", Calc!BC64*'Waste results'!$S$30, "data missing"),
IF('Field information 2'!$Q$5="",
   IF(Calc!BD64=0,
     IF('Waste results'!$S$30&lt;&gt;"data missing", Calc!BC64*'Waste results'!$S$30, "data missing"),
   IF(Calc!BC64=0,
     IF('Waste results'!$S$66&lt;&gt;"data missing", Calc!BD64*'Waste results'!$S$66, "data missing"),
   IF(OR('Waste results'!$S$30&lt;&gt;"data missing", 'Waste results'!$S$66&lt;&gt;"data missing"), Calc!BC64*'Waste results'!$S$30+ Calc!BD64*'Waste results'!$S$66, "data missing"))),
IF(AND('Field information 2'!$M$5&lt;&gt;"", 'Field information 2'!$O$5&lt;&gt;"", 'Field information 2'!$Q$5&lt;&gt;""),
   IF(AND(Calc!BD64=0,Calc!BE64=0),
     IF('Waste results'!$S$30&lt;&gt;"data missing", Calc!BC64*'Waste results'!$S$30, "data missing"),
   IF(AND(Calc!BC64=0,Calc!BE64=0),
     IF('Waste results'!$S$66&lt;&gt;"data missing", Calc!BD64*'Waste results'!$S$66, "data missing"),
   IF(AND(Calc!BC64=0,Calc!BD64=0),
     IF('Waste results'!$S$102&lt;&gt;"data missing", Calc!BE64*'Waste results'!$S$102, "data missing"),
   IF(Calc!BE64=0,
     IF(OR('Waste results'!$S$30&lt;&gt;"data missing", 'Waste results'!$S$66&lt;&gt;"data missing"), Calc!BC64*'Waste results'!$S$30+ Calc!BD64*'Waste results'!$S$66, "data missing"),
   IF(Calc!BD64=0,
     IF(OR('Waste results'!$S$30&lt;&gt;"data missing", 'Waste results'!$S$102&lt;&gt;"data missing"), Calc!BC64*'Waste results'!$S$30+ Calc!BE64*'Waste results'!$S$102, "data missing"),
   IF(Calc!BC64=0,
     IF(OR('Waste results'!$S$66&lt;&gt;"data missing", 'Waste results'!$S$102&lt;&gt;"data missing"), Calc!BD64*'Waste results'!$S$66+Calc!BE64*'Waste results'!$S$102, "data missing"),
   IF(OR('Waste results'!$S$30&lt;&gt;"data missing", 'Waste results'!$S$66&lt;&gt;"data missing", 'Waste results'!$S$102&lt;&gt;"data missing"), Calc!BC64*'Waste results'!$S$30+Calc!BD64*'Waste results'!$S$66+ Calc!BE64*'Waste results'!$S$102, "data missing")))))))))))</f>
        <v/>
      </c>
      <c r="BL66" s="241" t="str">
        <f ca="1">IF($B66="","",
IF(ISBLANK('Soil results'!P69),"data missing",'Soil results'!P69))</f>
        <v/>
      </c>
      <c r="BM66" s="241" t="str">
        <f t="shared" ca="1" si="14"/>
        <v/>
      </c>
      <c r="BN66" s="66" t="str">
        <f t="shared" ca="1" si="15"/>
        <v/>
      </c>
      <c r="BP66" s="238" t="str">
        <f ca="1">IF(B66="","",
IF(AND('Field information 2'!$O$5="", 'Field information 2'!$Q$5=""),
   IF('Waste results'!$S$31&lt;&gt;"data missing", Calc!BC64*'Waste results'!$S$31, "data missing"),
IF('Field information 2'!$Q$5="",
   IF(Calc!BD64=0,
     IF('Waste results'!$S$31&lt;&gt;"data missing", Calc!BC64*'Waste results'!$S$31, "data missing"),
   IF(Calc!BC64=0,
     IF('Waste results'!$S$67&lt;&gt;"data missing", Calc!BD64*'Waste results'!$S$67, "data missing"),
   IF(OR('Waste results'!$S$31&lt;&gt;"data missing", 'Waste results'!$S$67&lt;&gt;"data missing"), Calc!BC64*'Waste results'!$S$31+ Calc!BD64*'Waste results'!$S$67, "data missing"))),
IF(AND('Field information 2'!$M$5&lt;&gt;"", 'Field information 2'!$O$5&lt;&gt;"", 'Field information 2'!$Q$5&lt;&gt;""),
   IF(AND(Calc!BD64=0,Calc!BE64=0),
     IF('Waste results'!$S$31&lt;&gt;"data missing", Calc!BC64*'Waste results'!$S$31, "data missing"),
   IF(AND(Calc!BC64=0,Calc!BE64=0),
     IF('Waste results'!$S$67&lt;&gt;"data missing", Calc!BD64*'Waste results'!$S$67, "data missing"),
   IF(AND(Calc!BC64=0,Calc!BD64=0),
     IF('Waste results'!$S$103&lt;&gt;"data missing", Calc!BE64*'Waste results'!$S$103, "data missing"),
   IF(Calc!BE64=0,
     IF(OR('Waste results'!$S$31&lt;&gt;"data missing", 'Waste results'!$S$67&lt;&gt;"data missing"), Calc!BC64*'Waste results'!$S$31+ Calc!BD64*'Waste results'!$S$67, "data missing"),
   IF(Calc!BD64=0,
     IF(OR('Waste results'!$S$31&lt;&gt;"data missing", 'Waste results'!$S$103&lt;&gt;"data missing"), Calc!BC64*'Waste results'!$S$31+ Calc!BE64*'Waste results'!$S$103, "data missing"),
   IF(Calc!BC64=0,
     IF(OR('Waste results'!$S$67&lt;&gt;"data missing", 'Waste results'!$S$103&lt;&gt;"data missing"), Calc!BD64*'Waste results'!$S$67+Calc!BE64*'Waste results'!$S$103, "data missing"),
   IF(OR('Waste results'!$S$31&lt;&gt;"data missing", 'Waste results'!$S$67&lt;&gt;"data missing", 'Waste results'!$S$103&lt;&gt;"data missing"), Calc!BC64*'Waste results'!$S$31+Calc!BD64*'Waste results'!$S$67+ Calc!BE64*'Waste results'!$S$103, "data missing")))))))))))</f>
        <v/>
      </c>
      <c r="BQ66" s="239" t="str">
        <f ca="1">IF($B66="","",
IF(ISBLANK('Soil results'!Q69),"data missing",'Soil results'!Q69))</f>
        <v/>
      </c>
      <c r="BR66" s="239" t="str">
        <f t="shared" ca="1" si="16"/>
        <v/>
      </c>
      <c r="BS66" s="9" t="str">
        <f ca="1">IF(B66="","",
IF(BP66=0,"n/a",
IF(OR(BP66="data missing",BQ66=""),"data missing",
IF(BP66&gt;15,"application rate too high - permissible rate exceeds limit",
IF('Soil results'!F69&lt;=5.5,
  IF(BQ66&gt;200,"no application - soil conc. already above limit",
  IF(BR66&gt;200,"application rate too high - soil conc. will exceed limit",
  IF(BQ66&gt;200*0.9,"soil conc. is at or above 90% of the limit",
  IF(10*BP66*1000/3000+BQ66&gt;200,"soil limit likely to be exceeded in 10yrs",
  IF(50*BP66*1000/3000+BQ66&gt;200,"soil limit likely to be exceeded in 50yrs","ok"))))),
IF('Soil results'!F69&lt;=6,
  IF(BQ66&gt;250,"no application - soil conc. already above limit",
  IF(BR66&gt;250,"application rate too high - soil conc. will exceed limit",
  IF(BQ66&gt;250*0.9,"soil conc. is at or above 90% of the limit",
  IF(10*BP66*1000/3000+BQ66&gt;250,"soil limit likely to be exceeded in 10yrs",
  IF(50*BP66*1000/3000+BQ66&gt;250,"soil limit likely to be exceeded in 50yrs","ok"))))),
IF('Soil results'!F69&lt;=7,
  IF(BQ66&gt;300,"no application - soil conc. already above limit",
  IF(BR66&gt;300,"application rate too high - soil conc. will exceed limit",
  IF(BQ66&gt;300*0.9,"soil conc. is at or above 90% of the limit",
  IF(10*BP66*1000/3000+BQ66&gt;300,"soil limit likey to be exceeded in 10yrs",
  IF(50*BP66*1000/3000+BQ66&gt;300,"soil limit likely to be exceeded in 50yrs","ok"))))),
IF('Soil results'!F69&gt;7,
  IF(BQ66&gt;450,"no application - soil conc. already above limit",
  IF(BR66&gt;450,"application rate too high - soil conc. will exceed limit",
  IF(AW66&gt;450*0.9,"soil conc. is at or above 90% of the limit",
  IF(10*BP66*1000/3000+BQ66&gt;450,"soil limit likely to be exceeded in 10yrs",
  IF(50*BP66*1000/3000+BQ66&gt;450,"soil limit likely to be exceeded in 50yrs","ok")))))
))))))))</f>
        <v/>
      </c>
    </row>
    <row r="67" spans="2:71" s="9" customFormat="1" ht="15" x14ac:dyDescent="0.25">
      <c r="B67" s="236" t="str">
        <f ca="1">'Soil results'!B70</f>
        <v/>
      </c>
      <c r="C67" s="91" t="str">
        <f ca="1">IF(B67="","",
IF(AND('Field information 2'!$O$5="", 'Field information 2'!$Q$5=""),
   IF('Waste results'!$S$12&lt;&gt;"data missing", Calc!BC65*'Waste results'!$S$12, "data missing"),
IF('Field information 2'!$Q$5="",
   IF(Calc!BD65=0,
     IF('Waste results'!$S$12&lt;&gt;"data missing", Calc!BC65*'Waste results'!$S$12, "data missing"),
   IF(Calc!BC65=0,
     IF('Waste results'!$S$48&lt;&gt;"data missing", Calc!BD65*'Waste results'!$S$48, "data missing"),
   IF(OR('Waste results'!$S$12&lt;&gt;"data missing", 'Waste results'!$S$48&lt;&gt;"data missing"), Calc!BC65*'Waste results'!$S$12+ Calc!BD65*'Waste results'!$S$48, "data missing"))),
IF(AND('Field information 2'!$M$5&lt;&gt;"", 'Field information 2'!$O$5&lt;&gt;"", 'Field information 2'!$Q$5&lt;&gt;""),
   IF(AND(Calc!BD65=0,Calc!BE65=0),
     IF('Waste results'!$S$12&lt;&gt;"data missing", Calc!BC65*'Waste results'!$S$12, "data missing"),
   IF(AND(Calc!BC65=0,Calc!BE65=0),
     IF('Waste results'!$S$48&lt;&gt;"data missing", Calc!BD65*'Waste results'!$S$48, "data missing"),
   IF(AND(Calc!BC65=0,Calc!BD65=0),
     IF('Waste results'!$S$84&lt;&gt;"data missing", Calc!BE65*'Waste results'!$S$84, "data missing"),
   IF(Calc!BE65=0,
     IF(OR('Waste results'!$S$12&lt;&gt;"data missing", 'Waste results'!$S$48&lt;&gt;"data missing"), Calc!BC65*'Waste results'!$S$12+ Calc!BD65*'Waste results'!$S$48, "data missing"),
   IF(Calc!BD65=0,
     IF(OR('Waste results'!$S$12&lt;&gt;"data missing", 'Waste results'!$S$84&lt;&gt;"data missing"), Calc!BC65*'Waste results'!$S$12+ Calc!BE65*'Waste results'!$S$84, "data missing"),
   IF(Calc!BC65=0,
     IF(OR('Waste results'!$S$48&lt;&gt;"data missing", 'Waste results'!$S$84&lt;&gt;"data missing"), Calc!BD65*'Waste results'!$S$48+Calc!BE65*'Waste results'!$S$84, "data missing"),
   IF(OR('Waste results'!$S$12&lt;&gt;"data missing", 'Waste results'!$S$48&lt;&gt;"data missing", 'Waste results'!$S$84&lt;&gt;"data missing"), Calc!BC65*'Waste results'!$S$12+Calc!BD65*'Waste results'!$S$48+ Calc!BE65*'Waste results'!$S$84, "data missing")))))))))))</f>
        <v/>
      </c>
      <c r="D67" s="161" t="str">
        <f ca="1">IF(B67="","",
IF(Calc!BG65="","soil texture missing",
IF(OR(Calc!BG65="SL; SZL; ZL",Calc!BG65="SCL; CL; ZCL; SC; ZC; C"),VLOOKUP(Calc!BI65,'Fertiliser recommendations'!$A$4:$C$63,3,FALSE),
IF(Calc!BG65="S; LS",VLOOKUP(Calc!BI65,'Fertiliser recommendations'!$A$4:$C$63,3,FALSE)+VLOOKUP(Calc!BI65,'Fertiliser recommendations'!$A$4:$D$63,4,FALSE),
IF(Calc!BG65="10-25% OM",VLOOKUP(Calc!BI65,'Fertiliser recommendations'!$A$4:$C$63,3,FALSE)+VLOOKUP(Calc!BI65,'Fertiliser recommendations'!$A$4:$E$63,5,FALSE),
IF(Calc!BG65="&gt;25% OM",VLOOKUP(Calc!BI65,'Fertiliser recommendations'!$A$4:$C$63,3,FALSE)+VLOOKUP(Calc!BI65,'Fertiliser recommendations'!$A$4:$F$63,6,FALSE),
""))))))</f>
        <v/>
      </c>
      <c r="E67" s="91" t="str">
        <f t="shared" ca="1" si="0"/>
        <v/>
      </c>
      <c r="F67" s="9" t="str">
        <f ca="1">IF(B67="","",
IF(OR(C67="data missing",D67="soil texture missing"),"data missing",
IF(Calc!BF65=0,"n/a",
IF(C67&lt;0.1*D67,"no benefit",
IF(C67&lt;0.3*D67,"limited benefit",
IF(C67&gt;250,"exceeds limit",
IF(OR(AND(D67=0,C67&gt;75),C67&gt;1.25*D67),"excessive",
IF(D67=0, "no requirement",
"benefit"))))))))</f>
        <v/>
      </c>
      <c r="H67" s="91" t="str">
        <f ca="1">IF(B67="","",
IF(AND('Field information 2'!$O$5="", 'Field information 2'!$Q$5=""),
   IF('Waste results'!$S$17&lt;&gt;"data missing", Calc!BC65*'Waste results'!$S$17, "data missing"),
IF('Field information 2'!$Q$5="",
   IF(Calc!BD65=0,
     IF('Waste results'!$S$17&lt;&gt;"data missing", Calc!BC65*'Waste results'!$S$17, "data missing"),
   IF(Calc!BC65=0,
     IF('Waste results'!$S$53&lt;&gt;"data missing", Calc!BD65*'Waste results'!$S$53, "data missing"),
   IF(OR('Waste results'!$S$17&lt;&gt;"data missing", 'Waste results'!$S$53&lt;&gt;"data missing"), Calc!BC65*'Waste results'!$S$17+ Calc!BD65*'Waste results'!$S$53, "data missing"))),
IF(AND('Field information 2'!$M$5&lt;&gt;"", 'Field information 2'!$O$5&lt;&gt;"", 'Field information 2'!$Q$5&lt;&gt;""),
   IF(AND(Calc!BD65=0,Calc!BE65=0),
     IF('Waste results'!$S$17&lt;&gt;"data missing", Calc!BC65*'Waste results'!$S$17, "data missing"),
   IF(AND(Calc!BC65=0,Calc!BE65=0),
     IF('Waste results'!$S$53&lt;&gt;"data missing", Calc!BD65*'Waste results'!$S$53, "data missing"),
   IF(AND(Calc!BC65=0,Calc!BD65=0),
     IF('Waste results'!$S$89&lt;&gt;"data missing", Calc!BE65*'Waste results'!$S$89, "data missing"),
   IF(Calc!BE65=0,
     IF(OR('Waste results'!$S$17&lt;&gt;"data missing", 'Waste results'!$S$53&lt;&gt;"data missing"), Calc!BC65*'Waste results'!$S$17+ Calc!BD65*'Waste results'!$S$53, "data missing"),
   IF(Calc!BD65=0,
     IF(OR('Waste results'!$S$17&lt;&gt;"data missing", 'Waste results'!$S$89&lt;&gt;"data missing"), Calc!BC65*'Waste results'!$S$17+ Calc!BE65*'Waste results'!$S$89, "data missing"),
   IF(Calc!BC65=0,
     IF(OR('Waste results'!$S$53&lt;&gt;"data missing", 'Waste results'!$S$89&lt;&gt;"data missing"), Calc!BD65*'Waste results'!$S$53+Calc!BE65*'Waste results'!$S$89, "data missing"),
   IF(OR('Waste results'!$S$17&lt;&gt;"data missing", 'Waste results'!$S$53&lt;&gt;"data missing", 'Waste results'!$S$89&lt;&gt;"data missing"), Calc!BC65*'Waste results'!$S$17+Calc!BD65*'Waste results'!$S$53+ Calc!BE65*'Waste results'!$S$89, "data missing")))))))))))</f>
        <v/>
      </c>
      <c r="I67" s="195" t="str">
        <f ca="1">IF(B67="","",
IF(OR(ISBLANK('Soil results'!G70), ISBLANK('Soil results'!G$7)),"data missing",
IF(OR(AND('Soil results'!G$7="Olsen (ADAS)",'Soil results'!G70&lt;16),AND('Soil results'!G$7="modified Morgan (SAC)",'Soil results'!G70&lt;4.5)),50,100)))</f>
        <v/>
      </c>
      <c r="J67" s="49" t="str">
        <f ca="1">IF(B67="","",
IF(OR(ISBLANK('Soil results'!G$7),ISBLANK('Soil results'!G70)),"data missing",
IF(OR(AND('Soil results'!G$7="Olsen (ADAS)",'Soil results'!G70&gt;45),AND('Soil results'!G$7="modified Morgan (SAC)",'Soil results'!G70&gt;30)),0,
IF(OR(AND('Soil results'!G$7="Olsen (ADAS)",'Soil results'!G70&gt;=16,'Soil results'!G70&lt;=20),AND('Soil results'!G$7="modified Morgan (SAC)",'Soil results'!G70&gt;=4.5,'Soil results'!G70&lt;=9.4)),VLOOKUP(Calc!BI65,'Fertiliser recommendations'!$A$4:$I$63,9,FALSE),
IF(OR(AND('Soil results'!G$7="Olsen (ADAS)",'Soil results'!G70&lt;10),AND('Soil results'!G$7="modified Morgan (SAC)",'Soil results'!G70&lt;1.8)),VLOOKUP(Calc!BI65,'Fertiliser recommendations'!$A$4:$I$63,9,FALSE)+VLOOKUP(Calc!BI65,'Fertiliser recommendations'!$A$4:$J$63,10,FALSE),
IF(OR(AND('Soil results'!G$7="Olsen (ADAS)",'Soil results'!G70&lt;16),AND('Soil results'!G$7="modified Morgan (SAC)",'Soil results'!G70&lt;4.5)),VLOOKUP(Calc!BI65,'Fertiliser recommendations'!$A$4:$I$63,9,FALSE)+VLOOKUP(Calc!BI65,'Fertiliser recommendations'!$A$4:$K$63,11,FALSE),
IF(OR(AND('Soil results'!G$7="Olsen (ADAS)",'Soil results'!G70&lt;26),AND('Soil results'!G$7="modified Morgan (SAC)",'Soil results'!G70&lt;13.5)),VLOOKUP(Calc!BI65,'Fertiliser recommendations'!$A$4:$I$63,9,FALSE)+VLOOKUP(Calc!BI65,'Fertiliser recommendations'!$A$4:$L$63,12,FALSE),
IF(OR(AND('Soil results'!G$7="Olsen (ADAS)",'Soil results'!G70&lt;=45),AND('Soil results'!G$7="modified Morgan (SAC)",'Soil results'!G70&lt;=30)),VLOOKUP(Calc!BI65,'Fertiliser recommendations'!$A$4:$I$63,9,FALSE)+VLOOKUP(Calc!BI65,'Fertiliser recommendations'!$A$4:$M$63,13,FALSE),
""))))))))</f>
        <v/>
      </c>
      <c r="K67" s="161" t="str">
        <f t="shared" ca="1" si="1"/>
        <v/>
      </c>
      <c r="L67" s="47" t="str">
        <f ca="1">IF(OR(ISBLANK('Soil results'!G$7),ISBLANK('Soil results'!G70),B67="", H67="data missing"),"",
IF('Soil results'!G$7="Olsen (ADAS)",
IF(((H67*Calc!BM65/2.291-(VLOOKUP(Calc!BI65,'Fertiliser recommendations'!$A$4:$I$63,9,FALSE))/2.291)*10/(400/2.291)+'Soil results'!G70)&lt;10,"0 (VL)",
IF(((H67*Calc!BM65/2.291-(VLOOKUP(Calc!BI65,'Fertiliser recommendations'!$A$4:$I$63,9,FALSE))/2.291)*10/(400/2.291)+'Soil results'!G70)&lt;16,"1 (L)",
IF(((H67*Calc!BM65/2.291-(VLOOKUP(Calc!BI65,'Fertiliser recommendations'!$A$4:$I$63,9,FALSE))/2.291)*10/(400/2.291)+'Soil results'!G70)&lt;21,"2 (M-)",
IF(((H67*Calc!BM65/2.291-(VLOOKUP(Calc!BI65,'Fertiliser recommendations'!$A$4:$I$63,9,FALSE))/2.291)*10/(400/2.291)+'Soil results'!G70)&lt;26,"2 (M+)",
IF(((H67*Calc!BM65/2.291-(VLOOKUP(Calc!BI65,'Fertiliser recommendations'!$A$4:$I$63,9,FALSE))/2.291)*10/(400/2.291)+'Soil results'!G70)&lt;45,"3 (H)","&gt;3 (VH)"))))),
IF('Soil results'!G$7="modified Morgan (SAC)",
IF('Soil results'!G70&gt;=6,
IF(((H67*Calc!BM65/2.291-(VLOOKUP(Calc!BI65,'Fertiliser recommendations'!$A$4:$I$63,9,FALSE))/2.291)*5/(147/2.291)+'Soil results'!G70)&lt;9.5,"2 (M-)",
IF(((H67*Calc!BM65/2.291-(VLOOKUP(Calc!BI65,'Fertiliser recommendations'!$A$4:$I$63,9,FALSE))/2.291)*5/(147/2.291)+'Soil results'!G70)&lt;13.5,"2 (M+)",
IF(((H67*Calc!BM65/2.291-(VLOOKUP(Calc!BI65,'Fertiliser recommendations'!$A$4:$I$63,9,FALSE))/2.291)*5/(147/2.291)+'Soil results'!G70)&lt;30,"3 (H)","4 (VH)"))),
IF(((H67*Calc!BM65/2.291-(VLOOKUP(Calc!BI65,'Fertiliser recommendations'!$A$4:$I$63,9,FALSE))/2.291)*5/(346/2.291)+'Soil results'!G70)&lt;1.8,"0 (VL)",
IF(((H67*Calc!BM65/2.291-(VLOOKUP(Calc!BI65,'Fertiliser recommendations'!$A$4:$I$63,9,FALSE))/2.291)*5/(147/2.291)+'Soil results'!G70)&lt;4.5,"1 (L)","2 (M-)"))))))</f>
        <v/>
      </c>
      <c r="M67" s="9" t="str">
        <f ca="1">IF(B67="","",
IF(OR(H67="data missing",I67="data missing",J67="data missing"),"data missing",
IF(Calc!BF65=0,"n/a",
IF(OR(AND('Soil results'!G$7="Olsen (ADAS)",'Soil results'!G70&gt;45),AND('Soil results'!G$7="modified Morgan (SAC)",'Soil results'!G70&gt;30)),
IF(H67&gt;2,"too high, not acceptable","no requirement"),IF(OR(AND('Soil results'!G$7="Olsen (ADAS)",'Soil results'!G70&gt;25),AND('Soil results'!G$7="modified Morgan (SAC)",'Soil results'!G70&gt;13.4)),
IF(H67*(I67/100)&lt;0.1*J67,"no benefit",
IF(H67*(I67/100)&lt;0.3*J67,"limited benefit",
IF(H67*(I67/100)&lt;1.1*J67,"benefit",
IF(H67*(I67/100)&lt;0.7*VLOOKUP(Calc!BI65,'Fertiliser recommendations'!$A$4:$I$63,9,FALSE),"excessive","too high, not acceptable")))),
IF(OR(AND('Soil results'!G$7="Olsen (ADAS)",'Soil results'!G70&gt;20),AND('Soil results'!G$7="modified Morgan (SAC)",'Soil results'!G70&gt;9.4)),
IF(H67*Calc!BM65*(I67/100)&lt;0.1*J67,"no benefit",
IF(H67*Calc!BM65*(I67/100)&lt;0.3*J67,"limited benefit",
IF(H67*Calc!BM65*(I67/100)&lt;1.1*J67,"benefit",
IF(L67="3 (H)","too high, not acceptable","excessive")))),
IF(OR(AND('Soil results'!G$7="Olsen (ADAS)",'Soil results'!G70&gt;15),AND('Soil results'!G$7="modified Morgan (SAC)",'Soil results'!G70&gt;4.4)),
IF(H67*Calc!BM65*(I67/100)&lt;0.1*VLOOKUP(Calc!BI65,'Fertiliser recommendations'!$A$4:$I$63,9,FALSE),"no benefit",
IF(H67*Calc!BM65*(I67/100)&lt;0.3*VLOOKUP(Calc!BI65,'Fertiliser recommendations'!$A$4:$I$63,9,FALSE),"limited benefit",
IF(H67*Calc!BM65*(I67/100)&lt;1.1*VLOOKUP(Calc!BI65,'Fertiliser recommendations'!$A$4:$I$63,9,FALSE),"benefit",
IF(L67="3 (H)", "too high, not acceptable", "excessive")))),
IF(OR(AND('Soil results'!G$7="Olsen (ADAS)",'Soil results'!G70&lt;=15),AND('Soil results'!G$7="modified Morgan (SAC)",'Soil results'!G70&lt;=4.4)),
IF(H67*Calc!BM65*(I67/100)&lt;0.1*VLOOKUP(Calc!BI65,'Fertiliser recommendations'!$A$4:$I$63,9,FALSE),"no benefit",
IF(H67*Calc!BM65*(I67/100)&lt;0.3*VLOOKUP(Calc!BI65,'Fertiliser recommendations'!$A$4:$I$63,9,FALSE),"limited benefit",
IF(H67*Calc!BM65*(I67/100)&lt;1.1*J67,"benefit","excessive")))))))))))</f>
        <v/>
      </c>
      <c r="O67" s="91" t="str">
        <f ca="1">IF(B67="","",
IF(AND('Field information 2'!$O$5="", 'Field information 2'!$Q$5=""),
   IF('Waste results'!$S$19&lt;&gt;"data missing", Calc!BC65*'Waste results'!$S$19, "data missing"),
IF('Field information 2'!$Q$5="",
   IF(Calc!BD65=0,
     IF('Waste results'!$S$19&lt;&gt;"data missing", Calc!BC65*'Waste results'!$S$19, "data missing"),
   IF(Calc!BC65=0,
     IF('Waste results'!$S$55&lt;&gt;"data missing", Calc!BD65*'Waste results'!$S$55, "data missing"),
   IF(OR('Waste results'!$S$19&lt;&gt;"data missing", 'Waste results'!$S$55&lt;&gt;"data missing"), Calc!BC65*'Waste results'!$S$19+ Calc!BD65*'Waste results'!$S$55, "data missing"))),
IF(AND('Field information 2'!$M$5&lt;&gt;"", 'Field information 2'!$O$5&lt;&gt;"", 'Field information 2'!$Q$5&lt;&gt;""),
   IF(AND(Calc!BD65=0,Calc!BE65=0),
     IF('Waste results'!$S$19&lt;&gt;"data missing", Calc!BC65*'Waste results'!$S$19, "data missing"),
   IF(AND(Calc!BC65=0,Calc!BE65=0),
     IF('Waste results'!$S$55&lt;&gt;"data missing", Calc!BD65*'Waste results'!$S$55, "data missing"),
   IF(AND(Calc!BC65=0,Calc!BD65=0),
     IF('Waste results'!$S$91&lt;&gt;"data missing", Calc!BE65*'Waste results'!$S$91, "data missing"),
   IF(Calc!BE65=0,
     IF(OR('Waste results'!$S$19&lt;&gt;"data missing", 'Waste results'!$S$55&lt;&gt;"data missing"), Calc!BC65*'Waste results'!$S$19+ Calc!BD65*'Waste results'!$S$55, "data missing"),
   IF(Calc!BD65=0,
     IF(OR('Waste results'!$S$19&lt;&gt;"data missing", 'Waste results'!$S$91&lt;&gt;"data missing"), Calc!BC65*'Waste results'!$S$19+ Calc!BE65*'Waste results'!$S$91, "data missing"),
   IF(Calc!BC65=0,
     IF(OR('Waste results'!$S$55&lt;&gt;"data missing", 'Waste results'!$S$91&lt;&gt;"data missing"), Calc!BD65*'Waste results'!$S$55+Calc!BE65*'Waste results'!$S$91, "data missing"),
   IF(OR('Waste results'!$S$19&lt;&gt;"data missing", 'Waste results'!$S$55&lt;&gt;"data missing", 'Waste results'!$S$91&lt;&gt;"data missing"), Calc!BC65*'Waste results'!$S$19+Calc!BD65*'Waste results'!$S$55+ Calc!BE65*'Waste results'!$S$91, "data missing")))))))))))</f>
        <v/>
      </c>
      <c r="P67" s="91" t="str">
        <f ca="1">IF(B67="","",
IF(OR(ISBLANK('Soil results'!H$7),ISBLANK('Soil results'!H70)),"data missing",
IF(OR(AND('Soil results'!H$7="ammonium nitrate (ADAS)",'Soil results'!H70&gt;400),AND('Soil results'!H$7="modified Morgan (SAC)",'Soil results'!H70&gt;400)),0,
IF(OR(AND('Soil results'!H$7="ammonium nitrate (ADAS)",'Soil results'!H70&gt;=121,'Soil results'!H70&lt;=180),AND('Soil results'!H$7="modified Morgan (SAC)",'Soil results'!H70&gt;=76,'Soil results'!H70&lt;=140)),VLOOKUP(Calc!BI65,'Fertiliser recommendations'!$A$4:$Z$63,26,FALSE),
IF(OR(AND('Soil results'!H$7="ammonium nitrate (ADAS)",'Soil results'!H70&lt;61),AND('Soil results'!H$7="modified Morgan (SAC)",'Soil results'!H70&lt;40)),VLOOKUP(Calc!BI65,'Fertiliser recommendations'!$A$4:$Z$63,26,FALSE)+VLOOKUP(Calc!BI65,'Fertiliser recommendations'!$A$4:$AA$63,27,FALSE),
IF(OR(AND('Soil results'!H$7="ammonium nitrate (ADAS)",'Soil results'!H70&lt;121),AND('Soil results'!H$7="modified Morgan (SAC)",'Soil results'!H70&lt;76)),VLOOKUP(Calc!BI65,'Fertiliser recommendations'!$A$4:$Z$63,26,FALSE)+VLOOKUP(Calc!BI65,'Fertiliser recommendations'!$A$4:$AB$63,28,FALSE),
IF(OR(AND('Soil results'!H$7="ammonium nitrate (ADAS)",'Soil results'!H70&lt;241),AND('Soil results'!H$7="modified Morgan (SAC)",'Soil results'!H70&lt;201)),VLOOKUP(Calc!BI65,'Fertiliser recommendations'!$A$4:$Z$63,26,FALSE)+VLOOKUP(Calc!BI65,'Fertiliser recommendations'!$A$4:$AC$63,29,FALSE),
IF(OR(AND('Soil results'!H$7="ammonium nitrate (ADAS)",'Soil results'!H70&lt;=400),AND('Soil results'!H$7="modified Morgan (SAC)",'Soil results'!H70&lt;=400)),VLOOKUP(Calc!BI65,'Fertiliser recommendations'!$A$4:$Z$63,26,FALSE)+VLOOKUP(Calc!BI65,'Fertiliser recommendations'!$A$4:$AD$63,30,FALSE),
"??"))))))))</f>
        <v/>
      </c>
      <c r="Q67" s="91" t="str">
        <f t="shared" ca="1" si="2"/>
        <v/>
      </c>
      <c r="R67" s="9" t="str">
        <f ca="1">IF(B67="","",
IF(OR(O67="data missing",P67="data missing"),"data missing",
IF(Calc!BF65=0,"n/a",
IF(P67=0, "no requirement",
IF(O67&lt;0.1*P67,"no benefit",
IF(O67&lt;0.3*P67,"limited benefit",
IF(O67&gt;1.25*P67,"excessive",
"benefit")))))))</f>
        <v/>
      </c>
      <c r="T67" s="91" t="str">
        <f ca="1">IF(B67="","",
IF(AND('Field information 2'!$O$5="", 'Field information 2'!$Q$5=""),
   IF('Waste results'!$S$21&lt;&gt;"data missing", Calc!BC65*'Waste results'!$S$21, "data missing"),
IF('Field information 2'!$Q$5="",
   IF(Calc!BD65=0,
     IF('Waste results'!$S$21&lt;&gt;"data missing", Calc!BC65*'Waste results'!$S$21, "data missing"),
   IF(Calc!BC65=0,
     IF('Waste results'!$S$57&lt;&gt;"data missing", Calc!BD65*'Waste results'!$S$57, "data missing"),
   IF(OR('Waste results'!$S$21&lt;&gt;"data missing", 'Waste results'!$S$57&lt;&gt;"data missing"), Calc!BC65*'Waste results'!$S$21+ Calc!BD65*'Waste results'!$S$57, "data missing"))),
IF(AND('Field information 2'!$M$5&lt;&gt;"", 'Field information 2'!$O$5&lt;&gt;"", 'Field information 2'!$Q$5&lt;&gt;""),
   IF(AND(Calc!BD65=0,Calc!BE65=0),
     IF('Waste results'!$S$21&lt;&gt;"data missing", Calc!BC65*'Waste results'!$S$21, "data missing"),
   IF(AND(Calc!BC65=0,Calc!BE65=0),
     IF('Waste results'!$S$57&lt;&gt;"data missing", Calc!BD65*'Waste results'!$S$57, "data missing"),
   IF(AND(Calc!BC65=0,Calc!BD65=0),
     IF('Waste results'!$S$93&lt;&gt;"data missing", Calc!BE65*'Waste results'!$S$93, "data missing"),
   IF(Calc!BE65=0,
     IF(OR('Waste results'!$S$21&lt;&gt;"data missing", 'Waste results'!$S$57&lt;&gt;"data missing"), Calc!BC65*'Waste results'!$S$21+ Calc!BD65*'Waste results'!$S$57, "data missing"),
   IF(Calc!BD65=0,
     IF(OR('Waste results'!$S$21&lt;&gt;"data missing", 'Waste results'!$S$93&lt;&gt;"data missing"), Calc!BC65*'Waste results'!$S$21+ Calc!BE65*'Waste results'!$S$93, "data missing"),
   IF(Calc!BC65=0,
     IF(OR('Waste results'!$S$57&lt;&gt;"data missing", 'Waste results'!$S$93&lt;&gt;"data missing"), Calc!BD65*'Waste results'!$S$57+Calc!BE65*'Waste results'!$S$93, "data missing"),
   IF(OR('Waste results'!$S$21&lt;&gt;"data missing", 'Waste results'!$S$57&lt;&gt;"data missing", 'Waste results'!$S$93&lt;&gt;"data missing"), Calc!BC65*'Waste results'!$S$21+Calc!BD65*'Waste results'!$S$57+ Calc!BE65*'Waste results'!$S$93, "data missing")))))))))))</f>
        <v/>
      </c>
      <c r="U67" s="7" t="str">
        <f ca="1">IF(B67="","",
IF(OR(ISBLANK('Soil results'!I$7),ISBLANK('Soil results'!I70)),"data missing",
IF(OR(AND('Soil results'!I$7="ammonium nitrate (ADAS)",'Soil results'!I70&gt;51),AND('Soil results'!I$7="modified Morgan (SAC)",'Soil results'!I70&gt;61)),0,
IF(OR(AND('Soil results'!I$7="ammonium nitrate (ADAS)",'Soil results'!I70&lt;25),AND('Soil results'!I$7="modified Morgan (SAC)",'Soil results'!I70&lt;19)),VLOOKUP(Calc!BI65,'Fertiliser recommendations'!$A$4:$AH$63,34,FALSE),
IF(OR(AND('Soil results'!I$7="ammonium nitrate (ADAS)",'Soil results'!I70&lt;=51),AND('Soil results'!I$7="modified Morgan (SAC)",'Soil results'!I70&lt;=61)),VLOOKUP(Calc!BI65,'Fertiliser recommendations'!$A$4:$AI$63,35,FALSE),
"")))))</f>
        <v/>
      </c>
      <c r="V67" s="91" t="str">
        <f t="shared" ca="1" si="3"/>
        <v/>
      </c>
      <c r="W67" s="9" t="str">
        <f ca="1">IF(B67="","",
IF(OR(T67="data missing",U67="data missing"),"data missing",
IF(Calc!BF65=0,"n/a",
IF(U67=0,"no requirement",
IF(T67&lt;0.1*U67,"no benefit",
IF(T67&lt;0.3*U67,"limited benefit",
IF(OR(T67&gt;1.5*U67,AND(Calc!BJ65="g",T67&gt;100)),"excessive",
"benefit")))))))</f>
        <v/>
      </c>
      <c r="Y67" s="91" t="str">
        <f ca="1">IF(B67="","",
IF(AND('Field information 2'!$O$5="", 'Field information 2'!$Q$5=""),
   IF('Waste results'!$P$23&lt;&gt;"", Calc!BC65*'Waste results'!$P$23, "no data"),
IF('Field information 2'!$Q$5="",
   IF(Calc!BD65=0,
     IF('Waste results'!$P$23&lt;&gt;"", Calc!BC65*'Waste results'!$P$23, "no data"),
   IF(Calc!BC65=0,
     IF('Waste results'!$P$59&lt;&gt;"", Calc!BD65*'Waste results'!$P$59, "no data"),
   IF(OR('Waste results'!$P$23&lt;&gt;"", 'Waste results'!$P$59&lt;&gt;""), Calc!BC65*'Waste results'!$P$23+ Calc!BD65*'Waste results'!$P$59, "no data"))),
IF(AND('Field information 2'!$M$5&lt;&gt;"", 'Field information 2'!$O$5&lt;&gt;"", 'Field information 2'!$Q$5&lt;&gt;""),
   IF(AND(Calc!BD65=0,Calc!BE65=0),
     IF('Waste results'!$P$23&lt;&gt;"", Calc!BC65*'Waste results'!$P$23, "no data"),
   IF(AND(Calc!BC65=0,Calc!BE65=0),
     IF('Waste results'!$P$59&lt;&gt;"", Calc!BD65*'Waste results'!$P$59, "no data"),
   IF(AND(Calc!BC65=0,Calc!BD65=0),
     IF('Waste results'!$P$95&lt;&gt;"", Calc!BE65*'Waste results'!$P$95, "no data"),
   IF(Calc!BE65=0,
     IF(OR('Waste results'!$P$23&lt;&gt;"", 'Waste results'!$P$59&lt;&gt;""), Calc!BC65*'Waste results'!$P$23+ Calc!BD65*'Waste results'!$P$59, "no data"),
   IF(Calc!BD65=0,
     IF(OR('Waste results'!$P$23&lt;&gt;"", 'Waste results'!$P$95&lt;&gt;""), Calc!BC65*'Waste results'!$P$23+ Calc!BE65*'Waste results'!$P$95, "no data"),
   IF(Calc!BC65=0,
     IF(OR('Waste results'!$P$59&lt;&gt;"", 'Waste results'!$P$95&lt;&gt;""), Calc!BD65*'Waste results'!$P$59+Calc!BE65*'Waste results'!$P$95, "no data"),
   IF(OR('Waste results'!$P$23&lt;&gt;"", 'Waste results'!$P$59&lt;&gt;"", 'Waste results'!$P$95&lt;&gt;""), Calc!BC65*'Waste results'!$P$23+Calc!BD65*'Waste results'!$P$59+ Calc!BE65*'Waste results'!$P$95, "no data")))))))))))</f>
        <v/>
      </c>
      <c r="Z67" s="7" t="str">
        <f ca="1">IF(OR(ISBLANK('Soil results'!I$7),ISBLANK('Soil results'!I70),'Soil results'!B70=""),"",
VLOOKUP(Calc!BI65,'Fertiliser recommendations'!$A$4:$AM$63,39,FALSE))</f>
        <v/>
      </c>
      <c r="AA67" s="91" t="str">
        <f t="shared" ca="1" si="4"/>
        <v/>
      </c>
      <c r="AB67" s="9" t="str">
        <f t="shared" ca="1" si="5"/>
        <v/>
      </c>
      <c r="AD67" s="48" t="str">
        <f>IF(ISBLANK('Soil results'!F70),"",'Soil results'!F70)</f>
        <v/>
      </c>
      <c r="AE67" s="49" t="str">
        <f ca="1">IF(B67="","",
IF(AND(Calc!BJ65="g", VLOOKUP(LEFT($B67,LEN($B67)-2),'Field information 2'!$B$12:$P$111,9,FALSE)&lt;&gt;"yes"),
 IF(Calc!BG65="10-25% OM", 5.9, IF(Calc!BG65="&gt;25% OM", 5.5, 6.2)),
IF(OR(Calc!BJ65="a", VLOOKUP(LEFT($B67,LEN($B67)-2),'Field information 2'!$B$12:$P$111,9,FALSE)="yes"),
 IF(Calc!BG65="10-25% OM", 6.4, IF(Calc!BG65="&gt;25% OM", 6, 6.7)), "")))</f>
        <v/>
      </c>
      <c r="AF67" s="91" t="str">
        <f ca="1">IF(B67="","",
IF('Waste results'!$Q$33="","no (significant) liming properties",
IF('Waste results'!Q$33&gt;100,"no (significant) liming properties",
IF(AD67="","",
IF(AD67&gt;=AE67,0,ROUNDDOWN((AE67-AD67)*Calc!BK65*'Waste results'!$Q$33+0.2,0))))))</f>
        <v/>
      </c>
      <c r="AG67" s="9" t="str">
        <f ca="1">IF(B67="","",
IF(T67=0,"n/a",
IF(AD67="","data missing",
IF(AND(AD67&lt;5,AF67="no (significant) liming properties"),"no waste application - pH too low",
IF(AND(AD67&gt;5.1,AF67="no (significant) liming properties",Calc!BH65&gt;25, LEFT(Calc!BI65,4)="graz"),"ok",
IF(AND(AD67&lt;=5.2,AF67="no (significant) liming properties"),"liming highly recommended",
IF(AF67=0,"no waste application - liming not required",
IF(AF67&lt;Calc!BC65,"application rate too high - exceeds liming requirement",
"ok"))))))))</f>
        <v/>
      </c>
      <c r="AI67" s="91" t="str">
        <f ca="1">IF(B67="","",
IF(AND('Field information 2'!$O$5="", 'Field information 2'!$Q$5=""),
   IF('Waste results'!$P$10&lt;&gt;"data missing", Calc!BC65*'Waste results'!$P$10, "data missing"),
IF('Field information 2'!$Q$5="",
   IF(Calc!BD65=0,
     IF('Waste results'!$P$10&lt;&gt;"data missing", Calc!BC65*'Waste results'!$P$10, "data missing"),
   IF(Calc!BC65=0,
     IF('Waste results'!$P$45&lt;&gt;"data missing", Calc!BD65*'Waste results'!$P$45, "data missing"),
   IF(OR('Waste results'!$P$10&lt;&gt;"data missing", 'Waste results'!$P$45&lt;&gt;"data missing"), Calc!BC65*'Waste results'!$P$10+ Calc!BD65*'Waste results'!$P$45, "data missing"))),
IF(AND('Field information 2'!$M$5&lt;&gt;"", 'Field information 2'!$O$5&lt;&gt;"", 'Field information 2'!$Q$5&lt;&gt;""),
   IF(AND(Calc!BD65=0,Calc!BE65=0),
     IF('Waste results'!$P$10&lt;&gt;"data missing", Calc!BC65*'Waste results'!$P$10, "data missing"),
   IF(AND(Calc!BC65=0,Calc!BE65=0),
     IF('Waste results'!$P$45&lt;&gt;"data missing", Calc!BD65*'Waste results'!$P$45, "data missing"),
   IF(AND(Calc!BC65=0,Calc!BD65=0),
     IF('Waste results'!$P$82&lt;&gt;"data missing", Calc!BE65*'Waste results'!$P$82, "data missing"),
   IF(Calc!BE65=0,
     IF(OR('Waste results'!$P$10&lt;&gt;"data missing", 'Waste results'!$P$45&lt;&gt;"data missing"), Calc!BC65*'Waste results'!$P$10+ Calc!BD65*'Waste results'!$P$45, "data missing"),
   IF(Calc!BD65=0,
     IF(OR('Waste results'!$P$10&lt;&gt;"data missing", 'Waste results'!$P$82&lt;&gt;"data missing"), Calc!BC65*'Waste results'!$P$10+ Calc!BE65*'Waste results'!$P$82, "data missing"),
   IF(Calc!BC65=0,
     IF(OR('Waste results'!$P$45&lt;&gt;"data missing", 'Waste results'!$P$82&lt;&gt;"data missing"), Calc!BD65*'Waste results'!$P$45+Calc!BE65*'Waste results'!$P$82, "data missing"),
   IF(OR('Waste results'!$P$10&lt;&gt;"data missing", 'Waste results'!$P$45&lt;&gt;"data missing", 'Waste results'!$P$82&lt;&gt;"data missing"), Calc!BC65*'Waste results'!$P$10+Calc!BD65*'Waste results'!$P$45+ Calc!BE65*'Waste results'!$P$82, "data missing")))))))))))</f>
        <v/>
      </c>
      <c r="AJ67" s="237" t="str">
        <f ca="1">IF(B67="","",
IF(AI67="data missing","data missing",
IF(Calc!BF65=0,"n/a",
IF(AND(Calc!BH65&gt;=8,AI67&lt;500),"no benefit",
IF(OR(AND(Calc!BH65&lt;=4,AI67&gt;=500),AND(Calc!BH65&lt;8,AI67&gt;5000)),"benefit",
"limited benefit")))))</f>
        <v/>
      </c>
      <c r="AL67" s="238" t="str">
        <f ca="1">IF(B67="","",
IF(AND('Field information 2'!$O$5="", 'Field information 2'!$Q$5=""),
   IF('Waste results'!$S$25&lt;&gt;"data missing", Calc!BC65*'Waste results'!$S$25, "data missing"),
IF('Field information 2'!$Q$5="",
   IF(Calc!BD65=0,
     IF('Waste results'!$S$25&lt;&gt;"data missing", Calc!BC65*'Waste results'!$S$25, "data missing"),
   IF(Calc!BC65=0,
     IF('Waste results'!$S$61&lt;&gt;"data missing", Calc!BD65*'Waste results'!$S$61, "data missing"),
   IF(OR('Waste results'!$S$25&lt;&gt;"data missing", 'Waste results'!$S$61&lt;&gt;"data missing"), Calc!BC65*'Waste results'!$S$25+ Calc!BD65*'Waste results'!$S$61, "data missing"))),
IF(AND('Field information 2'!$M$5&lt;&gt;"", 'Field information 2'!$O$5&lt;&gt;"", 'Field information 2'!$Q$5&lt;&gt;""),
   IF(AND(Calc!BD65=0,Calc!BE65=0),
     IF('Waste results'!$S$25&lt;&gt;"data missing", Calc!BC65*'Waste results'!$S$25, "data missing"),
   IF(AND(Calc!BC65=0,Calc!BE65=0),
     IF('Waste results'!$S$61&lt;&gt;"data missing", Calc!BD65*'Waste results'!$S$61, "data missing"),
   IF(AND(Calc!BC65=0,Calc!BD65=0),
     IF('Waste results'!$S$97&lt;&gt;"data missing", Calc!BE65*'Waste results'!$S$97, "data missing"),
   IF(Calc!BE65=0,
     IF(OR('Waste results'!$S$25&lt;&gt;"data missing", 'Waste results'!$S$61&lt;&gt;"data missing"), Calc!BC65*'Waste results'!$S$25+ Calc!BD65*'Waste results'!$S$61, "data missing"),
   IF(Calc!BD65=0,
     IF(OR('Waste results'!$S$25&lt;&gt;"data missing", 'Waste results'!$S$97&lt;&gt;"data missing"), Calc!BC65*'Waste results'!$S$25+ Calc!BE65*'Waste results'!$S$97, "data missing"),
   IF(Calc!BC65=0,
     IF(OR('Waste results'!$S$61&lt;&gt;"data missing", 'Waste results'!$S$97&lt;&gt;"data missing"), Calc!BD65*'Waste results'!$S$61+Calc!BE65*'Waste results'!$S$97, "data missing"),
   IF(OR('Waste results'!$S$25&lt;&gt;"data missing", 'Waste results'!$S$61&lt;&gt;"data missing", 'Waste results'!$S$97&lt;&gt;"data missing"), Calc!BC65*'Waste results'!$S$25+Calc!BD65*'Waste results'!$S$61+ Calc!BE65*'Waste results'!$S$97, "data missing")))))))))))</f>
        <v/>
      </c>
      <c r="AM67" s="239" t="str">
        <f ca="1">IF($B67="","",
IF(ISBLANK('Soil results'!K70),"data missing",'Soil results'!K70))</f>
        <v/>
      </c>
      <c r="AN67" s="239" t="str">
        <f t="shared" ca="1" si="6"/>
        <v/>
      </c>
      <c r="AO67" s="9" t="str">
        <f t="shared" ca="1" si="7"/>
        <v/>
      </c>
      <c r="AQ67" s="240" t="str">
        <f ca="1">IF(B67="","",
IF(AND('Field information 2'!$O$5="", 'Field information 2'!$Q$5=""),
   IF('Waste results'!$S$26&lt;&gt;"data missing", Calc!BC65*'Waste results'!$S$26, "data missing"),
IF('Field information 2'!$Q$5="",
   IF(Calc!BD65=0,
     IF('Waste results'!$S$26&lt;&gt;"data missing", Calc!BC65*'Waste results'!$S$26, "data missing"),
   IF(Calc!BC65=0,
     IF('Waste results'!$S$62&lt;&gt;"data missing", Calc!BD65*'Waste results'!$S$62, "data missing"),
   IF(OR('Waste results'!$S$26&lt;&gt;"data missing", 'Waste results'!$S$62&lt;&gt;"data missing"), Calc!BC65*'Waste results'!$S$26+ Calc!BD65*'Waste results'!$S$62, "data missing"))),
IF(AND('Field information 2'!$M$5&lt;&gt;"", 'Field information 2'!$O$5&lt;&gt;"", 'Field information 2'!$Q$5&lt;&gt;""),
   IF(AND(Calc!BD65=0,Calc!BE65=0),
     IF('Waste results'!$S$26&lt;&gt;"data missing", Calc!BC65*'Waste results'!$S$26, "data missing"),
   IF(AND(Calc!BC65=0,Calc!BE65=0),
     IF('Waste results'!$S$62&lt;&gt;"data missing", Calc!BD65*'Waste results'!$S$62, "data missing"),
   IF(AND(Calc!BC65=0,Calc!BD65=0),
     IF('Waste results'!$S$98&lt;&gt;"data missing", Calc!BE65*'Waste results'!$S$98, "data missing"),
   IF(Calc!BE65=0,
     IF(OR('Waste results'!$S$26&lt;&gt;"data missing", 'Waste results'!$S$62&lt;&gt;"data missing"), Calc!BC65*'Waste results'!$S$26+ Calc!BD65*'Waste results'!$S$62, "data missing"),
   IF(Calc!BD65=0,
     IF(OR('Waste results'!$S$26&lt;&gt;"data missing", 'Waste results'!$S$98&lt;&gt;"data missing"), Calc!BC65*'Waste results'!$S$26+ Calc!BE65*'Waste results'!$S$98, "data missing"),
   IF(Calc!BC65=0,
     IF(OR('Waste results'!$S$62&lt;&gt;"data missing", 'Waste results'!$S$98&lt;&gt;"data missing"), Calc!BD65*'Waste results'!$S$62+Calc!BE65*'Waste results'!$S$98, "data missing"),
   IF(OR('Waste results'!$S$26&lt;&gt;"data missing", 'Waste results'!$S$62&lt;&gt;"data missing", 'Waste results'!$S$98&lt;&gt;"data missing"), Calc!BC65*'Waste results'!$S$26+Calc!BD65*'Waste results'!$S$62+ Calc!BE65*'Waste results'!$S$98, "data missing")))))))))))</f>
        <v/>
      </c>
      <c r="AR67" s="241" t="str">
        <f ca="1">IF($B67="","",
IF(ISBLANK('Soil results'!L70),"data missing",'Soil results'!L70))</f>
        <v/>
      </c>
      <c r="AS67" s="241" t="str">
        <f t="shared" ca="1" si="8"/>
        <v/>
      </c>
      <c r="AT67" s="66" t="str">
        <f t="shared" ca="1" si="9"/>
        <v/>
      </c>
      <c r="AV67" s="238" t="str">
        <f ca="1">IF(B67="","",
IF(AND('Field information 2'!$O$5="", 'Field information 2'!$Q$5=""),
   IF('Waste results'!$S$27&lt;&gt;"data missing", Calc!BC65*'Waste results'!$S$27, "data missing"),
IF('Field information 2'!$Q$5="",
   IF(Calc!BD65=0,
     IF('Waste results'!$S$27&lt;&gt;"data missing", Calc!BC65*'Waste results'!$S$27, "data missing"),
   IF(Calc!BC65=0,
     IF('Waste results'!$S$63&lt;&gt;"data missing", Calc!BD65*'Waste results'!$S$63, "data missing"),
   IF(OR('Waste results'!$S$27&lt;&gt;"data missing", 'Waste results'!$S$63&lt;&gt;"data missing"), Calc!BC65*'Waste results'!$S$27+ Calc!BD65*'Waste results'!$S$63, "data missing"))),
IF(AND('Field information 2'!$M$5&lt;&gt;"", 'Field information 2'!$O$5&lt;&gt;"", 'Field information 2'!$Q$5&lt;&gt;""),
   IF(AND(Calc!BD65=0,Calc!BE65=0),
     IF('Waste results'!$S$27&lt;&gt;"data missing", Calc!BC65*'Waste results'!$S$27, "data missing"),
   IF(AND(Calc!BC65=0,Calc!BE65=0),
     IF('Waste results'!$S$63&lt;&gt;"data missing", Calc!BD65*'Waste results'!$S$63, "data missing"),
   IF(AND(Calc!BC65=0,Calc!BD65=0),
     IF('Waste results'!$S$99&lt;&gt;"data missing", Calc!BE65*'Waste results'!$S$99, "data missing"),
   IF(Calc!BE65=0,
     IF(OR('Waste results'!$S$27&lt;&gt;"data missing", 'Waste results'!$S$63&lt;&gt;"data missing"), Calc!BC65*'Waste results'!$S$27+ Calc!BD65*'Waste results'!$S$63, "data missing"),
   IF(Calc!BD65=0,
     IF(OR('Waste results'!$S$27&lt;&gt;"data missing", 'Waste results'!$S$99&lt;&gt;"data missing"), Calc!BC65*'Waste results'!$S$27+ Calc!BE65*'Waste results'!$S$99, "data missing"),
   IF(Calc!BC65=0,
     IF(OR('Waste results'!$S$63&lt;&gt;"data missing", 'Waste results'!$S$99&lt;&gt;"data missing"), Calc!BD65*'Waste results'!$S$63+Calc!BE65*'Waste results'!$S$99, "data missing"),
   IF(OR('Waste results'!$S$27&lt;&gt;"data missing", 'Waste results'!$S$63&lt;&gt;"data missing", 'Waste results'!$S$99&lt;&gt;"data missing"), Calc!BC65*'Waste results'!$S$27+Calc!BD65*'Waste results'!$S$63+ Calc!BE65*'Waste results'!$S$99, "data missing")))))))))))</f>
        <v/>
      </c>
      <c r="AW67" s="239" t="str">
        <f ca="1">IF($B67="","",
IF(ISBLANK('Soil results'!M70),"data missing",'Soil results'!M70))</f>
        <v/>
      </c>
      <c r="AX67" s="239" t="str">
        <f t="shared" ca="1" si="10"/>
        <v/>
      </c>
      <c r="AY67" s="9" t="str">
        <f ca="1">IF(B67="","",
IF(AV67=0,"n/a",
IF(OR(AV67="data missing",AW67="data missing"),"data missing",
IF(AV67&gt;7.5,"application rate too high - permissible rate exceeds limit",
IF('Soil results'!$F70&lt;=5.5,
  IF(AW67&gt;80,"no application - soil conc. already above limit",
  IF(AX67&gt;80,"application rate too high - soil conc. will exceed limit",
  IF(AW67&gt;80*0.9,"soil conc. is at or above 90% of the limit",
  IF(10*AV67*1000/3000+AW67&gt;80,"soil limit likely to be exceeded in 10yrs",
  IF(50*AV67*1000/3000+AW67&gt;80,"soil limit likely to be exceeded in 50yrs","ok"))))),
IF('Soil results'!$F70&lt;=6,
  IF(AW67&gt;100,"no application - soil conc. already above limit",
  IF(AX67&gt;100,"application rate too high - soil conc. will exceed limit",
  IF(AW67&gt;100*0.9,"soil conc. is at or above 90% of the limit",
  IF(10*AV67*1000/3000+AW67&gt;100,"soil limit likely to be exceeded in 10yrs",
  IF(50*AV67*1000/3000+AW67&gt;100,"soil limit likely to be exceeded in 50yrs","ok"))))),
IF('Soil results'!$F70&lt;=7,
  IF(AW67&gt;135,"no application - soil conc. already above limit",
  IF(AX67&gt;135,"application rate too high - soil conc. will exceed limit",
  IF(AW67&gt;135*0.9,"soil conc. is at or above 90% of the limit",
  IF(10*AV67*1000/3000+AW67&gt;135,"soil limit likely to be exceeded in 10yrs",
  IF(50*AV67*1000/3000+AW67&gt;135,"soil limit likely to be exceeded in 50yrs","ok"))))),
IF('Soil results'!$F70&gt;7,
  IF(AW67&gt;200,"no application - soil conc. already above limit",
  IF(AX67&gt;200,"application too high - soil conc. will exceed limit",
  IF(AW67&gt;200*0.9,"soil conc. is at or above 90% of the limit",
  IF(10*AV67*1000/3000+AW67&gt;200,"soil limit likely to be exceeded in 10yrs",
  IF(50*AV67*1000/3000+AW67&gt;200,"soil limit likely to be exceeded in 50yrs","ok")))))
))))))))</f>
        <v/>
      </c>
      <c r="BA67" s="238" t="str">
        <f ca="1">IF(B67="","",
IF(AND('Field information 2'!$O$5="", 'Field information 2'!$Q$5=""),
   IF('Waste results'!$S$28&lt;&gt;"data missing", Calc!BC65*'Waste results'!$S$28, "data missing"),
IF('Field information 2'!$Q$5="",
   IF(Calc!BD65=0,
     IF('Waste results'!$S$28&lt;&gt;"data missing", Calc!BC65*'Waste results'!$S$28, "data missing"),
   IF(Calc!BC65=0,
     IF('Waste results'!$S$64&lt;&gt;"data missing", Calc!BD65*'Waste results'!$S$64, "data missing"),
   IF(OR('Waste results'!$S$28&lt;&gt;"data missing", 'Waste results'!$S$64&lt;&gt;"data missing"), Calc!BC65*'Waste results'!$S$28+ Calc!BD65*'Waste results'!$S$64, "data missing"))),
IF(AND('Field information 2'!$M$5&lt;&gt;"", 'Field information 2'!$O$5&lt;&gt;"", 'Field information 2'!$Q$5&lt;&gt;""),
   IF(AND(Calc!BD65=0,Calc!BE65=0),
     IF('Waste results'!$S$28&lt;&gt;"data missing", Calc!BC65*'Waste results'!$S$28, "data missing"),
   IF(AND(Calc!BC65=0,Calc!BE65=0),
     IF('Waste results'!$S$64&lt;&gt;"data missing", Calc!BD65*'Waste results'!$S$64, "data missing"),
   IF(AND(Calc!BC65=0,Calc!BD65=0),
     IF('Waste results'!$S$100&lt;&gt;"data missing", Calc!BE65*'Waste results'!$S$100, "data missing"),
   IF(Calc!BE65=0,
     IF(OR('Waste results'!$S$28&lt;&gt;"data missing", 'Waste results'!$S$64&lt;&gt;"data missing"), Calc!BC65*'Waste results'!$S$28+ Calc!BD65*'Waste results'!$S$64, "data missing"),
   IF(Calc!BD65=0,
     IF(OR('Waste results'!$S$28&lt;&gt;"data missing", 'Waste results'!$S$100&lt;&gt;"data missing"), Calc!BC65*'Waste results'!$S$28+ Calc!BE65*'Waste results'!$S$100, "data missing"),
   IF(Calc!BC65=0,
     IF(OR('Waste results'!$S$64&lt;&gt;"data missing", 'Waste results'!$S$100&lt;&gt;"data missing"), Calc!BD65*'Waste results'!$S$64+Calc!BE65*'Waste results'!$S$100, "data missing"),
   IF(OR('Waste results'!$S$28&lt;&gt;"data missing", 'Waste results'!$S$64&lt;&gt;"data missing", 'Waste results'!$S$100&lt;&gt;"data missing"), Calc!BC65*'Waste results'!$S$28+Calc!BD65*'Waste results'!$S$64+ Calc!BE65*'Waste results'!$S$100, "data missing")))))))))))</f>
        <v/>
      </c>
      <c r="BB67" s="239" t="str">
        <f ca="1">IF($B67="","",
IF(ISBLANK('Soil results'!N70),"data missing",'Soil results'!N70))</f>
        <v/>
      </c>
      <c r="BC67" s="239" t="str">
        <f t="shared" ca="1" si="11"/>
        <v/>
      </c>
      <c r="BD67" s="9" t="str">
        <f t="shared" ca="1" si="12"/>
        <v/>
      </c>
      <c r="BF67" s="238" t="str">
        <f ca="1">IF(B67="","",
IF(AND('Field information 2'!$O$5="", 'Field information 2'!$Q$5=""),
   IF('Waste results'!$S$29&lt;&gt;"data missing", Calc!BC65*'Waste results'!$S$29, "data missing"),
IF('Field information 2'!$Q$5="",
   IF(Calc!BD65=0,
     IF('Waste results'!$S$29&lt;&gt;"data missing", Calc!BC65*'Waste results'!$S$29, "data missing"),
   IF(Calc!BC65=0,
     IF('Waste results'!$S$65&lt;&gt;"data missing", Calc!BD65*'Waste results'!$S$65, "data missing"),
   IF(OR('Waste results'!$S$29&lt;&gt;"data missing", 'Waste results'!$S$65&lt;&gt;"data missing"), Calc!BC65*'Waste results'!$S$29+ Calc!BD65*'Waste results'!$S$65, "data missing"))),
IF(AND('Field information 2'!$M$5&lt;&gt;"", 'Field information 2'!$O$5&lt;&gt;"", 'Field information 2'!$Q$5&lt;&gt;""),
   IF(AND(Calc!BD65=0,Calc!BE65=0),
     IF('Waste results'!$S$29&lt;&gt;"data missing", Calc!BC65*'Waste results'!$S$29, "data missing"),
   IF(AND(Calc!BC65=0,Calc!BE65=0),
     IF('Waste results'!$S$65&lt;&gt;"data missing", Calc!BD65*'Waste results'!$S$65, "data missing"),
   IF(AND(Calc!BC65=0,Calc!BD65=0),
     IF('Waste results'!$S$101&lt;&gt;"data missing", Calc!BE65*'Waste results'!$S$101, "data missing"),
   IF(Calc!BE65=0,
     IF(OR('Waste results'!$S$29&lt;&gt;"data missing", 'Waste results'!$S$65&lt;&gt;"data missing"), Calc!BC65*'Waste results'!$S$29+ Calc!BD65*'Waste results'!$S$65, "data missing"),
   IF(Calc!BD65=0,
     IF(OR('Waste results'!$S$29&lt;&gt;"data missing", 'Waste results'!$S$101&lt;&gt;"data missing"), Calc!BC65*'Waste results'!$S$29+ Calc!BE65*'Waste results'!$S$101, "data missing"),
   IF(Calc!BC65=0,
     IF(OR('Waste results'!$S$65&lt;&gt;"data missing", 'Waste results'!$S$101&lt;&gt;"data missing"), Calc!BD65*'Waste results'!$S$65+Calc!BE65*'Waste results'!$S$101, "data missing"),
   IF(OR('Waste results'!$S$29&lt;&gt;"data missing", 'Waste results'!$S$65&lt;&gt;"data missing", 'Waste results'!$S$101&lt;&gt;"data missing"), Calc!BC65*'Waste results'!$S$29+Calc!BD65*'Waste results'!$S$65+ Calc!BE65*'Waste results'!$S$101, "data missing")))))))))))</f>
        <v/>
      </c>
      <c r="BG67" s="239" t="str">
        <f ca="1">IF($B67="","",
IF(ISBLANK('Soil results'!O70),"data missing",'Soil results'!O70))</f>
        <v/>
      </c>
      <c r="BH67" s="239" t="str">
        <f t="shared" ca="1" si="13"/>
        <v/>
      </c>
      <c r="BI67" s="9" t="str">
        <f ca="1">IF(B67="","",
IF(BF67=0,"n/a",
IF(OR(BF67="data missing",BG67="data missing"),"data missing",
IF(BF67&gt;3,"application rate too high - permissible rate exceeds limit",
IF('Soil results'!F70&lt;=5.5,
  IF(BG67&gt;50,"no application - soil conc. already above limit",
  IF(BH67&gt;50,"application rate too high - soil conc. will exceed limit",
  IF(BG67&gt;50*0.9,"soil conc. is at or above 90% of the limit",
  IF(10*BF67*1000/3000+BG67&gt;50,"soil limit likely to be exceeded in 10yrs",
  IF(50*BF67*1000/3000+BG67&gt;50,"soil limit likely to be exceeded in 50yrs","ok"))))),
IF('Soil results'!F70&lt;=6,
  IF(BG67&gt;60,"no application - soil conc. already above limit",
  IF(BH67&gt;60,"application rate too high - soil conc. will exceed limit",
  IF(BG67&gt;60*0.9,"soil conc. is at or above 90% of the limit",
  IF(10*BF67*1000/3000+BG67&gt;60,"soil limit likely to be exceeded in 10yrs",
  IF(50*BF67*1000/3000+BG67&gt;60,"soil limit likely to be exceeded in 50yrs","ok"))))),
IF('Soil results'!F70&lt;=7,
  IF(BG67&gt;75,"no application - soil conc. already above limit",
  IF(BH67&gt;75,"application rate too high - soil conc. will exceed limit",
  IF(BG67&gt;75*0.9,"soil conc. is at or above 90% of the limit",
  IF(10*BF67*1000/3000+BG67&gt;75,"soil limit likely to be exceeded in 10yrs",
  IF(50*BF67*1000/3000+BG67&gt;75,"soil limit likely to be exceeded in 50yrs","ok"))))),
IF('Soil results'!F70&gt;7,
  IF(BG67&gt;100,"no application - soil conc. already above limit",
  IF(BH67&gt;100,"application rate too high - soil conc. will exceed limit",
  IF(BG67&gt;100*0.9,"soil conc. is at or above 90% of the limit",
  IF(10*BF67*1000/3000+BG67&gt;100,"soil limit likely to be exceeded in 10yrs",
  IF(50*BF67*1000/3000+BG67&gt;100,"soil limit likely to beexceeded in 50yrs","ok")))))
))))))))</f>
        <v/>
      </c>
      <c r="BK67" s="240" t="str">
        <f ca="1">IF(B67="","",
IF(AND('Field information 2'!$O$5="", 'Field information 2'!$Q$5=""),
   IF('Waste results'!$S$30&lt;&gt;"data missing", Calc!BC65*'Waste results'!$S$30, "data missing"),
IF('Field information 2'!$Q$5="",
   IF(Calc!BD65=0,
     IF('Waste results'!$S$30&lt;&gt;"data missing", Calc!BC65*'Waste results'!$S$30, "data missing"),
   IF(Calc!BC65=0,
     IF('Waste results'!$S$66&lt;&gt;"data missing", Calc!BD65*'Waste results'!$S$66, "data missing"),
   IF(OR('Waste results'!$S$30&lt;&gt;"data missing", 'Waste results'!$S$66&lt;&gt;"data missing"), Calc!BC65*'Waste results'!$S$30+ Calc!BD65*'Waste results'!$S$66, "data missing"))),
IF(AND('Field information 2'!$M$5&lt;&gt;"", 'Field information 2'!$O$5&lt;&gt;"", 'Field information 2'!$Q$5&lt;&gt;""),
   IF(AND(Calc!BD65=0,Calc!BE65=0),
     IF('Waste results'!$S$30&lt;&gt;"data missing", Calc!BC65*'Waste results'!$S$30, "data missing"),
   IF(AND(Calc!BC65=0,Calc!BE65=0),
     IF('Waste results'!$S$66&lt;&gt;"data missing", Calc!BD65*'Waste results'!$S$66, "data missing"),
   IF(AND(Calc!BC65=0,Calc!BD65=0),
     IF('Waste results'!$S$102&lt;&gt;"data missing", Calc!BE65*'Waste results'!$S$102, "data missing"),
   IF(Calc!BE65=0,
     IF(OR('Waste results'!$S$30&lt;&gt;"data missing", 'Waste results'!$S$66&lt;&gt;"data missing"), Calc!BC65*'Waste results'!$S$30+ Calc!BD65*'Waste results'!$S$66, "data missing"),
   IF(Calc!BD65=0,
     IF(OR('Waste results'!$S$30&lt;&gt;"data missing", 'Waste results'!$S$102&lt;&gt;"data missing"), Calc!BC65*'Waste results'!$S$30+ Calc!BE65*'Waste results'!$S$102, "data missing"),
   IF(Calc!BC65=0,
     IF(OR('Waste results'!$S$66&lt;&gt;"data missing", 'Waste results'!$S$102&lt;&gt;"data missing"), Calc!BD65*'Waste results'!$S$66+Calc!BE65*'Waste results'!$S$102, "data missing"),
   IF(OR('Waste results'!$S$30&lt;&gt;"data missing", 'Waste results'!$S$66&lt;&gt;"data missing", 'Waste results'!$S$102&lt;&gt;"data missing"), Calc!BC65*'Waste results'!$S$30+Calc!BD65*'Waste results'!$S$66+ Calc!BE65*'Waste results'!$S$102, "data missing")))))))))))</f>
        <v/>
      </c>
      <c r="BL67" s="241" t="str">
        <f ca="1">IF($B67="","",
IF(ISBLANK('Soil results'!P70),"data missing",'Soil results'!P70))</f>
        <v/>
      </c>
      <c r="BM67" s="241" t="str">
        <f t="shared" ca="1" si="14"/>
        <v/>
      </c>
      <c r="BN67" s="66" t="str">
        <f t="shared" ca="1" si="15"/>
        <v/>
      </c>
      <c r="BP67" s="238" t="str">
        <f ca="1">IF(B67="","",
IF(AND('Field information 2'!$O$5="", 'Field information 2'!$Q$5=""),
   IF('Waste results'!$S$31&lt;&gt;"data missing", Calc!BC65*'Waste results'!$S$31, "data missing"),
IF('Field information 2'!$Q$5="",
   IF(Calc!BD65=0,
     IF('Waste results'!$S$31&lt;&gt;"data missing", Calc!BC65*'Waste results'!$S$31, "data missing"),
   IF(Calc!BC65=0,
     IF('Waste results'!$S$67&lt;&gt;"data missing", Calc!BD65*'Waste results'!$S$67, "data missing"),
   IF(OR('Waste results'!$S$31&lt;&gt;"data missing", 'Waste results'!$S$67&lt;&gt;"data missing"), Calc!BC65*'Waste results'!$S$31+ Calc!BD65*'Waste results'!$S$67, "data missing"))),
IF(AND('Field information 2'!$M$5&lt;&gt;"", 'Field information 2'!$O$5&lt;&gt;"", 'Field information 2'!$Q$5&lt;&gt;""),
   IF(AND(Calc!BD65=0,Calc!BE65=0),
     IF('Waste results'!$S$31&lt;&gt;"data missing", Calc!BC65*'Waste results'!$S$31, "data missing"),
   IF(AND(Calc!BC65=0,Calc!BE65=0),
     IF('Waste results'!$S$67&lt;&gt;"data missing", Calc!BD65*'Waste results'!$S$67, "data missing"),
   IF(AND(Calc!BC65=0,Calc!BD65=0),
     IF('Waste results'!$S$103&lt;&gt;"data missing", Calc!BE65*'Waste results'!$S$103, "data missing"),
   IF(Calc!BE65=0,
     IF(OR('Waste results'!$S$31&lt;&gt;"data missing", 'Waste results'!$S$67&lt;&gt;"data missing"), Calc!BC65*'Waste results'!$S$31+ Calc!BD65*'Waste results'!$S$67, "data missing"),
   IF(Calc!BD65=0,
     IF(OR('Waste results'!$S$31&lt;&gt;"data missing", 'Waste results'!$S$103&lt;&gt;"data missing"), Calc!BC65*'Waste results'!$S$31+ Calc!BE65*'Waste results'!$S$103, "data missing"),
   IF(Calc!BC65=0,
     IF(OR('Waste results'!$S$67&lt;&gt;"data missing", 'Waste results'!$S$103&lt;&gt;"data missing"), Calc!BD65*'Waste results'!$S$67+Calc!BE65*'Waste results'!$S$103, "data missing"),
   IF(OR('Waste results'!$S$31&lt;&gt;"data missing", 'Waste results'!$S$67&lt;&gt;"data missing", 'Waste results'!$S$103&lt;&gt;"data missing"), Calc!BC65*'Waste results'!$S$31+Calc!BD65*'Waste results'!$S$67+ Calc!BE65*'Waste results'!$S$103, "data missing")))))))))))</f>
        <v/>
      </c>
      <c r="BQ67" s="239" t="str">
        <f ca="1">IF($B67="","",
IF(ISBLANK('Soil results'!Q70),"data missing",'Soil results'!Q70))</f>
        <v/>
      </c>
      <c r="BR67" s="239" t="str">
        <f t="shared" ca="1" si="16"/>
        <v/>
      </c>
      <c r="BS67" s="9" t="str">
        <f ca="1">IF(B67="","",
IF(BP67=0,"n/a",
IF(OR(BP67="data missing",BQ67=""),"data missing",
IF(BP67&gt;15,"application rate too high - permissible rate exceeds limit",
IF('Soil results'!F70&lt;=5.5,
  IF(BQ67&gt;200,"no application - soil conc. already above limit",
  IF(BR67&gt;200,"application rate too high - soil conc. will exceed limit",
  IF(BQ67&gt;200*0.9,"soil conc. is at or above 90% of the limit",
  IF(10*BP67*1000/3000+BQ67&gt;200,"soil limit likely to be exceeded in 10yrs",
  IF(50*BP67*1000/3000+BQ67&gt;200,"soil limit likely to be exceeded in 50yrs","ok"))))),
IF('Soil results'!F70&lt;=6,
  IF(BQ67&gt;250,"no application - soil conc. already above limit",
  IF(BR67&gt;250,"application rate too high - soil conc. will exceed limit",
  IF(BQ67&gt;250*0.9,"soil conc. is at or above 90% of the limit",
  IF(10*BP67*1000/3000+BQ67&gt;250,"soil limit likely to be exceeded in 10yrs",
  IF(50*BP67*1000/3000+BQ67&gt;250,"soil limit likely to be exceeded in 50yrs","ok"))))),
IF('Soil results'!F70&lt;=7,
  IF(BQ67&gt;300,"no application - soil conc. already above limit",
  IF(BR67&gt;300,"application rate too high - soil conc. will exceed limit",
  IF(BQ67&gt;300*0.9,"soil conc. is at or above 90% of the limit",
  IF(10*BP67*1000/3000+BQ67&gt;300,"soil limit likey to be exceeded in 10yrs",
  IF(50*BP67*1000/3000+BQ67&gt;300,"soil limit likely to be exceeded in 50yrs","ok"))))),
IF('Soil results'!F70&gt;7,
  IF(BQ67&gt;450,"no application - soil conc. already above limit",
  IF(BR67&gt;450,"application rate too high - soil conc. will exceed limit",
  IF(AW67&gt;450*0.9,"soil conc. is at or above 90% of the limit",
  IF(10*BP67*1000/3000+BQ67&gt;450,"soil limit likely to be exceeded in 10yrs",
  IF(50*BP67*1000/3000+BQ67&gt;450,"soil limit likely to be exceeded in 50yrs","ok")))))
))))))))</f>
        <v/>
      </c>
    </row>
    <row r="68" spans="2:71" s="9" customFormat="1" ht="15" x14ac:dyDescent="0.25">
      <c r="B68" s="236" t="str">
        <f ca="1">'Soil results'!B71</f>
        <v/>
      </c>
      <c r="C68" s="91" t="str">
        <f ca="1">IF(B68="","",
IF(AND('Field information 2'!$O$5="", 'Field information 2'!$Q$5=""),
   IF('Waste results'!$S$12&lt;&gt;"data missing", Calc!BC66*'Waste results'!$S$12, "data missing"),
IF('Field information 2'!$Q$5="",
   IF(Calc!BD66=0,
     IF('Waste results'!$S$12&lt;&gt;"data missing", Calc!BC66*'Waste results'!$S$12, "data missing"),
   IF(Calc!BC66=0,
     IF('Waste results'!$S$48&lt;&gt;"data missing", Calc!BD66*'Waste results'!$S$48, "data missing"),
   IF(OR('Waste results'!$S$12&lt;&gt;"data missing", 'Waste results'!$S$48&lt;&gt;"data missing"), Calc!BC66*'Waste results'!$S$12+ Calc!BD66*'Waste results'!$S$48, "data missing"))),
IF(AND('Field information 2'!$M$5&lt;&gt;"", 'Field information 2'!$O$5&lt;&gt;"", 'Field information 2'!$Q$5&lt;&gt;""),
   IF(AND(Calc!BD66=0,Calc!BE66=0),
     IF('Waste results'!$S$12&lt;&gt;"data missing", Calc!BC66*'Waste results'!$S$12, "data missing"),
   IF(AND(Calc!BC66=0,Calc!BE66=0),
     IF('Waste results'!$S$48&lt;&gt;"data missing", Calc!BD66*'Waste results'!$S$48, "data missing"),
   IF(AND(Calc!BC66=0,Calc!BD66=0),
     IF('Waste results'!$S$84&lt;&gt;"data missing", Calc!BE66*'Waste results'!$S$84, "data missing"),
   IF(Calc!BE66=0,
     IF(OR('Waste results'!$S$12&lt;&gt;"data missing", 'Waste results'!$S$48&lt;&gt;"data missing"), Calc!BC66*'Waste results'!$S$12+ Calc!BD66*'Waste results'!$S$48, "data missing"),
   IF(Calc!BD66=0,
     IF(OR('Waste results'!$S$12&lt;&gt;"data missing", 'Waste results'!$S$84&lt;&gt;"data missing"), Calc!BC66*'Waste results'!$S$12+ Calc!BE66*'Waste results'!$S$84, "data missing"),
   IF(Calc!BC66=0,
     IF(OR('Waste results'!$S$48&lt;&gt;"data missing", 'Waste results'!$S$84&lt;&gt;"data missing"), Calc!BD66*'Waste results'!$S$48+Calc!BE66*'Waste results'!$S$84, "data missing"),
   IF(OR('Waste results'!$S$12&lt;&gt;"data missing", 'Waste results'!$S$48&lt;&gt;"data missing", 'Waste results'!$S$84&lt;&gt;"data missing"), Calc!BC66*'Waste results'!$S$12+Calc!BD66*'Waste results'!$S$48+ Calc!BE66*'Waste results'!$S$84, "data missing")))))))))))</f>
        <v/>
      </c>
      <c r="D68" s="161" t="str">
        <f ca="1">IF(B68="","",
IF(Calc!BG66="","soil texture missing",
IF(OR(Calc!BG66="SL; SZL; ZL",Calc!BG66="SCL; CL; ZCL; SC; ZC; C"),VLOOKUP(Calc!BI66,'Fertiliser recommendations'!$A$4:$C$63,3,FALSE),
IF(Calc!BG66="S; LS",VLOOKUP(Calc!BI66,'Fertiliser recommendations'!$A$4:$C$63,3,FALSE)+VLOOKUP(Calc!BI66,'Fertiliser recommendations'!$A$4:$D$63,4,FALSE),
IF(Calc!BG66="10-25% OM",VLOOKUP(Calc!BI66,'Fertiliser recommendations'!$A$4:$C$63,3,FALSE)+VLOOKUP(Calc!BI66,'Fertiliser recommendations'!$A$4:$E$63,5,FALSE),
IF(Calc!BG66="&gt;25% OM",VLOOKUP(Calc!BI66,'Fertiliser recommendations'!$A$4:$C$63,3,FALSE)+VLOOKUP(Calc!BI66,'Fertiliser recommendations'!$A$4:$F$63,6,FALSE),
""))))))</f>
        <v/>
      </c>
      <c r="E68" s="91" t="str">
        <f t="shared" ca="1" si="0"/>
        <v/>
      </c>
      <c r="F68" s="9" t="str">
        <f ca="1">IF(B68="","",
IF(OR(C68="data missing",D68="soil texture missing"),"data missing",
IF(Calc!BF66=0,"n/a",
IF(C68&lt;0.1*D68,"no benefit",
IF(C68&lt;0.3*D68,"limited benefit",
IF(C68&gt;250,"exceeds limit",
IF(OR(AND(D68=0,C68&gt;75),C68&gt;1.25*D68),"excessive",
IF(D68=0, "no requirement",
"benefit"))))))))</f>
        <v/>
      </c>
      <c r="H68" s="91" t="str">
        <f ca="1">IF(B68="","",
IF(AND('Field information 2'!$O$5="", 'Field information 2'!$Q$5=""),
   IF('Waste results'!$S$17&lt;&gt;"data missing", Calc!BC66*'Waste results'!$S$17, "data missing"),
IF('Field information 2'!$Q$5="",
   IF(Calc!BD66=0,
     IF('Waste results'!$S$17&lt;&gt;"data missing", Calc!BC66*'Waste results'!$S$17, "data missing"),
   IF(Calc!BC66=0,
     IF('Waste results'!$S$53&lt;&gt;"data missing", Calc!BD66*'Waste results'!$S$53, "data missing"),
   IF(OR('Waste results'!$S$17&lt;&gt;"data missing", 'Waste results'!$S$53&lt;&gt;"data missing"), Calc!BC66*'Waste results'!$S$17+ Calc!BD66*'Waste results'!$S$53, "data missing"))),
IF(AND('Field information 2'!$M$5&lt;&gt;"", 'Field information 2'!$O$5&lt;&gt;"", 'Field information 2'!$Q$5&lt;&gt;""),
   IF(AND(Calc!BD66=0,Calc!BE66=0),
     IF('Waste results'!$S$17&lt;&gt;"data missing", Calc!BC66*'Waste results'!$S$17, "data missing"),
   IF(AND(Calc!BC66=0,Calc!BE66=0),
     IF('Waste results'!$S$53&lt;&gt;"data missing", Calc!BD66*'Waste results'!$S$53, "data missing"),
   IF(AND(Calc!BC66=0,Calc!BD66=0),
     IF('Waste results'!$S$89&lt;&gt;"data missing", Calc!BE66*'Waste results'!$S$89, "data missing"),
   IF(Calc!BE66=0,
     IF(OR('Waste results'!$S$17&lt;&gt;"data missing", 'Waste results'!$S$53&lt;&gt;"data missing"), Calc!BC66*'Waste results'!$S$17+ Calc!BD66*'Waste results'!$S$53, "data missing"),
   IF(Calc!BD66=0,
     IF(OR('Waste results'!$S$17&lt;&gt;"data missing", 'Waste results'!$S$89&lt;&gt;"data missing"), Calc!BC66*'Waste results'!$S$17+ Calc!BE66*'Waste results'!$S$89, "data missing"),
   IF(Calc!BC66=0,
     IF(OR('Waste results'!$S$53&lt;&gt;"data missing", 'Waste results'!$S$89&lt;&gt;"data missing"), Calc!BD66*'Waste results'!$S$53+Calc!BE66*'Waste results'!$S$89, "data missing"),
   IF(OR('Waste results'!$S$17&lt;&gt;"data missing", 'Waste results'!$S$53&lt;&gt;"data missing", 'Waste results'!$S$89&lt;&gt;"data missing"), Calc!BC66*'Waste results'!$S$17+Calc!BD66*'Waste results'!$S$53+ Calc!BE66*'Waste results'!$S$89, "data missing")))))))))))</f>
        <v/>
      </c>
      <c r="I68" s="195" t="str">
        <f ca="1">IF(B68="","",
IF(OR(ISBLANK('Soil results'!G71), ISBLANK('Soil results'!G$7)),"data missing",
IF(OR(AND('Soil results'!G$7="Olsen (ADAS)",'Soil results'!G71&lt;16),AND('Soil results'!G$7="modified Morgan (SAC)",'Soil results'!G71&lt;4.5)),50,100)))</f>
        <v/>
      </c>
      <c r="J68" s="49" t="str">
        <f ca="1">IF(B68="","",
IF(OR(ISBLANK('Soil results'!G$7),ISBLANK('Soil results'!G71)),"data missing",
IF(OR(AND('Soil results'!G$7="Olsen (ADAS)",'Soil results'!G71&gt;45),AND('Soil results'!G$7="modified Morgan (SAC)",'Soil results'!G71&gt;30)),0,
IF(OR(AND('Soil results'!G$7="Olsen (ADAS)",'Soil results'!G71&gt;=16,'Soil results'!G71&lt;=20),AND('Soil results'!G$7="modified Morgan (SAC)",'Soil results'!G71&gt;=4.5,'Soil results'!G71&lt;=9.4)),VLOOKUP(Calc!BI66,'Fertiliser recommendations'!$A$4:$I$63,9,FALSE),
IF(OR(AND('Soil results'!G$7="Olsen (ADAS)",'Soil results'!G71&lt;10),AND('Soil results'!G$7="modified Morgan (SAC)",'Soil results'!G71&lt;1.8)),VLOOKUP(Calc!BI66,'Fertiliser recommendations'!$A$4:$I$63,9,FALSE)+VLOOKUP(Calc!BI66,'Fertiliser recommendations'!$A$4:$J$63,10,FALSE),
IF(OR(AND('Soil results'!G$7="Olsen (ADAS)",'Soil results'!G71&lt;16),AND('Soil results'!G$7="modified Morgan (SAC)",'Soil results'!G71&lt;4.5)),VLOOKUP(Calc!BI66,'Fertiliser recommendations'!$A$4:$I$63,9,FALSE)+VLOOKUP(Calc!BI66,'Fertiliser recommendations'!$A$4:$K$63,11,FALSE),
IF(OR(AND('Soil results'!G$7="Olsen (ADAS)",'Soil results'!G71&lt;26),AND('Soil results'!G$7="modified Morgan (SAC)",'Soil results'!G71&lt;13.5)),VLOOKUP(Calc!BI66,'Fertiliser recommendations'!$A$4:$I$63,9,FALSE)+VLOOKUP(Calc!BI66,'Fertiliser recommendations'!$A$4:$L$63,12,FALSE),
IF(OR(AND('Soil results'!G$7="Olsen (ADAS)",'Soil results'!G71&lt;=45),AND('Soil results'!G$7="modified Morgan (SAC)",'Soil results'!G71&lt;=30)),VLOOKUP(Calc!BI66,'Fertiliser recommendations'!$A$4:$I$63,9,FALSE)+VLOOKUP(Calc!BI66,'Fertiliser recommendations'!$A$4:$M$63,13,FALSE),
""))))))))</f>
        <v/>
      </c>
      <c r="K68" s="161" t="str">
        <f t="shared" ca="1" si="1"/>
        <v/>
      </c>
      <c r="L68" s="47" t="str">
        <f ca="1">IF(OR(ISBLANK('Soil results'!G$7),ISBLANK('Soil results'!G71),B68="", H68="data missing"),"",
IF('Soil results'!G$7="Olsen (ADAS)",
IF(((H68*Calc!BM66/2.291-(VLOOKUP(Calc!BI66,'Fertiliser recommendations'!$A$4:$I$63,9,FALSE))/2.291)*10/(400/2.291)+'Soil results'!G71)&lt;10,"0 (VL)",
IF(((H68*Calc!BM66/2.291-(VLOOKUP(Calc!BI66,'Fertiliser recommendations'!$A$4:$I$63,9,FALSE))/2.291)*10/(400/2.291)+'Soil results'!G71)&lt;16,"1 (L)",
IF(((H68*Calc!BM66/2.291-(VLOOKUP(Calc!BI66,'Fertiliser recommendations'!$A$4:$I$63,9,FALSE))/2.291)*10/(400/2.291)+'Soil results'!G71)&lt;21,"2 (M-)",
IF(((H68*Calc!BM66/2.291-(VLOOKUP(Calc!BI66,'Fertiliser recommendations'!$A$4:$I$63,9,FALSE))/2.291)*10/(400/2.291)+'Soil results'!G71)&lt;26,"2 (M+)",
IF(((H68*Calc!BM66/2.291-(VLOOKUP(Calc!BI66,'Fertiliser recommendations'!$A$4:$I$63,9,FALSE))/2.291)*10/(400/2.291)+'Soil results'!G71)&lt;45,"3 (H)","&gt;3 (VH)"))))),
IF('Soil results'!G$7="modified Morgan (SAC)",
IF('Soil results'!G71&gt;=6,
IF(((H68*Calc!BM66/2.291-(VLOOKUP(Calc!BI66,'Fertiliser recommendations'!$A$4:$I$63,9,FALSE))/2.291)*5/(147/2.291)+'Soil results'!G71)&lt;9.5,"2 (M-)",
IF(((H68*Calc!BM66/2.291-(VLOOKUP(Calc!BI66,'Fertiliser recommendations'!$A$4:$I$63,9,FALSE))/2.291)*5/(147/2.291)+'Soil results'!G71)&lt;13.5,"2 (M+)",
IF(((H68*Calc!BM66/2.291-(VLOOKUP(Calc!BI66,'Fertiliser recommendations'!$A$4:$I$63,9,FALSE))/2.291)*5/(147/2.291)+'Soil results'!G71)&lt;30,"3 (H)","4 (VH)"))),
IF(((H68*Calc!BM66/2.291-(VLOOKUP(Calc!BI66,'Fertiliser recommendations'!$A$4:$I$63,9,FALSE))/2.291)*5/(346/2.291)+'Soil results'!G71)&lt;1.8,"0 (VL)",
IF(((H68*Calc!BM66/2.291-(VLOOKUP(Calc!BI66,'Fertiliser recommendations'!$A$4:$I$63,9,FALSE))/2.291)*5/(147/2.291)+'Soil results'!G71)&lt;4.5,"1 (L)","2 (M-)"))))))</f>
        <v/>
      </c>
      <c r="M68" s="9" t="str">
        <f ca="1">IF(B68="","",
IF(OR(H68="data missing",I68="data missing",J68="data missing"),"data missing",
IF(Calc!BF66=0,"n/a",
IF(OR(AND('Soil results'!G$7="Olsen (ADAS)",'Soil results'!G71&gt;45),AND('Soil results'!G$7="modified Morgan (SAC)",'Soil results'!G71&gt;30)),
IF(H68&gt;2,"too high, not acceptable","no requirement"),IF(OR(AND('Soil results'!G$7="Olsen (ADAS)",'Soil results'!G71&gt;25),AND('Soil results'!G$7="modified Morgan (SAC)",'Soil results'!G71&gt;13.4)),
IF(H68*(I68/100)&lt;0.1*J68,"no benefit",
IF(H68*(I68/100)&lt;0.3*J68,"limited benefit",
IF(H68*(I68/100)&lt;1.1*J68,"benefit",
IF(H68*(I68/100)&lt;0.7*VLOOKUP(Calc!BI66,'Fertiliser recommendations'!$A$4:$I$63,9,FALSE),"excessive","too high, not acceptable")))),
IF(OR(AND('Soil results'!G$7="Olsen (ADAS)",'Soil results'!G71&gt;20),AND('Soil results'!G$7="modified Morgan (SAC)",'Soil results'!G71&gt;9.4)),
IF(H68*Calc!BM66*(I68/100)&lt;0.1*J68,"no benefit",
IF(H68*Calc!BM66*(I68/100)&lt;0.3*J68,"limited benefit",
IF(H68*Calc!BM66*(I68/100)&lt;1.1*J68,"benefit",
IF(L68="3 (H)","too high, not acceptable","excessive")))),
IF(OR(AND('Soil results'!G$7="Olsen (ADAS)",'Soil results'!G71&gt;15),AND('Soil results'!G$7="modified Morgan (SAC)",'Soil results'!G71&gt;4.4)),
IF(H68*Calc!BM66*(I68/100)&lt;0.1*VLOOKUP(Calc!BI66,'Fertiliser recommendations'!$A$4:$I$63,9,FALSE),"no benefit",
IF(H68*Calc!BM66*(I68/100)&lt;0.3*VLOOKUP(Calc!BI66,'Fertiliser recommendations'!$A$4:$I$63,9,FALSE),"limited benefit",
IF(H68*Calc!BM66*(I68/100)&lt;1.1*VLOOKUP(Calc!BI66,'Fertiliser recommendations'!$A$4:$I$63,9,FALSE),"benefit",
IF(L68="3 (H)", "too high, not acceptable", "excessive")))),
IF(OR(AND('Soil results'!G$7="Olsen (ADAS)",'Soil results'!G71&lt;=15),AND('Soil results'!G$7="modified Morgan (SAC)",'Soil results'!G71&lt;=4.4)),
IF(H68*Calc!BM66*(I68/100)&lt;0.1*VLOOKUP(Calc!BI66,'Fertiliser recommendations'!$A$4:$I$63,9,FALSE),"no benefit",
IF(H68*Calc!BM66*(I68/100)&lt;0.3*VLOOKUP(Calc!BI66,'Fertiliser recommendations'!$A$4:$I$63,9,FALSE),"limited benefit",
IF(H68*Calc!BM66*(I68/100)&lt;1.1*J68,"benefit","excessive")))))))))))</f>
        <v/>
      </c>
      <c r="O68" s="91" t="str">
        <f ca="1">IF(B68="","",
IF(AND('Field information 2'!$O$5="", 'Field information 2'!$Q$5=""),
   IF('Waste results'!$S$19&lt;&gt;"data missing", Calc!BC66*'Waste results'!$S$19, "data missing"),
IF('Field information 2'!$Q$5="",
   IF(Calc!BD66=0,
     IF('Waste results'!$S$19&lt;&gt;"data missing", Calc!BC66*'Waste results'!$S$19, "data missing"),
   IF(Calc!BC66=0,
     IF('Waste results'!$S$55&lt;&gt;"data missing", Calc!BD66*'Waste results'!$S$55, "data missing"),
   IF(OR('Waste results'!$S$19&lt;&gt;"data missing", 'Waste results'!$S$55&lt;&gt;"data missing"), Calc!BC66*'Waste results'!$S$19+ Calc!BD66*'Waste results'!$S$55, "data missing"))),
IF(AND('Field information 2'!$M$5&lt;&gt;"", 'Field information 2'!$O$5&lt;&gt;"", 'Field information 2'!$Q$5&lt;&gt;""),
   IF(AND(Calc!BD66=0,Calc!BE66=0),
     IF('Waste results'!$S$19&lt;&gt;"data missing", Calc!BC66*'Waste results'!$S$19, "data missing"),
   IF(AND(Calc!BC66=0,Calc!BE66=0),
     IF('Waste results'!$S$55&lt;&gt;"data missing", Calc!BD66*'Waste results'!$S$55, "data missing"),
   IF(AND(Calc!BC66=0,Calc!BD66=0),
     IF('Waste results'!$S$91&lt;&gt;"data missing", Calc!BE66*'Waste results'!$S$91, "data missing"),
   IF(Calc!BE66=0,
     IF(OR('Waste results'!$S$19&lt;&gt;"data missing", 'Waste results'!$S$55&lt;&gt;"data missing"), Calc!BC66*'Waste results'!$S$19+ Calc!BD66*'Waste results'!$S$55, "data missing"),
   IF(Calc!BD66=0,
     IF(OR('Waste results'!$S$19&lt;&gt;"data missing", 'Waste results'!$S$91&lt;&gt;"data missing"), Calc!BC66*'Waste results'!$S$19+ Calc!BE66*'Waste results'!$S$91, "data missing"),
   IF(Calc!BC66=0,
     IF(OR('Waste results'!$S$55&lt;&gt;"data missing", 'Waste results'!$S$91&lt;&gt;"data missing"), Calc!BD66*'Waste results'!$S$55+Calc!BE66*'Waste results'!$S$91, "data missing"),
   IF(OR('Waste results'!$S$19&lt;&gt;"data missing", 'Waste results'!$S$55&lt;&gt;"data missing", 'Waste results'!$S$91&lt;&gt;"data missing"), Calc!BC66*'Waste results'!$S$19+Calc!BD66*'Waste results'!$S$55+ Calc!BE66*'Waste results'!$S$91, "data missing")))))))))))</f>
        <v/>
      </c>
      <c r="P68" s="91" t="str">
        <f ca="1">IF(B68="","",
IF(OR(ISBLANK('Soil results'!H$7),ISBLANK('Soil results'!H71)),"data missing",
IF(OR(AND('Soil results'!H$7="ammonium nitrate (ADAS)",'Soil results'!H71&gt;400),AND('Soil results'!H$7="modified Morgan (SAC)",'Soil results'!H71&gt;400)),0,
IF(OR(AND('Soil results'!H$7="ammonium nitrate (ADAS)",'Soil results'!H71&gt;=121,'Soil results'!H71&lt;=180),AND('Soil results'!H$7="modified Morgan (SAC)",'Soil results'!H71&gt;=76,'Soil results'!H71&lt;=140)),VLOOKUP(Calc!BI66,'Fertiliser recommendations'!$A$4:$Z$63,26,FALSE),
IF(OR(AND('Soil results'!H$7="ammonium nitrate (ADAS)",'Soil results'!H71&lt;61),AND('Soil results'!H$7="modified Morgan (SAC)",'Soil results'!H71&lt;40)),VLOOKUP(Calc!BI66,'Fertiliser recommendations'!$A$4:$Z$63,26,FALSE)+VLOOKUP(Calc!BI66,'Fertiliser recommendations'!$A$4:$AA$63,27,FALSE),
IF(OR(AND('Soil results'!H$7="ammonium nitrate (ADAS)",'Soil results'!H71&lt;121),AND('Soil results'!H$7="modified Morgan (SAC)",'Soil results'!H71&lt;76)),VLOOKUP(Calc!BI66,'Fertiliser recommendations'!$A$4:$Z$63,26,FALSE)+VLOOKUP(Calc!BI66,'Fertiliser recommendations'!$A$4:$AB$63,28,FALSE),
IF(OR(AND('Soil results'!H$7="ammonium nitrate (ADAS)",'Soil results'!H71&lt;241),AND('Soil results'!H$7="modified Morgan (SAC)",'Soil results'!H71&lt;201)),VLOOKUP(Calc!BI66,'Fertiliser recommendations'!$A$4:$Z$63,26,FALSE)+VLOOKUP(Calc!BI66,'Fertiliser recommendations'!$A$4:$AC$63,29,FALSE),
IF(OR(AND('Soil results'!H$7="ammonium nitrate (ADAS)",'Soil results'!H71&lt;=400),AND('Soil results'!H$7="modified Morgan (SAC)",'Soil results'!H71&lt;=400)),VLOOKUP(Calc!BI66,'Fertiliser recommendations'!$A$4:$Z$63,26,FALSE)+VLOOKUP(Calc!BI66,'Fertiliser recommendations'!$A$4:$AD$63,30,FALSE),
"??"))))))))</f>
        <v/>
      </c>
      <c r="Q68" s="91" t="str">
        <f t="shared" ca="1" si="2"/>
        <v/>
      </c>
      <c r="R68" s="9" t="str">
        <f ca="1">IF(B68="","",
IF(OR(O68="data missing",P68="data missing"),"data missing",
IF(Calc!BF66=0,"n/a",
IF(P68=0, "no requirement",
IF(O68&lt;0.1*P68,"no benefit",
IF(O68&lt;0.3*P68,"limited benefit",
IF(O68&gt;1.25*P68,"excessive",
"benefit")))))))</f>
        <v/>
      </c>
      <c r="T68" s="91" t="str">
        <f ca="1">IF(B68="","",
IF(AND('Field information 2'!$O$5="", 'Field information 2'!$Q$5=""),
   IF('Waste results'!$S$21&lt;&gt;"data missing", Calc!BC66*'Waste results'!$S$21, "data missing"),
IF('Field information 2'!$Q$5="",
   IF(Calc!BD66=0,
     IF('Waste results'!$S$21&lt;&gt;"data missing", Calc!BC66*'Waste results'!$S$21, "data missing"),
   IF(Calc!BC66=0,
     IF('Waste results'!$S$57&lt;&gt;"data missing", Calc!BD66*'Waste results'!$S$57, "data missing"),
   IF(OR('Waste results'!$S$21&lt;&gt;"data missing", 'Waste results'!$S$57&lt;&gt;"data missing"), Calc!BC66*'Waste results'!$S$21+ Calc!BD66*'Waste results'!$S$57, "data missing"))),
IF(AND('Field information 2'!$M$5&lt;&gt;"", 'Field information 2'!$O$5&lt;&gt;"", 'Field information 2'!$Q$5&lt;&gt;""),
   IF(AND(Calc!BD66=0,Calc!BE66=0),
     IF('Waste results'!$S$21&lt;&gt;"data missing", Calc!BC66*'Waste results'!$S$21, "data missing"),
   IF(AND(Calc!BC66=0,Calc!BE66=0),
     IF('Waste results'!$S$57&lt;&gt;"data missing", Calc!BD66*'Waste results'!$S$57, "data missing"),
   IF(AND(Calc!BC66=0,Calc!BD66=0),
     IF('Waste results'!$S$93&lt;&gt;"data missing", Calc!BE66*'Waste results'!$S$93, "data missing"),
   IF(Calc!BE66=0,
     IF(OR('Waste results'!$S$21&lt;&gt;"data missing", 'Waste results'!$S$57&lt;&gt;"data missing"), Calc!BC66*'Waste results'!$S$21+ Calc!BD66*'Waste results'!$S$57, "data missing"),
   IF(Calc!BD66=0,
     IF(OR('Waste results'!$S$21&lt;&gt;"data missing", 'Waste results'!$S$93&lt;&gt;"data missing"), Calc!BC66*'Waste results'!$S$21+ Calc!BE66*'Waste results'!$S$93, "data missing"),
   IF(Calc!BC66=0,
     IF(OR('Waste results'!$S$57&lt;&gt;"data missing", 'Waste results'!$S$93&lt;&gt;"data missing"), Calc!BD66*'Waste results'!$S$57+Calc!BE66*'Waste results'!$S$93, "data missing"),
   IF(OR('Waste results'!$S$21&lt;&gt;"data missing", 'Waste results'!$S$57&lt;&gt;"data missing", 'Waste results'!$S$93&lt;&gt;"data missing"), Calc!BC66*'Waste results'!$S$21+Calc!BD66*'Waste results'!$S$57+ Calc!BE66*'Waste results'!$S$93, "data missing")))))))))))</f>
        <v/>
      </c>
      <c r="U68" s="7" t="str">
        <f ca="1">IF(B68="","",
IF(OR(ISBLANK('Soil results'!I$7),ISBLANK('Soil results'!I71)),"data missing",
IF(OR(AND('Soil results'!I$7="ammonium nitrate (ADAS)",'Soil results'!I71&gt;51),AND('Soil results'!I$7="modified Morgan (SAC)",'Soil results'!I71&gt;61)),0,
IF(OR(AND('Soil results'!I$7="ammonium nitrate (ADAS)",'Soil results'!I71&lt;25),AND('Soil results'!I$7="modified Morgan (SAC)",'Soil results'!I71&lt;19)),VLOOKUP(Calc!BI66,'Fertiliser recommendations'!$A$4:$AH$63,34,FALSE),
IF(OR(AND('Soil results'!I$7="ammonium nitrate (ADAS)",'Soil results'!I71&lt;=51),AND('Soil results'!I$7="modified Morgan (SAC)",'Soil results'!I71&lt;=61)),VLOOKUP(Calc!BI66,'Fertiliser recommendations'!$A$4:$AI$63,35,FALSE),
"")))))</f>
        <v/>
      </c>
      <c r="V68" s="91" t="str">
        <f t="shared" ca="1" si="3"/>
        <v/>
      </c>
      <c r="W68" s="9" t="str">
        <f ca="1">IF(B68="","",
IF(OR(T68="data missing",U68="data missing"),"data missing",
IF(Calc!BF66=0,"n/a",
IF(U68=0,"no requirement",
IF(T68&lt;0.1*U68,"no benefit",
IF(T68&lt;0.3*U68,"limited benefit",
IF(OR(T68&gt;1.5*U68,AND(Calc!BJ66="g",T68&gt;100)),"excessive",
"benefit")))))))</f>
        <v/>
      </c>
      <c r="Y68" s="91" t="str">
        <f ca="1">IF(B68="","",
IF(AND('Field information 2'!$O$5="", 'Field information 2'!$Q$5=""),
   IF('Waste results'!$P$23&lt;&gt;"", Calc!BC66*'Waste results'!$P$23, "no data"),
IF('Field information 2'!$Q$5="",
   IF(Calc!BD66=0,
     IF('Waste results'!$P$23&lt;&gt;"", Calc!BC66*'Waste results'!$P$23, "no data"),
   IF(Calc!BC66=0,
     IF('Waste results'!$P$59&lt;&gt;"", Calc!BD66*'Waste results'!$P$59, "no data"),
   IF(OR('Waste results'!$P$23&lt;&gt;"", 'Waste results'!$P$59&lt;&gt;""), Calc!BC66*'Waste results'!$P$23+ Calc!BD66*'Waste results'!$P$59, "no data"))),
IF(AND('Field information 2'!$M$5&lt;&gt;"", 'Field information 2'!$O$5&lt;&gt;"", 'Field information 2'!$Q$5&lt;&gt;""),
   IF(AND(Calc!BD66=0,Calc!BE66=0),
     IF('Waste results'!$P$23&lt;&gt;"", Calc!BC66*'Waste results'!$P$23, "no data"),
   IF(AND(Calc!BC66=0,Calc!BE66=0),
     IF('Waste results'!$P$59&lt;&gt;"", Calc!BD66*'Waste results'!$P$59, "no data"),
   IF(AND(Calc!BC66=0,Calc!BD66=0),
     IF('Waste results'!$P$95&lt;&gt;"", Calc!BE66*'Waste results'!$P$95, "no data"),
   IF(Calc!BE66=0,
     IF(OR('Waste results'!$P$23&lt;&gt;"", 'Waste results'!$P$59&lt;&gt;""), Calc!BC66*'Waste results'!$P$23+ Calc!BD66*'Waste results'!$P$59, "no data"),
   IF(Calc!BD66=0,
     IF(OR('Waste results'!$P$23&lt;&gt;"", 'Waste results'!$P$95&lt;&gt;""), Calc!BC66*'Waste results'!$P$23+ Calc!BE66*'Waste results'!$P$95, "no data"),
   IF(Calc!BC66=0,
     IF(OR('Waste results'!$P$59&lt;&gt;"", 'Waste results'!$P$95&lt;&gt;""), Calc!BD66*'Waste results'!$P$59+Calc!BE66*'Waste results'!$P$95, "no data"),
   IF(OR('Waste results'!$P$23&lt;&gt;"", 'Waste results'!$P$59&lt;&gt;"", 'Waste results'!$P$95&lt;&gt;""), Calc!BC66*'Waste results'!$P$23+Calc!BD66*'Waste results'!$P$59+ Calc!BE66*'Waste results'!$P$95, "no data")))))))))))</f>
        <v/>
      </c>
      <c r="Z68" s="7" t="str">
        <f ca="1">IF(OR(ISBLANK('Soil results'!I$7),ISBLANK('Soil results'!I71),'Soil results'!B71=""),"",
VLOOKUP(Calc!BI66,'Fertiliser recommendations'!$A$4:$AM$63,39,FALSE))</f>
        <v/>
      </c>
      <c r="AA68" s="91" t="str">
        <f t="shared" ca="1" si="4"/>
        <v/>
      </c>
      <c r="AB68" s="9" t="str">
        <f t="shared" ca="1" si="5"/>
        <v/>
      </c>
      <c r="AD68" s="48" t="str">
        <f>IF(ISBLANK('Soil results'!F71),"",'Soil results'!F71)</f>
        <v/>
      </c>
      <c r="AE68" s="49" t="str">
        <f ca="1">IF(B68="","",
IF(AND(Calc!BJ66="g", VLOOKUP(LEFT($B68,LEN($B68)-2),'Field information 2'!$B$12:$P$111,9,FALSE)&lt;&gt;"yes"),
 IF(Calc!BG66="10-25% OM", 5.9, IF(Calc!BG66="&gt;25% OM", 5.5, 6.2)),
IF(OR(Calc!BJ66="a", VLOOKUP(LEFT($B68,LEN($B68)-2),'Field information 2'!$B$12:$P$111,9,FALSE)="yes"),
 IF(Calc!BG66="10-25% OM", 6.4, IF(Calc!BG66="&gt;25% OM", 6, 6.7)), "")))</f>
        <v/>
      </c>
      <c r="AF68" s="91" t="str">
        <f ca="1">IF(B68="","",
IF('Waste results'!$Q$33="","no (significant) liming properties",
IF('Waste results'!Q$33&gt;100,"no (significant) liming properties",
IF(AD68="","",
IF(AD68&gt;=AE68,0,ROUNDDOWN((AE68-AD68)*Calc!BK66*'Waste results'!$Q$33+0.2,0))))))</f>
        <v/>
      </c>
      <c r="AG68" s="9" t="str">
        <f ca="1">IF(B68="","",
IF(T68=0,"n/a",
IF(AD68="","data missing",
IF(AND(AD68&lt;5,AF68="no (significant) liming properties"),"no waste application - pH too low",
IF(AND(AD68&gt;5.1,AF68="no (significant) liming properties",Calc!BH66&gt;25, LEFT(Calc!BI66,4)="graz"),"ok",
IF(AND(AD68&lt;=5.2,AF68="no (significant) liming properties"),"liming highly recommended",
IF(AF68=0,"no waste application - liming not required",
IF(AF68&lt;Calc!BC66,"application rate too high - exceeds liming requirement",
"ok"))))))))</f>
        <v/>
      </c>
      <c r="AI68" s="91" t="str">
        <f ca="1">IF(B68="","",
IF(AND('Field information 2'!$O$5="", 'Field information 2'!$Q$5=""),
   IF('Waste results'!$P$10&lt;&gt;"data missing", Calc!BC66*'Waste results'!$P$10, "data missing"),
IF('Field information 2'!$Q$5="",
   IF(Calc!BD66=0,
     IF('Waste results'!$P$10&lt;&gt;"data missing", Calc!BC66*'Waste results'!$P$10, "data missing"),
   IF(Calc!BC66=0,
     IF('Waste results'!$P$45&lt;&gt;"data missing", Calc!BD66*'Waste results'!$P$45, "data missing"),
   IF(OR('Waste results'!$P$10&lt;&gt;"data missing", 'Waste results'!$P$45&lt;&gt;"data missing"), Calc!BC66*'Waste results'!$P$10+ Calc!BD66*'Waste results'!$P$45, "data missing"))),
IF(AND('Field information 2'!$M$5&lt;&gt;"", 'Field information 2'!$O$5&lt;&gt;"", 'Field information 2'!$Q$5&lt;&gt;""),
   IF(AND(Calc!BD66=0,Calc!BE66=0),
     IF('Waste results'!$P$10&lt;&gt;"data missing", Calc!BC66*'Waste results'!$P$10, "data missing"),
   IF(AND(Calc!BC66=0,Calc!BE66=0),
     IF('Waste results'!$P$45&lt;&gt;"data missing", Calc!BD66*'Waste results'!$P$45, "data missing"),
   IF(AND(Calc!BC66=0,Calc!BD66=0),
     IF('Waste results'!$P$82&lt;&gt;"data missing", Calc!BE66*'Waste results'!$P$82, "data missing"),
   IF(Calc!BE66=0,
     IF(OR('Waste results'!$P$10&lt;&gt;"data missing", 'Waste results'!$P$45&lt;&gt;"data missing"), Calc!BC66*'Waste results'!$P$10+ Calc!BD66*'Waste results'!$P$45, "data missing"),
   IF(Calc!BD66=0,
     IF(OR('Waste results'!$P$10&lt;&gt;"data missing", 'Waste results'!$P$82&lt;&gt;"data missing"), Calc!BC66*'Waste results'!$P$10+ Calc!BE66*'Waste results'!$P$82, "data missing"),
   IF(Calc!BC66=0,
     IF(OR('Waste results'!$P$45&lt;&gt;"data missing", 'Waste results'!$P$82&lt;&gt;"data missing"), Calc!BD66*'Waste results'!$P$45+Calc!BE66*'Waste results'!$P$82, "data missing"),
   IF(OR('Waste results'!$P$10&lt;&gt;"data missing", 'Waste results'!$P$45&lt;&gt;"data missing", 'Waste results'!$P$82&lt;&gt;"data missing"), Calc!BC66*'Waste results'!$P$10+Calc!BD66*'Waste results'!$P$45+ Calc!BE66*'Waste results'!$P$82, "data missing")))))))))))</f>
        <v/>
      </c>
      <c r="AJ68" s="237" t="str">
        <f ca="1">IF(B68="","",
IF(AI68="data missing","data missing",
IF(Calc!BF66=0,"n/a",
IF(AND(Calc!BH66&gt;=8,AI68&lt;500),"no benefit",
IF(OR(AND(Calc!BH66&lt;=4,AI68&gt;=500),AND(Calc!BH66&lt;8,AI68&gt;5000)),"benefit",
"limited benefit")))))</f>
        <v/>
      </c>
      <c r="AL68" s="238" t="str">
        <f ca="1">IF(B68="","",
IF(AND('Field information 2'!$O$5="", 'Field information 2'!$Q$5=""),
   IF('Waste results'!$S$25&lt;&gt;"data missing", Calc!BC66*'Waste results'!$S$25, "data missing"),
IF('Field information 2'!$Q$5="",
   IF(Calc!BD66=0,
     IF('Waste results'!$S$25&lt;&gt;"data missing", Calc!BC66*'Waste results'!$S$25, "data missing"),
   IF(Calc!BC66=0,
     IF('Waste results'!$S$61&lt;&gt;"data missing", Calc!BD66*'Waste results'!$S$61, "data missing"),
   IF(OR('Waste results'!$S$25&lt;&gt;"data missing", 'Waste results'!$S$61&lt;&gt;"data missing"), Calc!BC66*'Waste results'!$S$25+ Calc!BD66*'Waste results'!$S$61, "data missing"))),
IF(AND('Field information 2'!$M$5&lt;&gt;"", 'Field information 2'!$O$5&lt;&gt;"", 'Field information 2'!$Q$5&lt;&gt;""),
   IF(AND(Calc!BD66=0,Calc!BE66=0),
     IF('Waste results'!$S$25&lt;&gt;"data missing", Calc!BC66*'Waste results'!$S$25, "data missing"),
   IF(AND(Calc!BC66=0,Calc!BE66=0),
     IF('Waste results'!$S$61&lt;&gt;"data missing", Calc!BD66*'Waste results'!$S$61, "data missing"),
   IF(AND(Calc!BC66=0,Calc!BD66=0),
     IF('Waste results'!$S$97&lt;&gt;"data missing", Calc!BE66*'Waste results'!$S$97, "data missing"),
   IF(Calc!BE66=0,
     IF(OR('Waste results'!$S$25&lt;&gt;"data missing", 'Waste results'!$S$61&lt;&gt;"data missing"), Calc!BC66*'Waste results'!$S$25+ Calc!BD66*'Waste results'!$S$61, "data missing"),
   IF(Calc!BD66=0,
     IF(OR('Waste results'!$S$25&lt;&gt;"data missing", 'Waste results'!$S$97&lt;&gt;"data missing"), Calc!BC66*'Waste results'!$S$25+ Calc!BE66*'Waste results'!$S$97, "data missing"),
   IF(Calc!BC66=0,
     IF(OR('Waste results'!$S$61&lt;&gt;"data missing", 'Waste results'!$S$97&lt;&gt;"data missing"), Calc!BD66*'Waste results'!$S$61+Calc!BE66*'Waste results'!$S$97, "data missing"),
   IF(OR('Waste results'!$S$25&lt;&gt;"data missing", 'Waste results'!$S$61&lt;&gt;"data missing", 'Waste results'!$S$97&lt;&gt;"data missing"), Calc!BC66*'Waste results'!$S$25+Calc!BD66*'Waste results'!$S$61+ Calc!BE66*'Waste results'!$S$97, "data missing")))))))))))</f>
        <v/>
      </c>
      <c r="AM68" s="239" t="str">
        <f ca="1">IF($B68="","",
IF(ISBLANK('Soil results'!K71),"data missing",'Soil results'!K71))</f>
        <v/>
      </c>
      <c r="AN68" s="239" t="str">
        <f t="shared" ca="1" si="6"/>
        <v/>
      </c>
      <c r="AO68" s="9" t="str">
        <f t="shared" ca="1" si="7"/>
        <v/>
      </c>
      <c r="AQ68" s="240" t="str">
        <f ca="1">IF(B68="","",
IF(AND('Field information 2'!$O$5="", 'Field information 2'!$Q$5=""),
   IF('Waste results'!$S$26&lt;&gt;"data missing", Calc!BC66*'Waste results'!$S$26, "data missing"),
IF('Field information 2'!$Q$5="",
   IF(Calc!BD66=0,
     IF('Waste results'!$S$26&lt;&gt;"data missing", Calc!BC66*'Waste results'!$S$26, "data missing"),
   IF(Calc!BC66=0,
     IF('Waste results'!$S$62&lt;&gt;"data missing", Calc!BD66*'Waste results'!$S$62, "data missing"),
   IF(OR('Waste results'!$S$26&lt;&gt;"data missing", 'Waste results'!$S$62&lt;&gt;"data missing"), Calc!BC66*'Waste results'!$S$26+ Calc!BD66*'Waste results'!$S$62, "data missing"))),
IF(AND('Field information 2'!$M$5&lt;&gt;"", 'Field information 2'!$O$5&lt;&gt;"", 'Field information 2'!$Q$5&lt;&gt;""),
   IF(AND(Calc!BD66=0,Calc!BE66=0),
     IF('Waste results'!$S$26&lt;&gt;"data missing", Calc!BC66*'Waste results'!$S$26, "data missing"),
   IF(AND(Calc!BC66=0,Calc!BE66=0),
     IF('Waste results'!$S$62&lt;&gt;"data missing", Calc!BD66*'Waste results'!$S$62, "data missing"),
   IF(AND(Calc!BC66=0,Calc!BD66=0),
     IF('Waste results'!$S$98&lt;&gt;"data missing", Calc!BE66*'Waste results'!$S$98, "data missing"),
   IF(Calc!BE66=0,
     IF(OR('Waste results'!$S$26&lt;&gt;"data missing", 'Waste results'!$S$62&lt;&gt;"data missing"), Calc!BC66*'Waste results'!$S$26+ Calc!BD66*'Waste results'!$S$62, "data missing"),
   IF(Calc!BD66=0,
     IF(OR('Waste results'!$S$26&lt;&gt;"data missing", 'Waste results'!$S$98&lt;&gt;"data missing"), Calc!BC66*'Waste results'!$S$26+ Calc!BE66*'Waste results'!$S$98, "data missing"),
   IF(Calc!BC66=0,
     IF(OR('Waste results'!$S$62&lt;&gt;"data missing", 'Waste results'!$S$98&lt;&gt;"data missing"), Calc!BD66*'Waste results'!$S$62+Calc!BE66*'Waste results'!$S$98, "data missing"),
   IF(OR('Waste results'!$S$26&lt;&gt;"data missing", 'Waste results'!$S$62&lt;&gt;"data missing", 'Waste results'!$S$98&lt;&gt;"data missing"), Calc!BC66*'Waste results'!$S$26+Calc!BD66*'Waste results'!$S$62+ Calc!BE66*'Waste results'!$S$98, "data missing")))))))))))</f>
        <v/>
      </c>
      <c r="AR68" s="241" t="str">
        <f ca="1">IF($B68="","",
IF(ISBLANK('Soil results'!L71),"data missing",'Soil results'!L71))</f>
        <v/>
      </c>
      <c r="AS68" s="241" t="str">
        <f t="shared" ca="1" si="8"/>
        <v/>
      </c>
      <c r="AT68" s="66" t="str">
        <f t="shared" ca="1" si="9"/>
        <v/>
      </c>
      <c r="AV68" s="238" t="str">
        <f ca="1">IF(B68="","",
IF(AND('Field information 2'!$O$5="", 'Field information 2'!$Q$5=""),
   IF('Waste results'!$S$27&lt;&gt;"data missing", Calc!BC66*'Waste results'!$S$27, "data missing"),
IF('Field information 2'!$Q$5="",
   IF(Calc!BD66=0,
     IF('Waste results'!$S$27&lt;&gt;"data missing", Calc!BC66*'Waste results'!$S$27, "data missing"),
   IF(Calc!BC66=0,
     IF('Waste results'!$S$63&lt;&gt;"data missing", Calc!BD66*'Waste results'!$S$63, "data missing"),
   IF(OR('Waste results'!$S$27&lt;&gt;"data missing", 'Waste results'!$S$63&lt;&gt;"data missing"), Calc!BC66*'Waste results'!$S$27+ Calc!BD66*'Waste results'!$S$63, "data missing"))),
IF(AND('Field information 2'!$M$5&lt;&gt;"", 'Field information 2'!$O$5&lt;&gt;"", 'Field information 2'!$Q$5&lt;&gt;""),
   IF(AND(Calc!BD66=0,Calc!BE66=0),
     IF('Waste results'!$S$27&lt;&gt;"data missing", Calc!BC66*'Waste results'!$S$27, "data missing"),
   IF(AND(Calc!BC66=0,Calc!BE66=0),
     IF('Waste results'!$S$63&lt;&gt;"data missing", Calc!BD66*'Waste results'!$S$63, "data missing"),
   IF(AND(Calc!BC66=0,Calc!BD66=0),
     IF('Waste results'!$S$99&lt;&gt;"data missing", Calc!BE66*'Waste results'!$S$99, "data missing"),
   IF(Calc!BE66=0,
     IF(OR('Waste results'!$S$27&lt;&gt;"data missing", 'Waste results'!$S$63&lt;&gt;"data missing"), Calc!BC66*'Waste results'!$S$27+ Calc!BD66*'Waste results'!$S$63, "data missing"),
   IF(Calc!BD66=0,
     IF(OR('Waste results'!$S$27&lt;&gt;"data missing", 'Waste results'!$S$99&lt;&gt;"data missing"), Calc!BC66*'Waste results'!$S$27+ Calc!BE66*'Waste results'!$S$99, "data missing"),
   IF(Calc!BC66=0,
     IF(OR('Waste results'!$S$63&lt;&gt;"data missing", 'Waste results'!$S$99&lt;&gt;"data missing"), Calc!BD66*'Waste results'!$S$63+Calc!BE66*'Waste results'!$S$99, "data missing"),
   IF(OR('Waste results'!$S$27&lt;&gt;"data missing", 'Waste results'!$S$63&lt;&gt;"data missing", 'Waste results'!$S$99&lt;&gt;"data missing"), Calc!BC66*'Waste results'!$S$27+Calc!BD66*'Waste results'!$S$63+ Calc!BE66*'Waste results'!$S$99, "data missing")))))))))))</f>
        <v/>
      </c>
      <c r="AW68" s="239" t="str">
        <f ca="1">IF($B68="","",
IF(ISBLANK('Soil results'!M71),"data missing",'Soil results'!M71))</f>
        <v/>
      </c>
      <c r="AX68" s="239" t="str">
        <f t="shared" ca="1" si="10"/>
        <v/>
      </c>
      <c r="AY68" s="9" t="str">
        <f ca="1">IF(B68="","",
IF(AV68=0,"n/a",
IF(OR(AV68="data missing",AW68="data missing"),"data missing",
IF(AV68&gt;7.5,"application rate too high - permissible rate exceeds limit",
IF('Soil results'!$F71&lt;=5.5,
  IF(AW68&gt;80,"no application - soil conc. already above limit",
  IF(AX68&gt;80,"application rate too high - soil conc. will exceed limit",
  IF(AW68&gt;80*0.9,"soil conc. is at or above 90% of the limit",
  IF(10*AV68*1000/3000+AW68&gt;80,"soil limit likely to be exceeded in 10yrs",
  IF(50*AV68*1000/3000+AW68&gt;80,"soil limit likely to be exceeded in 50yrs","ok"))))),
IF('Soil results'!$F71&lt;=6,
  IF(AW68&gt;100,"no application - soil conc. already above limit",
  IF(AX68&gt;100,"application rate too high - soil conc. will exceed limit",
  IF(AW68&gt;100*0.9,"soil conc. is at or above 90% of the limit",
  IF(10*AV68*1000/3000+AW68&gt;100,"soil limit likely to be exceeded in 10yrs",
  IF(50*AV68*1000/3000+AW68&gt;100,"soil limit likely to be exceeded in 50yrs","ok"))))),
IF('Soil results'!$F71&lt;=7,
  IF(AW68&gt;135,"no application - soil conc. already above limit",
  IF(AX68&gt;135,"application rate too high - soil conc. will exceed limit",
  IF(AW68&gt;135*0.9,"soil conc. is at or above 90% of the limit",
  IF(10*AV68*1000/3000+AW68&gt;135,"soil limit likely to be exceeded in 10yrs",
  IF(50*AV68*1000/3000+AW68&gt;135,"soil limit likely to be exceeded in 50yrs","ok"))))),
IF('Soil results'!$F71&gt;7,
  IF(AW68&gt;200,"no application - soil conc. already above limit",
  IF(AX68&gt;200,"application too high - soil conc. will exceed limit",
  IF(AW68&gt;200*0.9,"soil conc. is at or above 90% of the limit",
  IF(10*AV68*1000/3000+AW68&gt;200,"soil limit likely to be exceeded in 10yrs",
  IF(50*AV68*1000/3000+AW68&gt;200,"soil limit likely to be exceeded in 50yrs","ok")))))
))))))))</f>
        <v/>
      </c>
      <c r="BA68" s="238" t="str">
        <f ca="1">IF(B68="","",
IF(AND('Field information 2'!$O$5="", 'Field information 2'!$Q$5=""),
   IF('Waste results'!$S$28&lt;&gt;"data missing", Calc!BC66*'Waste results'!$S$28, "data missing"),
IF('Field information 2'!$Q$5="",
   IF(Calc!BD66=0,
     IF('Waste results'!$S$28&lt;&gt;"data missing", Calc!BC66*'Waste results'!$S$28, "data missing"),
   IF(Calc!BC66=0,
     IF('Waste results'!$S$64&lt;&gt;"data missing", Calc!BD66*'Waste results'!$S$64, "data missing"),
   IF(OR('Waste results'!$S$28&lt;&gt;"data missing", 'Waste results'!$S$64&lt;&gt;"data missing"), Calc!BC66*'Waste results'!$S$28+ Calc!BD66*'Waste results'!$S$64, "data missing"))),
IF(AND('Field information 2'!$M$5&lt;&gt;"", 'Field information 2'!$O$5&lt;&gt;"", 'Field information 2'!$Q$5&lt;&gt;""),
   IF(AND(Calc!BD66=0,Calc!BE66=0),
     IF('Waste results'!$S$28&lt;&gt;"data missing", Calc!BC66*'Waste results'!$S$28, "data missing"),
   IF(AND(Calc!BC66=0,Calc!BE66=0),
     IF('Waste results'!$S$64&lt;&gt;"data missing", Calc!BD66*'Waste results'!$S$64, "data missing"),
   IF(AND(Calc!BC66=0,Calc!BD66=0),
     IF('Waste results'!$S$100&lt;&gt;"data missing", Calc!BE66*'Waste results'!$S$100, "data missing"),
   IF(Calc!BE66=0,
     IF(OR('Waste results'!$S$28&lt;&gt;"data missing", 'Waste results'!$S$64&lt;&gt;"data missing"), Calc!BC66*'Waste results'!$S$28+ Calc!BD66*'Waste results'!$S$64, "data missing"),
   IF(Calc!BD66=0,
     IF(OR('Waste results'!$S$28&lt;&gt;"data missing", 'Waste results'!$S$100&lt;&gt;"data missing"), Calc!BC66*'Waste results'!$S$28+ Calc!BE66*'Waste results'!$S$100, "data missing"),
   IF(Calc!BC66=0,
     IF(OR('Waste results'!$S$64&lt;&gt;"data missing", 'Waste results'!$S$100&lt;&gt;"data missing"), Calc!BD66*'Waste results'!$S$64+Calc!BE66*'Waste results'!$S$100, "data missing"),
   IF(OR('Waste results'!$S$28&lt;&gt;"data missing", 'Waste results'!$S$64&lt;&gt;"data missing", 'Waste results'!$S$100&lt;&gt;"data missing"), Calc!BC66*'Waste results'!$S$28+Calc!BD66*'Waste results'!$S$64+ Calc!BE66*'Waste results'!$S$100, "data missing")))))))))))</f>
        <v/>
      </c>
      <c r="BB68" s="239" t="str">
        <f ca="1">IF($B68="","",
IF(ISBLANK('Soil results'!N71),"data missing",'Soil results'!N71))</f>
        <v/>
      </c>
      <c r="BC68" s="239" t="str">
        <f t="shared" ca="1" si="11"/>
        <v/>
      </c>
      <c r="BD68" s="9" t="str">
        <f t="shared" ca="1" si="12"/>
        <v/>
      </c>
      <c r="BF68" s="238" t="str">
        <f ca="1">IF(B68="","",
IF(AND('Field information 2'!$O$5="", 'Field information 2'!$Q$5=""),
   IF('Waste results'!$S$29&lt;&gt;"data missing", Calc!BC66*'Waste results'!$S$29, "data missing"),
IF('Field information 2'!$Q$5="",
   IF(Calc!BD66=0,
     IF('Waste results'!$S$29&lt;&gt;"data missing", Calc!BC66*'Waste results'!$S$29, "data missing"),
   IF(Calc!BC66=0,
     IF('Waste results'!$S$65&lt;&gt;"data missing", Calc!BD66*'Waste results'!$S$65, "data missing"),
   IF(OR('Waste results'!$S$29&lt;&gt;"data missing", 'Waste results'!$S$65&lt;&gt;"data missing"), Calc!BC66*'Waste results'!$S$29+ Calc!BD66*'Waste results'!$S$65, "data missing"))),
IF(AND('Field information 2'!$M$5&lt;&gt;"", 'Field information 2'!$O$5&lt;&gt;"", 'Field information 2'!$Q$5&lt;&gt;""),
   IF(AND(Calc!BD66=0,Calc!BE66=0),
     IF('Waste results'!$S$29&lt;&gt;"data missing", Calc!BC66*'Waste results'!$S$29, "data missing"),
   IF(AND(Calc!BC66=0,Calc!BE66=0),
     IF('Waste results'!$S$65&lt;&gt;"data missing", Calc!BD66*'Waste results'!$S$65, "data missing"),
   IF(AND(Calc!BC66=0,Calc!BD66=0),
     IF('Waste results'!$S$101&lt;&gt;"data missing", Calc!BE66*'Waste results'!$S$101, "data missing"),
   IF(Calc!BE66=0,
     IF(OR('Waste results'!$S$29&lt;&gt;"data missing", 'Waste results'!$S$65&lt;&gt;"data missing"), Calc!BC66*'Waste results'!$S$29+ Calc!BD66*'Waste results'!$S$65, "data missing"),
   IF(Calc!BD66=0,
     IF(OR('Waste results'!$S$29&lt;&gt;"data missing", 'Waste results'!$S$101&lt;&gt;"data missing"), Calc!BC66*'Waste results'!$S$29+ Calc!BE66*'Waste results'!$S$101, "data missing"),
   IF(Calc!BC66=0,
     IF(OR('Waste results'!$S$65&lt;&gt;"data missing", 'Waste results'!$S$101&lt;&gt;"data missing"), Calc!BD66*'Waste results'!$S$65+Calc!BE66*'Waste results'!$S$101, "data missing"),
   IF(OR('Waste results'!$S$29&lt;&gt;"data missing", 'Waste results'!$S$65&lt;&gt;"data missing", 'Waste results'!$S$101&lt;&gt;"data missing"), Calc!BC66*'Waste results'!$S$29+Calc!BD66*'Waste results'!$S$65+ Calc!BE66*'Waste results'!$S$101, "data missing")))))))))))</f>
        <v/>
      </c>
      <c r="BG68" s="239" t="str">
        <f ca="1">IF($B68="","",
IF(ISBLANK('Soil results'!O71),"data missing",'Soil results'!O71))</f>
        <v/>
      </c>
      <c r="BH68" s="239" t="str">
        <f t="shared" ca="1" si="13"/>
        <v/>
      </c>
      <c r="BI68" s="9" t="str">
        <f ca="1">IF(B68="","",
IF(BF68=0,"n/a",
IF(OR(BF68="data missing",BG68="data missing"),"data missing",
IF(BF68&gt;3,"application rate too high - permissible rate exceeds limit",
IF('Soil results'!F71&lt;=5.5,
  IF(BG68&gt;50,"no application - soil conc. already above limit",
  IF(BH68&gt;50,"application rate too high - soil conc. will exceed limit",
  IF(BG68&gt;50*0.9,"soil conc. is at or above 90% of the limit",
  IF(10*BF68*1000/3000+BG68&gt;50,"soil limit likely to be exceeded in 10yrs",
  IF(50*BF68*1000/3000+BG68&gt;50,"soil limit likely to be exceeded in 50yrs","ok"))))),
IF('Soil results'!F71&lt;=6,
  IF(BG68&gt;60,"no application - soil conc. already above limit",
  IF(BH68&gt;60,"application rate too high - soil conc. will exceed limit",
  IF(BG68&gt;60*0.9,"soil conc. is at or above 90% of the limit",
  IF(10*BF68*1000/3000+BG68&gt;60,"soil limit likely to be exceeded in 10yrs",
  IF(50*BF68*1000/3000+BG68&gt;60,"soil limit likely to be exceeded in 50yrs","ok"))))),
IF('Soil results'!F71&lt;=7,
  IF(BG68&gt;75,"no application - soil conc. already above limit",
  IF(BH68&gt;75,"application rate too high - soil conc. will exceed limit",
  IF(BG68&gt;75*0.9,"soil conc. is at or above 90% of the limit",
  IF(10*BF68*1000/3000+BG68&gt;75,"soil limit likely to be exceeded in 10yrs",
  IF(50*BF68*1000/3000+BG68&gt;75,"soil limit likely to be exceeded in 50yrs","ok"))))),
IF('Soil results'!F71&gt;7,
  IF(BG68&gt;100,"no application - soil conc. already above limit",
  IF(BH68&gt;100,"application rate too high - soil conc. will exceed limit",
  IF(BG68&gt;100*0.9,"soil conc. is at or above 90% of the limit",
  IF(10*BF68*1000/3000+BG68&gt;100,"soil limit likely to be exceeded in 10yrs",
  IF(50*BF68*1000/3000+BG68&gt;100,"soil limit likely to beexceeded in 50yrs","ok")))))
))))))))</f>
        <v/>
      </c>
      <c r="BK68" s="240" t="str">
        <f ca="1">IF(B68="","",
IF(AND('Field information 2'!$O$5="", 'Field information 2'!$Q$5=""),
   IF('Waste results'!$S$30&lt;&gt;"data missing", Calc!BC66*'Waste results'!$S$30, "data missing"),
IF('Field information 2'!$Q$5="",
   IF(Calc!BD66=0,
     IF('Waste results'!$S$30&lt;&gt;"data missing", Calc!BC66*'Waste results'!$S$30, "data missing"),
   IF(Calc!BC66=0,
     IF('Waste results'!$S$66&lt;&gt;"data missing", Calc!BD66*'Waste results'!$S$66, "data missing"),
   IF(OR('Waste results'!$S$30&lt;&gt;"data missing", 'Waste results'!$S$66&lt;&gt;"data missing"), Calc!BC66*'Waste results'!$S$30+ Calc!BD66*'Waste results'!$S$66, "data missing"))),
IF(AND('Field information 2'!$M$5&lt;&gt;"", 'Field information 2'!$O$5&lt;&gt;"", 'Field information 2'!$Q$5&lt;&gt;""),
   IF(AND(Calc!BD66=0,Calc!BE66=0),
     IF('Waste results'!$S$30&lt;&gt;"data missing", Calc!BC66*'Waste results'!$S$30, "data missing"),
   IF(AND(Calc!BC66=0,Calc!BE66=0),
     IF('Waste results'!$S$66&lt;&gt;"data missing", Calc!BD66*'Waste results'!$S$66, "data missing"),
   IF(AND(Calc!BC66=0,Calc!BD66=0),
     IF('Waste results'!$S$102&lt;&gt;"data missing", Calc!BE66*'Waste results'!$S$102, "data missing"),
   IF(Calc!BE66=0,
     IF(OR('Waste results'!$S$30&lt;&gt;"data missing", 'Waste results'!$S$66&lt;&gt;"data missing"), Calc!BC66*'Waste results'!$S$30+ Calc!BD66*'Waste results'!$S$66, "data missing"),
   IF(Calc!BD66=0,
     IF(OR('Waste results'!$S$30&lt;&gt;"data missing", 'Waste results'!$S$102&lt;&gt;"data missing"), Calc!BC66*'Waste results'!$S$30+ Calc!BE66*'Waste results'!$S$102, "data missing"),
   IF(Calc!BC66=0,
     IF(OR('Waste results'!$S$66&lt;&gt;"data missing", 'Waste results'!$S$102&lt;&gt;"data missing"), Calc!BD66*'Waste results'!$S$66+Calc!BE66*'Waste results'!$S$102, "data missing"),
   IF(OR('Waste results'!$S$30&lt;&gt;"data missing", 'Waste results'!$S$66&lt;&gt;"data missing", 'Waste results'!$S$102&lt;&gt;"data missing"), Calc!BC66*'Waste results'!$S$30+Calc!BD66*'Waste results'!$S$66+ Calc!BE66*'Waste results'!$S$102, "data missing")))))))))))</f>
        <v/>
      </c>
      <c r="BL68" s="241" t="str">
        <f ca="1">IF($B68="","",
IF(ISBLANK('Soil results'!P71),"data missing",'Soil results'!P71))</f>
        <v/>
      </c>
      <c r="BM68" s="241" t="str">
        <f t="shared" ca="1" si="14"/>
        <v/>
      </c>
      <c r="BN68" s="66" t="str">
        <f t="shared" ca="1" si="15"/>
        <v/>
      </c>
      <c r="BP68" s="238" t="str">
        <f ca="1">IF(B68="","",
IF(AND('Field information 2'!$O$5="", 'Field information 2'!$Q$5=""),
   IF('Waste results'!$S$31&lt;&gt;"data missing", Calc!BC66*'Waste results'!$S$31, "data missing"),
IF('Field information 2'!$Q$5="",
   IF(Calc!BD66=0,
     IF('Waste results'!$S$31&lt;&gt;"data missing", Calc!BC66*'Waste results'!$S$31, "data missing"),
   IF(Calc!BC66=0,
     IF('Waste results'!$S$67&lt;&gt;"data missing", Calc!BD66*'Waste results'!$S$67, "data missing"),
   IF(OR('Waste results'!$S$31&lt;&gt;"data missing", 'Waste results'!$S$67&lt;&gt;"data missing"), Calc!BC66*'Waste results'!$S$31+ Calc!BD66*'Waste results'!$S$67, "data missing"))),
IF(AND('Field information 2'!$M$5&lt;&gt;"", 'Field information 2'!$O$5&lt;&gt;"", 'Field information 2'!$Q$5&lt;&gt;""),
   IF(AND(Calc!BD66=0,Calc!BE66=0),
     IF('Waste results'!$S$31&lt;&gt;"data missing", Calc!BC66*'Waste results'!$S$31, "data missing"),
   IF(AND(Calc!BC66=0,Calc!BE66=0),
     IF('Waste results'!$S$67&lt;&gt;"data missing", Calc!BD66*'Waste results'!$S$67, "data missing"),
   IF(AND(Calc!BC66=0,Calc!BD66=0),
     IF('Waste results'!$S$103&lt;&gt;"data missing", Calc!BE66*'Waste results'!$S$103, "data missing"),
   IF(Calc!BE66=0,
     IF(OR('Waste results'!$S$31&lt;&gt;"data missing", 'Waste results'!$S$67&lt;&gt;"data missing"), Calc!BC66*'Waste results'!$S$31+ Calc!BD66*'Waste results'!$S$67, "data missing"),
   IF(Calc!BD66=0,
     IF(OR('Waste results'!$S$31&lt;&gt;"data missing", 'Waste results'!$S$103&lt;&gt;"data missing"), Calc!BC66*'Waste results'!$S$31+ Calc!BE66*'Waste results'!$S$103, "data missing"),
   IF(Calc!BC66=0,
     IF(OR('Waste results'!$S$67&lt;&gt;"data missing", 'Waste results'!$S$103&lt;&gt;"data missing"), Calc!BD66*'Waste results'!$S$67+Calc!BE66*'Waste results'!$S$103, "data missing"),
   IF(OR('Waste results'!$S$31&lt;&gt;"data missing", 'Waste results'!$S$67&lt;&gt;"data missing", 'Waste results'!$S$103&lt;&gt;"data missing"), Calc!BC66*'Waste results'!$S$31+Calc!BD66*'Waste results'!$S$67+ Calc!BE66*'Waste results'!$S$103, "data missing")))))))))))</f>
        <v/>
      </c>
      <c r="BQ68" s="239" t="str">
        <f ca="1">IF($B68="","",
IF(ISBLANK('Soil results'!Q71),"data missing",'Soil results'!Q71))</f>
        <v/>
      </c>
      <c r="BR68" s="239" t="str">
        <f t="shared" ca="1" si="16"/>
        <v/>
      </c>
      <c r="BS68" s="9" t="str">
        <f ca="1">IF(B68="","",
IF(BP68=0,"n/a",
IF(OR(BP68="data missing",BQ68=""),"data missing",
IF(BP68&gt;15,"application rate too high - permissible rate exceeds limit",
IF('Soil results'!F71&lt;=5.5,
  IF(BQ68&gt;200,"no application - soil conc. already above limit",
  IF(BR68&gt;200,"application rate too high - soil conc. will exceed limit",
  IF(BQ68&gt;200*0.9,"soil conc. is at or above 90% of the limit",
  IF(10*BP68*1000/3000+BQ68&gt;200,"soil limit likely to be exceeded in 10yrs",
  IF(50*BP68*1000/3000+BQ68&gt;200,"soil limit likely to be exceeded in 50yrs","ok"))))),
IF('Soil results'!F71&lt;=6,
  IF(BQ68&gt;250,"no application - soil conc. already above limit",
  IF(BR68&gt;250,"application rate too high - soil conc. will exceed limit",
  IF(BQ68&gt;250*0.9,"soil conc. is at or above 90% of the limit",
  IF(10*BP68*1000/3000+BQ68&gt;250,"soil limit likely to be exceeded in 10yrs",
  IF(50*BP68*1000/3000+BQ68&gt;250,"soil limit likely to be exceeded in 50yrs","ok"))))),
IF('Soil results'!F71&lt;=7,
  IF(BQ68&gt;300,"no application - soil conc. already above limit",
  IF(BR68&gt;300,"application rate too high - soil conc. will exceed limit",
  IF(BQ68&gt;300*0.9,"soil conc. is at or above 90% of the limit",
  IF(10*BP68*1000/3000+BQ68&gt;300,"soil limit likey to be exceeded in 10yrs",
  IF(50*BP68*1000/3000+BQ68&gt;300,"soil limit likely to be exceeded in 50yrs","ok"))))),
IF('Soil results'!F71&gt;7,
  IF(BQ68&gt;450,"no application - soil conc. already above limit",
  IF(BR68&gt;450,"application rate too high - soil conc. will exceed limit",
  IF(AW68&gt;450*0.9,"soil conc. is at or above 90% of the limit",
  IF(10*BP68*1000/3000+BQ68&gt;450,"soil limit likely to be exceeded in 10yrs",
  IF(50*BP68*1000/3000+BQ68&gt;450,"soil limit likely to be exceeded in 50yrs","ok")))))
))))))))</f>
        <v/>
      </c>
    </row>
    <row r="69" spans="2:71" s="9" customFormat="1" ht="15" x14ac:dyDescent="0.25">
      <c r="B69" s="236" t="str">
        <f ca="1">'Soil results'!B72</f>
        <v/>
      </c>
      <c r="C69" s="91" t="str">
        <f ca="1">IF(B69="","",
IF(AND('Field information 2'!$O$5="", 'Field information 2'!$Q$5=""),
   IF('Waste results'!$S$12&lt;&gt;"data missing", Calc!BC67*'Waste results'!$S$12, "data missing"),
IF('Field information 2'!$Q$5="",
   IF(Calc!BD67=0,
     IF('Waste results'!$S$12&lt;&gt;"data missing", Calc!BC67*'Waste results'!$S$12, "data missing"),
   IF(Calc!BC67=0,
     IF('Waste results'!$S$48&lt;&gt;"data missing", Calc!BD67*'Waste results'!$S$48, "data missing"),
   IF(OR('Waste results'!$S$12&lt;&gt;"data missing", 'Waste results'!$S$48&lt;&gt;"data missing"), Calc!BC67*'Waste results'!$S$12+ Calc!BD67*'Waste results'!$S$48, "data missing"))),
IF(AND('Field information 2'!$M$5&lt;&gt;"", 'Field information 2'!$O$5&lt;&gt;"", 'Field information 2'!$Q$5&lt;&gt;""),
   IF(AND(Calc!BD67=0,Calc!BE67=0),
     IF('Waste results'!$S$12&lt;&gt;"data missing", Calc!BC67*'Waste results'!$S$12, "data missing"),
   IF(AND(Calc!BC67=0,Calc!BE67=0),
     IF('Waste results'!$S$48&lt;&gt;"data missing", Calc!BD67*'Waste results'!$S$48, "data missing"),
   IF(AND(Calc!BC67=0,Calc!BD67=0),
     IF('Waste results'!$S$84&lt;&gt;"data missing", Calc!BE67*'Waste results'!$S$84, "data missing"),
   IF(Calc!BE67=0,
     IF(OR('Waste results'!$S$12&lt;&gt;"data missing", 'Waste results'!$S$48&lt;&gt;"data missing"), Calc!BC67*'Waste results'!$S$12+ Calc!BD67*'Waste results'!$S$48, "data missing"),
   IF(Calc!BD67=0,
     IF(OR('Waste results'!$S$12&lt;&gt;"data missing", 'Waste results'!$S$84&lt;&gt;"data missing"), Calc!BC67*'Waste results'!$S$12+ Calc!BE67*'Waste results'!$S$84, "data missing"),
   IF(Calc!BC67=0,
     IF(OR('Waste results'!$S$48&lt;&gt;"data missing", 'Waste results'!$S$84&lt;&gt;"data missing"), Calc!BD67*'Waste results'!$S$48+Calc!BE67*'Waste results'!$S$84, "data missing"),
   IF(OR('Waste results'!$S$12&lt;&gt;"data missing", 'Waste results'!$S$48&lt;&gt;"data missing", 'Waste results'!$S$84&lt;&gt;"data missing"), Calc!BC67*'Waste results'!$S$12+Calc!BD67*'Waste results'!$S$48+ Calc!BE67*'Waste results'!$S$84, "data missing")))))))))))</f>
        <v/>
      </c>
      <c r="D69" s="161" t="str">
        <f ca="1">IF(B69="","",
IF(Calc!BG67="","soil texture missing",
IF(OR(Calc!BG67="SL; SZL; ZL",Calc!BG67="SCL; CL; ZCL; SC; ZC; C"),VLOOKUP(Calc!BI67,'Fertiliser recommendations'!$A$4:$C$63,3,FALSE),
IF(Calc!BG67="S; LS",VLOOKUP(Calc!BI67,'Fertiliser recommendations'!$A$4:$C$63,3,FALSE)+VLOOKUP(Calc!BI67,'Fertiliser recommendations'!$A$4:$D$63,4,FALSE),
IF(Calc!BG67="10-25% OM",VLOOKUP(Calc!BI67,'Fertiliser recommendations'!$A$4:$C$63,3,FALSE)+VLOOKUP(Calc!BI67,'Fertiliser recommendations'!$A$4:$E$63,5,FALSE),
IF(Calc!BG67="&gt;25% OM",VLOOKUP(Calc!BI67,'Fertiliser recommendations'!$A$4:$C$63,3,FALSE)+VLOOKUP(Calc!BI67,'Fertiliser recommendations'!$A$4:$F$63,6,FALSE),
""))))))</f>
        <v/>
      </c>
      <c r="E69" s="91" t="str">
        <f t="shared" ca="1" si="0"/>
        <v/>
      </c>
      <c r="F69" s="9" t="str">
        <f ca="1">IF(B69="","",
IF(OR(C69="data missing",D69="soil texture missing"),"data missing",
IF(Calc!BF67=0,"n/a",
IF(C69&lt;0.1*D69,"no benefit",
IF(C69&lt;0.3*D69,"limited benefit",
IF(C69&gt;250,"exceeds limit",
IF(OR(AND(D69=0,C69&gt;75),C69&gt;1.25*D69),"excessive",
IF(D69=0, "no requirement",
"benefit"))))))))</f>
        <v/>
      </c>
      <c r="H69" s="91" t="str">
        <f ca="1">IF(B69="","",
IF(AND('Field information 2'!$O$5="", 'Field information 2'!$Q$5=""),
   IF('Waste results'!$S$17&lt;&gt;"data missing", Calc!BC67*'Waste results'!$S$17, "data missing"),
IF('Field information 2'!$Q$5="",
   IF(Calc!BD67=0,
     IF('Waste results'!$S$17&lt;&gt;"data missing", Calc!BC67*'Waste results'!$S$17, "data missing"),
   IF(Calc!BC67=0,
     IF('Waste results'!$S$53&lt;&gt;"data missing", Calc!BD67*'Waste results'!$S$53, "data missing"),
   IF(OR('Waste results'!$S$17&lt;&gt;"data missing", 'Waste results'!$S$53&lt;&gt;"data missing"), Calc!BC67*'Waste results'!$S$17+ Calc!BD67*'Waste results'!$S$53, "data missing"))),
IF(AND('Field information 2'!$M$5&lt;&gt;"", 'Field information 2'!$O$5&lt;&gt;"", 'Field information 2'!$Q$5&lt;&gt;""),
   IF(AND(Calc!BD67=0,Calc!BE67=0),
     IF('Waste results'!$S$17&lt;&gt;"data missing", Calc!BC67*'Waste results'!$S$17, "data missing"),
   IF(AND(Calc!BC67=0,Calc!BE67=0),
     IF('Waste results'!$S$53&lt;&gt;"data missing", Calc!BD67*'Waste results'!$S$53, "data missing"),
   IF(AND(Calc!BC67=0,Calc!BD67=0),
     IF('Waste results'!$S$89&lt;&gt;"data missing", Calc!BE67*'Waste results'!$S$89, "data missing"),
   IF(Calc!BE67=0,
     IF(OR('Waste results'!$S$17&lt;&gt;"data missing", 'Waste results'!$S$53&lt;&gt;"data missing"), Calc!BC67*'Waste results'!$S$17+ Calc!BD67*'Waste results'!$S$53, "data missing"),
   IF(Calc!BD67=0,
     IF(OR('Waste results'!$S$17&lt;&gt;"data missing", 'Waste results'!$S$89&lt;&gt;"data missing"), Calc!BC67*'Waste results'!$S$17+ Calc!BE67*'Waste results'!$S$89, "data missing"),
   IF(Calc!BC67=0,
     IF(OR('Waste results'!$S$53&lt;&gt;"data missing", 'Waste results'!$S$89&lt;&gt;"data missing"), Calc!BD67*'Waste results'!$S$53+Calc!BE67*'Waste results'!$S$89, "data missing"),
   IF(OR('Waste results'!$S$17&lt;&gt;"data missing", 'Waste results'!$S$53&lt;&gt;"data missing", 'Waste results'!$S$89&lt;&gt;"data missing"), Calc!BC67*'Waste results'!$S$17+Calc!BD67*'Waste results'!$S$53+ Calc!BE67*'Waste results'!$S$89, "data missing")))))))))))</f>
        <v/>
      </c>
      <c r="I69" s="195" t="str">
        <f ca="1">IF(B69="","",
IF(OR(ISBLANK('Soil results'!G72), ISBLANK('Soil results'!G$7)),"data missing",
IF(OR(AND('Soil results'!G$7="Olsen (ADAS)",'Soil results'!G72&lt;16),AND('Soil results'!G$7="modified Morgan (SAC)",'Soil results'!G72&lt;4.5)),50,100)))</f>
        <v/>
      </c>
      <c r="J69" s="49" t="str">
        <f ca="1">IF(B69="","",
IF(OR(ISBLANK('Soil results'!G$7),ISBLANK('Soil results'!G72)),"data missing",
IF(OR(AND('Soil results'!G$7="Olsen (ADAS)",'Soil results'!G72&gt;45),AND('Soil results'!G$7="modified Morgan (SAC)",'Soil results'!G72&gt;30)),0,
IF(OR(AND('Soil results'!G$7="Olsen (ADAS)",'Soil results'!G72&gt;=16,'Soil results'!G72&lt;=20),AND('Soil results'!G$7="modified Morgan (SAC)",'Soil results'!G72&gt;=4.5,'Soil results'!G72&lt;=9.4)),VLOOKUP(Calc!BI67,'Fertiliser recommendations'!$A$4:$I$63,9,FALSE),
IF(OR(AND('Soil results'!G$7="Olsen (ADAS)",'Soil results'!G72&lt;10),AND('Soil results'!G$7="modified Morgan (SAC)",'Soil results'!G72&lt;1.8)),VLOOKUP(Calc!BI67,'Fertiliser recommendations'!$A$4:$I$63,9,FALSE)+VLOOKUP(Calc!BI67,'Fertiliser recommendations'!$A$4:$J$63,10,FALSE),
IF(OR(AND('Soil results'!G$7="Olsen (ADAS)",'Soil results'!G72&lt;16),AND('Soil results'!G$7="modified Morgan (SAC)",'Soil results'!G72&lt;4.5)),VLOOKUP(Calc!BI67,'Fertiliser recommendations'!$A$4:$I$63,9,FALSE)+VLOOKUP(Calc!BI67,'Fertiliser recommendations'!$A$4:$K$63,11,FALSE),
IF(OR(AND('Soil results'!G$7="Olsen (ADAS)",'Soil results'!G72&lt;26),AND('Soil results'!G$7="modified Morgan (SAC)",'Soil results'!G72&lt;13.5)),VLOOKUP(Calc!BI67,'Fertiliser recommendations'!$A$4:$I$63,9,FALSE)+VLOOKUP(Calc!BI67,'Fertiliser recommendations'!$A$4:$L$63,12,FALSE),
IF(OR(AND('Soil results'!G$7="Olsen (ADAS)",'Soil results'!G72&lt;=45),AND('Soil results'!G$7="modified Morgan (SAC)",'Soil results'!G72&lt;=30)),VLOOKUP(Calc!BI67,'Fertiliser recommendations'!$A$4:$I$63,9,FALSE)+VLOOKUP(Calc!BI67,'Fertiliser recommendations'!$A$4:$M$63,13,FALSE),
""))))))))</f>
        <v/>
      </c>
      <c r="K69" s="161" t="str">
        <f t="shared" ca="1" si="1"/>
        <v/>
      </c>
      <c r="L69" s="47" t="str">
        <f ca="1">IF(OR(ISBLANK('Soil results'!G$7),ISBLANK('Soil results'!G72),B69="", H69="data missing"),"",
IF('Soil results'!G$7="Olsen (ADAS)",
IF(((H69*Calc!BM67/2.291-(VLOOKUP(Calc!BI67,'Fertiliser recommendations'!$A$4:$I$63,9,FALSE))/2.291)*10/(400/2.291)+'Soil results'!G72)&lt;10,"0 (VL)",
IF(((H69*Calc!BM67/2.291-(VLOOKUP(Calc!BI67,'Fertiliser recommendations'!$A$4:$I$63,9,FALSE))/2.291)*10/(400/2.291)+'Soil results'!G72)&lt;16,"1 (L)",
IF(((H69*Calc!BM67/2.291-(VLOOKUP(Calc!BI67,'Fertiliser recommendations'!$A$4:$I$63,9,FALSE))/2.291)*10/(400/2.291)+'Soil results'!G72)&lt;21,"2 (M-)",
IF(((H69*Calc!BM67/2.291-(VLOOKUP(Calc!BI67,'Fertiliser recommendations'!$A$4:$I$63,9,FALSE))/2.291)*10/(400/2.291)+'Soil results'!G72)&lt;26,"2 (M+)",
IF(((H69*Calc!BM67/2.291-(VLOOKUP(Calc!BI67,'Fertiliser recommendations'!$A$4:$I$63,9,FALSE))/2.291)*10/(400/2.291)+'Soil results'!G72)&lt;45,"3 (H)","&gt;3 (VH)"))))),
IF('Soil results'!G$7="modified Morgan (SAC)",
IF('Soil results'!G72&gt;=6,
IF(((H69*Calc!BM67/2.291-(VLOOKUP(Calc!BI67,'Fertiliser recommendations'!$A$4:$I$63,9,FALSE))/2.291)*5/(147/2.291)+'Soil results'!G72)&lt;9.5,"2 (M-)",
IF(((H69*Calc!BM67/2.291-(VLOOKUP(Calc!BI67,'Fertiliser recommendations'!$A$4:$I$63,9,FALSE))/2.291)*5/(147/2.291)+'Soil results'!G72)&lt;13.5,"2 (M+)",
IF(((H69*Calc!BM67/2.291-(VLOOKUP(Calc!BI67,'Fertiliser recommendations'!$A$4:$I$63,9,FALSE))/2.291)*5/(147/2.291)+'Soil results'!G72)&lt;30,"3 (H)","4 (VH)"))),
IF(((H69*Calc!BM67/2.291-(VLOOKUP(Calc!BI67,'Fertiliser recommendations'!$A$4:$I$63,9,FALSE))/2.291)*5/(346/2.291)+'Soil results'!G72)&lt;1.8,"0 (VL)",
IF(((H69*Calc!BM67/2.291-(VLOOKUP(Calc!BI67,'Fertiliser recommendations'!$A$4:$I$63,9,FALSE))/2.291)*5/(147/2.291)+'Soil results'!G72)&lt;4.5,"1 (L)","2 (M-)"))))))</f>
        <v/>
      </c>
      <c r="M69" s="9" t="str">
        <f ca="1">IF(B69="","",
IF(OR(H69="data missing",I69="data missing",J69="data missing"),"data missing",
IF(Calc!BF67=0,"n/a",
IF(OR(AND('Soil results'!G$7="Olsen (ADAS)",'Soil results'!G72&gt;45),AND('Soil results'!G$7="modified Morgan (SAC)",'Soil results'!G72&gt;30)),
IF(H69&gt;2,"too high, not acceptable","no requirement"),IF(OR(AND('Soil results'!G$7="Olsen (ADAS)",'Soil results'!G72&gt;25),AND('Soil results'!G$7="modified Morgan (SAC)",'Soil results'!G72&gt;13.4)),
IF(H69*(I69/100)&lt;0.1*J69,"no benefit",
IF(H69*(I69/100)&lt;0.3*J69,"limited benefit",
IF(H69*(I69/100)&lt;1.1*J69,"benefit",
IF(H69*(I69/100)&lt;0.7*VLOOKUP(Calc!BI67,'Fertiliser recommendations'!$A$4:$I$63,9,FALSE),"excessive","too high, not acceptable")))),
IF(OR(AND('Soil results'!G$7="Olsen (ADAS)",'Soil results'!G72&gt;20),AND('Soil results'!G$7="modified Morgan (SAC)",'Soil results'!G72&gt;9.4)),
IF(H69*Calc!BM67*(I69/100)&lt;0.1*J69,"no benefit",
IF(H69*Calc!BM67*(I69/100)&lt;0.3*J69,"limited benefit",
IF(H69*Calc!BM67*(I69/100)&lt;1.1*J69,"benefit",
IF(L69="3 (H)","too high, not acceptable","excessive")))),
IF(OR(AND('Soil results'!G$7="Olsen (ADAS)",'Soil results'!G72&gt;15),AND('Soil results'!G$7="modified Morgan (SAC)",'Soil results'!G72&gt;4.4)),
IF(H69*Calc!BM67*(I69/100)&lt;0.1*VLOOKUP(Calc!BI67,'Fertiliser recommendations'!$A$4:$I$63,9,FALSE),"no benefit",
IF(H69*Calc!BM67*(I69/100)&lt;0.3*VLOOKUP(Calc!BI67,'Fertiliser recommendations'!$A$4:$I$63,9,FALSE),"limited benefit",
IF(H69*Calc!BM67*(I69/100)&lt;1.1*VLOOKUP(Calc!BI67,'Fertiliser recommendations'!$A$4:$I$63,9,FALSE),"benefit",
IF(L69="3 (H)", "too high, not acceptable", "excessive")))),
IF(OR(AND('Soil results'!G$7="Olsen (ADAS)",'Soil results'!G72&lt;=15),AND('Soil results'!G$7="modified Morgan (SAC)",'Soil results'!G72&lt;=4.4)),
IF(H69*Calc!BM67*(I69/100)&lt;0.1*VLOOKUP(Calc!BI67,'Fertiliser recommendations'!$A$4:$I$63,9,FALSE),"no benefit",
IF(H69*Calc!BM67*(I69/100)&lt;0.3*VLOOKUP(Calc!BI67,'Fertiliser recommendations'!$A$4:$I$63,9,FALSE),"limited benefit",
IF(H69*Calc!BM67*(I69/100)&lt;1.1*J69,"benefit","excessive")))))))))))</f>
        <v/>
      </c>
      <c r="O69" s="91" t="str">
        <f ca="1">IF(B69="","",
IF(AND('Field information 2'!$O$5="", 'Field information 2'!$Q$5=""),
   IF('Waste results'!$S$19&lt;&gt;"data missing", Calc!BC67*'Waste results'!$S$19, "data missing"),
IF('Field information 2'!$Q$5="",
   IF(Calc!BD67=0,
     IF('Waste results'!$S$19&lt;&gt;"data missing", Calc!BC67*'Waste results'!$S$19, "data missing"),
   IF(Calc!BC67=0,
     IF('Waste results'!$S$55&lt;&gt;"data missing", Calc!BD67*'Waste results'!$S$55, "data missing"),
   IF(OR('Waste results'!$S$19&lt;&gt;"data missing", 'Waste results'!$S$55&lt;&gt;"data missing"), Calc!BC67*'Waste results'!$S$19+ Calc!BD67*'Waste results'!$S$55, "data missing"))),
IF(AND('Field information 2'!$M$5&lt;&gt;"", 'Field information 2'!$O$5&lt;&gt;"", 'Field information 2'!$Q$5&lt;&gt;""),
   IF(AND(Calc!BD67=0,Calc!BE67=0),
     IF('Waste results'!$S$19&lt;&gt;"data missing", Calc!BC67*'Waste results'!$S$19, "data missing"),
   IF(AND(Calc!BC67=0,Calc!BE67=0),
     IF('Waste results'!$S$55&lt;&gt;"data missing", Calc!BD67*'Waste results'!$S$55, "data missing"),
   IF(AND(Calc!BC67=0,Calc!BD67=0),
     IF('Waste results'!$S$91&lt;&gt;"data missing", Calc!BE67*'Waste results'!$S$91, "data missing"),
   IF(Calc!BE67=0,
     IF(OR('Waste results'!$S$19&lt;&gt;"data missing", 'Waste results'!$S$55&lt;&gt;"data missing"), Calc!BC67*'Waste results'!$S$19+ Calc!BD67*'Waste results'!$S$55, "data missing"),
   IF(Calc!BD67=0,
     IF(OR('Waste results'!$S$19&lt;&gt;"data missing", 'Waste results'!$S$91&lt;&gt;"data missing"), Calc!BC67*'Waste results'!$S$19+ Calc!BE67*'Waste results'!$S$91, "data missing"),
   IF(Calc!BC67=0,
     IF(OR('Waste results'!$S$55&lt;&gt;"data missing", 'Waste results'!$S$91&lt;&gt;"data missing"), Calc!BD67*'Waste results'!$S$55+Calc!BE67*'Waste results'!$S$91, "data missing"),
   IF(OR('Waste results'!$S$19&lt;&gt;"data missing", 'Waste results'!$S$55&lt;&gt;"data missing", 'Waste results'!$S$91&lt;&gt;"data missing"), Calc!BC67*'Waste results'!$S$19+Calc!BD67*'Waste results'!$S$55+ Calc!BE67*'Waste results'!$S$91, "data missing")))))))))))</f>
        <v/>
      </c>
      <c r="P69" s="91" t="str">
        <f ca="1">IF(B69="","",
IF(OR(ISBLANK('Soil results'!H$7),ISBLANK('Soil results'!H72)),"data missing",
IF(OR(AND('Soil results'!H$7="ammonium nitrate (ADAS)",'Soil results'!H72&gt;400),AND('Soil results'!H$7="modified Morgan (SAC)",'Soil results'!H72&gt;400)),0,
IF(OR(AND('Soil results'!H$7="ammonium nitrate (ADAS)",'Soil results'!H72&gt;=121,'Soil results'!H72&lt;=180),AND('Soil results'!H$7="modified Morgan (SAC)",'Soil results'!H72&gt;=76,'Soil results'!H72&lt;=140)),VLOOKUP(Calc!BI67,'Fertiliser recommendations'!$A$4:$Z$63,26,FALSE),
IF(OR(AND('Soil results'!H$7="ammonium nitrate (ADAS)",'Soil results'!H72&lt;61),AND('Soil results'!H$7="modified Morgan (SAC)",'Soil results'!H72&lt;40)),VLOOKUP(Calc!BI67,'Fertiliser recommendations'!$A$4:$Z$63,26,FALSE)+VLOOKUP(Calc!BI67,'Fertiliser recommendations'!$A$4:$AA$63,27,FALSE),
IF(OR(AND('Soil results'!H$7="ammonium nitrate (ADAS)",'Soil results'!H72&lt;121),AND('Soil results'!H$7="modified Morgan (SAC)",'Soil results'!H72&lt;76)),VLOOKUP(Calc!BI67,'Fertiliser recommendations'!$A$4:$Z$63,26,FALSE)+VLOOKUP(Calc!BI67,'Fertiliser recommendations'!$A$4:$AB$63,28,FALSE),
IF(OR(AND('Soil results'!H$7="ammonium nitrate (ADAS)",'Soil results'!H72&lt;241),AND('Soil results'!H$7="modified Morgan (SAC)",'Soil results'!H72&lt;201)),VLOOKUP(Calc!BI67,'Fertiliser recommendations'!$A$4:$Z$63,26,FALSE)+VLOOKUP(Calc!BI67,'Fertiliser recommendations'!$A$4:$AC$63,29,FALSE),
IF(OR(AND('Soil results'!H$7="ammonium nitrate (ADAS)",'Soil results'!H72&lt;=400),AND('Soil results'!H$7="modified Morgan (SAC)",'Soil results'!H72&lt;=400)),VLOOKUP(Calc!BI67,'Fertiliser recommendations'!$A$4:$Z$63,26,FALSE)+VLOOKUP(Calc!BI67,'Fertiliser recommendations'!$A$4:$AD$63,30,FALSE),
"??"))))))))</f>
        <v/>
      </c>
      <c r="Q69" s="91" t="str">
        <f t="shared" ca="1" si="2"/>
        <v/>
      </c>
      <c r="R69" s="9" t="str">
        <f ca="1">IF(B69="","",
IF(OR(O69="data missing",P69="data missing"),"data missing",
IF(Calc!BF67=0,"n/a",
IF(P69=0, "no requirement",
IF(O69&lt;0.1*P69,"no benefit",
IF(O69&lt;0.3*P69,"limited benefit",
IF(O69&gt;1.25*P69,"excessive",
"benefit")))))))</f>
        <v/>
      </c>
      <c r="T69" s="91" t="str">
        <f ca="1">IF(B69="","",
IF(AND('Field information 2'!$O$5="", 'Field information 2'!$Q$5=""),
   IF('Waste results'!$S$21&lt;&gt;"data missing", Calc!BC67*'Waste results'!$S$21, "data missing"),
IF('Field information 2'!$Q$5="",
   IF(Calc!BD67=0,
     IF('Waste results'!$S$21&lt;&gt;"data missing", Calc!BC67*'Waste results'!$S$21, "data missing"),
   IF(Calc!BC67=0,
     IF('Waste results'!$S$57&lt;&gt;"data missing", Calc!BD67*'Waste results'!$S$57, "data missing"),
   IF(OR('Waste results'!$S$21&lt;&gt;"data missing", 'Waste results'!$S$57&lt;&gt;"data missing"), Calc!BC67*'Waste results'!$S$21+ Calc!BD67*'Waste results'!$S$57, "data missing"))),
IF(AND('Field information 2'!$M$5&lt;&gt;"", 'Field information 2'!$O$5&lt;&gt;"", 'Field information 2'!$Q$5&lt;&gt;""),
   IF(AND(Calc!BD67=0,Calc!BE67=0),
     IF('Waste results'!$S$21&lt;&gt;"data missing", Calc!BC67*'Waste results'!$S$21, "data missing"),
   IF(AND(Calc!BC67=0,Calc!BE67=0),
     IF('Waste results'!$S$57&lt;&gt;"data missing", Calc!BD67*'Waste results'!$S$57, "data missing"),
   IF(AND(Calc!BC67=0,Calc!BD67=0),
     IF('Waste results'!$S$93&lt;&gt;"data missing", Calc!BE67*'Waste results'!$S$93, "data missing"),
   IF(Calc!BE67=0,
     IF(OR('Waste results'!$S$21&lt;&gt;"data missing", 'Waste results'!$S$57&lt;&gt;"data missing"), Calc!BC67*'Waste results'!$S$21+ Calc!BD67*'Waste results'!$S$57, "data missing"),
   IF(Calc!BD67=0,
     IF(OR('Waste results'!$S$21&lt;&gt;"data missing", 'Waste results'!$S$93&lt;&gt;"data missing"), Calc!BC67*'Waste results'!$S$21+ Calc!BE67*'Waste results'!$S$93, "data missing"),
   IF(Calc!BC67=0,
     IF(OR('Waste results'!$S$57&lt;&gt;"data missing", 'Waste results'!$S$93&lt;&gt;"data missing"), Calc!BD67*'Waste results'!$S$57+Calc!BE67*'Waste results'!$S$93, "data missing"),
   IF(OR('Waste results'!$S$21&lt;&gt;"data missing", 'Waste results'!$S$57&lt;&gt;"data missing", 'Waste results'!$S$93&lt;&gt;"data missing"), Calc!BC67*'Waste results'!$S$21+Calc!BD67*'Waste results'!$S$57+ Calc!BE67*'Waste results'!$S$93, "data missing")))))))))))</f>
        <v/>
      </c>
      <c r="U69" s="7" t="str">
        <f ca="1">IF(B69="","",
IF(OR(ISBLANK('Soil results'!I$7),ISBLANK('Soil results'!I72)),"data missing",
IF(OR(AND('Soil results'!I$7="ammonium nitrate (ADAS)",'Soil results'!I72&gt;51),AND('Soil results'!I$7="modified Morgan (SAC)",'Soil results'!I72&gt;61)),0,
IF(OR(AND('Soil results'!I$7="ammonium nitrate (ADAS)",'Soil results'!I72&lt;25),AND('Soil results'!I$7="modified Morgan (SAC)",'Soil results'!I72&lt;19)),VLOOKUP(Calc!BI67,'Fertiliser recommendations'!$A$4:$AH$63,34,FALSE),
IF(OR(AND('Soil results'!I$7="ammonium nitrate (ADAS)",'Soil results'!I72&lt;=51),AND('Soil results'!I$7="modified Morgan (SAC)",'Soil results'!I72&lt;=61)),VLOOKUP(Calc!BI67,'Fertiliser recommendations'!$A$4:$AI$63,35,FALSE),
"")))))</f>
        <v/>
      </c>
      <c r="V69" s="91" t="str">
        <f t="shared" ca="1" si="3"/>
        <v/>
      </c>
      <c r="W69" s="9" t="str">
        <f ca="1">IF(B69="","",
IF(OR(T69="data missing",U69="data missing"),"data missing",
IF(Calc!BF67=0,"n/a",
IF(U69=0,"no requirement",
IF(T69&lt;0.1*U69,"no benefit",
IF(T69&lt;0.3*U69,"limited benefit",
IF(OR(T69&gt;1.5*U69,AND(Calc!BJ67="g",T69&gt;100)),"excessive",
"benefit")))))))</f>
        <v/>
      </c>
      <c r="Y69" s="91" t="str">
        <f ca="1">IF(B69="","",
IF(AND('Field information 2'!$O$5="", 'Field information 2'!$Q$5=""),
   IF('Waste results'!$P$23&lt;&gt;"", Calc!BC67*'Waste results'!$P$23, "no data"),
IF('Field information 2'!$Q$5="",
   IF(Calc!BD67=0,
     IF('Waste results'!$P$23&lt;&gt;"", Calc!BC67*'Waste results'!$P$23, "no data"),
   IF(Calc!BC67=0,
     IF('Waste results'!$P$59&lt;&gt;"", Calc!BD67*'Waste results'!$P$59, "no data"),
   IF(OR('Waste results'!$P$23&lt;&gt;"", 'Waste results'!$P$59&lt;&gt;""), Calc!BC67*'Waste results'!$P$23+ Calc!BD67*'Waste results'!$P$59, "no data"))),
IF(AND('Field information 2'!$M$5&lt;&gt;"", 'Field information 2'!$O$5&lt;&gt;"", 'Field information 2'!$Q$5&lt;&gt;""),
   IF(AND(Calc!BD67=0,Calc!BE67=0),
     IF('Waste results'!$P$23&lt;&gt;"", Calc!BC67*'Waste results'!$P$23, "no data"),
   IF(AND(Calc!BC67=0,Calc!BE67=0),
     IF('Waste results'!$P$59&lt;&gt;"", Calc!BD67*'Waste results'!$P$59, "no data"),
   IF(AND(Calc!BC67=0,Calc!BD67=0),
     IF('Waste results'!$P$95&lt;&gt;"", Calc!BE67*'Waste results'!$P$95, "no data"),
   IF(Calc!BE67=0,
     IF(OR('Waste results'!$P$23&lt;&gt;"", 'Waste results'!$P$59&lt;&gt;""), Calc!BC67*'Waste results'!$P$23+ Calc!BD67*'Waste results'!$P$59, "no data"),
   IF(Calc!BD67=0,
     IF(OR('Waste results'!$P$23&lt;&gt;"", 'Waste results'!$P$95&lt;&gt;""), Calc!BC67*'Waste results'!$P$23+ Calc!BE67*'Waste results'!$P$95, "no data"),
   IF(Calc!BC67=0,
     IF(OR('Waste results'!$P$59&lt;&gt;"", 'Waste results'!$P$95&lt;&gt;""), Calc!BD67*'Waste results'!$P$59+Calc!BE67*'Waste results'!$P$95, "no data"),
   IF(OR('Waste results'!$P$23&lt;&gt;"", 'Waste results'!$P$59&lt;&gt;"", 'Waste results'!$P$95&lt;&gt;""), Calc!BC67*'Waste results'!$P$23+Calc!BD67*'Waste results'!$P$59+ Calc!BE67*'Waste results'!$P$95, "no data")))))))))))</f>
        <v/>
      </c>
      <c r="Z69" s="7" t="str">
        <f ca="1">IF(OR(ISBLANK('Soil results'!I$7),ISBLANK('Soil results'!I72),'Soil results'!B72=""),"",
VLOOKUP(Calc!BI67,'Fertiliser recommendations'!$A$4:$AM$63,39,FALSE))</f>
        <v/>
      </c>
      <c r="AA69" s="91" t="str">
        <f t="shared" ca="1" si="4"/>
        <v/>
      </c>
      <c r="AB69" s="9" t="str">
        <f t="shared" ca="1" si="5"/>
        <v/>
      </c>
      <c r="AD69" s="48" t="str">
        <f>IF(ISBLANK('Soil results'!F72),"",'Soil results'!F72)</f>
        <v/>
      </c>
      <c r="AE69" s="49" t="str">
        <f ca="1">IF(B69="","",
IF(AND(Calc!BJ67="g", VLOOKUP(LEFT($B69,LEN($B69)-2),'Field information 2'!$B$12:$P$111,9,FALSE)&lt;&gt;"yes"),
 IF(Calc!BG67="10-25% OM", 5.9, IF(Calc!BG67="&gt;25% OM", 5.5, 6.2)),
IF(OR(Calc!BJ67="a", VLOOKUP(LEFT($B69,LEN($B69)-2),'Field information 2'!$B$12:$P$111,9,FALSE)="yes"),
 IF(Calc!BG67="10-25% OM", 6.4, IF(Calc!BG67="&gt;25% OM", 6, 6.7)), "")))</f>
        <v/>
      </c>
      <c r="AF69" s="91" t="str">
        <f ca="1">IF(B69="","",
IF('Waste results'!$Q$33="","no (significant) liming properties",
IF('Waste results'!Q$33&gt;100,"no (significant) liming properties",
IF(AD69="","",
IF(AD69&gt;=AE69,0,ROUNDDOWN((AE69-AD69)*Calc!BK67*'Waste results'!$Q$33+0.2,0))))))</f>
        <v/>
      </c>
      <c r="AG69" s="9" t="str">
        <f ca="1">IF(B69="","",
IF(T69=0,"n/a",
IF(AD69="","data missing",
IF(AND(AD69&lt;5,AF69="no (significant) liming properties"),"no waste application - pH too low",
IF(AND(AD69&gt;5.1,AF69="no (significant) liming properties",Calc!BH67&gt;25, LEFT(Calc!BI67,4)="graz"),"ok",
IF(AND(AD69&lt;=5.2,AF69="no (significant) liming properties"),"liming highly recommended",
IF(AF69=0,"no waste application - liming not required",
IF(AF69&lt;Calc!BC67,"application rate too high - exceeds liming requirement",
"ok"))))))))</f>
        <v/>
      </c>
      <c r="AI69" s="91" t="str">
        <f ca="1">IF(B69="","",
IF(AND('Field information 2'!$O$5="", 'Field information 2'!$Q$5=""),
   IF('Waste results'!$P$10&lt;&gt;"data missing", Calc!BC67*'Waste results'!$P$10, "data missing"),
IF('Field information 2'!$Q$5="",
   IF(Calc!BD67=0,
     IF('Waste results'!$P$10&lt;&gt;"data missing", Calc!BC67*'Waste results'!$P$10, "data missing"),
   IF(Calc!BC67=0,
     IF('Waste results'!$P$45&lt;&gt;"data missing", Calc!BD67*'Waste results'!$P$45, "data missing"),
   IF(OR('Waste results'!$P$10&lt;&gt;"data missing", 'Waste results'!$P$45&lt;&gt;"data missing"), Calc!BC67*'Waste results'!$P$10+ Calc!BD67*'Waste results'!$P$45, "data missing"))),
IF(AND('Field information 2'!$M$5&lt;&gt;"", 'Field information 2'!$O$5&lt;&gt;"", 'Field information 2'!$Q$5&lt;&gt;""),
   IF(AND(Calc!BD67=0,Calc!BE67=0),
     IF('Waste results'!$P$10&lt;&gt;"data missing", Calc!BC67*'Waste results'!$P$10, "data missing"),
   IF(AND(Calc!BC67=0,Calc!BE67=0),
     IF('Waste results'!$P$45&lt;&gt;"data missing", Calc!BD67*'Waste results'!$P$45, "data missing"),
   IF(AND(Calc!BC67=0,Calc!BD67=0),
     IF('Waste results'!$P$82&lt;&gt;"data missing", Calc!BE67*'Waste results'!$P$82, "data missing"),
   IF(Calc!BE67=0,
     IF(OR('Waste results'!$P$10&lt;&gt;"data missing", 'Waste results'!$P$45&lt;&gt;"data missing"), Calc!BC67*'Waste results'!$P$10+ Calc!BD67*'Waste results'!$P$45, "data missing"),
   IF(Calc!BD67=0,
     IF(OR('Waste results'!$P$10&lt;&gt;"data missing", 'Waste results'!$P$82&lt;&gt;"data missing"), Calc!BC67*'Waste results'!$P$10+ Calc!BE67*'Waste results'!$P$82, "data missing"),
   IF(Calc!BC67=0,
     IF(OR('Waste results'!$P$45&lt;&gt;"data missing", 'Waste results'!$P$82&lt;&gt;"data missing"), Calc!BD67*'Waste results'!$P$45+Calc!BE67*'Waste results'!$P$82, "data missing"),
   IF(OR('Waste results'!$P$10&lt;&gt;"data missing", 'Waste results'!$P$45&lt;&gt;"data missing", 'Waste results'!$P$82&lt;&gt;"data missing"), Calc!BC67*'Waste results'!$P$10+Calc!BD67*'Waste results'!$P$45+ Calc!BE67*'Waste results'!$P$82, "data missing")))))))))))</f>
        <v/>
      </c>
      <c r="AJ69" s="237" t="str">
        <f ca="1">IF(B69="","",
IF(AI69="data missing","data missing",
IF(Calc!BF67=0,"n/a",
IF(AND(Calc!BH67&gt;=8,AI69&lt;500),"no benefit",
IF(OR(AND(Calc!BH67&lt;=4,AI69&gt;=500),AND(Calc!BH67&lt;8,AI69&gt;5000)),"benefit",
"limited benefit")))))</f>
        <v/>
      </c>
      <c r="AL69" s="238" t="str">
        <f ca="1">IF(B69="","",
IF(AND('Field information 2'!$O$5="", 'Field information 2'!$Q$5=""),
   IF('Waste results'!$S$25&lt;&gt;"data missing", Calc!BC67*'Waste results'!$S$25, "data missing"),
IF('Field information 2'!$Q$5="",
   IF(Calc!BD67=0,
     IF('Waste results'!$S$25&lt;&gt;"data missing", Calc!BC67*'Waste results'!$S$25, "data missing"),
   IF(Calc!BC67=0,
     IF('Waste results'!$S$61&lt;&gt;"data missing", Calc!BD67*'Waste results'!$S$61, "data missing"),
   IF(OR('Waste results'!$S$25&lt;&gt;"data missing", 'Waste results'!$S$61&lt;&gt;"data missing"), Calc!BC67*'Waste results'!$S$25+ Calc!BD67*'Waste results'!$S$61, "data missing"))),
IF(AND('Field information 2'!$M$5&lt;&gt;"", 'Field information 2'!$O$5&lt;&gt;"", 'Field information 2'!$Q$5&lt;&gt;""),
   IF(AND(Calc!BD67=0,Calc!BE67=0),
     IF('Waste results'!$S$25&lt;&gt;"data missing", Calc!BC67*'Waste results'!$S$25, "data missing"),
   IF(AND(Calc!BC67=0,Calc!BE67=0),
     IF('Waste results'!$S$61&lt;&gt;"data missing", Calc!BD67*'Waste results'!$S$61, "data missing"),
   IF(AND(Calc!BC67=0,Calc!BD67=0),
     IF('Waste results'!$S$97&lt;&gt;"data missing", Calc!BE67*'Waste results'!$S$97, "data missing"),
   IF(Calc!BE67=0,
     IF(OR('Waste results'!$S$25&lt;&gt;"data missing", 'Waste results'!$S$61&lt;&gt;"data missing"), Calc!BC67*'Waste results'!$S$25+ Calc!BD67*'Waste results'!$S$61, "data missing"),
   IF(Calc!BD67=0,
     IF(OR('Waste results'!$S$25&lt;&gt;"data missing", 'Waste results'!$S$97&lt;&gt;"data missing"), Calc!BC67*'Waste results'!$S$25+ Calc!BE67*'Waste results'!$S$97, "data missing"),
   IF(Calc!BC67=0,
     IF(OR('Waste results'!$S$61&lt;&gt;"data missing", 'Waste results'!$S$97&lt;&gt;"data missing"), Calc!BD67*'Waste results'!$S$61+Calc!BE67*'Waste results'!$S$97, "data missing"),
   IF(OR('Waste results'!$S$25&lt;&gt;"data missing", 'Waste results'!$S$61&lt;&gt;"data missing", 'Waste results'!$S$97&lt;&gt;"data missing"), Calc!BC67*'Waste results'!$S$25+Calc!BD67*'Waste results'!$S$61+ Calc!BE67*'Waste results'!$S$97, "data missing")))))))))))</f>
        <v/>
      </c>
      <c r="AM69" s="239" t="str">
        <f ca="1">IF($B69="","",
IF(ISBLANK('Soil results'!K72),"data missing",'Soil results'!K72))</f>
        <v/>
      </c>
      <c r="AN69" s="239" t="str">
        <f t="shared" ca="1" si="6"/>
        <v/>
      </c>
      <c r="AO69" s="9" t="str">
        <f t="shared" ca="1" si="7"/>
        <v/>
      </c>
      <c r="AQ69" s="240" t="str">
        <f ca="1">IF(B69="","",
IF(AND('Field information 2'!$O$5="", 'Field information 2'!$Q$5=""),
   IF('Waste results'!$S$26&lt;&gt;"data missing", Calc!BC67*'Waste results'!$S$26, "data missing"),
IF('Field information 2'!$Q$5="",
   IF(Calc!BD67=0,
     IF('Waste results'!$S$26&lt;&gt;"data missing", Calc!BC67*'Waste results'!$S$26, "data missing"),
   IF(Calc!BC67=0,
     IF('Waste results'!$S$62&lt;&gt;"data missing", Calc!BD67*'Waste results'!$S$62, "data missing"),
   IF(OR('Waste results'!$S$26&lt;&gt;"data missing", 'Waste results'!$S$62&lt;&gt;"data missing"), Calc!BC67*'Waste results'!$S$26+ Calc!BD67*'Waste results'!$S$62, "data missing"))),
IF(AND('Field information 2'!$M$5&lt;&gt;"", 'Field information 2'!$O$5&lt;&gt;"", 'Field information 2'!$Q$5&lt;&gt;""),
   IF(AND(Calc!BD67=0,Calc!BE67=0),
     IF('Waste results'!$S$26&lt;&gt;"data missing", Calc!BC67*'Waste results'!$S$26, "data missing"),
   IF(AND(Calc!BC67=0,Calc!BE67=0),
     IF('Waste results'!$S$62&lt;&gt;"data missing", Calc!BD67*'Waste results'!$S$62, "data missing"),
   IF(AND(Calc!BC67=0,Calc!BD67=0),
     IF('Waste results'!$S$98&lt;&gt;"data missing", Calc!BE67*'Waste results'!$S$98, "data missing"),
   IF(Calc!BE67=0,
     IF(OR('Waste results'!$S$26&lt;&gt;"data missing", 'Waste results'!$S$62&lt;&gt;"data missing"), Calc!BC67*'Waste results'!$S$26+ Calc!BD67*'Waste results'!$S$62, "data missing"),
   IF(Calc!BD67=0,
     IF(OR('Waste results'!$S$26&lt;&gt;"data missing", 'Waste results'!$S$98&lt;&gt;"data missing"), Calc!BC67*'Waste results'!$S$26+ Calc!BE67*'Waste results'!$S$98, "data missing"),
   IF(Calc!BC67=0,
     IF(OR('Waste results'!$S$62&lt;&gt;"data missing", 'Waste results'!$S$98&lt;&gt;"data missing"), Calc!BD67*'Waste results'!$S$62+Calc!BE67*'Waste results'!$S$98, "data missing"),
   IF(OR('Waste results'!$S$26&lt;&gt;"data missing", 'Waste results'!$S$62&lt;&gt;"data missing", 'Waste results'!$S$98&lt;&gt;"data missing"), Calc!BC67*'Waste results'!$S$26+Calc!BD67*'Waste results'!$S$62+ Calc!BE67*'Waste results'!$S$98, "data missing")))))))))))</f>
        <v/>
      </c>
      <c r="AR69" s="241" t="str">
        <f ca="1">IF($B69="","",
IF(ISBLANK('Soil results'!L72),"data missing",'Soil results'!L72))</f>
        <v/>
      </c>
      <c r="AS69" s="241" t="str">
        <f t="shared" ca="1" si="8"/>
        <v/>
      </c>
      <c r="AT69" s="66" t="str">
        <f t="shared" ca="1" si="9"/>
        <v/>
      </c>
      <c r="AV69" s="238" t="str">
        <f ca="1">IF(B69="","",
IF(AND('Field information 2'!$O$5="", 'Field information 2'!$Q$5=""),
   IF('Waste results'!$S$27&lt;&gt;"data missing", Calc!BC67*'Waste results'!$S$27, "data missing"),
IF('Field information 2'!$Q$5="",
   IF(Calc!BD67=0,
     IF('Waste results'!$S$27&lt;&gt;"data missing", Calc!BC67*'Waste results'!$S$27, "data missing"),
   IF(Calc!BC67=0,
     IF('Waste results'!$S$63&lt;&gt;"data missing", Calc!BD67*'Waste results'!$S$63, "data missing"),
   IF(OR('Waste results'!$S$27&lt;&gt;"data missing", 'Waste results'!$S$63&lt;&gt;"data missing"), Calc!BC67*'Waste results'!$S$27+ Calc!BD67*'Waste results'!$S$63, "data missing"))),
IF(AND('Field information 2'!$M$5&lt;&gt;"", 'Field information 2'!$O$5&lt;&gt;"", 'Field information 2'!$Q$5&lt;&gt;""),
   IF(AND(Calc!BD67=0,Calc!BE67=0),
     IF('Waste results'!$S$27&lt;&gt;"data missing", Calc!BC67*'Waste results'!$S$27, "data missing"),
   IF(AND(Calc!BC67=0,Calc!BE67=0),
     IF('Waste results'!$S$63&lt;&gt;"data missing", Calc!BD67*'Waste results'!$S$63, "data missing"),
   IF(AND(Calc!BC67=0,Calc!BD67=0),
     IF('Waste results'!$S$99&lt;&gt;"data missing", Calc!BE67*'Waste results'!$S$99, "data missing"),
   IF(Calc!BE67=0,
     IF(OR('Waste results'!$S$27&lt;&gt;"data missing", 'Waste results'!$S$63&lt;&gt;"data missing"), Calc!BC67*'Waste results'!$S$27+ Calc!BD67*'Waste results'!$S$63, "data missing"),
   IF(Calc!BD67=0,
     IF(OR('Waste results'!$S$27&lt;&gt;"data missing", 'Waste results'!$S$99&lt;&gt;"data missing"), Calc!BC67*'Waste results'!$S$27+ Calc!BE67*'Waste results'!$S$99, "data missing"),
   IF(Calc!BC67=0,
     IF(OR('Waste results'!$S$63&lt;&gt;"data missing", 'Waste results'!$S$99&lt;&gt;"data missing"), Calc!BD67*'Waste results'!$S$63+Calc!BE67*'Waste results'!$S$99, "data missing"),
   IF(OR('Waste results'!$S$27&lt;&gt;"data missing", 'Waste results'!$S$63&lt;&gt;"data missing", 'Waste results'!$S$99&lt;&gt;"data missing"), Calc!BC67*'Waste results'!$S$27+Calc!BD67*'Waste results'!$S$63+ Calc!BE67*'Waste results'!$S$99, "data missing")))))))))))</f>
        <v/>
      </c>
      <c r="AW69" s="239" t="str">
        <f ca="1">IF($B69="","",
IF(ISBLANK('Soil results'!M72),"data missing",'Soil results'!M72))</f>
        <v/>
      </c>
      <c r="AX69" s="239" t="str">
        <f t="shared" ca="1" si="10"/>
        <v/>
      </c>
      <c r="AY69" s="9" t="str">
        <f ca="1">IF(B69="","",
IF(AV69=0,"n/a",
IF(OR(AV69="data missing",AW69="data missing"),"data missing",
IF(AV69&gt;7.5,"application rate too high - permissible rate exceeds limit",
IF('Soil results'!$F72&lt;=5.5,
  IF(AW69&gt;80,"no application - soil conc. already above limit",
  IF(AX69&gt;80,"application rate too high - soil conc. will exceed limit",
  IF(AW69&gt;80*0.9,"soil conc. is at or above 90% of the limit",
  IF(10*AV69*1000/3000+AW69&gt;80,"soil limit likely to be exceeded in 10yrs",
  IF(50*AV69*1000/3000+AW69&gt;80,"soil limit likely to be exceeded in 50yrs","ok"))))),
IF('Soil results'!$F72&lt;=6,
  IF(AW69&gt;100,"no application - soil conc. already above limit",
  IF(AX69&gt;100,"application rate too high - soil conc. will exceed limit",
  IF(AW69&gt;100*0.9,"soil conc. is at or above 90% of the limit",
  IF(10*AV69*1000/3000+AW69&gt;100,"soil limit likely to be exceeded in 10yrs",
  IF(50*AV69*1000/3000+AW69&gt;100,"soil limit likely to be exceeded in 50yrs","ok"))))),
IF('Soil results'!$F72&lt;=7,
  IF(AW69&gt;135,"no application - soil conc. already above limit",
  IF(AX69&gt;135,"application rate too high - soil conc. will exceed limit",
  IF(AW69&gt;135*0.9,"soil conc. is at or above 90% of the limit",
  IF(10*AV69*1000/3000+AW69&gt;135,"soil limit likely to be exceeded in 10yrs",
  IF(50*AV69*1000/3000+AW69&gt;135,"soil limit likely to be exceeded in 50yrs","ok"))))),
IF('Soil results'!$F72&gt;7,
  IF(AW69&gt;200,"no application - soil conc. already above limit",
  IF(AX69&gt;200,"application too high - soil conc. will exceed limit",
  IF(AW69&gt;200*0.9,"soil conc. is at or above 90% of the limit",
  IF(10*AV69*1000/3000+AW69&gt;200,"soil limit likely to be exceeded in 10yrs",
  IF(50*AV69*1000/3000+AW69&gt;200,"soil limit likely to be exceeded in 50yrs","ok")))))
))))))))</f>
        <v/>
      </c>
      <c r="BA69" s="238" t="str">
        <f ca="1">IF(B69="","",
IF(AND('Field information 2'!$O$5="", 'Field information 2'!$Q$5=""),
   IF('Waste results'!$S$28&lt;&gt;"data missing", Calc!BC67*'Waste results'!$S$28, "data missing"),
IF('Field information 2'!$Q$5="",
   IF(Calc!BD67=0,
     IF('Waste results'!$S$28&lt;&gt;"data missing", Calc!BC67*'Waste results'!$S$28, "data missing"),
   IF(Calc!BC67=0,
     IF('Waste results'!$S$64&lt;&gt;"data missing", Calc!BD67*'Waste results'!$S$64, "data missing"),
   IF(OR('Waste results'!$S$28&lt;&gt;"data missing", 'Waste results'!$S$64&lt;&gt;"data missing"), Calc!BC67*'Waste results'!$S$28+ Calc!BD67*'Waste results'!$S$64, "data missing"))),
IF(AND('Field information 2'!$M$5&lt;&gt;"", 'Field information 2'!$O$5&lt;&gt;"", 'Field information 2'!$Q$5&lt;&gt;""),
   IF(AND(Calc!BD67=0,Calc!BE67=0),
     IF('Waste results'!$S$28&lt;&gt;"data missing", Calc!BC67*'Waste results'!$S$28, "data missing"),
   IF(AND(Calc!BC67=0,Calc!BE67=0),
     IF('Waste results'!$S$64&lt;&gt;"data missing", Calc!BD67*'Waste results'!$S$64, "data missing"),
   IF(AND(Calc!BC67=0,Calc!BD67=0),
     IF('Waste results'!$S$100&lt;&gt;"data missing", Calc!BE67*'Waste results'!$S$100, "data missing"),
   IF(Calc!BE67=0,
     IF(OR('Waste results'!$S$28&lt;&gt;"data missing", 'Waste results'!$S$64&lt;&gt;"data missing"), Calc!BC67*'Waste results'!$S$28+ Calc!BD67*'Waste results'!$S$64, "data missing"),
   IF(Calc!BD67=0,
     IF(OR('Waste results'!$S$28&lt;&gt;"data missing", 'Waste results'!$S$100&lt;&gt;"data missing"), Calc!BC67*'Waste results'!$S$28+ Calc!BE67*'Waste results'!$S$100, "data missing"),
   IF(Calc!BC67=0,
     IF(OR('Waste results'!$S$64&lt;&gt;"data missing", 'Waste results'!$S$100&lt;&gt;"data missing"), Calc!BD67*'Waste results'!$S$64+Calc!BE67*'Waste results'!$S$100, "data missing"),
   IF(OR('Waste results'!$S$28&lt;&gt;"data missing", 'Waste results'!$S$64&lt;&gt;"data missing", 'Waste results'!$S$100&lt;&gt;"data missing"), Calc!BC67*'Waste results'!$S$28+Calc!BD67*'Waste results'!$S$64+ Calc!BE67*'Waste results'!$S$100, "data missing")))))))))))</f>
        <v/>
      </c>
      <c r="BB69" s="239" t="str">
        <f ca="1">IF($B69="","",
IF(ISBLANK('Soil results'!N72),"data missing",'Soil results'!N72))</f>
        <v/>
      </c>
      <c r="BC69" s="239" t="str">
        <f t="shared" ca="1" si="11"/>
        <v/>
      </c>
      <c r="BD69" s="9" t="str">
        <f t="shared" ca="1" si="12"/>
        <v/>
      </c>
      <c r="BF69" s="238" t="str">
        <f ca="1">IF(B69="","",
IF(AND('Field information 2'!$O$5="", 'Field information 2'!$Q$5=""),
   IF('Waste results'!$S$29&lt;&gt;"data missing", Calc!BC67*'Waste results'!$S$29, "data missing"),
IF('Field information 2'!$Q$5="",
   IF(Calc!BD67=0,
     IF('Waste results'!$S$29&lt;&gt;"data missing", Calc!BC67*'Waste results'!$S$29, "data missing"),
   IF(Calc!BC67=0,
     IF('Waste results'!$S$65&lt;&gt;"data missing", Calc!BD67*'Waste results'!$S$65, "data missing"),
   IF(OR('Waste results'!$S$29&lt;&gt;"data missing", 'Waste results'!$S$65&lt;&gt;"data missing"), Calc!BC67*'Waste results'!$S$29+ Calc!BD67*'Waste results'!$S$65, "data missing"))),
IF(AND('Field information 2'!$M$5&lt;&gt;"", 'Field information 2'!$O$5&lt;&gt;"", 'Field information 2'!$Q$5&lt;&gt;""),
   IF(AND(Calc!BD67=0,Calc!BE67=0),
     IF('Waste results'!$S$29&lt;&gt;"data missing", Calc!BC67*'Waste results'!$S$29, "data missing"),
   IF(AND(Calc!BC67=0,Calc!BE67=0),
     IF('Waste results'!$S$65&lt;&gt;"data missing", Calc!BD67*'Waste results'!$S$65, "data missing"),
   IF(AND(Calc!BC67=0,Calc!BD67=0),
     IF('Waste results'!$S$101&lt;&gt;"data missing", Calc!BE67*'Waste results'!$S$101, "data missing"),
   IF(Calc!BE67=0,
     IF(OR('Waste results'!$S$29&lt;&gt;"data missing", 'Waste results'!$S$65&lt;&gt;"data missing"), Calc!BC67*'Waste results'!$S$29+ Calc!BD67*'Waste results'!$S$65, "data missing"),
   IF(Calc!BD67=0,
     IF(OR('Waste results'!$S$29&lt;&gt;"data missing", 'Waste results'!$S$101&lt;&gt;"data missing"), Calc!BC67*'Waste results'!$S$29+ Calc!BE67*'Waste results'!$S$101, "data missing"),
   IF(Calc!BC67=0,
     IF(OR('Waste results'!$S$65&lt;&gt;"data missing", 'Waste results'!$S$101&lt;&gt;"data missing"), Calc!BD67*'Waste results'!$S$65+Calc!BE67*'Waste results'!$S$101, "data missing"),
   IF(OR('Waste results'!$S$29&lt;&gt;"data missing", 'Waste results'!$S$65&lt;&gt;"data missing", 'Waste results'!$S$101&lt;&gt;"data missing"), Calc!BC67*'Waste results'!$S$29+Calc!BD67*'Waste results'!$S$65+ Calc!BE67*'Waste results'!$S$101, "data missing")))))))))))</f>
        <v/>
      </c>
      <c r="BG69" s="239" t="str">
        <f ca="1">IF($B69="","",
IF(ISBLANK('Soil results'!O72),"data missing",'Soil results'!O72))</f>
        <v/>
      </c>
      <c r="BH69" s="239" t="str">
        <f t="shared" ca="1" si="13"/>
        <v/>
      </c>
      <c r="BI69" s="9" t="str">
        <f ca="1">IF(B69="","",
IF(BF69=0,"n/a",
IF(OR(BF69="data missing",BG69="data missing"),"data missing",
IF(BF69&gt;3,"application rate too high - permissible rate exceeds limit",
IF('Soil results'!F72&lt;=5.5,
  IF(BG69&gt;50,"no application - soil conc. already above limit",
  IF(BH69&gt;50,"application rate too high - soil conc. will exceed limit",
  IF(BG69&gt;50*0.9,"soil conc. is at or above 90% of the limit",
  IF(10*BF69*1000/3000+BG69&gt;50,"soil limit likely to be exceeded in 10yrs",
  IF(50*BF69*1000/3000+BG69&gt;50,"soil limit likely to be exceeded in 50yrs","ok"))))),
IF('Soil results'!F72&lt;=6,
  IF(BG69&gt;60,"no application - soil conc. already above limit",
  IF(BH69&gt;60,"application rate too high - soil conc. will exceed limit",
  IF(BG69&gt;60*0.9,"soil conc. is at or above 90% of the limit",
  IF(10*BF69*1000/3000+BG69&gt;60,"soil limit likely to be exceeded in 10yrs",
  IF(50*BF69*1000/3000+BG69&gt;60,"soil limit likely to be exceeded in 50yrs","ok"))))),
IF('Soil results'!F72&lt;=7,
  IF(BG69&gt;75,"no application - soil conc. already above limit",
  IF(BH69&gt;75,"application rate too high - soil conc. will exceed limit",
  IF(BG69&gt;75*0.9,"soil conc. is at or above 90% of the limit",
  IF(10*BF69*1000/3000+BG69&gt;75,"soil limit likely to be exceeded in 10yrs",
  IF(50*BF69*1000/3000+BG69&gt;75,"soil limit likely to be exceeded in 50yrs","ok"))))),
IF('Soil results'!F72&gt;7,
  IF(BG69&gt;100,"no application - soil conc. already above limit",
  IF(BH69&gt;100,"application rate too high - soil conc. will exceed limit",
  IF(BG69&gt;100*0.9,"soil conc. is at or above 90% of the limit",
  IF(10*BF69*1000/3000+BG69&gt;100,"soil limit likely to be exceeded in 10yrs",
  IF(50*BF69*1000/3000+BG69&gt;100,"soil limit likely to beexceeded in 50yrs","ok")))))
))))))))</f>
        <v/>
      </c>
      <c r="BK69" s="240" t="str">
        <f ca="1">IF(B69="","",
IF(AND('Field information 2'!$O$5="", 'Field information 2'!$Q$5=""),
   IF('Waste results'!$S$30&lt;&gt;"data missing", Calc!BC67*'Waste results'!$S$30, "data missing"),
IF('Field information 2'!$Q$5="",
   IF(Calc!BD67=0,
     IF('Waste results'!$S$30&lt;&gt;"data missing", Calc!BC67*'Waste results'!$S$30, "data missing"),
   IF(Calc!BC67=0,
     IF('Waste results'!$S$66&lt;&gt;"data missing", Calc!BD67*'Waste results'!$S$66, "data missing"),
   IF(OR('Waste results'!$S$30&lt;&gt;"data missing", 'Waste results'!$S$66&lt;&gt;"data missing"), Calc!BC67*'Waste results'!$S$30+ Calc!BD67*'Waste results'!$S$66, "data missing"))),
IF(AND('Field information 2'!$M$5&lt;&gt;"", 'Field information 2'!$O$5&lt;&gt;"", 'Field information 2'!$Q$5&lt;&gt;""),
   IF(AND(Calc!BD67=0,Calc!BE67=0),
     IF('Waste results'!$S$30&lt;&gt;"data missing", Calc!BC67*'Waste results'!$S$30, "data missing"),
   IF(AND(Calc!BC67=0,Calc!BE67=0),
     IF('Waste results'!$S$66&lt;&gt;"data missing", Calc!BD67*'Waste results'!$S$66, "data missing"),
   IF(AND(Calc!BC67=0,Calc!BD67=0),
     IF('Waste results'!$S$102&lt;&gt;"data missing", Calc!BE67*'Waste results'!$S$102, "data missing"),
   IF(Calc!BE67=0,
     IF(OR('Waste results'!$S$30&lt;&gt;"data missing", 'Waste results'!$S$66&lt;&gt;"data missing"), Calc!BC67*'Waste results'!$S$30+ Calc!BD67*'Waste results'!$S$66, "data missing"),
   IF(Calc!BD67=0,
     IF(OR('Waste results'!$S$30&lt;&gt;"data missing", 'Waste results'!$S$102&lt;&gt;"data missing"), Calc!BC67*'Waste results'!$S$30+ Calc!BE67*'Waste results'!$S$102, "data missing"),
   IF(Calc!BC67=0,
     IF(OR('Waste results'!$S$66&lt;&gt;"data missing", 'Waste results'!$S$102&lt;&gt;"data missing"), Calc!BD67*'Waste results'!$S$66+Calc!BE67*'Waste results'!$S$102, "data missing"),
   IF(OR('Waste results'!$S$30&lt;&gt;"data missing", 'Waste results'!$S$66&lt;&gt;"data missing", 'Waste results'!$S$102&lt;&gt;"data missing"), Calc!BC67*'Waste results'!$S$30+Calc!BD67*'Waste results'!$S$66+ Calc!BE67*'Waste results'!$S$102, "data missing")))))))))))</f>
        <v/>
      </c>
      <c r="BL69" s="241" t="str">
        <f ca="1">IF($B69="","",
IF(ISBLANK('Soil results'!P72),"data missing",'Soil results'!P72))</f>
        <v/>
      </c>
      <c r="BM69" s="241" t="str">
        <f t="shared" ca="1" si="14"/>
        <v/>
      </c>
      <c r="BN69" s="66" t="str">
        <f t="shared" ca="1" si="15"/>
        <v/>
      </c>
      <c r="BP69" s="238" t="str">
        <f ca="1">IF(B69="","",
IF(AND('Field information 2'!$O$5="", 'Field information 2'!$Q$5=""),
   IF('Waste results'!$S$31&lt;&gt;"data missing", Calc!BC67*'Waste results'!$S$31, "data missing"),
IF('Field information 2'!$Q$5="",
   IF(Calc!BD67=0,
     IF('Waste results'!$S$31&lt;&gt;"data missing", Calc!BC67*'Waste results'!$S$31, "data missing"),
   IF(Calc!BC67=0,
     IF('Waste results'!$S$67&lt;&gt;"data missing", Calc!BD67*'Waste results'!$S$67, "data missing"),
   IF(OR('Waste results'!$S$31&lt;&gt;"data missing", 'Waste results'!$S$67&lt;&gt;"data missing"), Calc!BC67*'Waste results'!$S$31+ Calc!BD67*'Waste results'!$S$67, "data missing"))),
IF(AND('Field information 2'!$M$5&lt;&gt;"", 'Field information 2'!$O$5&lt;&gt;"", 'Field information 2'!$Q$5&lt;&gt;""),
   IF(AND(Calc!BD67=0,Calc!BE67=0),
     IF('Waste results'!$S$31&lt;&gt;"data missing", Calc!BC67*'Waste results'!$S$31, "data missing"),
   IF(AND(Calc!BC67=0,Calc!BE67=0),
     IF('Waste results'!$S$67&lt;&gt;"data missing", Calc!BD67*'Waste results'!$S$67, "data missing"),
   IF(AND(Calc!BC67=0,Calc!BD67=0),
     IF('Waste results'!$S$103&lt;&gt;"data missing", Calc!BE67*'Waste results'!$S$103, "data missing"),
   IF(Calc!BE67=0,
     IF(OR('Waste results'!$S$31&lt;&gt;"data missing", 'Waste results'!$S$67&lt;&gt;"data missing"), Calc!BC67*'Waste results'!$S$31+ Calc!BD67*'Waste results'!$S$67, "data missing"),
   IF(Calc!BD67=0,
     IF(OR('Waste results'!$S$31&lt;&gt;"data missing", 'Waste results'!$S$103&lt;&gt;"data missing"), Calc!BC67*'Waste results'!$S$31+ Calc!BE67*'Waste results'!$S$103, "data missing"),
   IF(Calc!BC67=0,
     IF(OR('Waste results'!$S$67&lt;&gt;"data missing", 'Waste results'!$S$103&lt;&gt;"data missing"), Calc!BD67*'Waste results'!$S$67+Calc!BE67*'Waste results'!$S$103, "data missing"),
   IF(OR('Waste results'!$S$31&lt;&gt;"data missing", 'Waste results'!$S$67&lt;&gt;"data missing", 'Waste results'!$S$103&lt;&gt;"data missing"), Calc!BC67*'Waste results'!$S$31+Calc!BD67*'Waste results'!$S$67+ Calc!BE67*'Waste results'!$S$103, "data missing")))))))))))</f>
        <v/>
      </c>
      <c r="BQ69" s="239" t="str">
        <f ca="1">IF($B69="","",
IF(ISBLANK('Soil results'!Q72),"data missing",'Soil results'!Q72))</f>
        <v/>
      </c>
      <c r="BR69" s="239" t="str">
        <f t="shared" ca="1" si="16"/>
        <v/>
      </c>
      <c r="BS69" s="9" t="str">
        <f ca="1">IF(B69="","",
IF(BP69=0,"n/a",
IF(OR(BP69="data missing",BQ69=""),"data missing",
IF(BP69&gt;15,"application rate too high - permissible rate exceeds limit",
IF('Soil results'!F72&lt;=5.5,
  IF(BQ69&gt;200,"no application - soil conc. already above limit",
  IF(BR69&gt;200,"application rate too high - soil conc. will exceed limit",
  IF(BQ69&gt;200*0.9,"soil conc. is at or above 90% of the limit",
  IF(10*BP69*1000/3000+BQ69&gt;200,"soil limit likely to be exceeded in 10yrs",
  IF(50*BP69*1000/3000+BQ69&gt;200,"soil limit likely to be exceeded in 50yrs","ok"))))),
IF('Soil results'!F72&lt;=6,
  IF(BQ69&gt;250,"no application - soil conc. already above limit",
  IF(BR69&gt;250,"application rate too high - soil conc. will exceed limit",
  IF(BQ69&gt;250*0.9,"soil conc. is at or above 90% of the limit",
  IF(10*BP69*1000/3000+BQ69&gt;250,"soil limit likely to be exceeded in 10yrs",
  IF(50*BP69*1000/3000+BQ69&gt;250,"soil limit likely to be exceeded in 50yrs","ok"))))),
IF('Soil results'!F72&lt;=7,
  IF(BQ69&gt;300,"no application - soil conc. already above limit",
  IF(BR69&gt;300,"application rate too high - soil conc. will exceed limit",
  IF(BQ69&gt;300*0.9,"soil conc. is at or above 90% of the limit",
  IF(10*BP69*1000/3000+BQ69&gt;300,"soil limit likey to be exceeded in 10yrs",
  IF(50*BP69*1000/3000+BQ69&gt;300,"soil limit likely to be exceeded in 50yrs","ok"))))),
IF('Soil results'!F72&gt;7,
  IF(BQ69&gt;450,"no application - soil conc. already above limit",
  IF(BR69&gt;450,"application rate too high - soil conc. will exceed limit",
  IF(AW69&gt;450*0.9,"soil conc. is at or above 90% of the limit",
  IF(10*BP69*1000/3000+BQ69&gt;450,"soil limit likely to be exceeded in 10yrs",
  IF(50*BP69*1000/3000+BQ69&gt;450,"soil limit likely to be exceeded in 50yrs","ok")))))
))))))))</f>
        <v/>
      </c>
    </row>
    <row r="70" spans="2:71" s="9" customFormat="1" ht="15" x14ac:dyDescent="0.25">
      <c r="B70" s="236" t="str">
        <f ca="1">'Soil results'!B73</f>
        <v/>
      </c>
      <c r="C70" s="91" t="str">
        <f ca="1">IF(B70="","",
IF(AND('Field information 2'!$O$5="", 'Field information 2'!$Q$5=""),
   IF('Waste results'!$S$12&lt;&gt;"data missing", Calc!BC68*'Waste results'!$S$12, "data missing"),
IF('Field information 2'!$Q$5="",
   IF(Calc!BD68=0,
     IF('Waste results'!$S$12&lt;&gt;"data missing", Calc!BC68*'Waste results'!$S$12, "data missing"),
   IF(Calc!BC68=0,
     IF('Waste results'!$S$48&lt;&gt;"data missing", Calc!BD68*'Waste results'!$S$48, "data missing"),
   IF(OR('Waste results'!$S$12&lt;&gt;"data missing", 'Waste results'!$S$48&lt;&gt;"data missing"), Calc!BC68*'Waste results'!$S$12+ Calc!BD68*'Waste results'!$S$48, "data missing"))),
IF(AND('Field information 2'!$M$5&lt;&gt;"", 'Field information 2'!$O$5&lt;&gt;"", 'Field information 2'!$Q$5&lt;&gt;""),
   IF(AND(Calc!BD68=0,Calc!BE68=0),
     IF('Waste results'!$S$12&lt;&gt;"data missing", Calc!BC68*'Waste results'!$S$12, "data missing"),
   IF(AND(Calc!BC68=0,Calc!BE68=0),
     IF('Waste results'!$S$48&lt;&gt;"data missing", Calc!BD68*'Waste results'!$S$48, "data missing"),
   IF(AND(Calc!BC68=0,Calc!BD68=0),
     IF('Waste results'!$S$84&lt;&gt;"data missing", Calc!BE68*'Waste results'!$S$84, "data missing"),
   IF(Calc!BE68=0,
     IF(OR('Waste results'!$S$12&lt;&gt;"data missing", 'Waste results'!$S$48&lt;&gt;"data missing"), Calc!BC68*'Waste results'!$S$12+ Calc!BD68*'Waste results'!$S$48, "data missing"),
   IF(Calc!BD68=0,
     IF(OR('Waste results'!$S$12&lt;&gt;"data missing", 'Waste results'!$S$84&lt;&gt;"data missing"), Calc!BC68*'Waste results'!$S$12+ Calc!BE68*'Waste results'!$S$84, "data missing"),
   IF(Calc!BC68=0,
     IF(OR('Waste results'!$S$48&lt;&gt;"data missing", 'Waste results'!$S$84&lt;&gt;"data missing"), Calc!BD68*'Waste results'!$S$48+Calc!BE68*'Waste results'!$S$84, "data missing"),
   IF(OR('Waste results'!$S$12&lt;&gt;"data missing", 'Waste results'!$S$48&lt;&gt;"data missing", 'Waste results'!$S$84&lt;&gt;"data missing"), Calc!BC68*'Waste results'!$S$12+Calc!BD68*'Waste results'!$S$48+ Calc!BE68*'Waste results'!$S$84, "data missing")))))))))))</f>
        <v/>
      </c>
      <c r="D70" s="161" t="str">
        <f ca="1">IF(B70="","",
IF(Calc!BG68="","soil texture missing",
IF(OR(Calc!BG68="SL; SZL; ZL",Calc!BG68="SCL; CL; ZCL; SC; ZC; C"),VLOOKUP(Calc!BI68,'Fertiliser recommendations'!$A$4:$C$63,3,FALSE),
IF(Calc!BG68="S; LS",VLOOKUP(Calc!BI68,'Fertiliser recommendations'!$A$4:$C$63,3,FALSE)+VLOOKUP(Calc!BI68,'Fertiliser recommendations'!$A$4:$D$63,4,FALSE),
IF(Calc!BG68="10-25% OM",VLOOKUP(Calc!BI68,'Fertiliser recommendations'!$A$4:$C$63,3,FALSE)+VLOOKUP(Calc!BI68,'Fertiliser recommendations'!$A$4:$E$63,5,FALSE),
IF(Calc!BG68="&gt;25% OM",VLOOKUP(Calc!BI68,'Fertiliser recommendations'!$A$4:$C$63,3,FALSE)+VLOOKUP(Calc!BI68,'Fertiliser recommendations'!$A$4:$F$63,6,FALSE),
""))))))</f>
        <v/>
      </c>
      <c r="E70" s="91" t="str">
        <f t="shared" ca="1" si="0"/>
        <v/>
      </c>
      <c r="F70" s="9" t="str">
        <f ca="1">IF(B70="","",
IF(OR(C70="data missing",D70="soil texture missing"),"data missing",
IF(Calc!BF68=0,"n/a",
IF(C70&lt;0.1*D70,"no benefit",
IF(C70&lt;0.3*D70,"limited benefit",
IF(C70&gt;250,"exceeds limit",
IF(OR(AND(D70=0,C70&gt;75),C70&gt;1.25*D70),"excessive",
IF(D70=0, "no requirement",
"benefit"))))))))</f>
        <v/>
      </c>
      <c r="H70" s="91" t="str">
        <f ca="1">IF(B70="","",
IF(AND('Field information 2'!$O$5="", 'Field information 2'!$Q$5=""),
   IF('Waste results'!$S$17&lt;&gt;"data missing", Calc!BC68*'Waste results'!$S$17, "data missing"),
IF('Field information 2'!$Q$5="",
   IF(Calc!BD68=0,
     IF('Waste results'!$S$17&lt;&gt;"data missing", Calc!BC68*'Waste results'!$S$17, "data missing"),
   IF(Calc!BC68=0,
     IF('Waste results'!$S$53&lt;&gt;"data missing", Calc!BD68*'Waste results'!$S$53, "data missing"),
   IF(OR('Waste results'!$S$17&lt;&gt;"data missing", 'Waste results'!$S$53&lt;&gt;"data missing"), Calc!BC68*'Waste results'!$S$17+ Calc!BD68*'Waste results'!$S$53, "data missing"))),
IF(AND('Field information 2'!$M$5&lt;&gt;"", 'Field information 2'!$O$5&lt;&gt;"", 'Field information 2'!$Q$5&lt;&gt;""),
   IF(AND(Calc!BD68=0,Calc!BE68=0),
     IF('Waste results'!$S$17&lt;&gt;"data missing", Calc!BC68*'Waste results'!$S$17, "data missing"),
   IF(AND(Calc!BC68=0,Calc!BE68=0),
     IF('Waste results'!$S$53&lt;&gt;"data missing", Calc!BD68*'Waste results'!$S$53, "data missing"),
   IF(AND(Calc!BC68=0,Calc!BD68=0),
     IF('Waste results'!$S$89&lt;&gt;"data missing", Calc!BE68*'Waste results'!$S$89, "data missing"),
   IF(Calc!BE68=0,
     IF(OR('Waste results'!$S$17&lt;&gt;"data missing", 'Waste results'!$S$53&lt;&gt;"data missing"), Calc!BC68*'Waste results'!$S$17+ Calc!BD68*'Waste results'!$S$53, "data missing"),
   IF(Calc!BD68=0,
     IF(OR('Waste results'!$S$17&lt;&gt;"data missing", 'Waste results'!$S$89&lt;&gt;"data missing"), Calc!BC68*'Waste results'!$S$17+ Calc!BE68*'Waste results'!$S$89, "data missing"),
   IF(Calc!BC68=0,
     IF(OR('Waste results'!$S$53&lt;&gt;"data missing", 'Waste results'!$S$89&lt;&gt;"data missing"), Calc!BD68*'Waste results'!$S$53+Calc!BE68*'Waste results'!$S$89, "data missing"),
   IF(OR('Waste results'!$S$17&lt;&gt;"data missing", 'Waste results'!$S$53&lt;&gt;"data missing", 'Waste results'!$S$89&lt;&gt;"data missing"), Calc!BC68*'Waste results'!$S$17+Calc!BD68*'Waste results'!$S$53+ Calc!BE68*'Waste results'!$S$89, "data missing")))))))))))</f>
        <v/>
      </c>
      <c r="I70" s="195" t="str">
        <f ca="1">IF(B70="","",
IF(OR(ISBLANK('Soil results'!G73), ISBLANK('Soil results'!G$7)),"data missing",
IF(OR(AND('Soil results'!G$7="Olsen (ADAS)",'Soil results'!G73&lt;16),AND('Soil results'!G$7="modified Morgan (SAC)",'Soil results'!G73&lt;4.5)),50,100)))</f>
        <v/>
      </c>
      <c r="J70" s="49" t="str">
        <f ca="1">IF(B70="","",
IF(OR(ISBLANK('Soil results'!G$7),ISBLANK('Soil results'!G73)),"data missing",
IF(OR(AND('Soil results'!G$7="Olsen (ADAS)",'Soil results'!G73&gt;45),AND('Soil results'!G$7="modified Morgan (SAC)",'Soil results'!G73&gt;30)),0,
IF(OR(AND('Soil results'!G$7="Olsen (ADAS)",'Soil results'!G73&gt;=16,'Soil results'!G73&lt;=20),AND('Soil results'!G$7="modified Morgan (SAC)",'Soil results'!G73&gt;=4.5,'Soil results'!G73&lt;=9.4)),VLOOKUP(Calc!BI68,'Fertiliser recommendations'!$A$4:$I$63,9,FALSE),
IF(OR(AND('Soil results'!G$7="Olsen (ADAS)",'Soil results'!G73&lt;10),AND('Soil results'!G$7="modified Morgan (SAC)",'Soil results'!G73&lt;1.8)),VLOOKUP(Calc!BI68,'Fertiliser recommendations'!$A$4:$I$63,9,FALSE)+VLOOKUP(Calc!BI68,'Fertiliser recommendations'!$A$4:$J$63,10,FALSE),
IF(OR(AND('Soil results'!G$7="Olsen (ADAS)",'Soil results'!G73&lt;16),AND('Soil results'!G$7="modified Morgan (SAC)",'Soil results'!G73&lt;4.5)),VLOOKUP(Calc!BI68,'Fertiliser recommendations'!$A$4:$I$63,9,FALSE)+VLOOKUP(Calc!BI68,'Fertiliser recommendations'!$A$4:$K$63,11,FALSE),
IF(OR(AND('Soil results'!G$7="Olsen (ADAS)",'Soil results'!G73&lt;26),AND('Soil results'!G$7="modified Morgan (SAC)",'Soil results'!G73&lt;13.5)),VLOOKUP(Calc!BI68,'Fertiliser recommendations'!$A$4:$I$63,9,FALSE)+VLOOKUP(Calc!BI68,'Fertiliser recommendations'!$A$4:$L$63,12,FALSE),
IF(OR(AND('Soil results'!G$7="Olsen (ADAS)",'Soil results'!G73&lt;=45),AND('Soil results'!G$7="modified Morgan (SAC)",'Soil results'!G73&lt;=30)),VLOOKUP(Calc!BI68,'Fertiliser recommendations'!$A$4:$I$63,9,FALSE)+VLOOKUP(Calc!BI68,'Fertiliser recommendations'!$A$4:$M$63,13,FALSE),
""))))))))</f>
        <v/>
      </c>
      <c r="K70" s="161" t="str">
        <f t="shared" ca="1" si="1"/>
        <v/>
      </c>
      <c r="L70" s="47" t="str">
        <f ca="1">IF(OR(ISBLANK('Soil results'!G$7),ISBLANK('Soil results'!G73),B70="", H70="data missing"),"",
IF('Soil results'!G$7="Olsen (ADAS)",
IF(((H70*Calc!BM68/2.291-(VLOOKUP(Calc!BI68,'Fertiliser recommendations'!$A$4:$I$63,9,FALSE))/2.291)*10/(400/2.291)+'Soil results'!G73)&lt;10,"0 (VL)",
IF(((H70*Calc!BM68/2.291-(VLOOKUP(Calc!BI68,'Fertiliser recommendations'!$A$4:$I$63,9,FALSE))/2.291)*10/(400/2.291)+'Soil results'!G73)&lt;16,"1 (L)",
IF(((H70*Calc!BM68/2.291-(VLOOKUP(Calc!BI68,'Fertiliser recommendations'!$A$4:$I$63,9,FALSE))/2.291)*10/(400/2.291)+'Soil results'!G73)&lt;21,"2 (M-)",
IF(((H70*Calc!BM68/2.291-(VLOOKUP(Calc!BI68,'Fertiliser recommendations'!$A$4:$I$63,9,FALSE))/2.291)*10/(400/2.291)+'Soil results'!G73)&lt;26,"2 (M+)",
IF(((H70*Calc!BM68/2.291-(VLOOKUP(Calc!BI68,'Fertiliser recommendations'!$A$4:$I$63,9,FALSE))/2.291)*10/(400/2.291)+'Soil results'!G73)&lt;45,"3 (H)","&gt;3 (VH)"))))),
IF('Soil results'!G$7="modified Morgan (SAC)",
IF('Soil results'!G73&gt;=6,
IF(((H70*Calc!BM68/2.291-(VLOOKUP(Calc!BI68,'Fertiliser recommendations'!$A$4:$I$63,9,FALSE))/2.291)*5/(147/2.291)+'Soil results'!G73)&lt;9.5,"2 (M-)",
IF(((H70*Calc!BM68/2.291-(VLOOKUP(Calc!BI68,'Fertiliser recommendations'!$A$4:$I$63,9,FALSE))/2.291)*5/(147/2.291)+'Soil results'!G73)&lt;13.5,"2 (M+)",
IF(((H70*Calc!BM68/2.291-(VLOOKUP(Calc!BI68,'Fertiliser recommendations'!$A$4:$I$63,9,FALSE))/2.291)*5/(147/2.291)+'Soil results'!G73)&lt;30,"3 (H)","4 (VH)"))),
IF(((H70*Calc!BM68/2.291-(VLOOKUP(Calc!BI68,'Fertiliser recommendations'!$A$4:$I$63,9,FALSE))/2.291)*5/(346/2.291)+'Soil results'!G73)&lt;1.8,"0 (VL)",
IF(((H70*Calc!BM68/2.291-(VLOOKUP(Calc!BI68,'Fertiliser recommendations'!$A$4:$I$63,9,FALSE))/2.291)*5/(147/2.291)+'Soil results'!G73)&lt;4.5,"1 (L)","2 (M-)"))))))</f>
        <v/>
      </c>
      <c r="M70" s="9" t="str">
        <f ca="1">IF(B70="","",
IF(OR(H70="data missing",I70="data missing",J70="data missing"),"data missing",
IF(Calc!BF68=0,"n/a",
IF(OR(AND('Soil results'!G$7="Olsen (ADAS)",'Soil results'!G73&gt;45),AND('Soil results'!G$7="modified Morgan (SAC)",'Soil results'!G73&gt;30)),
IF(H70&gt;2,"too high, not acceptable","no requirement"),IF(OR(AND('Soil results'!G$7="Olsen (ADAS)",'Soil results'!G73&gt;25),AND('Soil results'!G$7="modified Morgan (SAC)",'Soil results'!G73&gt;13.4)),
IF(H70*(I70/100)&lt;0.1*J70,"no benefit",
IF(H70*(I70/100)&lt;0.3*J70,"limited benefit",
IF(H70*(I70/100)&lt;1.1*J70,"benefit",
IF(H70*(I70/100)&lt;0.7*VLOOKUP(Calc!BI68,'Fertiliser recommendations'!$A$4:$I$63,9,FALSE),"excessive","too high, not acceptable")))),
IF(OR(AND('Soil results'!G$7="Olsen (ADAS)",'Soil results'!G73&gt;20),AND('Soil results'!G$7="modified Morgan (SAC)",'Soil results'!G73&gt;9.4)),
IF(H70*Calc!BM68*(I70/100)&lt;0.1*J70,"no benefit",
IF(H70*Calc!BM68*(I70/100)&lt;0.3*J70,"limited benefit",
IF(H70*Calc!BM68*(I70/100)&lt;1.1*J70,"benefit",
IF(L70="3 (H)","too high, not acceptable","excessive")))),
IF(OR(AND('Soil results'!G$7="Olsen (ADAS)",'Soil results'!G73&gt;15),AND('Soil results'!G$7="modified Morgan (SAC)",'Soil results'!G73&gt;4.4)),
IF(H70*Calc!BM68*(I70/100)&lt;0.1*VLOOKUP(Calc!BI68,'Fertiliser recommendations'!$A$4:$I$63,9,FALSE),"no benefit",
IF(H70*Calc!BM68*(I70/100)&lt;0.3*VLOOKUP(Calc!BI68,'Fertiliser recommendations'!$A$4:$I$63,9,FALSE),"limited benefit",
IF(H70*Calc!BM68*(I70/100)&lt;1.1*VLOOKUP(Calc!BI68,'Fertiliser recommendations'!$A$4:$I$63,9,FALSE),"benefit",
IF(L70="3 (H)", "too high, not acceptable", "excessive")))),
IF(OR(AND('Soil results'!G$7="Olsen (ADAS)",'Soil results'!G73&lt;=15),AND('Soil results'!G$7="modified Morgan (SAC)",'Soil results'!G73&lt;=4.4)),
IF(H70*Calc!BM68*(I70/100)&lt;0.1*VLOOKUP(Calc!BI68,'Fertiliser recommendations'!$A$4:$I$63,9,FALSE),"no benefit",
IF(H70*Calc!BM68*(I70/100)&lt;0.3*VLOOKUP(Calc!BI68,'Fertiliser recommendations'!$A$4:$I$63,9,FALSE),"limited benefit",
IF(H70*Calc!BM68*(I70/100)&lt;1.1*J70,"benefit","excessive")))))))))))</f>
        <v/>
      </c>
      <c r="O70" s="91" t="str">
        <f ca="1">IF(B70="","",
IF(AND('Field information 2'!$O$5="", 'Field information 2'!$Q$5=""),
   IF('Waste results'!$S$19&lt;&gt;"data missing", Calc!BC68*'Waste results'!$S$19, "data missing"),
IF('Field information 2'!$Q$5="",
   IF(Calc!BD68=0,
     IF('Waste results'!$S$19&lt;&gt;"data missing", Calc!BC68*'Waste results'!$S$19, "data missing"),
   IF(Calc!BC68=0,
     IF('Waste results'!$S$55&lt;&gt;"data missing", Calc!BD68*'Waste results'!$S$55, "data missing"),
   IF(OR('Waste results'!$S$19&lt;&gt;"data missing", 'Waste results'!$S$55&lt;&gt;"data missing"), Calc!BC68*'Waste results'!$S$19+ Calc!BD68*'Waste results'!$S$55, "data missing"))),
IF(AND('Field information 2'!$M$5&lt;&gt;"", 'Field information 2'!$O$5&lt;&gt;"", 'Field information 2'!$Q$5&lt;&gt;""),
   IF(AND(Calc!BD68=0,Calc!BE68=0),
     IF('Waste results'!$S$19&lt;&gt;"data missing", Calc!BC68*'Waste results'!$S$19, "data missing"),
   IF(AND(Calc!BC68=0,Calc!BE68=0),
     IF('Waste results'!$S$55&lt;&gt;"data missing", Calc!BD68*'Waste results'!$S$55, "data missing"),
   IF(AND(Calc!BC68=0,Calc!BD68=0),
     IF('Waste results'!$S$91&lt;&gt;"data missing", Calc!BE68*'Waste results'!$S$91, "data missing"),
   IF(Calc!BE68=0,
     IF(OR('Waste results'!$S$19&lt;&gt;"data missing", 'Waste results'!$S$55&lt;&gt;"data missing"), Calc!BC68*'Waste results'!$S$19+ Calc!BD68*'Waste results'!$S$55, "data missing"),
   IF(Calc!BD68=0,
     IF(OR('Waste results'!$S$19&lt;&gt;"data missing", 'Waste results'!$S$91&lt;&gt;"data missing"), Calc!BC68*'Waste results'!$S$19+ Calc!BE68*'Waste results'!$S$91, "data missing"),
   IF(Calc!BC68=0,
     IF(OR('Waste results'!$S$55&lt;&gt;"data missing", 'Waste results'!$S$91&lt;&gt;"data missing"), Calc!BD68*'Waste results'!$S$55+Calc!BE68*'Waste results'!$S$91, "data missing"),
   IF(OR('Waste results'!$S$19&lt;&gt;"data missing", 'Waste results'!$S$55&lt;&gt;"data missing", 'Waste results'!$S$91&lt;&gt;"data missing"), Calc!BC68*'Waste results'!$S$19+Calc!BD68*'Waste results'!$S$55+ Calc!BE68*'Waste results'!$S$91, "data missing")))))))))))</f>
        <v/>
      </c>
      <c r="P70" s="91" t="str">
        <f ca="1">IF(B70="","",
IF(OR(ISBLANK('Soil results'!H$7),ISBLANK('Soil results'!H73)),"data missing",
IF(OR(AND('Soil results'!H$7="ammonium nitrate (ADAS)",'Soil results'!H73&gt;400),AND('Soil results'!H$7="modified Morgan (SAC)",'Soil results'!H73&gt;400)),0,
IF(OR(AND('Soil results'!H$7="ammonium nitrate (ADAS)",'Soil results'!H73&gt;=121,'Soil results'!H73&lt;=180),AND('Soil results'!H$7="modified Morgan (SAC)",'Soil results'!H73&gt;=76,'Soil results'!H73&lt;=140)),VLOOKUP(Calc!BI68,'Fertiliser recommendations'!$A$4:$Z$63,26,FALSE),
IF(OR(AND('Soil results'!H$7="ammonium nitrate (ADAS)",'Soil results'!H73&lt;61),AND('Soil results'!H$7="modified Morgan (SAC)",'Soil results'!H73&lt;40)),VLOOKUP(Calc!BI68,'Fertiliser recommendations'!$A$4:$Z$63,26,FALSE)+VLOOKUP(Calc!BI68,'Fertiliser recommendations'!$A$4:$AA$63,27,FALSE),
IF(OR(AND('Soil results'!H$7="ammonium nitrate (ADAS)",'Soil results'!H73&lt;121),AND('Soil results'!H$7="modified Morgan (SAC)",'Soil results'!H73&lt;76)),VLOOKUP(Calc!BI68,'Fertiliser recommendations'!$A$4:$Z$63,26,FALSE)+VLOOKUP(Calc!BI68,'Fertiliser recommendations'!$A$4:$AB$63,28,FALSE),
IF(OR(AND('Soil results'!H$7="ammonium nitrate (ADAS)",'Soil results'!H73&lt;241),AND('Soil results'!H$7="modified Morgan (SAC)",'Soil results'!H73&lt;201)),VLOOKUP(Calc!BI68,'Fertiliser recommendations'!$A$4:$Z$63,26,FALSE)+VLOOKUP(Calc!BI68,'Fertiliser recommendations'!$A$4:$AC$63,29,FALSE),
IF(OR(AND('Soil results'!H$7="ammonium nitrate (ADAS)",'Soil results'!H73&lt;=400),AND('Soil results'!H$7="modified Morgan (SAC)",'Soil results'!H73&lt;=400)),VLOOKUP(Calc!BI68,'Fertiliser recommendations'!$A$4:$Z$63,26,FALSE)+VLOOKUP(Calc!BI68,'Fertiliser recommendations'!$A$4:$AD$63,30,FALSE),
"??"))))))))</f>
        <v/>
      </c>
      <c r="Q70" s="91" t="str">
        <f t="shared" ca="1" si="2"/>
        <v/>
      </c>
      <c r="R70" s="9" t="str">
        <f ca="1">IF(B70="","",
IF(OR(O70="data missing",P70="data missing"),"data missing",
IF(Calc!BF68=0,"n/a",
IF(P70=0, "no requirement",
IF(O70&lt;0.1*P70,"no benefit",
IF(O70&lt;0.3*P70,"limited benefit",
IF(O70&gt;1.25*P70,"excessive",
"benefit")))))))</f>
        <v/>
      </c>
      <c r="T70" s="91" t="str">
        <f ca="1">IF(B70="","",
IF(AND('Field information 2'!$O$5="", 'Field information 2'!$Q$5=""),
   IF('Waste results'!$S$21&lt;&gt;"data missing", Calc!BC68*'Waste results'!$S$21, "data missing"),
IF('Field information 2'!$Q$5="",
   IF(Calc!BD68=0,
     IF('Waste results'!$S$21&lt;&gt;"data missing", Calc!BC68*'Waste results'!$S$21, "data missing"),
   IF(Calc!BC68=0,
     IF('Waste results'!$S$57&lt;&gt;"data missing", Calc!BD68*'Waste results'!$S$57, "data missing"),
   IF(OR('Waste results'!$S$21&lt;&gt;"data missing", 'Waste results'!$S$57&lt;&gt;"data missing"), Calc!BC68*'Waste results'!$S$21+ Calc!BD68*'Waste results'!$S$57, "data missing"))),
IF(AND('Field information 2'!$M$5&lt;&gt;"", 'Field information 2'!$O$5&lt;&gt;"", 'Field information 2'!$Q$5&lt;&gt;""),
   IF(AND(Calc!BD68=0,Calc!BE68=0),
     IF('Waste results'!$S$21&lt;&gt;"data missing", Calc!BC68*'Waste results'!$S$21, "data missing"),
   IF(AND(Calc!BC68=0,Calc!BE68=0),
     IF('Waste results'!$S$57&lt;&gt;"data missing", Calc!BD68*'Waste results'!$S$57, "data missing"),
   IF(AND(Calc!BC68=0,Calc!BD68=0),
     IF('Waste results'!$S$93&lt;&gt;"data missing", Calc!BE68*'Waste results'!$S$93, "data missing"),
   IF(Calc!BE68=0,
     IF(OR('Waste results'!$S$21&lt;&gt;"data missing", 'Waste results'!$S$57&lt;&gt;"data missing"), Calc!BC68*'Waste results'!$S$21+ Calc!BD68*'Waste results'!$S$57, "data missing"),
   IF(Calc!BD68=0,
     IF(OR('Waste results'!$S$21&lt;&gt;"data missing", 'Waste results'!$S$93&lt;&gt;"data missing"), Calc!BC68*'Waste results'!$S$21+ Calc!BE68*'Waste results'!$S$93, "data missing"),
   IF(Calc!BC68=0,
     IF(OR('Waste results'!$S$57&lt;&gt;"data missing", 'Waste results'!$S$93&lt;&gt;"data missing"), Calc!BD68*'Waste results'!$S$57+Calc!BE68*'Waste results'!$S$93, "data missing"),
   IF(OR('Waste results'!$S$21&lt;&gt;"data missing", 'Waste results'!$S$57&lt;&gt;"data missing", 'Waste results'!$S$93&lt;&gt;"data missing"), Calc!BC68*'Waste results'!$S$21+Calc!BD68*'Waste results'!$S$57+ Calc!BE68*'Waste results'!$S$93, "data missing")))))))))))</f>
        <v/>
      </c>
      <c r="U70" s="7" t="str">
        <f ca="1">IF(B70="","",
IF(OR(ISBLANK('Soil results'!I$7),ISBLANK('Soil results'!I73)),"data missing",
IF(OR(AND('Soil results'!I$7="ammonium nitrate (ADAS)",'Soil results'!I73&gt;51),AND('Soil results'!I$7="modified Morgan (SAC)",'Soil results'!I73&gt;61)),0,
IF(OR(AND('Soil results'!I$7="ammonium nitrate (ADAS)",'Soil results'!I73&lt;25),AND('Soil results'!I$7="modified Morgan (SAC)",'Soil results'!I73&lt;19)),VLOOKUP(Calc!BI68,'Fertiliser recommendations'!$A$4:$AH$63,34,FALSE),
IF(OR(AND('Soil results'!I$7="ammonium nitrate (ADAS)",'Soil results'!I73&lt;=51),AND('Soil results'!I$7="modified Morgan (SAC)",'Soil results'!I73&lt;=61)),VLOOKUP(Calc!BI68,'Fertiliser recommendations'!$A$4:$AI$63,35,FALSE),
"")))))</f>
        <v/>
      </c>
      <c r="V70" s="91" t="str">
        <f t="shared" ca="1" si="3"/>
        <v/>
      </c>
      <c r="W70" s="9" t="str">
        <f ca="1">IF(B70="","",
IF(OR(T70="data missing",U70="data missing"),"data missing",
IF(Calc!BF68=0,"n/a",
IF(U70=0,"no requirement",
IF(T70&lt;0.1*U70,"no benefit",
IF(T70&lt;0.3*U70,"limited benefit",
IF(OR(T70&gt;1.5*U70,AND(Calc!BJ68="g",T70&gt;100)),"excessive",
"benefit")))))))</f>
        <v/>
      </c>
      <c r="Y70" s="91" t="str">
        <f ca="1">IF(B70="","",
IF(AND('Field information 2'!$O$5="", 'Field information 2'!$Q$5=""),
   IF('Waste results'!$P$23&lt;&gt;"", Calc!BC68*'Waste results'!$P$23, "no data"),
IF('Field information 2'!$Q$5="",
   IF(Calc!BD68=0,
     IF('Waste results'!$P$23&lt;&gt;"", Calc!BC68*'Waste results'!$P$23, "no data"),
   IF(Calc!BC68=0,
     IF('Waste results'!$P$59&lt;&gt;"", Calc!BD68*'Waste results'!$P$59, "no data"),
   IF(OR('Waste results'!$P$23&lt;&gt;"", 'Waste results'!$P$59&lt;&gt;""), Calc!BC68*'Waste results'!$P$23+ Calc!BD68*'Waste results'!$P$59, "no data"))),
IF(AND('Field information 2'!$M$5&lt;&gt;"", 'Field information 2'!$O$5&lt;&gt;"", 'Field information 2'!$Q$5&lt;&gt;""),
   IF(AND(Calc!BD68=0,Calc!BE68=0),
     IF('Waste results'!$P$23&lt;&gt;"", Calc!BC68*'Waste results'!$P$23, "no data"),
   IF(AND(Calc!BC68=0,Calc!BE68=0),
     IF('Waste results'!$P$59&lt;&gt;"", Calc!BD68*'Waste results'!$P$59, "no data"),
   IF(AND(Calc!BC68=0,Calc!BD68=0),
     IF('Waste results'!$P$95&lt;&gt;"", Calc!BE68*'Waste results'!$P$95, "no data"),
   IF(Calc!BE68=0,
     IF(OR('Waste results'!$P$23&lt;&gt;"", 'Waste results'!$P$59&lt;&gt;""), Calc!BC68*'Waste results'!$P$23+ Calc!BD68*'Waste results'!$P$59, "no data"),
   IF(Calc!BD68=0,
     IF(OR('Waste results'!$P$23&lt;&gt;"", 'Waste results'!$P$95&lt;&gt;""), Calc!BC68*'Waste results'!$P$23+ Calc!BE68*'Waste results'!$P$95, "no data"),
   IF(Calc!BC68=0,
     IF(OR('Waste results'!$P$59&lt;&gt;"", 'Waste results'!$P$95&lt;&gt;""), Calc!BD68*'Waste results'!$P$59+Calc!BE68*'Waste results'!$P$95, "no data"),
   IF(OR('Waste results'!$P$23&lt;&gt;"", 'Waste results'!$P$59&lt;&gt;"", 'Waste results'!$P$95&lt;&gt;""), Calc!BC68*'Waste results'!$P$23+Calc!BD68*'Waste results'!$P$59+ Calc!BE68*'Waste results'!$P$95, "no data")))))))))))</f>
        <v/>
      </c>
      <c r="Z70" s="7" t="str">
        <f ca="1">IF(OR(ISBLANK('Soil results'!I$7),ISBLANK('Soil results'!I73),'Soil results'!B73=""),"",
VLOOKUP(Calc!BI68,'Fertiliser recommendations'!$A$4:$AM$63,39,FALSE))</f>
        <v/>
      </c>
      <c r="AA70" s="91" t="str">
        <f t="shared" ca="1" si="4"/>
        <v/>
      </c>
      <c r="AB70" s="9" t="str">
        <f t="shared" ca="1" si="5"/>
        <v/>
      </c>
      <c r="AD70" s="48" t="str">
        <f>IF(ISBLANK('Soil results'!F73),"",'Soil results'!F73)</f>
        <v/>
      </c>
      <c r="AE70" s="49" t="str">
        <f ca="1">IF(B70="","",
IF(AND(Calc!BJ68="g", VLOOKUP(LEFT($B70,LEN($B70)-2),'Field information 2'!$B$12:$P$111,9,FALSE)&lt;&gt;"yes"),
 IF(Calc!BG68="10-25% OM", 5.9, IF(Calc!BG68="&gt;25% OM", 5.5, 6.2)),
IF(OR(Calc!BJ68="a", VLOOKUP(LEFT($B70,LEN($B70)-2),'Field information 2'!$B$12:$P$111,9,FALSE)="yes"),
 IF(Calc!BG68="10-25% OM", 6.4, IF(Calc!BG68="&gt;25% OM", 6, 6.7)), "")))</f>
        <v/>
      </c>
      <c r="AF70" s="91" t="str">
        <f ca="1">IF(B70="","",
IF('Waste results'!$Q$33="","no (significant) liming properties",
IF('Waste results'!Q$33&gt;100,"no (significant) liming properties",
IF(AD70="","",
IF(AD70&gt;=AE70,0,ROUNDDOWN((AE70-AD70)*Calc!BK68*'Waste results'!$Q$33+0.2,0))))))</f>
        <v/>
      </c>
      <c r="AG70" s="9" t="str">
        <f ca="1">IF(B70="","",
IF(T70=0,"n/a",
IF(AD70="","data missing",
IF(AND(AD70&lt;5,AF70="no (significant) liming properties"),"no waste application - pH too low",
IF(AND(AD70&gt;5.1,AF70="no (significant) liming properties",Calc!BH68&gt;25, LEFT(Calc!BI68,4)="graz"),"ok",
IF(AND(AD70&lt;=5.2,AF70="no (significant) liming properties"),"liming highly recommended",
IF(AF70=0,"no waste application - liming not required",
IF(AF70&lt;Calc!BC68,"application rate too high - exceeds liming requirement",
"ok"))))))))</f>
        <v/>
      </c>
      <c r="AI70" s="91" t="str">
        <f ca="1">IF(B70="","",
IF(AND('Field information 2'!$O$5="", 'Field information 2'!$Q$5=""),
   IF('Waste results'!$P$10&lt;&gt;"data missing", Calc!BC68*'Waste results'!$P$10, "data missing"),
IF('Field information 2'!$Q$5="",
   IF(Calc!BD68=0,
     IF('Waste results'!$P$10&lt;&gt;"data missing", Calc!BC68*'Waste results'!$P$10, "data missing"),
   IF(Calc!BC68=0,
     IF('Waste results'!$P$45&lt;&gt;"data missing", Calc!BD68*'Waste results'!$P$45, "data missing"),
   IF(OR('Waste results'!$P$10&lt;&gt;"data missing", 'Waste results'!$P$45&lt;&gt;"data missing"), Calc!BC68*'Waste results'!$P$10+ Calc!BD68*'Waste results'!$P$45, "data missing"))),
IF(AND('Field information 2'!$M$5&lt;&gt;"", 'Field information 2'!$O$5&lt;&gt;"", 'Field information 2'!$Q$5&lt;&gt;""),
   IF(AND(Calc!BD68=0,Calc!BE68=0),
     IF('Waste results'!$P$10&lt;&gt;"data missing", Calc!BC68*'Waste results'!$P$10, "data missing"),
   IF(AND(Calc!BC68=0,Calc!BE68=0),
     IF('Waste results'!$P$45&lt;&gt;"data missing", Calc!BD68*'Waste results'!$P$45, "data missing"),
   IF(AND(Calc!BC68=0,Calc!BD68=0),
     IF('Waste results'!$P$82&lt;&gt;"data missing", Calc!BE68*'Waste results'!$P$82, "data missing"),
   IF(Calc!BE68=0,
     IF(OR('Waste results'!$P$10&lt;&gt;"data missing", 'Waste results'!$P$45&lt;&gt;"data missing"), Calc!BC68*'Waste results'!$P$10+ Calc!BD68*'Waste results'!$P$45, "data missing"),
   IF(Calc!BD68=0,
     IF(OR('Waste results'!$P$10&lt;&gt;"data missing", 'Waste results'!$P$82&lt;&gt;"data missing"), Calc!BC68*'Waste results'!$P$10+ Calc!BE68*'Waste results'!$P$82, "data missing"),
   IF(Calc!BC68=0,
     IF(OR('Waste results'!$P$45&lt;&gt;"data missing", 'Waste results'!$P$82&lt;&gt;"data missing"), Calc!BD68*'Waste results'!$P$45+Calc!BE68*'Waste results'!$P$82, "data missing"),
   IF(OR('Waste results'!$P$10&lt;&gt;"data missing", 'Waste results'!$P$45&lt;&gt;"data missing", 'Waste results'!$P$82&lt;&gt;"data missing"), Calc!BC68*'Waste results'!$P$10+Calc!BD68*'Waste results'!$P$45+ Calc!BE68*'Waste results'!$P$82, "data missing")))))))))))</f>
        <v/>
      </c>
      <c r="AJ70" s="237" t="str">
        <f ca="1">IF(B70="","",
IF(AI70="data missing","data missing",
IF(Calc!BF68=0,"n/a",
IF(AND(Calc!BH68&gt;=8,AI70&lt;500),"no benefit",
IF(OR(AND(Calc!BH68&lt;=4,AI70&gt;=500),AND(Calc!BH68&lt;8,AI70&gt;5000)),"benefit",
"limited benefit")))))</f>
        <v/>
      </c>
      <c r="AL70" s="238" t="str">
        <f ca="1">IF(B70="","",
IF(AND('Field information 2'!$O$5="", 'Field information 2'!$Q$5=""),
   IF('Waste results'!$S$25&lt;&gt;"data missing", Calc!BC68*'Waste results'!$S$25, "data missing"),
IF('Field information 2'!$Q$5="",
   IF(Calc!BD68=0,
     IF('Waste results'!$S$25&lt;&gt;"data missing", Calc!BC68*'Waste results'!$S$25, "data missing"),
   IF(Calc!BC68=0,
     IF('Waste results'!$S$61&lt;&gt;"data missing", Calc!BD68*'Waste results'!$S$61, "data missing"),
   IF(OR('Waste results'!$S$25&lt;&gt;"data missing", 'Waste results'!$S$61&lt;&gt;"data missing"), Calc!BC68*'Waste results'!$S$25+ Calc!BD68*'Waste results'!$S$61, "data missing"))),
IF(AND('Field information 2'!$M$5&lt;&gt;"", 'Field information 2'!$O$5&lt;&gt;"", 'Field information 2'!$Q$5&lt;&gt;""),
   IF(AND(Calc!BD68=0,Calc!BE68=0),
     IF('Waste results'!$S$25&lt;&gt;"data missing", Calc!BC68*'Waste results'!$S$25, "data missing"),
   IF(AND(Calc!BC68=0,Calc!BE68=0),
     IF('Waste results'!$S$61&lt;&gt;"data missing", Calc!BD68*'Waste results'!$S$61, "data missing"),
   IF(AND(Calc!BC68=0,Calc!BD68=0),
     IF('Waste results'!$S$97&lt;&gt;"data missing", Calc!BE68*'Waste results'!$S$97, "data missing"),
   IF(Calc!BE68=0,
     IF(OR('Waste results'!$S$25&lt;&gt;"data missing", 'Waste results'!$S$61&lt;&gt;"data missing"), Calc!BC68*'Waste results'!$S$25+ Calc!BD68*'Waste results'!$S$61, "data missing"),
   IF(Calc!BD68=0,
     IF(OR('Waste results'!$S$25&lt;&gt;"data missing", 'Waste results'!$S$97&lt;&gt;"data missing"), Calc!BC68*'Waste results'!$S$25+ Calc!BE68*'Waste results'!$S$97, "data missing"),
   IF(Calc!BC68=0,
     IF(OR('Waste results'!$S$61&lt;&gt;"data missing", 'Waste results'!$S$97&lt;&gt;"data missing"), Calc!BD68*'Waste results'!$S$61+Calc!BE68*'Waste results'!$S$97, "data missing"),
   IF(OR('Waste results'!$S$25&lt;&gt;"data missing", 'Waste results'!$S$61&lt;&gt;"data missing", 'Waste results'!$S$97&lt;&gt;"data missing"), Calc!BC68*'Waste results'!$S$25+Calc!BD68*'Waste results'!$S$61+ Calc!BE68*'Waste results'!$S$97, "data missing")))))))))))</f>
        <v/>
      </c>
      <c r="AM70" s="239" t="str">
        <f ca="1">IF($B70="","",
IF(ISBLANK('Soil results'!K73),"data missing",'Soil results'!K73))</f>
        <v/>
      </c>
      <c r="AN70" s="239" t="str">
        <f t="shared" ca="1" si="6"/>
        <v/>
      </c>
      <c r="AO70" s="9" t="str">
        <f t="shared" ca="1" si="7"/>
        <v/>
      </c>
      <c r="AQ70" s="240" t="str">
        <f ca="1">IF(B70="","",
IF(AND('Field information 2'!$O$5="", 'Field information 2'!$Q$5=""),
   IF('Waste results'!$S$26&lt;&gt;"data missing", Calc!BC68*'Waste results'!$S$26, "data missing"),
IF('Field information 2'!$Q$5="",
   IF(Calc!BD68=0,
     IF('Waste results'!$S$26&lt;&gt;"data missing", Calc!BC68*'Waste results'!$S$26, "data missing"),
   IF(Calc!BC68=0,
     IF('Waste results'!$S$62&lt;&gt;"data missing", Calc!BD68*'Waste results'!$S$62, "data missing"),
   IF(OR('Waste results'!$S$26&lt;&gt;"data missing", 'Waste results'!$S$62&lt;&gt;"data missing"), Calc!BC68*'Waste results'!$S$26+ Calc!BD68*'Waste results'!$S$62, "data missing"))),
IF(AND('Field information 2'!$M$5&lt;&gt;"", 'Field information 2'!$O$5&lt;&gt;"", 'Field information 2'!$Q$5&lt;&gt;""),
   IF(AND(Calc!BD68=0,Calc!BE68=0),
     IF('Waste results'!$S$26&lt;&gt;"data missing", Calc!BC68*'Waste results'!$S$26, "data missing"),
   IF(AND(Calc!BC68=0,Calc!BE68=0),
     IF('Waste results'!$S$62&lt;&gt;"data missing", Calc!BD68*'Waste results'!$S$62, "data missing"),
   IF(AND(Calc!BC68=0,Calc!BD68=0),
     IF('Waste results'!$S$98&lt;&gt;"data missing", Calc!BE68*'Waste results'!$S$98, "data missing"),
   IF(Calc!BE68=0,
     IF(OR('Waste results'!$S$26&lt;&gt;"data missing", 'Waste results'!$S$62&lt;&gt;"data missing"), Calc!BC68*'Waste results'!$S$26+ Calc!BD68*'Waste results'!$S$62, "data missing"),
   IF(Calc!BD68=0,
     IF(OR('Waste results'!$S$26&lt;&gt;"data missing", 'Waste results'!$S$98&lt;&gt;"data missing"), Calc!BC68*'Waste results'!$S$26+ Calc!BE68*'Waste results'!$S$98, "data missing"),
   IF(Calc!BC68=0,
     IF(OR('Waste results'!$S$62&lt;&gt;"data missing", 'Waste results'!$S$98&lt;&gt;"data missing"), Calc!BD68*'Waste results'!$S$62+Calc!BE68*'Waste results'!$S$98, "data missing"),
   IF(OR('Waste results'!$S$26&lt;&gt;"data missing", 'Waste results'!$S$62&lt;&gt;"data missing", 'Waste results'!$S$98&lt;&gt;"data missing"), Calc!BC68*'Waste results'!$S$26+Calc!BD68*'Waste results'!$S$62+ Calc!BE68*'Waste results'!$S$98, "data missing")))))))))))</f>
        <v/>
      </c>
      <c r="AR70" s="241" t="str">
        <f ca="1">IF($B70="","",
IF(ISBLANK('Soil results'!L73),"data missing",'Soil results'!L73))</f>
        <v/>
      </c>
      <c r="AS70" s="241" t="str">
        <f t="shared" ca="1" si="8"/>
        <v/>
      </c>
      <c r="AT70" s="66" t="str">
        <f t="shared" ca="1" si="9"/>
        <v/>
      </c>
      <c r="AV70" s="238" t="str">
        <f ca="1">IF(B70="","",
IF(AND('Field information 2'!$O$5="", 'Field information 2'!$Q$5=""),
   IF('Waste results'!$S$27&lt;&gt;"data missing", Calc!BC68*'Waste results'!$S$27, "data missing"),
IF('Field information 2'!$Q$5="",
   IF(Calc!BD68=0,
     IF('Waste results'!$S$27&lt;&gt;"data missing", Calc!BC68*'Waste results'!$S$27, "data missing"),
   IF(Calc!BC68=0,
     IF('Waste results'!$S$63&lt;&gt;"data missing", Calc!BD68*'Waste results'!$S$63, "data missing"),
   IF(OR('Waste results'!$S$27&lt;&gt;"data missing", 'Waste results'!$S$63&lt;&gt;"data missing"), Calc!BC68*'Waste results'!$S$27+ Calc!BD68*'Waste results'!$S$63, "data missing"))),
IF(AND('Field information 2'!$M$5&lt;&gt;"", 'Field information 2'!$O$5&lt;&gt;"", 'Field information 2'!$Q$5&lt;&gt;""),
   IF(AND(Calc!BD68=0,Calc!BE68=0),
     IF('Waste results'!$S$27&lt;&gt;"data missing", Calc!BC68*'Waste results'!$S$27, "data missing"),
   IF(AND(Calc!BC68=0,Calc!BE68=0),
     IF('Waste results'!$S$63&lt;&gt;"data missing", Calc!BD68*'Waste results'!$S$63, "data missing"),
   IF(AND(Calc!BC68=0,Calc!BD68=0),
     IF('Waste results'!$S$99&lt;&gt;"data missing", Calc!BE68*'Waste results'!$S$99, "data missing"),
   IF(Calc!BE68=0,
     IF(OR('Waste results'!$S$27&lt;&gt;"data missing", 'Waste results'!$S$63&lt;&gt;"data missing"), Calc!BC68*'Waste results'!$S$27+ Calc!BD68*'Waste results'!$S$63, "data missing"),
   IF(Calc!BD68=0,
     IF(OR('Waste results'!$S$27&lt;&gt;"data missing", 'Waste results'!$S$99&lt;&gt;"data missing"), Calc!BC68*'Waste results'!$S$27+ Calc!BE68*'Waste results'!$S$99, "data missing"),
   IF(Calc!BC68=0,
     IF(OR('Waste results'!$S$63&lt;&gt;"data missing", 'Waste results'!$S$99&lt;&gt;"data missing"), Calc!BD68*'Waste results'!$S$63+Calc!BE68*'Waste results'!$S$99, "data missing"),
   IF(OR('Waste results'!$S$27&lt;&gt;"data missing", 'Waste results'!$S$63&lt;&gt;"data missing", 'Waste results'!$S$99&lt;&gt;"data missing"), Calc!BC68*'Waste results'!$S$27+Calc!BD68*'Waste results'!$S$63+ Calc!BE68*'Waste results'!$S$99, "data missing")))))))))))</f>
        <v/>
      </c>
      <c r="AW70" s="239" t="str">
        <f ca="1">IF($B70="","",
IF(ISBLANK('Soil results'!M73),"data missing",'Soil results'!M73))</f>
        <v/>
      </c>
      <c r="AX70" s="239" t="str">
        <f t="shared" ca="1" si="10"/>
        <v/>
      </c>
      <c r="AY70" s="9" t="str">
        <f ca="1">IF(B70="","",
IF(AV70=0,"n/a",
IF(OR(AV70="data missing",AW70="data missing"),"data missing",
IF(AV70&gt;7.5,"application rate too high - permissible rate exceeds limit",
IF('Soil results'!$F73&lt;=5.5,
  IF(AW70&gt;80,"no application - soil conc. already above limit",
  IF(AX70&gt;80,"application rate too high - soil conc. will exceed limit",
  IF(AW70&gt;80*0.9,"soil conc. is at or above 90% of the limit",
  IF(10*AV70*1000/3000+AW70&gt;80,"soil limit likely to be exceeded in 10yrs",
  IF(50*AV70*1000/3000+AW70&gt;80,"soil limit likely to be exceeded in 50yrs","ok"))))),
IF('Soil results'!$F73&lt;=6,
  IF(AW70&gt;100,"no application - soil conc. already above limit",
  IF(AX70&gt;100,"application rate too high - soil conc. will exceed limit",
  IF(AW70&gt;100*0.9,"soil conc. is at or above 90% of the limit",
  IF(10*AV70*1000/3000+AW70&gt;100,"soil limit likely to be exceeded in 10yrs",
  IF(50*AV70*1000/3000+AW70&gt;100,"soil limit likely to be exceeded in 50yrs","ok"))))),
IF('Soil results'!$F73&lt;=7,
  IF(AW70&gt;135,"no application - soil conc. already above limit",
  IF(AX70&gt;135,"application rate too high - soil conc. will exceed limit",
  IF(AW70&gt;135*0.9,"soil conc. is at or above 90% of the limit",
  IF(10*AV70*1000/3000+AW70&gt;135,"soil limit likely to be exceeded in 10yrs",
  IF(50*AV70*1000/3000+AW70&gt;135,"soil limit likely to be exceeded in 50yrs","ok"))))),
IF('Soil results'!$F73&gt;7,
  IF(AW70&gt;200,"no application - soil conc. already above limit",
  IF(AX70&gt;200,"application too high - soil conc. will exceed limit",
  IF(AW70&gt;200*0.9,"soil conc. is at or above 90% of the limit",
  IF(10*AV70*1000/3000+AW70&gt;200,"soil limit likely to be exceeded in 10yrs",
  IF(50*AV70*1000/3000+AW70&gt;200,"soil limit likely to be exceeded in 50yrs","ok")))))
))))))))</f>
        <v/>
      </c>
      <c r="BA70" s="238" t="str">
        <f ca="1">IF(B70="","",
IF(AND('Field information 2'!$O$5="", 'Field information 2'!$Q$5=""),
   IF('Waste results'!$S$28&lt;&gt;"data missing", Calc!BC68*'Waste results'!$S$28, "data missing"),
IF('Field information 2'!$Q$5="",
   IF(Calc!BD68=0,
     IF('Waste results'!$S$28&lt;&gt;"data missing", Calc!BC68*'Waste results'!$S$28, "data missing"),
   IF(Calc!BC68=0,
     IF('Waste results'!$S$64&lt;&gt;"data missing", Calc!BD68*'Waste results'!$S$64, "data missing"),
   IF(OR('Waste results'!$S$28&lt;&gt;"data missing", 'Waste results'!$S$64&lt;&gt;"data missing"), Calc!BC68*'Waste results'!$S$28+ Calc!BD68*'Waste results'!$S$64, "data missing"))),
IF(AND('Field information 2'!$M$5&lt;&gt;"", 'Field information 2'!$O$5&lt;&gt;"", 'Field information 2'!$Q$5&lt;&gt;""),
   IF(AND(Calc!BD68=0,Calc!BE68=0),
     IF('Waste results'!$S$28&lt;&gt;"data missing", Calc!BC68*'Waste results'!$S$28, "data missing"),
   IF(AND(Calc!BC68=0,Calc!BE68=0),
     IF('Waste results'!$S$64&lt;&gt;"data missing", Calc!BD68*'Waste results'!$S$64, "data missing"),
   IF(AND(Calc!BC68=0,Calc!BD68=0),
     IF('Waste results'!$S$100&lt;&gt;"data missing", Calc!BE68*'Waste results'!$S$100, "data missing"),
   IF(Calc!BE68=0,
     IF(OR('Waste results'!$S$28&lt;&gt;"data missing", 'Waste results'!$S$64&lt;&gt;"data missing"), Calc!BC68*'Waste results'!$S$28+ Calc!BD68*'Waste results'!$S$64, "data missing"),
   IF(Calc!BD68=0,
     IF(OR('Waste results'!$S$28&lt;&gt;"data missing", 'Waste results'!$S$100&lt;&gt;"data missing"), Calc!BC68*'Waste results'!$S$28+ Calc!BE68*'Waste results'!$S$100, "data missing"),
   IF(Calc!BC68=0,
     IF(OR('Waste results'!$S$64&lt;&gt;"data missing", 'Waste results'!$S$100&lt;&gt;"data missing"), Calc!BD68*'Waste results'!$S$64+Calc!BE68*'Waste results'!$S$100, "data missing"),
   IF(OR('Waste results'!$S$28&lt;&gt;"data missing", 'Waste results'!$S$64&lt;&gt;"data missing", 'Waste results'!$S$100&lt;&gt;"data missing"), Calc!BC68*'Waste results'!$S$28+Calc!BD68*'Waste results'!$S$64+ Calc!BE68*'Waste results'!$S$100, "data missing")))))))))))</f>
        <v/>
      </c>
      <c r="BB70" s="239" t="str">
        <f ca="1">IF($B70="","",
IF(ISBLANK('Soil results'!N73),"data missing",'Soil results'!N73))</f>
        <v/>
      </c>
      <c r="BC70" s="239" t="str">
        <f t="shared" ca="1" si="11"/>
        <v/>
      </c>
      <c r="BD70" s="9" t="str">
        <f t="shared" ca="1" si="12"/>
        <v/>
      </c>
      <c r="BF70" s="238" t="str">
        <f ca="1">IF(B70="","",
IF(AND('Field information 2'!$O$5="", 'Field information 2'!$Q$5=""),
   IF('Waste results'!$S$29&lt;&gt;"data missing", Calc!BC68*'Waste results'!$S$29, "data missing"),
IF('Field information 2'!$Q$5="",
   IF(Calc!BD68=0,
     IF('Waste results'!$S$29&lt;&gt;"data missing", Calc!BC68*'Waste results'!$S$29, "data missing"),
   IF(Calc!BC68=0,
     IF('Waste results'!$S$65&lt;&gt;"data missing", Calc!BD68*'Waste results'!$S$65, "data missing"),
   IF(OR('Waste results'!$S$29&lt;&gt;"data missing", 'Waste results'!$S$65&lt;&gt;"data missing"), Calc!BC68*'Waste results'!$S$29+ Calc!BD68*'Waste results'!$S$65, "data missing"))),
IF(AND('Field information 2'!$M$5&lt;&gt;"", 'Field information 2'!$O$5&lt;&gt;"", 'Field information 2'!$Q$5&lt;&gt;""),
   IF(AND(Calc!BD68=0,Calc!BE68=0),
     IF('Waste results'!$S$29&lt;&gt;"data missing", Calc!BC68*'Waste results'!$S$29, "data missing"),
   IF(AND(Calc!BC68=0,Calc!BE68=0),
     IF('Waste results'!$S$65&lt;&gt;"data missing", Calc!BD68*'Waste results'!$S$65, "data missing"),
   IF(AND(Calc!BC68=0,Calc!BD68=0),
     IF('Waste results'!$S$101&lt;&gt;"data missing", Calc!BE68*'Waste results'!$S$101, "data missing"),
   IF(Calc!BE68=0,
     IF(OR('Waste results'!$S$29&lt;&gt;"data missing", 'Waste results'!$S$65&lt;&gt;"data missing"), Calc!BC68*'Waste results'!$S$29+ Calc!BD68*'Waste results'!$S$65, "data missing"),
   IF(Calc!BD68=0,
     IF(OR('Waste results'!$S$29&lt;&gt;"data missing", 'Waste results'!$S$101&lt;&gt;"data missing"), Calc!BC68*'Waste results'!$S$29+ Calc!BE68*'Waste results'!$S$101, "data missing"),
   IF(Calc!BC68=0,
     IF(OR('Waste results'!$S$65&lt;&gt;"data missing", 'Waste results'!$S$101&lt;&gt;"data missing"), Calc!BD68*'Waste results'!$S$65+Calc!BE68*'Waste results'!$S$101, "data missing"),
   IF(OR('Waste results'!$S$29&lt;&gt;"data missing", 'Waste results'!$S$65&lt;&gt;"data missing", 'Waste results'!$S$101&lt;&gt;"data missing"), Calc!BC68*'Waste results'!$S$29+Calc!BD68*'Waste results'!$S$65+ Calc!BE68*'Waste results'!$S$101, "data missing")))))))))))</f>
        <v/>
      </c>
      <c r="BG70" s="239" t="str">
        <f ca="1">IF($B70="","",
IF(ISBLANK('Soil results'!O73),"data missing",'Soil results'!O73))</f>
        <v/>
      </c>
      <c r="BH70" s="239" t="str">
        <f t="shared" ca="1" si="13"/>
        <v/>
      </c>
      <c r="BI70" s="9" t="str">
        <f ca="1">IF(B70="","",
IF(BF70=0,"n/a",
IF(OR(BF70="data missing",BG70="data missing"),"data missing",
IF(BF70&gt;3,"application rate too high - permissible rate exceeds limit",
IF('Soil results'!F73&lt;=5.5,
  IF(BG70&gt;50,"no application - soil conc. already above limit",
  IF(BH70&gt;50,"application rate too high - soil conc. will exceed limit",
  IF(BG70&gt;50*0.9,"soil conc. is at or above 90% of the limit",
  IF(10*BF70*1000/3000+BG70&gt;50,"soil limit likely to be exceeded in 10yrs",
  IF(50*BF70*1000/3000+BG70&gt;50,"soil limit likely to be exceeded in 50yrs","ok"))))),
IF('Soil results'!F73&lt;=6,
  IF(BG70&gt;60,"no application - soil conc. already above limit",
  IF(BH70&gt;60,"application rate too high - soil conc. will exceed limit",
  IF(BG70&gt;60*0.9,"soil conc. is at or above 90% of the limit",
  IF(10*BF70*1000/3000+BG70&gt;60,"soil limit likely to be exceeded in 10yrs",
  IF(50*BF70*1000/3000+BG70&gt;60,"soil limit likely to be exceeded in 50yrs","ok"))))),
IF('Soil results'!F73&lt;=7,
  IF(BG70&gt;75,"no application - soil conc. already above limit",
  IF(BH70&gt;75,"application rate too high - soil conc. will exceed limit",
  IF(BG70&gt;75*0.9,"soil conc. is at or above 90% of the limit",
  IF(10*BF70*1000/3000+BG70&gt;75,"soil limit likely to be exceeded in 10yrs",
  IF(50*BF70*1000/3000+BG70&gt;75,"soil limit likely to be exceeded in 50yrs","ok"))))),
IF('Soil results'!F73&gt;7,
  IF(BG70&gt;100,"no application - soil conc. already above limit",
  IF(BH70&gt;100,"application rate too high - soil conc. will exceed limit",
  IF(BG70&gt;100*0.9,"soil conc. is at or above 90% of the limit",
  IF(10*BF70*1000/3000+BG70&gt;100,"soil limit likely to be exceeded in 10yrs",
  IF(50*BF70*1000/3000+BG70&gt;100,"soil limit likely to beexceeded in 50yrs","ok")))))
))))))))</f>
        <v/>
      </c>
      <c r="BK70" s="240" t="str">
        <f ca="1">IF(B70="","",
IF(AND('Field information 2'!$O$5="", 'Field information 2'!$Q$5=""),
   IF('Waste results'!$S$30&lt;&gt;"data missing", Calc!BC68*'Waste results'!$S$30, "data missing"),
IF('Field information 2'!$Q$5="",
   IF(Calc!BD68=0,
     IF('Waste results'!$S$30&lt;&gt;"data missing", Calc!BC68*'Waste results'!$S$30, "data missing"),
   IF(Calc!BC68=0,
     IF('Waste results'!$S$66&lt;&gt;"data missing", Calc!BD68*'Waste results'!$S$66, "data missing"),
   IF(OR('Waste results'!$S$30&lt;&gt;"data missing", 'Waste results'!$S$66&lt;&gt;"data missing"), Calc!BC68*'Waste results'!$S$30+ Calc!BD68*'Waste results'!$S$66, "data missing"))),
IF(AND('Field information 2'!$M$5&lt;&gt;"", 'Field information 2'!$O$5&lt;&gt;"", 'Field information 2'!$Q$5&lt;&gt;""),
   IF(AND(Calc!BD68=0,Calc!BE68=0),
     IF('Waste results'!$S$30&lt;&gt;"data missing", Calc!BC68*'Waste results'!$S$30, "data missing"),
   IF(AND(Calc!BC68=0,Calc!BE68=0),
     IF('Waste results'!$S$66&lt;&gt;"data missing", Calc!BD68*'Waste results'!$S$66, "data missing"),
   IF(AND(Calc!BC68=0,Calc!BD68=0),
     IF('Waste results'!$S$102&lt;&gt;"data missing", Calc!BE68*'Waste results'!$S$102, "data missing"),
   IF(Calc!BE68=0,
     IF(OR('Waste results'!$S$30&lt;&gt;"data missing", 'Waste results'!$S$66&lt;&gt;"data missing"), Calc!BC68*'Waste results'!$S$30+ Calc!BD68*'Waste results'!$S$66, "data missing"),
   IF(Calc!BD68=0,
     IF(OR('Waste results'!$S$30&lt;&gt;"data missing", 'Waste results'!$S$102&lt;&gt;"data missing"), Calc!BC68*'Waste results'!$S$30+ Calc!BE68*'Waste results'!$S$102, "data missing"),
   IF(Calc!BC68=0,
     IF(OR('Waste results'!$S$66&lt;&gt;"data missing", 'Waste results'!$S$102&lt;&gt;"data missing"), Calc!BD68*'Waste results'!$S$66+Calc!BE68*'Waste results'!$S$102, "data missing"),
   IF(OR('Waste results'!$S$30&lt;&gt;"data missing", 'Waste results'!$S$66&lt;&gt;"data missing", 'Waste results'!$S$102&lt;&gt;"data missing"), Calc!BC68*'Waste results'!$S$30+Calc!BD68*'Waste results'!$S$66+ Calc!BE68*'Waste results'!$S$102, "data missing")))))))))))</f>
        <v/>
      </c>
      <c r="BL70" s="241" t="str">
        <f ca="1">IF($B70="","",
IF(ISBLANK('Soil results'!P73),"data missing",'Soil results'!P73))</f>
        <v/>
      </c>
      <c r="BM70" s="241" t="str">
        <f t="shared" ca="1" si="14"/>
        <v/>
      </c>
      <c r="BN70" s="66" t="str">
        <f t="shared" ca="1" si="15"/>
        <v/>
      </c>
      <c r="BP70" s="238" t="str">
        <f ca="1">IF(B70="","",
IF(AND('Field information 2'!$O$5="", 'Field information 2'!$Q$5=""),
   IF('Waste results'!$S$31&lt;&gt;"data missing", Calc!BC68*'Waste results'!$S$31, "data missing"),
IF('Field information 2'!$Q$5="",
   IF(Calc!BD68=0,
     IF('Waste results'!$S$31&lt;&gt;"data missing", Calc!BC68*'Waste results'!$S$31, "data missing"),
   IF(Calc!BC68=0,
     IF('Waste results'!$S$67&lt;&gt;"data missing", Calc!BD68*'Waste results'!$S$67, "data missing"),
   IF(OR('Waste results'!$S$31&lt;&gt;"data missing", 'Waste results'!$S$67&lt;&gt;"data missing"), Calc!BC68*'Waste results'!$S$31+ Calc!BD68*'Waste results'!$S$67, "data missing"))),
IF(AND('Field information 2'!$M$5&lt;&gt;"", 'Field information 2'!$O$5&lt;&gt;"", 'Field information 2'!$Q$5&lt;&gt;""),
   IF(AND(Calc!BD68=0,Calc!BE68=0),
     IF('Waste results'!$S$31&lt;&gt;"data missing", Calc!BC68*'Waste results'!$S$31, "data missing"),
   IF(AND(Calc!BC68=0,Calc!BE68=0),
     IF('Waste results'!$S$67&lt;&gt;"data missing", Calc!BD68*'Waste results'!$S$67, "data missing"),
   IF(AND(Calc!BC68=0,Calc!BD68=0),
     IF('Waste results'!$S$103&lt;&gt;"data missing", Calc!BE68*'Waste results'!$S$103, "data missing"),
   IF(Calc!BE68=0,
     IF(OR('Waste results'!$S$31&lt;&gt;"data missing", 'Waste results'!$S$67&lt;&gt;"data missing"), Calc!BC68*'Waste results'!$S$31+ Calc!BD68*'Waste results'!$S$67, "data missing"),
   IF(Calc!BD68=0,
     IF(OR('Waste results'!$S$31&lt;&gt;"data missing", 'Waste results'!$S$103&lt;&gt;"data missing"), Calc!BC68*'Waste results'!$S$31+ Calc!BE68*'Waste results'!$S$103, "data missing"),
   IF(Calc!BC68=0,
     IF(OR('Waste results'!$S$67&lt;&gt;"data missing", 'Waste results'!$S$103&lt;&gt;"data missing"), Calc!BD68*'Waste results'!$S$67+Calc!BE68*'Waste results'!$S$103, "data missing"),
   IF(OR('Waste results'!$S$31&lt;&gt;"data missing", 'Waste results'!$S$67&lt;&gt;"data missing", 'Waste results'!$S$103&lt;&gt;"data missing"), Calc!BC68*'Waste results'!$S$31+Calc!BD68*'Waste results'!$S$67+ Calc!BE68*'Waste results'!$S$103, "data missing")))))))))))</f>
        <v/>
      </c>
      <c r="BQ70" s="239" t="str">
        <f ca="1">IF($B70="","",
IF(ISBLANK('Soil results'!Q73),"data missing",'Soil results'!Q73))</f>
        <v/>
      </c>
      <c r="BR70" s="239" t="str">
        <f t="shared" ca="1" si="16"/>
        <v/>
      </c>
      <c r="BS70" s="9" t="str">
        <f ca="1">IF(B70="","",
IF(BP70=0,"n/a",
IF(OR(BP70="data missing",BQ70=""),"data missing",
IF(BP70&gt;15,"application rate too high - permissible rate exceeds limit",
IF('Soil results'!F73&lt;=5.5,
  IF(BQ70&gt;200,"no application - soil conc. already above limit",
  IF(BR70&gt;200,"application rate too high - soil conc. will exceed limit",
  IF(BQ70&gt;200*0.9,"soil conc. is at or above 90% of the limit",
  IF(10*BP70*1000/3000+BQ70&gt;200,"soil limit likely to be exceeded in 10yrs",
  IF(50*BP70*1000/3000+BQ70&gt;200,"soil limit likely to be exceeded in 50yrs","ok"))))),
IF('Soil results'!F73&lt;=6,
  IF(BQ70&gt;250,"no application - soil conc. already above limit",
  IF(BR70&gt;250,"application rate too high - soil conc. will exceed limit",
  IF(BQ70&gt;250*0.9,"soil conc. is at or above 90% of the limit",
  IF(10*BP70*1000/3000+BQ70&gt;250,"soil limit likely to be exceeded in 10yrs",
  IF(50*BP70*1000/3000+BQ70&gt;250,"soil limit likely to be exceeded in 50yrs","ok"))))),
IF('Soil results'!F73&lt;=7,
  IF(BQ70&gt;300,"no application - soil conc. already above limit",
  IF(BR70&gt;300,"application rate too high - soil conc. will exceed limit",
  IF(BQ70&gt;300*0.9,"soil conc. is at or above 90% of the limit",
  IF(10*BP70*1000/3000+BQ70&gt;300,"soil limit likey to be exceeded in 10yrs",
  IF(50*BP70*1000/3000+BQ70&gt;300,"soil limit likely to be exceeded in 50yrs","ok"))))),
IF('Soil results'!F73&gt;7,
  IF(BQ70&gt;450,"no application - soil conc. already above limit",
  IF(BR70&gt;450,"application rate too high - soil conc. will exceed limit",
  IF(AW70&gt;450*0.9,"soil conc. is at or above 90% of the limit",
  IF(10*BP70*1000/3000+BQ70&gt;450,"soil limit likely to be exceeded in 10yrs",
  IF(50*BP70*1000/3000+BQ70&gt;450,"soil limit likely to be exceeded in 50yrs","ok")))))
))))))))</f>
        <v/>
      </c>
    </row>
    <row r="71" spans="2:71" s="9" customFormat="1" ht="15" x14ac:dyDescent="0.25">
      <c r="B71" s="236" t="str">
        <f ca="1">'Soil results'!B74</f>
        <v/>
      </c>
      <c r="C71" s="91" t="str">
        <f ca="1">IF(B71="","",
IF(AND('Field information 2'!$O$5="", 'Field information 2'!$Q$5=""),
   IF('Waste results'!$S$12&lt;&gt;"data missing", Calc!BC69*'Waste results'!$S$12, "data missing"),
IF('Field information 2'!$Q$5="",
   IF(Calc!BD69=0,
     IF('Waste results'!$S$12&lt;&gt;"data missing", Calc!BC69*'Waste results'!$S$12, "data missing"),
   IF(Calc!BC69=0,
     IF('Waste results'!$S$48&lt;&gt;"data missing", Calc!BD69*'Waste results'!$S$48, "data missing"),
   IF(OR('Waste results'!$S$12&lt;&gt;"data missing", 'Waste results'!$S$48&lt;&gt;"data missing"), Calc!BC69*'Waste results'!$S$12+ Calc!BD69*'Waste results'!$S$48, "data missing"))),
IF(AND('Field information 2'!$M$5&lt;&gt;"", 'Field information 2'!$O$5&lt;&gt;"", 'Field information 2'!$Q$5&lt;&gt;""),
   IF(AND(Calc!BD69=0,Calc!BE69=0),
     IF('Waste results'!$S$12&lt;&gt;"data missing", Calc!BC69*'Waste results'!$S$12, "data missing"),
   IF(AND(Calc!BC69=0,Calc!BE69=0),
     IF('Waste results'!$S$48&lt;&gt;"data missing", Calc!BD69*'Waste results'!$S$48, "data missing"),
   IF(AND(Calc!BC69=0,Calc!BD69=0),
     IF('Waste results'!$S$84&lt;&gt;"data missing", Calc!BE69*'Waste results'!$S$84, "data missing"),
   IF(Calc!BE69=0,
     IF(OR('Waste results'!$S$12&lt;&gt;"data missing", 'Waste results'!$S$48&lt;&gt;"data missing"), Calc!BC69*'Waste results'!$S$12+ Calc!BD69*'Waste results'!$S$48, "data missing"),
   IF(Calc!BD69=0,
     IF(OR('Waste results'!$S$12&lt;&gt;"data missing", 'Waste results'!$S$84&lt;&gt;"data missing"), Calc!BC69*'Waste results'!$S$12+ Calc!BE69*'Waste results'!$S$84, "data missing"),
   IF(Calc!BC69=0,
     IF(OR('Waste results'!$S$48&lt;&gt;"data missing", 'Waste results'!$S$84&lt;&gt;"data missing"), Calc!BD69*'Waste results'!$S$48+Calc!BE69*'Waste results'!$S$84, "data missing"),
   IF(OR('Waste results'!$S$12&lt;&gt;"data missing", 'Waste results'!$S$48&lt;&gt;"data missing", 'Waste results'!$S$84&lt;&gt;"data missing"), Calc!BC69*'Waste results'!$S$12+Calc!BD69*'Waste results'!$S$48+ Calc!BE69*'Waste results'!$S$84, "data missing")))))))))))</f>
        <v/>
      </c>
      <c r="D71" s="161" t="str">
        <f ca="1">IF(B71="","",
IF(Calc!BG69="","soil texture missing",
IF(OR(Calc!BG69="SL; SZL; ZL",Calc!BG69="SCL; CL; ZCL; SC; ZC; C"),VLOOKUP(Calc!BI69,'Fertiliser recommendations'!$A$4:$C$63,3,FALSE),
IF(Calc!BG69="S; LS",VLOOKUP(Calc!BI69,'Fertiliser recommendations'!$A$4:$C$63,3,FALSE)+VLOOKUP(Calc!BI69,'Fertiliser recommendations'!$A$4:$D$63,4,FALSE),
IF(Calc!BG69="10-25% OM",VLOOKUP(Calc!BI69,'Fertiliser recommendations'!$A$4:$C$63,3,FALSE)+VLOOKUP(Calc!BI69,'Fertiliser recommendations'!$A$4:$E$63,5,FALSE),
IF(Calc!BG69="&gt;25% OM",VLOOKUP(Calc!BI69,'Fertiliser recommendations'!$A$4:$C$63,3,FALSE)+VLOOKUP(Calc!BI69,'Fertiliser recommendations'!$A$4:$F$63,6,FALSE),
""))))))</f>
        <v/>
      </c>
      <c r="E71" s="91" t="str">
        <f t="shared" ca="1" si="0"/>
        <v/>
      </c>
      <c r="F71" s="9" t="str">
        <f ca="1">IF(B71="","",
IF(OR(C71="data missing",D71="soil texture missing"),"data missing",
IF(Calc!BF69=0,"n/a",
IF(C71&lt;0.1*D71,"no benefit",
IF(C71&lt;0.3*D71,"limited benefit",
IF(C71&gt;250,"exceeds limit",
IF(OR(AND(D71=0,C71&gt;75),C71&gt;1.25*D71),"excessive",
IF(D71=0, "no requirement",
"benefit"))))))))</f>
        <v/>
      </c>
      <c r="H71" s="91" t="str">
        <f ca="1">IF(B71="","",
IF(AND('Field information 2'!$O$5="", 'Field information 2'!$Q$5=""),
   IF('Waste results'!$S$17&lt;&gt;"data missing", Calc!BC69*'Waste results'!$S$17, "data missing"),
IF('Field information 2'!$Q$5="",
   IF(Calc!BD69=0,
     IF('Waste results'!$S$17&lt;&gt;"data missing", Calc!BC69*'Waste results'!$S$17, "data missing"),
   IF(Calc!BC69=0,
     IF('Waste results'!$S$53&lt;&gt;"data missing", Calc!BD69*'Waste results'!$S$53, "data missing"),
   IF(OR('Waste results'!$S$17&lt;&gt;"data missing", 'Waste results'!$S$53&lt;&gt;"data missing"), Calc!BC69*'Waste results'!$S$17+ Calc!BD69*'Waste results'!$S$53, "data missing"))),
IF(AND('Field information 2'!$M$5&lt;&gt;"", 'Field information 2'!$O$5&lt;&gt;"", 'Field information 2'!$Q$5&lt;&gt;""),
   IF(AND(Calc!BD69=0,Calc!BE69=0),
     IF('Waste results'!$S$17&lt;&gt;"data missing", Calc!BC69*'Waste results'!$S$17, "data missing"),
   IF(AND(Calc!BC69=0,Calc!BE69=0),
     IF('Waste results'!$S$53&lt;&gt;"data missing", Calc!BD69*'Waste results'!$S$53, "data missing"),
   IF(AND(Calc!BC69=0,Calc!BD69=0),
     IF('Waste results'!$S$89&lt;&gt;"data missing", Calc!BE69*'Waste results'!$S$89, "data missing"),
   IF(Calc!BE69=0,
     IF(OR('Waste results'!$S$17&lt;&gt;"data missing", 'Waste results'!$S$53&lt;&gt;"data missing"), Calc!BC69*'Waste results'!$S$17+ Calc!BD69*'Waste results'!$S$53, "data missing"),
   IF(Calc!BD69=0,
     IF(OR('Waste results'!$S$17&lt;&gt;"data missing", 'Waste results'!$S$89&lt;&gt;"data missing"), Calc!BC69*'Waste results'!$S$17+ Calc!BE69*'Waste results'!$S$89, "data missing"),
   IF(Calc!BC69=0,
     IF(OR('Waste results'!$S$53&lt;&gt;"data missing", 'Waste results'!$S$89&lt;&gt;"data missing"), Calc!BD69*'Waste results'!$S$53+Calc!BE69*'Waste results'!$S$89, "data missing"),
   IF(OR('Waste results'!$S$17&lt;&gt;"data missing", 'Waste results'!$S$53&lt;&gt;"data missing", 'Waste results'!$S$89&lt;&gt;"data missing"), Calc!BC69*'Waste results'!$S$17+Calc!BD69*'Waste results'!$S$53+ Calc!BE69*'Waste results'!$S$89, "data missing")))))))))))</f>
        <v/>
      </c>
      <c r="I71" s="195" t="str">
        <f ca="1">IF(B71="","",
IF(OR(ISBLANK('Soil results'!G74), ISBLANK('Soil results'!G$7)),"data missing",
IF(OR(AND('Soil results'!G$7="Olsen (ADAS)",'Soil results'!G74&lt;16),AND('Soil results'!G$7="modified Morgan (SAC)",'Soil results'!G74&lt;4.5)),50,100)))</f>
        <v/>
      </c>
      <c r="J71" s="49" t="str">
        <f ca="1">IF(B71="","",
IF(OR(ISBLANK('Soil results'!G$7),ISBLANK('Soil results'!G74)),"data missing",
IF(OR(AND('Soil results'!G$7="Olsen (ADAS)",'Soil results'!G74&gt;45),AND('Soil results'!G$7="modified Morgan (SAC)",'Soil results'!G74&gt;30)),0,
IF(OR(AND('Soil results'!G$7="Olsen (ADAS)",'Soil results'!G74&gt;=16,'Soil results'!G74&lt;=20),AND('Soil results'!G$7="modified Morgan (SAC)",'Soil results'!G74&gt;=4.5,'Soil results'!G74&lt;=9.4)),VLOOKUP(Calc!BI69,'Fertiliser recommendations'!$A$4:$I$63,9,FALSE),
IF(OR(AND('Soil results'!G$7="Olsen (ADAS)",'Soil results'!G74&lt;10),AND('Soil results'!G$7="modified Morgan (SAC)",'Soil results'!G74&lt;1.8)),VLOOKUP(Calc!BI69,'Fertiliser recommendations'!$A$4:$I$63,9,FALSE)+VLOOKUP(Calc!BI69,'Fertiliser recommendations'!$A$4:$J$63,10,FALSE),
IF(OR(AND('Soil results'!G$7="Olsen (ADAS)",'Soil results'!G74&lt;16),AND('Soil results'!G$7="modified Morgan (SAC)",'Soil results'!G74&lt;4.5)),VLOOKUP(Calc!BI69,'Fertiliser recommendations'!$A$4:$I$63,9,FALSE)+VLOOKUP(Calc!BI69,'Fertiliser recommendations'!$A$4:$K$63,11,FALSE),
IF(OR(AND('Soil results'!G$7="Olsen (ADAS)",'Soil results'!G74&lt;26),AND('Soil results'!G$7="modified Morgan (SAC)",'Soil results'!G74&lt;13.5)),VLOOKUP(Calc!BI69,'Fertiliser recommendations'!$A$4:$I$63,9,FALSE)+VLOOKUP(Calc!BI69,'Fertiliser recommendations'!$A$4:$L$63,12,FALSE),
IF(OR(AND('Soil results'!G$7="Olsen (ADAS)",'Soil results'!G74&lt;=45),AND('Soil results'!G$7="modified Morgan (SAC)",'Soil results'!G74&lt;=30)),VLOOKUP(Calc!BI69,'Fertiliser recommendations'!$A$4:$I$63,9,FALSE)+VLOOKUP(Calc!BI69,'Fertiliser recommendations'!$A$4:$M$63,13,FALSE),
""))))))))</f>
        <v/>
      </c>
      <c r="K71" s="161" t="str">
        <f t="shared" ca="1" si="1"/>
        <v/>
      </c>
      <c r="L71" s="47" t="str">
        <f ca="1">IF(OR(ISBLANK('Soil results'!G$7),ISBLANK('Soil results'!G74),B71="", H71="data missing"),"",
IF('Soil results'!G$7="Olsen (ADAS)",
IF(((H71*Calc!BM69/2.291-(VLOOKUP(Calc!BI69,'Fertiliser recommendations'!$A$4:$I$63,9,FALSE))/2.291)*10/(400/2.291)+'Soil results'!G74)&lt;10,"0 (VL)",
IF(((H71*Calc!BM69/2.291-(VLOOKUP(Calc!BI69,'Fertiliser recommendations'!$A$4:$I$63,9,FALSE))/2.291)*10/(400/2.291)+'Soil results'!G74)&lt;16,"1 (L)",
IF(((H71*Calc!BM69/2.291-(VLOOKUP(Calc!BI69,'Fertiliser recommendations'!$A$4:$I$63,9,FALSE))/2.291)*10/(400/2.291)+'Soil results'!G74)&lt;21,"2 (M-)",
IF(((H71*Calc!BM69/2.291-(VLOOKUP(Calc!BI69,'Fertiliser recommendations'!$A$4:$I$63,9,FALSE))/2.291)*10/(400/2.291)+'Soil results'!G74)&lt;26,"2 (M+)",
IF(((H71*Calc!BM69/2.291-(VLOOKUP(Calc!BI69,'Fertiliser recommendations'!$A$4:$I$63,9,FALSE))/2.291)*10/(400/2.291)+'Soil results'!G74)&lt;45,"3 (H)","&gt;3 (VH)"))))),
IF('Soil results'!G$7="modified Morgan (SAC)",
IF('Soil results'!G74&gt;=6,
IF(((H71*Calc!BM69/2.291-(VLOOKUP(Calc!BI69,'Fertiliser recommendations'!$A$4:$I$63,9,FALSE))/2.291)*5/(147/2.291)+'Soil results'!G74)&lt;9.5,"2 (M-)",
IF(((H71*Calc!BM69/2.291-(VLOOKUP(Calc!BI69,'Fertiliser recommendations'!$A$4:$I$63,9,FALSE))/2.291)*5/(147/2.291)+'Soil results'!G74)&lt;13.5,"2 (M+)",
IF(((H71*Calc!BM69/2.291-(VLOOKUP(Calc!BI69,'Fertiliser recommendations'!$A$4:$I$63,9,FALSE))/2.291)*5/(147/2.291)+'Soil results'!G74)&lt;30,"3 (H)","4 (VH)"))),
IF(((H71*Calc!BM69/2.291-(VLOOKUP(Calc!BI69,'Fertiliser recommendations'!$A$4:$I$63,9,FALSE))/2.291)*5/(346/2.291)+'Soil results'!G74)&lt;1.8,"0 (VL)",
IF(((H71*Calc!BM69/2.291-(VLOOKUP(Calc!BI69,'Fertiliser recommendations'!$A$4:$I$63,9,FALSE))/2.291)*5/(147/2.291)+'Soil results'!G74)&lt;4.5,"1 (L)","2 (M-)"))))))</f>
        <v/>
      </c>
      <c r="M71" s="9" t="str">
        <f ca="1">IF(B71="","",
IF(OR(H71="data missing",I71="data missing",J71="data missing"),"data missing",
IF(Calc!BF69=0,"n/a",
IF(OR(AND('Soil results'!G$7="Olsen (ADAS)",'Soil results'!G74&gt;45),AND('Soil results'!G$7="modified Morgan (SAC)",'Soil results'!G74&gt;30)),
IF(H71&gt;2,"too high, not acceptable","no requirement"),IF(OR(AND('Soil results'!G$7="Olsen (ADAS)",'Soil results'!G74&gt;25),AND('Soil results'!G$7="modified Morgan (SAC)",'Soil results'!G74&gt;13.4)),
IF(H71*(I71/100)&lt;0.1*J71,"no benefit",
IF(H71*(I71/100)&lt;0.3*J71,"limited benefit",
IF(H71*(I71/100)&lt;1.1*J71,"benefit",
IF(H71*(I71/100)&lt;0.7*VLOOKUP(Calc!BI69,'Fertiliser recommendations'!$A$4:$I$63,9,FALSE),"excessive","too high, not acceptable")))),
IF(OR(AND('Soil results'!G$7="Olsen (ADAS)",'Soil results'!G74&gt;20),AND('Soil results'!G$7="modified Morgan (SAC)",'Soil results'!G74&gt;9.4)),
IF(H71*Calc!BM69*(I71/100)&lt;0.1*J71,"no benefit",
IF(H71*Calc!BM69*(I71/100)&lt;0.3*J71,"limited benefit",
IF(H71*Calc!BM69*(I71/100)&lt;1.1*J71,"benefit",
IF(L71="3 (H)","too high, not acceptable","excessive")))),
IF(OR(AND('Soil results'!G$7="Olsen (ADAS)",'Soil results'!G74&gt;15),AND('Soil results'!G$7="modified Morgan (SAC)",'Soil results'!G74&gt;4.4)),
IF(H71*Calc!BM69*(I71/100)&lt;0.1*VLOOKUP(Calc!BI69,'Fertiliser recommendations'!$A$4:$I$63,9,FALSE),"no benefit",
IF(H71*Calc!BM69*(I71/100)&lt;0.3*VLOOKUP(Calc!BI69,'Fertiliser recommendations'!$A$4:$I$63,9,FALSE),"limited benefit",
IF(H71*Calc!BM69*(I71/100)&lt;1.1*VLOOKUP(Calc!BI69,'Fertiliser recommendations'!$A$4:$I$63,9,FALSE),"benefit",
IF(L71="3 (H)", "too high, not acceptable", "excessive")))),
IF(OR(AND('Soil results'!G$7="Olsen (ADAS)",'Soil results'!G74&lt;=15),AND('Soil results'!G$7="modified Morgan (SAC)",'Soil results'!G74&lt;=4.4)),
IF(H71*Calc!BM69*(I71/100)&lt;0.1*VLOOKUP(Calc!BI69,'Fertiliser recommendations'!$A$4:$I$63,9,FALSE),"no benefit",
IF(H71*Calc!BM69*(I71/100)&lt;0.3*VLOOKUP(Calc!BI69,'Fertiliser recommendations'!$A$4:$I$63,9,FALSE),"limited benefit",
IF(H71*Calc!BM69*(I71/100)&lt;1.1*J71,"benefit","excessive")))))))))))</f>
        <v/>
      </c>
      <c r="O71" s="91" t="str">
        <f ca="1">IF(B71="","",
IF(AND('Field information 2'!$O$5="", 'Field information 2'!$Q$5=""),
   IF('Waste results'!$S$19&lt;&gt;"data missing", Calc!BC69*'Waste results'!$S$19, "data missing"),
IF('Field information 2'!$Q$5="",
   IF(Calc!BD69=0,
     IF('Waste results'!$S$19&lt;&gt;"data missing", Calc!BC69*'Waste results'!$S$19, "data missing"),
   IF(Calc!BC69=0,
     IF('Waste results'!$S$55&lt;&gt;"data missing", Calc!BD69*'Waste results'!$S$55, "data missing"),
   IF(OR('Waste results'!$S$19&lt;&gt;"data missing", 'Waste results'!$S$55&lt;&gt;"data missing"), Calc!BC69*'Waste results'!$S$19+ Calc!BD69*'Waste results'!$S$55, "data missing"))),
IF(AND('Field information 2'!$M$5&lt;&gt;"", 'Field information 2'!$O$5&lt;&gt;"", 'Field information 2'!$Q$5&lt;&gt;""),
   IF(AND(Calc!BD69=0,Calc!BE69=0),
     IF('Waste results'!$S$19&lt;&gt;"data missing", Calc!BC69*'Waste results'!$S$19, "data missing"),
   IF(AND(Calc!BC69=0,Calc!BE69=0),
     IF('Waste results'!$S$55&lt;&gt;"data missing", Calc!BD69*'Waste results'!$S$55, "data missing"),
   IF(AND(Calc!BC69=0,Calc!BD69=0),
     IF('Waste results'!$S$91&lt;&gt;"data missing", Calc!BE69*'Waste results'!$S$91, "data missing"),
   IF(Calc!BE69=0,
     IF(OR('Waste results'!$S$19&lt;&gt;"data missing", 'Waste results'!$S$55&lt;&gt;"data missing"), Calc!BC69*'Waste results'!$S$19+ Calc!BD69*'Waste results'!$S$55, "data missing"),
   IF(Calc!BD69=0,
     IF(OR('Waste results'!$S$19&lt;&gt;"data missing", 'Waste results'!$S$91&lt;&gt;"data missing"), Calc!BC69*'Waste results'!$S$19+ Calc!BE69*'Waste results'!$S$91, "data missing"),
   IF(Calc!BC69=0,
     IF(OR('Waste results'!$S$55&lt;&gt;"data missing", 'Waste results'!$S$91&lt;&gt;"data missing"), Calc!BD69*'Waste results'!$S$55+Calc!BE69*'Waste results'!$S$91, "data missing"),
   IF(OR('Waste results'!$S$19&lt;&gt;"data missing", 'Waste results'!$S$55&lt;&gt;"data missing", 'Waste results'!$S$91&lt;&gt;"data missing"), Calc!BC69*'Waste results'!$S$19+Calc!BD69*'Waste results'!$S$55+ Calc!BE69*'Waste results'!$S$91, "data missing")))))))))))</f>
        <v/>
      </c>
      <c r="P71" s="91" t="str">
        <f ca="1">IF(B71="","",
IF(OR(ISBLANK('Soil results'!H$7),ISBLANK('Soil results'!H74)),"data missing",
IF(OR(AND('Soil results'!H$7="ammonium nitrate (ADAS)",'Soil results'!H74&gt;400),AND('Soil results'!H$7="modified Morgan (SAC)",'Soil results'!H74&gt;400)),0,
IF(OR(AND('Soil results'!H$7="ammonium nitrate (ADAS)",'Soil results'!H74&gt;=121,'Soil results'!H74&lt;=180),AND('Soil results'!H$7="modified Morgan (SAC)",'Soil results'!H74&gt;=76,'Soil results'!H74&lt;=140)),VLOOKUP(Calc!BI69,'Fertiliser recommendations'!$A$4:$Z$63,26,FALSE),
IF(OR(AND('Soil results'!H$7="ammonium nitrate (ADAS)",'Soil results'!H74&lt;61),AND('Soil results'!H$7="modified Morgan (SAC)",'Soil results'!H74&lt;40)),VLOOKUP(Calc!BI69,'Fertiliser recommendations'!$A$4:$Z$63,26,FALSE)+VLOOKUP(Calc!BI69,'Fertiliser recommendations'!$A$4:$AA$63,27,FALSE),
IF(OR(AND('Soil results'!H$7="ammonium nitrate (ADAS)",'Soil results'!H74&lt;121),AND('Soil results'!H$7="modified Morgan (SAC)",'Soil results'!H74&lt;76)),VLOOKUP(Calc!BI69,'Fertiliser recommendations'!$A$4:$Z$63,26,FALSE)+VLOOKUP(Calc!BI69,'Fertiliser recommendations'!$A$4:$AB$63,28,FALSE),
IF(OR(AND('Soil results'!H$7="ammonium nitrate (ADAS)",'Soil results'!H74&lt;241),AND('Soil results'!H$7="modified Morgan (SAC)",'Soil results'!H74&lt;201)),VLOOKUP(Calc!BI69,'Fertiliser recommendations'!$A$4:$Z$63,26,FALSE)+VLOOKUP(Calc!BI69,'Fertiliser recommendations'!$A$4:$AC$63,29,FALSE),
IF(OR(AND('Soil results'!H$7="ammonium nitrate (ADAS)",'Soil results'!H74&lt;=400),AND('Soil results'!H$7="modified Morgan (SAC)",'Soil results'!H74&lt;=400)),VLOOKUP(Calc!BI69,'Fertiliser recommendations'!$A$4:$Z$63,26,FALSE)+VLOOKUP(Calc!BI69,'Fertiliser recommendations'!$A$4:$AD$63,30,FALSE),
"??"))))))))</f>
        <v/>
      </c>
      <c r="Q71" s="91" t="str">
        <f t="shared" ca="1" si="2"/>
        <v/>
      </c>
      <c r="R71" s="9" t="str">
        <f ca="1">IF(B71="","",
IF(OR(O71="data missing",P71="data missing"),"data missing",
IF(Calc!BF69=0,"n/a",
IF(P71=0, "no requirement",
IF(O71&lt;0.1*P71,"no benefit",
IF(O71&lt;0.3*P71,"limited benefit",
IF(O71&gt;1.25*P71,"excessive",
"benefit")))))))</f>
        <v/>
      </c>
      <c r="T71" s="91" t="str">
        <f ca="1">IF(B71="","",
IF(AND('Field information 2'!$O$5="", 'Field information 2'!$Q$5=""),
   IF('Waste results'!$S$21&lt;&gt;"data missing", Calc!BC69*'Waste results'!$S$21, "data missing"),
IF('Field information 2'!$Q$5="",
   IF(Calc!BD69=0,
     IF('Waste results'!$S$21&lt;&gt;"data missing", Calc!BC69*'Waste results'!$S$21, "data missing"),
   IF(Calc!BC69=0,
     IF('Waste results'!$S$57&lt;&gt;"data missing", Calc!BD69*'Waste results'!$S$57, "data missing"),
   IF(OR('Waste results'!$S$21&lt;&gt;"data missing", 'Waste results'!$S$57&lt;&gt;"data missing"), Calc!BC69*'Waste results'!$S$21+ Calc!BD69*'Waste results'!$S$57, "data missing"))),
IF(AND('Field information 2'!$M$5&lt;&gt;"", 'Field information 2'!$O$5&lt;&gt;"", 'Field information 2'!$Q$5&lt;&gt;""),
   IF(AND(Calc!BD69=0,Calc!BE69=0),
     IF('Waste results'!$S$21&lt;&gt;"data missing", Calc!BC69*'Waste results'!$S$21, "data missing"),
   IF(AND(Calc!BC69=0,Calc!BE69=0),
     IF('Waste results'!$S$57&lt;&gt;"data missing", Calc!BD69*'Waste results'!$S$57, "data missing"),
   IF(AND(Calc!BC69=0,Calc!BD69=0),
     IF('Waste results'!$S$93&lt;&gt;"data missing", Calc!BE69*'Waste results'!$S$93, "data missing"),
   IF(Calc!BE69=0,
     IF(OR('Waste results'!$S$21&lt;&gt;"data missing", 'Waste results'!$S$57&lt;&gt;"data missing"), Calc!BC69*'Waste results'!$S$21+ Calc!BD69*'Waste results'!$S$57, "data missing"),
   IF(Calc!BD69=0,
     IF(OR('Waste results'!$S$21&lt;&gt;"data missing", 'Waste results'!$S$93&lt;&gt;"data missing"), Calc!BC69*'Waste results'!$S$21+ Calc!BE69*'Waste results'!$S$93, "data missing"),
   IF(Calc!BC69=0,
     IF(OR('Waste results'!$S$57&lt;&gt;"data missing", 'Waste results'!$S$93&lt;&gt;"data missing"), Calc!BD69*'Waste results'!$S$57+Calc!BE69*'Waste results'!$S$93, "data missing"),
   IF(OR('Waste results'!$S$21&lt;&gt;"data missing", 'Waste results'!$S$57&lt;&gt;"data missing", 'Waste results'!$S$93&lt;&gt;"data missing"), Calc!BC69*'Waste results'!$S$21+Calc!BD69*'Waste results'!$S$57+ Calc!BE69*'Waste results'!$S$93, "data missing")))))))))))</f>
        <v/>
      </c>
      <c r="U71" s="7" t="str">
        <f ca="1">IF(B71="","",
IF(OR(ISBLANK('Soil results'!I$7),ISBLANK('Soil results'!I74)),"data missing",
IF(OR(AND('Soil results'!I$7="ammonium nitrate (ADAS)",'Soil results'!I74&gt;51),AND('Soil results'!I$7="modified Morgan (SAC)",'Soil results'!I74&gt;61)),0,
IF(OR(AND('Soil results'!I$7="ammonium nitrate (ADAS)",'Soil results'!I74&lt;25),AND('Soil results'!I$7="modified Morgan (SAC)",'Soil results'!I74&lt;19)),VLOOKUP(Calc!BI69,'Fertiliser recommendations'!$A$4:$AH$63,34,FALSE),
IF(OR(AND('Soil results'!I$7="ammonium nitrate (ADAS)",'Soil results'!I74&lt;=51),AND('Soil results'!I$7="modified Morgan (SAC)",'Soil results'!I74&lt;=61)),VLOOKUP(Calc!BI69,'Fertiliser recommendations'!$A$4:$AI$63,35,FALSE),
"")))))</f>
        <v/>
      </c>
      <c r="V71" s="91" t="str">
        <f t="shared" ca="1" si="3"/>
        <v/>
      </c>
      <c r="W71" s="9" t="str">
        <f ca="1">IF(B71="","",
IF(OR(T71="data missing",U71="data missing"),"data missing",
IF(Calc!BF69=0,"n/a",
IF(U71=0,"no requirement",
IF(T71&lt;0.1*U71,"no benefit",
IF(T71&lt;0.3*U71,"limited benefit",
IF(OR(T71&gt;1.5*U71,AND(Calc!BJ69="g",T71&gt;100)),"excessive",
"benefit")))))))</f>
        <v/>
      </c>
      <c r="Y71" s="91" t="str">
        <f ca="1">IF(B71="","",
IF(AND('Field information 2'!$O$5="", 'Field information 2'!$Q$5=""),
   IF('Waste results'!$P$23&lt;&gt;"", Calc!BC69*'Waste results'!$P$23, "no data"),
IF('Field information 2'!$Q$5="",
   IF(Calc!BD69=0,
     IF('Waste results'!$P$23&lt;&gt;"", Calc!BC69*'Waste results'!$P$23, "no data"),
   IF(Calc!BC69=0,
     IF('Waste results'!$P$59&lt;&gt;"", Calc!BD69*'Waste results'!$P$59, "no data"),
   IF(OR('Waste results'!$P$23&lt;&gt;"", 'Waste results'!$P$59&lt;&gt;""), Calc!BC69*'Waste results'!$P$23+ Calc!BD69*'Waste results'!$P$59, "no data"))),
IF(AND('Field information 2'!$M$5&lt;&gt;"", 'Field information 2'!$O$5&lt;&gt;"", 'Field information 2'!$Q$5&lt;&gt;""),
   IF(AND(Calc!BD69=0,Calc!BE69=0),
     IF('Waste results'!$P$23&lt;&gt;"", Calc!BC69*'Waste results'!$P$23, "no data"),
   IF(AND(Calc!BC69=0,Calc!BE69=0),
     IF('Waste results'!$P$59&lt;&gt;"", Calc!BD69*'Waste results'!$P$59, "no data"),
   IF(AND(Calc!BC69=0,Calc!BD69=0),
     IF('Waste results'!$P$95&lt;&gt;"", Calc!BE69*'Waste results'!$P$95, "no data"),
   IF(Calc!BE69=0,
     IF(OR('Waste results'!$P$23&lt;&gt;"", 'Waste results'!$P$59&lt;&gt;""), Calc!BC69*'Waste results'!$P$23+ Calc!BD69*'Waste results'!$P$59, "no data"),
   IF(Calc!BD69=0,
     IF(OR('Waste results'!$P$23&lt;&gt;"", 'Waste results'!$P$95&lt;&gt;""), Calc!BC69*'Waste results'!$P$23+ Calc!BE69*'Waste results'!$P$95, "no data"),
   IF(Calc!BC69=0,
     IF(OR('Waste results'!$P$59&lt;&gt;"", 'Waste results'!$P$95&lt;&gt;""), Calc!BD69*'Waste results'!$P$59+Calc!BE69*'Waste results'!$P$95, "no data"),
   IF(OR('Waste results'!$P$23&lt;&gt;"", 'Waste results'!$P$59&lt;&gt;"", 'Waste results'!$P$95&lt;&gt;""), Calc!BC69*'Waste results'!$P$23+Calc!BD69*'Waste results'!$P$59+ Calc!BE69*'Waste results'!$P$95, "no data")))))))))))</f>
        <v/>
      </c>
      <c r="Z71" s="7" t="str">
        <f ca="1">IF(OR(ISBLANK('Soil results'!I$7),ISBLANK('Soil results'!I74),'Soil results'!B74=""),"",
VLOOKUP(Calc!BI69,'Fertiliser recommendations'!$A$4:$AM$63,39,FALSE))</f>
        <v/>
      </c>
      <c r="AA71" s="91" t="str">
        <f t="shared" ca="1" si="4"/>
        <v/>
      </c>
      <c r="AB71" s="9" t="str">
        <f t="shared" ca="1" si="5"/>
        <v/>
      </c>
      <c r="AD71" s="48" t="str">
        <f>IF(ISBLANK('Soil results'!F74),"",'Soil results'!F74)</f>
        <v/>
      </c>
      <c r="AE71" s="49" t="str">
        <f ca="1">IF(B71="","",
IF(AND(Calc!BJ69="g", VLOOKUP(LEFT($B71,LEN($B71)-2),'Field information 2'!$B$12:$P$111,9,FALSE)&lt;&gt;"yes"),
 IF(Calc!BG69="10-25% OM", 5.9, IF(Calc!BG69="&gt;25% OM", 5.5, 6.2)),
IF(OR(Calc!BJ69="a", VLOOKUP(LEFT($B71,LEN($B71)-2),'Field information 2'!$B$12:$P$111,9,FALSE)="yes"),
 IF(Calc!BG69="10-25% OM", 6.4, IF(Calc!BG69="&gt;25% OM", 6, 6.7)), "")))</f>
        <v/>
      </c>
      <c r="AF71" s="91" t="str">
        <f ca="1">IF(B71="","",
IF('Waste results'!$Q$33="","no (significant) liming properties",
IF('Waste results'!Q$33&gt;100,"no (significant) liming properties",
IF(AD71="","",
IF(AD71&gt;=AE71,0,ROUNDDOWN((AE71-AD71)*Calc!BK69*'Waste results'!$Q$33+0.2,0))))))</f>
        <v/>
      </c>
      <c r="AG71" s="9" t="str">
        <f ca="1">IF(B71="","",
IF(T71=0,"n/a",
IF(AD71="","data missing",
IF(AND(AD71&lt;5,AF71="no (significant) liming properties"),"no waste application - pH too low",
IF(AND(AD71&gt;5.1,AF71="no (significant) liming properties",Calc!BH69&gt;25, LEFT(Calc!BI69,4)="graz"),"ok",
IF(AND(AD71&lt;=5.2,AF71="no (significant) liming properties"),"liming highly recommended",
IF(AF71=0,"no waste application - liming not required",
IF(AF71&lt;Calc!BC69,"application rate too high - exceeds liming requirement",
"ok"))))))))</f>
        <v/>
      </c>
      <c r="AI71" s="91" t="str">
        <f ca="1">IF(B71="","",
IF(AND('Field information 2'!$O$5="", 'Field information 2'!$Q$5=""),
   IF('Waste results'!$P$10&lt;&gt;"data missing", Calc!BC69*'Waste results'!$P$10, "data missing"),
IF('Field information 2'!$Q$5="",
   IF(Calc!BD69=0,
     IF('Waste results'!$P$10&lt;&gt;"data missing", Calc!BC69*'Waste results'!$P$10, "data missing"),
   IF(Calc!BC69=0,
     IF('Waste results'!$P$45&lt;&gt;"data missing", Calc!BD69*'Waste results'!$P$45, "data missing"),
   IF(OR('Waste results'!$P$10&lt;&gt;"data missing", 'Waste results'!$P$45&lt;&gt;"data missing"), Calc!BC69*'Waste results'!$P$10+ Calc!BD69*'Waste results'!$P$45, "data missing"))),
IF(AND('Field information 2'!$M$5&lt;&gt;"", 'Field information 2'!$O$5&lt;&gt;"", 'Field information 2'!$Q$5&lt;&gt;""),
   IF(AND(Calc!BD69=0,Calc!BE69=0),
     IF('Waste results'!$P$10&lt;&gt;"data missing", Calc!BC69*'Waste results'!$P$10, "data missing"),
   IF(AND(Calc!BC69=0,Calc!BE69=0),
     IF('Waste results'!$P$45&lt;&gt;"data missing", Calc!BD69*'Waste results'!$P$45, "data missing"),
   IF(AND(Calc!BC69=0,Calc!BD69=0),
     IF('Waste results'!$P$82&lt;&gt;"data missing", Calc!BE69*'Waste results'!$P$82, "data missing"),
   IF(Calc!BE69=0,
     IF(OR('Waste results'!$P$10&lt;&gt;"data missing", 'Waste results'!$P$45&lt;&gt;"data missing"), Calc!BC69*'Waste results'!$P$10+ Calc!BD69*'Waste results'!$P$45, "data missing"),
   IF(Calc!BD69=0,
     IF(OR('Waste results'!$P$10&lt;&gt;"data missing", 'Waste results'!$P$82&lt;&gt;"data missing"), Calc!BC69*'Waste results'!$P$10+ Calc!BE69*'Waste results'!$P$82, "data missing"),
   IF(Calc!BC69=0,
     IF(OR('Waste results'!$P$45&lt;&gt;"data missing", 'Waste results'!$P$82&lt;&gt;"data missing"), Calc!BD69*'Waste results'!$P$45+Calc!BE69*'Waste results'!$P$82, "data missing"),
   IF(OR('Waste results'!$P$10&lt;&gt;"data missing", 'Waste results'!$P$45&lt;&gt;"data missing", 'Waste results'!$P$82&lt;&gt;"data missing"), Calc!BC69*'Waste results'!$P$10+Calc!BD69*'Waste results'!$P$45+ Calc!BE69*'Waste results'!$P$82, "data missing")))))))))))</f>
        <v/>
      </c>
      <c r="AJ71" s="237" t="str">
        <f ca="1">IF(B71="","",
IF(AI71="data missing","data missing",
IF(Calc!BF69=0,"n/a",
IF(AND(Calc!BH69&gt;=8,AI71&lt;500),"no benefit",
IF(OR(AND(Calc!BH69&lt;=4,AI71&gt;=500),AND(Calc!BH69&lt;8,AI71&gt;5000)),"benefit",
"limited benefit")))))</f>
        <v/>
      </c>
      <c r="AL71" s="238" t="str">
        <f ca="1">IF(B71="","",
IF(AND('Field information 2'!$O$5="", 'Field information 2'!$Q$5=""),
   IF('Waste results'!$S$25&lt;&gt;"data missing", Calc!BC69*'Waste results'!$S$25, "data missing"),
IF('Field information 2'!$Q$5="",
   IF(Calc!BD69=0,
     IF('Waste results'!$S$25&lt;&gt;"data missing", Calc!BC69*'Waste results'!$S$25, "data missing"),
   IF(Calc!BC69=0,
     IF('Waste results'!$S$61&lt;&gt;"data missing", Calc!BD69*'Waste results'!$S$61, "data missing"),
   IF(OR('Waste results'!$S$25&lt;&gt;"data missing", 'Waste results'!$S$61&lt;&gt;"data missing"), Calc!BC69*'Waste results'!$S$25+ Calc!BD69*'Waste results'!$S$61, "data missing"))),
IF(AND('Field information 2'!$M$5&lt;&gt;"", 'Field information 2'!$O$5&lt;&gt;"", 'Field information 2'!$Q$5&lt;&gt;""),
   IF(AND(Calc!BD69=0,Calc!BE69=0),
     IF('Waste results'!$S$25&lt;&gt;"data missing", Calc!BC69*'Waste results'!$S$25, "data missing"),
   IF(AND(Calc!BC69=0,Calc!BE69=0),
     IF('Waste results'!$S$61&lt;&gt;"data missing", Calc!BD69*'Waste results'!$S$61, "data missing"),
   IF(AND(Calc!BC69=0,Calc!BD69=0),
     IF('Waste results'!$S$97&lt;&gt;"data missing", Calc!BE69*'Waste results'!$S$97, "data missing"),
   IF(Calc!BE69=0,
     IF(OR('Waste results'!$S$25&lt;&gt;"data missing", 'Waste results'!$S$61&lt;&gt;"data missing"), Calc!BC69*'Waste results'!$S$25+ Calc!BD69*'Waste results'!$S$61, "data missing"),
   IF(Calc!BD69=0,
     IF(OR('Waste results'!$S$25&lt;&gt;"data missing", 'Waste results'!$S$97&lt;&gt;"data missing"), Calc!BC69*'Waste results'!$S$25+ Calc!BE69*'Waste results'!$S$97, "data missing"),
   IF(Calc!BC69=0,
     IF(OR('Waste results'!$S$61&lt;&gt;"data missing", 'Waste results'!$S$97&lt;&gt;"data missing"), Calc!BD69*'Waste results'!$S$61+Calc!BE69*'Waste results'!$S$97, "data missing"),
   IF(OR('Waste results'!$S$25&lt;&gt;"data missing", 'Waste results'!$S$61&lt;&gt;"data missing", 'Waste results'!$S$97&lt;&gt;"data missing"), Calc!BC69*'Waste results'!$S$25+Calc!BD69*'Waste results'!$S$61+ Calc!BE69*'Waste results'!$S$97, "data missing")))))))))))</f>
        <v/>
      </c>
      <c r="AM71" s="239" t="str">
        <f ca="1">IF($B71="","",
IF(ISBLANK('Soil results'!K74),"data missing",'Soil results'!K74))</f>
        <v/>
      </c>
      <c r="AN71" s="239" t="str">
        <f t="shared" ca="1" si="6"/>
        <v/>
      </c>
      <c r="AO71" s="9" t="str">
        <f t="shared" ca="1" si="7"/>
        <v/>
      </c>
      <c r="AQ71" s="240" t="str">
        <f ca="1">IF(B71="","",
IF(AND('Field information 2'!$O$5="", 'Field information 2'!$Q$5=""),
   IF('Waste results'!$S$26&lt;&gt;"data missing", Calc!BC69*'Waste results'!$S$26, "data missing"),
IF('Field information 2'!$Q$5="",
   IF(Calc!BD69=0,
     IF('Waste results'!$S$26&lt;&gt;"data missing", Calc!BC69*'Waste results'!$S$26, "data missing"),
   IF(Calc!BC69=0,
     IF('Waste results'!$S$62&lt;&gt;"data missing", Calc!BD69*'Waste results'!$S$62, "data missing"),
   IF(OR('Waste results'!$S$26&lt;&gt;"data missing", 'Waste results'!$S$62&lt;&gt;"data missing"), Calc!BC69*'Waste results'!$S$26+ Calc!BD69*'Waste results'!$S$62, "data missing"))),
IF(AND('Field information 2'!$M$5&lt;&gt;"", 'Field information 2'!$O$5&lt;&gt;"", 'Field information 2'!$Q$5&lt;&gt;""),
   IF(AND(Calc!BD69=0,Calc!BE69=0),
     IF('Waste results'!$S$26&lt;&gt;"data missing", Calc!BC69*'Waste results'!$S$26, "data missing"),
   IF(AND(Calc!BC69=0,Calc!BE69=0),
     IF('Waste results'!$S$62&lt;&gt;"data missing", Calc!BD69*'Waste results'!$S$62, "data missing"),
   IF(AND(Calc!BC69=0,Calc!BD69=0),
     IF('Waste results'!$S$98&lt;&gt;"data missing", Calc!BE69*'Waste results'!$S$98, "data missing"),
   IF(Calc!BE69=0,
     IF(OR('Waste results'!$S$26&lt;&gt;"data missing", 'Waste results'!$S$62&lt;&gt;"data missing"), Calc!BC69*'Waste results'!$S$26+ Calc!BD69*'Waste results'!$S$62, "data missing"),
   IF(Calc!BD69=0,
     IF(OR('Waste results'!$S$26&lt;&gt;"data missing", 'Waste results'!$S$98&lt;&gt;"data missing"), Calc!BC69*'Waste results'!$S$26+ Calc!BE69*'Waste results'!$S$98, "data missing"),
   IF(Calc!BC69=0,
     IF(OR('Waste results'!$S$62&lt;&gt;"data missing", 'Waste results'!$S$98&lt;&gt;"data missing"), Calc!BD69*'Waste results'!$S$62+Calc!BE69*'Waste results'!$S$98, "data missing"),
   IF(OR('Waste results'!$S$26&lt;&gt;"data missing", 'Waste results'!$S$62&lt;&gt;"data missing", 'Waste results'!$S$98&lt;&gt;"data missing"), Calc!BC69*'Waste results'!$S$26+Calc!BD69*'Waste results'!$S$62+ Calc!BE69*'Waste results'!$S$98, "data missing")))))))))))</f>
        <v/>
      </c>
      <c r="AR71" s="241" t="str">
        <f ca="1">IF($B71="","",
IF(ISBLANK('Soil results'!L74),"data missing",'Soil results'!L74))</f>
        <v/>
      </c>
      <c r="AS71" s="241" t="str">
        <f t="shared" ca="1" si="8"/>
        <v/>
      </c>
      <c r="AT71" s="66" t="str">
        <f t="shared" ca="1" si="9"/>
        <v/>
      </c>
      <c r="AV71" s="238" t="str">
        <f ca="1">IF(B71="","",
IF(AND('Field information 2'!$O$5="", 'Field information 2'!$Q$5=""),
   IF('Waste results'!$S$27&lt;&gt;"data missing", Calc!BC69*'Waste results'!$S$27, "data missing"),
IF('Field information 2'!$Q$5="",
   IF(Calc!BD69=0,
     IF('Waste results'!$S$27&lt;&gt;"data missing", Calc!BC69*'Waste results'!$S$27, "data missing"),
   IF(Calc!BC69=0,
     IF('Waste results'!$S$63&lt;&gt;"data missing", Calc!BD69*'Waste results'!$S$63, "data missing"),
   IF(OR('Waste results'!$S$27&lt;&gt;"data missing", 'Waste results'!$S$63&lt;&gt;"data missing"), Calc!BC69*'Waste results'!$S$27+ Calc!BD69*'Waste results'!$S$63, "data missing"))),
IF(AND('Field information 2'!$M$5&lt;&gt;"", 'Field information 2'!$O$5&lt;&gt;"", 'Field information 2'!$Q$5&lt;&gt;""),
   IF(AND(Calc!BD69=0,Calc!BE69=0),
     IF('Waste results'!$S$27&lt;&gt;"data missing", Calc!BC69*'Waste results'!$S$27, "data missing"),
   IF(AND(Calc!BC69=0,Calc!BE69=0),
     IF('Waste results'!$S$63&lt;&gt;"data missing", Calc!BD69*'Waste results'!$S$63, "data missing"),
   IF(AND(Calc!BC69=0,Calc!BD69=0),
     IF('Waste results'!$S$99&lt;&gt;"data missing", Calc!BE69*'Waste results'!$S$99, "data missing"),
   IF(Calc!BE69=0,
     IF(OR('Waste results'!$S$27&lt;&gt;"data missing", 'Waste results'!$S$63&lt;&gt;"data missing"), Calc!BC69*'Waste results'!$S$27+ Calc!BD69*'Waste results'!$S$63, "data missing"),
   IF(Calc!BD69=0,
     IF(OR('Waste results'!$S$27&lt;&gt;"data missing", 'Waste results'!$S$99&lt;&gt;"data missing"), Calc!BC69*'Waste results'!$S$27+ Calc!BE69*'Waste results'!$S$99, "data missing"),
   IF(Calc!BC69=0,
     IF(OR('Waste results'!$S$63&lt;&gt;"data missing", 'Waste results'!$S$99&lt;&gt;"data missing"), Calc!BD69*'Waste results'!$S$63+Calc!BE69*'Waste results'!$S$99, "data missing"),
   IF(OR('Waste results'!$S$27&lt;&gt;"data missing", 'Waste results'!$S$63&lt;&gt;"data missing", 'Waste results'!$S$99&lt;&gt;"data missing"), Calc!BC69*'Waste results'!$S$27+Calc!BD69*'Waste results'!$S$63+ Calc!BE69*'Waste results'!$S$99, "data missing")))))))))))</f>
        <v/>
      </c>
      <c r="AW71" s="239" t="str">
        <f ca="1">IF($B71="","",
IF(ISBLANK('Soil results'!M74),"data missing",'Soil results'!M74))</f>
        <v/>
      </c>
      <c r="AX71" s="239" t="str">
        <f t="shared" ca="1" si="10"/>
        <v/>
      </c>
      <c r="AY71" s="9" t="str">
        <f ca="1">IF(B71="","",
IF(AV71=0,"n/a",
IF(OR(AV71="data missing",AW71="data missing"),"data missing",
IF(AV71&gt;7.5,"application rate too high - permissible rate exceeds limit",
IF('Soil results'!$F74&lt;=5.5,
  IF(AW71&gt;80,"no application - soil conc. already above limit",
  IF(AX71&gt;80,"application rate too high - soil conc. will exceed limit",
  IF(AW71&gt;80*0.9,"soil conc. is at or above 90% of the limit",
  IF(10*AV71*1000/3000+AW71&gt;80,"soil limit likely to be exceeded in 10yrs",
  IF(50*AV71*1000/3000+AW71&gt;80,"soil limit likely to be exceeded in 50yrs","ok"))))),
IF('Soil results'!$F74&lt;=6,
  IF(AW71&gt;100,"no application - soil conc. already above limit",
  IF(AX71&gt;100,"application rate too high - soil conc. will exceed limit",
  IF(AW71&gt;100*0.9,"soil conc. is at or above 90% of the limit",
  IF(10*AV71*1000/3000+AW71&gt;100,"soil limit likely to be exceeded in 10yrs",
  IF(50*AV71*1000/3000+AW71&gt;100,"soil limit likely to be exceeded in 50yrs","ok"))))),
IF('Soil results'!$F74&lt;=7,
  IF(AW71&gt;135,"no application - soil conc. already above limit",
  IF(AX71&gt;135,"application rate too high - soil conc. will exceed limit",
  IF(AW71&gt;135*0.9,"soil conc. is at or above 90% of the limit",
  IF(10*AV71*1000/3000+AW71&gt;135,"soil limit likely to be exceeded in 10yrs",
  IF(50*AV71*1000/3000+AW71&gt;135,"soil limit likely to be exceeded in 50yrs","ok"))))),
IF('Soil results'!$F74&gt;7,
  IF(AW71&gt;200,"no application - soil conc. already above limit",
  IF(AX71&gt;200,"application too high - soil conc. will exceed limit",
  IF(AW71&gt;200*0.9,"soil conc. is at or above 90% of the limit",
  IF(10*AV71*1000/3000+AW71&gt;200,"soil limit likely to be exceeded in 10yrs",
  IF(50*AV71*1000/3000+AW71&gt;200,"soil limit likely to be exceeded in 50yrs","ok")))))
))))))))</f>
        <v/>
      </c>
      <c r="BA71" s="238" t="str">
        <f ca="1">IF(B71="","",
IF(AND('Field information 2'!$O$5="", 'Field information 2'!$Q$5=""),
   IF('Waste results'!$S$28&lt;&gt;"data missing", Calc!BC69*'Waste results'!$S$28, "data missing"),
IF('Field information 2'!$Q$5="",
   IF(Calc!BD69=0,
     IF('Waste results'!$S$28&lt;&gt;"data missing", Calc!BC69*'Waste results'!$S$28, "data missing"),
   IF(Calc!BC69=0,
     IF('Waste results'!$S$64&lt;&gt;"data missing", Calc!BD69*'Waste results'!$S$64, "data missing"),
   IF(OR('Waste results'!$S$28&lt;&gt;"data missing", 'Waste results'!$S$64&lt;&gt;"data missing"), Calc!BC69*'Waste results'!$S$28+ Calc!BD69*'Waste results'!$S$64, "data missing"))),
IF(AND('Field information 2'!$M$5&lt;&gt;"", 'Field information 2'!$O$5&lt;&gt;"", 'Field information 2'!$Q$5&lt;&gt;""),
   IF(AND(Calc!BD69=0,Calc!BE69=0),
     IF('Waste results'!$S$28&lt;&gt;"data missing", Calc!BC69*'Waste results'!$S$28, "data missing"),
   IF(AND(Calc!BC69=0,Calc!BE69=0),
     IF('Waste results'!$S$64&lt;&gt;"data missing", Calc!BD69*'Waste results'!$S$64, "data missing"),
   IF(AND(Calc!BC69=0,Calc!BD69=0),
     IF('Waste results'!$S$100&lt;&gt;"data missing", Calc!BE69*'Waste results'!$S$100, "data missing"),
   IF(Calc!BE69=0,
     IF(OR('Waste results'!$S$28&lt;&gt;"data missing", 'Waste results'!$S$64&lt;&gt;"data missing"), Calc!BC69*'Waste results'!$S$28+ Calc!BD69*'Waste results'!$S$64, "data missing"),
   IF(Calc!BD69=0,
     IF(OR('Waste results'!$S$28&lt;&gt;"data missing", 'Waste results'!$S$100&lt;&gt;"data missing"), Calc!BC69*'Waste results'!$S$28+ Calc!BE69*'Waste results'!$S$100, "data missing"),
   IF(Calc!BC69=0,
     IF(OR('Waste results'!$S$64&lt;&gt;"data missing", 'Waste results'!$S$100&lt;&gt;"data missing"), Calc!BD69*'Waste results'!$S$64+Calc!BE69*'Waste results'!$S$100, "data missing"),
   IF(OR('Waste results'!$S$28&lt;&gt;"data missing", 'Waste results'!$S$64&lt;&gt;"data missing", 'Waste results'!$S$100&lt;&gt;"data missing"), Calc!BC69*'Waste results'!$S$28+Calc!BD69*'Waste results'!$S$64+ Calc!BE69*'Waste results'!$S$100, "data missing")))))))))))</f>
        <v/>
      </c>
      <c r="BB71" s="239" t="str">
        <f ca="1">IF($B71="","",
IF(ISBLANK('Soil results'!N74),"data missing",'Soil results'!N74))</f>
        <v/>
      </c>
      <c r="BC71" s="239" t="str">
        <f t="shared" ca="1" si="11"/>
        <v/>
      </c>
      <c r="BD71" s="9" t="str">
        <f t="shared" ca="1" si="12"/>
        <v/>
      </c>
      <c r="BF71" s="238" t="str">
        <f ca="1">IF(B71="","",
IF(AND('Field information 2'!$O$5="", 'Field information 2'!$Q$5=""),
   IF('Waste results'!$S$29&lt;&gt;"data missing", Calc!BC69*'Waste results'!$S$29, "data missing"),
IF('Field information 2'!$Q$5="",
   IF(Calc!BD69=0,
     IF('Waste results'!$S$29&lt;&gt;"data missing", Calc!BC69*'Waste results'!$S$29, "data missing"),
   IF(Calc!BC69=0,
     IF('Waste results'!$S$65&lt;&gt;"data missing", Calc!BD69*'Waste results'!$S$65, "data missing"),
   IF(OR('Waste results'!$S$29&lt;&gt;"data missing", 'Waste results'!$S$65&lt;&gt;"data missing"), Calc!BC69*'Waste results'!$S$29+ Calc!BD69*'Waste results'!$S$65, "data missing"))),
IF(AND('Field information 2'!$M$5&lt;&gt;"", 'Field information 2'!$O$5&lt;&gt;"", 'Field information 2'!$Q$5&lt;&gt;""),
   IF(AND(Calc!BD69=0,Calc!BE69=0),
     IF('Waste results'!$S$29&lt;&gt;"data missing", Calc!BC69*'Waste results'!$S$29, "data missing"),
   IF(AND(Calc!BC69=0,Calc!BE69=0),
     IF('Waste results'!$S$65&lt;&gt;"data missing", Calc!BD69*'Waste results'!$S$65, "data missing"),
   IF(AND(Calc!BC69=0,Calc!BD69=0),
     IF('Waste results'!$S$101&lt;&gt;"data missing", Calc!BE69*'Waste results'!$S$101, "data missing"),
   IF(Calc!BE69=0,
     IF(OR('Waste results'!$S$29&lt;&gt;"data missing", 'Waste results'!$S$65&lt;&gt;"data missing"), Calc!BC69*'Waste results'!$S$29+ Calc!BD69*'Waste results'!$S$65, "data missing"),
   IF(Calc!BD69=0,
     IF(OR('Waste results'!$S$29&lt;&gt;"data missing", 'Waste results'!$S$101&lt;&gt;"data missing"), Calc!BC69*'Waste results'!$S$29+ Calc!BE69*'Waste results'!$S$101, "data missing"),
   IF(Calc!BC69=0,
     IF(OR('Waste results'!$S$65&lt;&gt;"data missing", 'Waste results'!$S$101&lt;&gt;"data missing"), Calc!BD69*'Waste results'!$S$65+Calc!BE69*'Waste results'!$S$101, "data missing"),
   IF(OR('Waste results'!$S$29&lt;&gt;"data missing", 'Waste results'!$S$65&lt;&gt;"data missing", 'Waste results'!$S$101&lt;&gt;"data missing"), Calc!BC69*'Waste results'!$S$29+Calc!BD69*'Waste results'!$S$65+ Calc!BE69*'Waste results'!$S$101, "data missing")))))))))))</f>
        <v/>
      </c>
      <c r="BG71" s="239" t="str">
        <f ca="1">IF($B71="","",
IF(ISBLANK('Soil results'!O74),"data missing",'Soil results'!O74))</f>
        <v/>
      </c>
      <c r="BH71" s="239" t="str">
        <f t="shared" ca="1" si="13"/>
        <v/>
      </c>
      <c r="BI71" s="9" t="str">
        <f ca="1">IF(B71="","",
IF(BF71=0,"n/a",
IF(OR(BF71="data missing",BG71="data missing"),"data missing",
IF(BF71&gt;3,"application rate too high - permissible rate exceeds limit",
IF('Soil results'!F74&lt;=5.5,
  IF(BG71&gt;50,"no application - soil conc. already above limit",
  IF(BH71&gt;50,"application rate too high - soil conc. will exceed limit",
  IF(BG71&gt;50*0.9,"soil conc. is at or above 90% of the limit",
  IF(10*BF71*1000/3000+BG71&gt;50,"soil limit likely to be exceeded in 10yrs",
  IF(50*BF71*1000/3000+BG71&gt;50,"soil limit likely to be exceeded in 50yrs","ok"))))),
IF('Soil results'!F74&lt;=6,
  IF(BG71&gt;60,"no application - soil conc. already above limit",
  IF(BH71&gt;60,"application rate too high - soil conc. will exceed limit",
  IF(BG71&gt;60*0.9,"soil conc. is at or above 90% of the limit",
  IF(10*BF71*1000/3000+BG71&gt;60,"soil limit likely to be exceeded in 10yrs",
  IF(50*BF71*1000/3000+BG71&gt;60,"soil limit likely to be exceeded in 50yrs","ok"))))),
IF('Soil results'!F74&lt;=7,
  IF(BG71&gt;75,"no application - soil conc. already above limit",
  IF(BH71&gt;75,"application rate too high - soil conc. will exceed limit",
  IF(BG71&gt;75*0.9,"soil conc. is at or above 90% of the limit",
  IF(10*BF71*1000/3000+BG71&gt;75,"soil limit likely to be exceeded in 10yrs",
  IF(50*BF71*1000/3000+BG71&gt;75,"soil limit likely to be exceeded in 50yrs","ok"))))),
IF('Soil results'!F74&gt;7,
  IF(BG71&gt;100,"no application - soil conc. already above limit",
  IF(BH71&gt;100,"application rate too high - soil conc. will exceed limit",
  IF(BG71&gt;100*0.9,"soil conc. is at or above 90% of the limit",
  IF(10*BF71*1000/3000+BG71&gt;100,"soil limit likely to be exceeded in 10yrs",
  IF(50*BF71*1000/3000+BG71&gt;100,"soil limit likely to beexceeded in 50yrs","ok")))))
))))))))</f>
        <v/>
      </c>
      <c r="BK71" s="240" t="str">
        <f ca="1">IF(B71="","",
IF(AND('Field information 2'!$O$5="", 'Field information 2'!$Q$5=""),
   IF('Waste results'!$S$30&lt;&gt;"data missing", Calc!BC69*'Waste results'!$S$30, "data missing"),
IF('Field information 2'!$Q$5="",
   IF(Calc!BD69=0,
     IF('Waste results'!$S$30&lt;&gt;"data missing", Calc!BC69*'Waste results'!$S$30, "data missing"),
   IF(Calc!BC69=0,
     IF('Waste results'!$S$66&lt;&gt;"data missing", Calc!BD69*'Waste results'!$S$66, "data missing"),
   IF(OR('Waste results'!$S$30&lt;&gt;"data missing", 'Waste results'!$S$66&lt;&gt;"data missing"), Calc!BC69*'Waste results'!$S$30+ Calc!BD69*'Waste results'!$S$66, "data missing"))),
IF(AND('Field information 2'!$M$5&lt;&gt;"", 'Field information 2'!$O$5&lt;&gt;"", 'Field information 2'!$Q$5&lt;&gt;""),
   IF(AND(Calc!BD69=0,Calc!BE69=0),
     IF('Waste results'!$S$30&lt;&gt;"data missing", Calc!BC69*'Waste results'!$S$30, "data missing"),
   IF(AND(Calc!BC69=0,Calc!BE69=0),
     IF('Waste results'!$S$66&lt;&gt;"data missing", Calc!BD69*'Waste results'!$S$66, "data missing"),
   IF(AND(Calc!BC69=0,Calc!BD69=0),
     IF('Waste results'!$S$102&lt;&gt;"data missing", Calc!BE69*'Waste results'!$S$102, "data missing"),
   IF(Calc!BE69=0,
     IF(OR('Waste results'!$S$30&lt;&gt;"data missing", 'Waste results'!$S$66&lt;&gt;"data missing"), Calc!BC69*'Waste results'!$S$30+ Calc!BD69*'Waste results'!$S$66, "data missing"),
   IF(Calc!BD69=0,
     IF(OR('Waste results'!$S$30&lt;&gt;"data missing", 'Waste results'!$S$102&lt;&gt;"data missing"), Calc!BC69*'Waste results'!$S$30+ Calc!BE69*'Waste results'!$S$102, "data missing"),
   IF(Calc!BC69=0,
     IF(OR('Waste results'!$S$66&lt;&gt;"data missing", 'Waste results'!$S$102&lt;&gt;"data missing"), Calc!BD69*'Waste results'!$S$66+Calc!BE69*'Waste results'!$S$102, "data missing"),
   IF(OR('Waste results'!$S$30&lt;&gt;"data missing", 'Waste results'!$S$66&lt;&gt;"data missing", 'Waste results'!$S$102&lt;&gt;"data missing"), Calc!BC69*'Waste results'!$S$30+Calc!BD69*'Waste results'!$S$66+ Calc!BE69*'Waste results'!$S$102, "data missing")))))))))))</f>
        <v/>
      </c>
      <c r="BL71" s="241" t="str">
        <f ca="1">IF($B71="","",
IF(ISBLANK('Soil results'!P74),"data missing",'Soil results'!P74))</f>
        <v/>
      </c>
      <c r="BM71" s="241" t="str">
        <f t="shared" ca="1" si="14"/>
        <v/>
      </c>
      <c r="BN71" s="66" t="str">
        <f t="shared" ca="1" si="15"/>
        <v/>
      </c>
      <c r="BP71" s="238" t="str">
        <f ca="1">IF(B71="","",
IF(AND('Field information 2'!$O$5="", 'Field information 2'!$Q$5=""),
   IF('Waste results'!$S$31&lt;&gt;"data missing", Calc!BC69*'Waste results'!$S$31, "data missing"),
IF('Field information 2'!$Q$5="",
   IF(Calc!BD69=0,
     IF('Waste results'!$S$31&lt;&gt;"data missing", Calc!BC69*'Waste results'!$S$31, "data missing"),
   IF(Calc!BC69=0,
     IF('Waste results'!$S$67&lt;&gt;"data missing", Calc!BD69*'Waste results'!$S$67, "data missing"),
   IF(OR('Waste results'!$S$31&lt;&gt;"data missing", 'Waste results'!$S$67&lt;&gt;"data missing"), Calc!BC69*'Waste results'!$S$31+ Calc!BD69*'Waste results'!$S$67, "data missing"))),
IF(AND('Field information 2'!$M$5&lt;&gt;"", 'Field information 2'!$O$5&lt;&gt;"", 'Field information 2'!$Q$5&lt;&gt;""),
   IF(AND(Calc!BD69=0,Calc!BE69=0),
     IF('Waste results'!$S$31&lt;&gt;"data missing", Calc!BC69*'Waste results'!$S$31, "data missing"),
   IF(AND(Calc!BC69=0,Calc!BE69=0),
     IF('Waste results'!$S$67&lt;&gt;"data missing", Calc!BD69*'Waste results'!$S$67, "data missing"),
   IF(AND(Calc!BC69=0,Calc!BD69=0),
     IF('Waste results'!$S$103&lt;&gt;"data missing", Calc!BE69*'Waste results'!$S$103, "data missing"),
   IF(Calc!BE69=0,
     IF(OR('Waste results'!$S$31&lt;&gt;"data missing", 'Waste results'!$S$67&lt;&gt;"data missing"), Calc!BC69*'Waste results'!$S$31+ Calc!BD69*'Waste results'!$S$67, "data missing"),
   IF(Calc!BD69=0,
     IF(OR('Waste results'!$S$31&lt;&gt;"data missing", 'Waste results'!$S$103&lt;&gt;"data missing"), Calc!BC69*'Waste results'!$S$31+ Calc!BE69*'Waste results'!$S$103, "data missing"),
   IF(Calc!BC69=0,
     IF(OR('Waste results'!$S$67&lt;&gt;"data missing", 'Waste results'!$S$103&lt;&gt;"data missing"), Calc!BD69*'Waste results'!$S$67+Calc!BE69*'Waste results'!$S$103, "data missing"),
   IF(OR('Waste results'!$S$31&lt;&gt;"data missing", 'Waste results'!$S$67&lt;&gt;"data missing", 'Waste results'!$S$103&lt;&gt;"data missing"), Calc!BC69*'Waste results'!$S$31+Calc!BD69*'Waste results'!$S$67+ Calc!BE69*'Waste results'!$S$103, "data missing")))))))))))</f>
        <v/>
      </c>
      <c r="BQ71" s="239" t="str">
        <f ca="1">IF($B71="","",
IF(ISBLANK('Soil results'!Q74),"data missing",'Soil results'!Q74))</f>
        <v/>
      </c>
      <c r="BR71" s="239" t="str">
        <f t="shared" ca="1" si="16"/>
        <v/>
      </c>
      <c r="BS71" s="9" t="str">
        <f ca="1">IF(B71="","",
IF(BP71=0,"n/a",
IF(OR(BP71="data missing",BQ71=""),"data missing",
IF(BP71&gt;15,"application rate too high - permissible rate exceeds limit",
IF('Soil results'!F74&lt;=5.5,
  IF(BQ71&gt;200,"no application - soil conc. already above limit",
  IF(BR71&gt;200,"application rate too high - soil conc. will exceed limit",
  IF(BQ71&gt;200*0.9,"soil conc. is at or above 90% of the limit",
  IF(10*BP71*1000/3000+BQ71&gt;200,"soil limit likely to be exceeded in 10yrs",
  IF(50*BP71*1000/3000+BQ71&gt;200,"soil limit likely to be exceeded in 50yrs","ok"))))),
IF('Soil results'!F74&lt;=6,
  IF(BQ71&gt;250,"no application - soil conc. already above limit",
  IF(BR71&gt;250,"application rate too high - soil conc. will exceed limit",
  IF(BQ71&gt;250*0.9,"soil conc. is at or above 90% of the limit",
  IF(10*BP71*1000/3000+BQ71&gt;250,"soil limit likely to be exceeded in 10yrs",
  IF(50*BP71*1000/3000+BQ71&gt;250,"soil limit likely to be exceeded in 50yrs","ok"))))),
IF('Soil results'!F74&lt;=7,
  IF(BQ71&gt;300,"no application - soil conc. already above limit",
  IF(BR71&gt;300,"application rate too high - soil conc. will exceed limit",
  IF(BQ71&gt;300*0.9,"soil conc. is at or above 90% of the limit",
  IF(10*BP71*1000/3000+BQ71&gt;300,"soil limit likey to be exceeded in 10yrs",
  IF(50*BP71*1000/3000+BQ71&gt;300,"soil limit likely to be exceeded in 50yrs","ok"))))),
IF('Soil results'!F74&gt;7,
  IF(BQ71&gt;450,"no application - soil conc. already above limit",
  IF(BR71&gt;450,"application rate too high - soil conc. will exceed limit",
  IF(AW71&gt;450*0.9,"soil conc. is at or above 90% of the limit",
  IF(10*BP71*1000/3000+BQ71&gt;450,"soil limit likely to be exceeded in 10yrs",
  IF(50*BP71*1000/3000+BQ71&gt;450,"soil limit likely to be exceeded in 50yrs","ok")))))
))))))))</f>
        <v/>
      </c>
    </row>
    <row r="72" spans="2:71" s="9" customFormat="1" ht="15" x14ac:dyDescent="0.25">
      <c r="B72" s="236" t="str">
        <f ca="1">'Soil results'!B75</f>
        <v/>
      </c>
      <c r="C72" s="91" t="str">
        <f ca="1">IF(B72="","",
IF(AND('Field information 2'!$O$5="", 'Field information 2'!$Q$5=""),
   IF('Waste results'!$S$12&lt;&gt;"data missing", Calc!BC70*'Waste results'!$S$12, "data missing"),
IF('Field information 2'!$Q$5="",
   IF(Calc!BD70=0,
     IF('Waste results'!$S$12&lt;&gt;"data missing", Calc!BC70*'Waste results'!$S$12, "data missing"),
   IF(Calc!BC70=0,
     IF('Waste results'!$S$48&lt;&gt;"data missing", Calc!BD70*'Waste results'!$S$48, "data missing"),
   IF(OR('Waste results'!$S$12&lt;&gt;"data missing", 'Waste results'!$S$48&lt;&gt;"data missing"), Calc!BC70*'Waste results'!$S$12+ Calc!BD70*'Waste results'!$S$48, "data missing"))),
IF(AND('Field information 2'!$M$5&lt;&gt;"", 'Field information 2'!$O$5&lt;&gt;"", 'Field information 2'!$Q$5&lt;&gt;""),
   IF(AND(Calc!BD70=0,Calc!BE70=0),
     IF('Waste results'!$S$12&lt;&gt;"data missing", Calc!BC70*'Waste results'!$S$12, "data missing"),
   IF(AND(Calc!BC70=0,Calc!BE70=0),
     IF('Waste results'!$S$48&lt;&gt;"data missing", Calc!BD70*'Waste results'!$S$48, "data missing"),
   IF(AND(Calc!BC70=0,Calc!BD70=0),
     IF('Waste results'!$S$84&lt;&gt;"data missing", Calc!BE70*'Waste results'!$S$84, "data missing"),
   IF(Calc!BE70=0,
     IF(OR('Waste results'!$S$12&lt;&gt;"data missing", 'Waste results'!$S$48&lt;&gt;"data missing"), Calc!BC70*'Waste results'!$S$12+ Calc!BD70*'Waste results'!$S$48, "data missing"),
   IF(Calc!BD70=0,
     IF(OR('Waste results'!$S$12&lt;&gt;"data missing", 'Waste results'!$S$84&lt;&gt;"data missing"), Calc!BC70*'Waste results'!$S$12+ Calc!BE70*'Waste results'!$S$84, "data missing"),
   IF(Calc!BC70=0,
     IF(OR('Waste results'!$S$48&lt;&gt;"data missing", 'Waste results'!$S$84&lt;&gt;"data missing"), Calc!BD70*'Waste results'!$S$48+Calc!BE70*'Waste results'!$S$84, "data missing"),
   IF(OR('Waste results'!$S$12&lt;&gt;"data missing", 'Waste results'!$S$48&lt;&gt;"data missing", 'Waste results'!$S$84&lt;&gt;"data missing"), Calc!BC70*'Waste results'!$S$12+Calc!BD70*'Waste results'!$S$48+ Calc!BE70*'Waste results'!$S$84, "data missing")))))))))))</f>
        <v/>
      </c>
      <c r="D72" s="161" t="str">
        <f ca="1">IF(B72="","",
IF(Calc!BG70="","soil texture missing",
IF(OR(Calc!BG70="SL; SZL; ZL",Calc!BG70="SCL; CL; ZCL; SC; ZC; C"),VLOOKUP(Calc!BI70,'Fertiliser recommendations'!$A$4:$C$63,3,FALSE),
IF(Calc!BG70="S; LS",VLOOKUP(Calc!BI70,'Fertiliser recommendations'!$A$4:$C$63,3,FALSE)+VLOOKUP(Calc!BI70,'Fertiliser recommendations'!$A$4:$D$63,4,FALSE),
IF(Calc!BG70="10-25% OM",VLOOKUP(Calc!BI70,'Fertiliser recommendations'!$A$4:$C$63,3,FALSE)+VLOOKUP(Calc!BI70,'Fertiliser recommendations'!$A$4:$E$63,5,FALSE),
IF(Calc!BG70="&gt;25% OM",VLOOKUP(Calc!BI70,'Fertiliser recommendations'!$A$4:$C$63,3,FALSE)+VLOOKUP(Calc!BI70,'Fertiliser recommendations'!$A$4:$F$63,6,FALSE),
""))))))</f>
        <v/>
      </c>
      <c r="E72" s="91" t="str">
        <f t="shared" ref="E72:E106" ca="1" si="17">IF(OR(C72="data missing",ISTEXT(D72)),"",C72-D72)</f>
        <v/>
      </c>
      <c r="F72" s="9" t="str">
        <f ca="1">IF(B72="","",
IF(OR(C72="data missing",D72="soil texture missing"),"data missing",
IF(Calc!BF70=0,"n/a",
IF(C72&lt;0.1*D72,"no benefit",
IF(C72&lt;0.3*D72,"limited benefit",
IF(C72&gt;250,"exceeds limit",
IF(OR(AND(D72=0,C72&gt;75),C72&gt;1.25*D72),"excessive",
IF(D72=0, "no requirement",
"benefit"))))))))</f>
        <v/>
      </c>
      <c r="H72" s="91" t="str">
        <f ca="1">IF(B72="","",
IF(AND('Field information 2'!$O$5="", 'Field information 2'!$Q$5=""),
   IF('Waste results'!$S$17&lt;&gt;"data missing", Calc!BC70*'Waste results'!$S$17, "data missing"),
IF('Field information 2'!$Q$5="",
   IF(Calc!BD70=0,
     IF('Waste results'!$S$17&lt;&gt;"data missing", Calc!BC70*'Waste results'!$S$17, "data missing"),
   IF(Calc!BC70=0,
     IF('Waste results'!$S$53&lt;&gt;"data missing", Calc!BD70*'Waste results'!$S$53, "data missing"),
   IF(OR('Waste results'!$S$17&lt;&gt;"data missing", 'Waste results'!$S$53&lt;&gt;"data missing"), Calc!BC70*'Waste results'!$S$17+ Calc!BD70*'Waste results'!$S$53, "data missing"))),
IF(AND('Field information 2'!$M$5&lt;&gt;"", 'Field information 2'!$O$5&lt;&gt;"", 'Field information 2'!$Q$5&lt;&gt;""),
   IF(AND(Calc!BD70=0,Calc!BE70=0),
     IF('Waste results'!$S$17&lt;&gt;"data missing", Calc!BC70*'Waste results'!$S$17, "data missing"),
   IF(AND(Calc!BC70=0,Calc!BE70=0),
     IF('Waste results'!$S$53&lt;&gt;"data missing", Calc!BD70*'Waste results'!$S$53, "data missing"),
   IF(AND(Calc!BC70=0,Calc!BD70=0),
     IF('Waste results'!$S$89&lt;&gt;"data missing", Calc!BE70*'Waste results'!$S$89, "data missing"),
   IF(Calc!BE70=0,
     IF(OR('Waste results'!$S$17&lt;&gt;"data missing", 'Waste results'!$S$53&lt;&gt;"data missing"), Calc!BC70*'Waste results'!$S$17+ Calc!BD70*'Waste results'!$S$53, "data missing"),
   IF(Calc!BD70=0,
     IF(OR('Waste results'!$S$17&lt;&gt;"data missing", 'Waste results'!$S$89&lt;&gt;"data missing"), Calc!BC70*'Waste results'!$S$17+ Calc!BE70*'Waste results'!$S$89, "data missing"),
   IF(Calc!BC70=0,
     IF(OR('Waste results'!$S$53&lt;&gt;"data missing", 'Waste results'!$S$89&lt;&gt;"data missing"), Calc!BD70*'Waste results'!$S$53+Calc!BE70*'Waste results'!$S$89, "data missing"),
   IF(OR('Waste results'!$S$17&lt;&gt;"data missing", 'Waste results'!$S$53&lt;&gt;"data missing", 'Waste results'!$S$89&lt;&gt;"data missing"), Calc!BC70*'Waste results'!$S$17+Calc!BD70*'Waste results'!$S$53+ Calc!BE70*'Waste results'!$S$89, "data missing")))))))))))</f>
        <v/>
      </c>
      <c r="I72" s="195" t="str">
        <f ca="1">IF(B72="","",
IF(OR(ISBLANK('Soil results'!G75), ISBLANK('Soil results'!G$7)),"data missing",
IF(OR(AND('Soil results'!G$7="Olsen (ADAS)",'Soil results'!G75&lt;16),AND('Soil results'!G$7="modified Morgan (SAC)",'Soil results'!G75&lt;4.5)),50,100)))</f>
        <v/>
      </c>
      <c r="J72" s="49" t="str">
        <f ca="1">IF(B72="","",
IF(OR(ISBLANK('Soil results'!G$7),ISBLANK('Soil results'!G75)),"data missing",
IF(OR(AND('Soil results'!G$7="Olsen (ADAS)",'Soil results'!G75&gt;45),AND('Soil results'!G$7="modified Morgan (SAC)",'Soil results'!G75&gt;30)),0,
IF(OR(AND('Soil results'!G$7="Olsen (ADAS)",'Soil results'!G75&gt;=16,'Soil results'!G75&lt;=20),AND('Soil results'!G$7="modified Morgan (SAC)",'Soil results'!G75&gt;=4.5,'Soil results'!G75&lt;=9.4)),VLOOKUP(Calc!BI70,'Fertiliser recommendations'!$A$4:$I$63,9,FALSE),
IF(OR(AND('Soil results'!G$7="Olsen (ADAS)",'Soil results'!G75&lt;10),AND('Soil results'!G$7="modified Morgan (SAC)",'Soil results'!G75&lt;1.8)),VLOOKUP(Calc!BI70,'Fertiliser recommendations'!$A$4:$I$63,9,FALSE)+VLOOKUP(Calc!BI70,'Fertiliser recommendations'!$A$4:$J$63,10,FALSE),
IF(OR(AND('Soil results'!G$7="Olsen (ADAS)",'Soil results'!G75&lt;16),AND('Soil results'!G$7="modified Morgan (SAC)",'Soil results'!G75&lt;4.5)),VLOOKUP(Calc!BI70,'Fertiliser recommendations'!$A$4:$I$63,9,FALSE)+VLOOKUP(Calc!BI70,'Fertiliser recommendations'!$A$4:$K$63,11,FALSE),
IF(OR(AND('Soil results'!G$7="Olsen (ADAS)",'Soil results'!G75&lt;26),AND('Soil results'!G$7="modified Morgan (SAC)",'Soil results'!G75&lt;13.5)),VLOOKUP(Calc!BI70,'Fertiliser recommendations'!$A$4:$I$63,9,FALSE)+VLOOKUP(Calc!BI70,'Fertiliser recommendations'!$A$4:$L$63,12,FALSE),
IF(OR(AND('Soil results'!G$7="Olsen (ADAS)",'Soil results'!G75&lt;=45),AND('Soil results'!G$7="modified Morgan (SAC)",'Soil results'!G75&lt;=30)),VLOOKUP(Calc!BI70,'Fertiliser recommendations'!$A$4:$I$63,9,FALSE)+VLOOKUP(Calc!BI70,'Fertiliser recommendations'!$A$4:$M$63,13,FALSE),
""))))))))</f>
        <v/>
      </c>
      <c r="K72" s="161" t="str">
        <f t="shared" ref="K72:K106" ca="1" si="18">IF(OR(H72="data missing",I72="",J72="",I72="data missing",J72="data missing"),"",(H72*I72/100)-J72)</f>
        <v/>
      </c>
      <c r="L72" s="47" t="str">
        <f ca="1">IF(OR(ISBLANK('Soil results'!G$7),ISBLANK('Soil results'!G75),B72="", H72="data missing"),"",
IF('Soil results'!G$7="Olsen (ADAS)",
IF(((H72*Calc!BM70/2.291-(VLOOKUP(Calc!BI70,'Fertiliser recommendations'!$A$4:$I$63,9,FALSE))/2.291)*10/(400/2.291)+'Soil results'!G75)&lt;10,"0 (VL)",
IF(((H72*Calc!BM70/2.291-(VLOOKUP(Calc!BI70,'Fertiliser recommendations'!$A$4:$I$63,9,FALSE))/2.291)*10/(400/2.291)+'Soil results'!G75)&lt;16,"1 (L)",
IF(((H72*Calc!BM70/2.291-(VLOOKUP(Calc!BI70,'Fertiliser recommendations'!$A$4:$I$63,9,FALSE))/2.291)*10/(400/2.291)+'Soil results'!G75)&lt;21,"2 (M-)",
IF(((H72*Calc!BM70/2.291-(VLOOKUP(Calc!BI70,'Fertiliser recommendations'!$A$4:$I$63,9,FALSE))/2.291)*10/(400/2.291)+'Soil results'!G75)&lt;26,"2 (M+)",
IF(((H72*Calc!BM70/2.291-(VLOOKUP(Calc!BI70,'Fertiliser recommendations'!$A$4:$I$63,9,FALSE))/2.291)*10/(400/2.291)+'Soil results'!G75)&lt;45,"3 (H)","&gt;3 (VH)"))))),
IF('Soil results'!G$7="modified Morgan (SAC)",
IF('Soil results'!G75&gt;=6,
IF(((H72*Calc!BM70/2.291-(VLOOKUP(Calc!BI70,'Fertiliser recommendations'!$A$4:$I$63,9,FALSE))/2.291)*5/(147/2.291)+'Soil results'!G75)&lt;9.5,"2 (M-)",
IF(((H72*Calc!BM70/2.291-(VLOOKUP(Calc!BI70,'Fertiliser recommendations'!$A$4:$I$63,9,FALSE))/2.291)*5/(147/2.291)+'Soil results'!G75)&lt;13.5,"2 (M+)",
IF(((H72*Calc!BM70/2.291-(VLOOKUP(Calc!BI70,'Fertiliser recommendations'!$A$4:$I$63,9,FALSE))/2.291)*5/(147/2.291)+'Soil results'!G75)&lt;30,"3 (H)","4 (VH)"))),
IF(((H72*Calc!BM70/2.291-(VLOOKUP(Calc!BI70,'Fertiliser recommendations'!$A$4:$I$63,9,FALSE))/2.291)*5/(346/2.291)+'Soil results'!G75)&lt;1.8,"0 (VL)",
IF(((H72*Calc!BM70/2.291-(VLOOKUP(Calc!BI70,'Fertiliser recommendations'!$A$4:$I$63,9,FALSE))/2.291)*5/(147/2.291)+'Soil results'!G75)&lt;4.5,"1 (L)","2 (M-)"))))))</f>
        <v/>
      </c>
      <c r="M72" s="9" t="str">
        <f ca="1">IF(B72="","",
IF(OR(H72="data missing",I72="data missing",J72="data missing"),"data missing",
IF(Calc!BF70=0,"n/a",
IF(OR(AND('Soil results'!G$7="Olsen (ADAS)",'Soil results'!G75&gt;45),AND('Soil results'!G$7="modified Morgan (SAC)",'Soil results'!G75&gt;30)),
IF(H72&gt;2,"too high, not acceptable","no requirement"),IF(OR(AND('Soil results'!G$7="Olsen (ADAS)",'Soil results'!G75&gt;25),AND('Soil results'!G$7="modified Morgan (SAC)",'Soil results'!G75&gt;13.4)),
IF(H72*(I72/100)&lt;0.1*J72,"no benefit",
IF(H72*(I72/100)&lt;0.3*J72,"limited benefit",
IF(H72*(I72/100)&lt;1.1*J72,"benefit",
IF(H72*(I72/100)&lt;0.7*VLOOKUP(Calc!BI70,'Fertiliser recommendations'!$A$4:$I$63,9,FALSE),"excessive","too high, not acceptable")))),
IF(OR(AND('Soil results'!G$7="Olsen (ADAS)",'Soil results'!G75&gt;20),AND('Soil results'!G$7="modified Morgan (SAC)",'Soil results'!G75&gt;9.4)),
IF(H72*Calc!BM70*(I72/100)&lt;0.1*J72,"no benefit",
IF(H72*Calc!BM70*(I72/100)&lt;0.3*J72,"limited benefit",
IF(H72*Calc!BM70*(I72/100)&lt;1.1*J72,"benefit",
IF(L72="3 (H)","too high, not acceptable","excessive")))),
IF(OR(AND('Soil results'!G$7="Olsen (ADAS)",'Soil results'!G75&gt;15),AND('Soil results'!G$7="modified Morgan (SAC)",'Soil results'!G75&gt;4.4)),
IF(H72*Calc!BM70*(I72/100)&lt;0.1*VLOOKUP(Calc!BI70,'Fertiliser recommendations'!$A$4:$I$63,9,FALSE),"no benefit",
IF(H72*Calc!BM70*(I72/100)&lt;0.3*VLOOKUP(Calc!BI70,'Fertiliser recommendations'!$A$4:$I$63,9,FALSE),"limited benefit",
IF(H72*Calc!BM70*(I72/100)&lt;1.1*VLOOKUP(Calc!BI70,'Fertiliser recommendations'!$A$4:$I$63,9,FALSE),"benefit",
IF(L72="3 (H)", "too high, not acceptable", "excessive")))),
IF(OR(AND('Soil results'!G$7="Olsen (ADAS)",'Soil results'!G75&lt;=15),AND('Soil results'!G$7="modified Morgan (SAC)",'Soil results'!G75&lt;=4.4)),
IF(H72*Calc!BM70*(I72/100)&lt;0.1*VLOOKUP(Calc!BI70,'Fertiliser recommendations'!$A$4:$I$63,9,FALSE),"no benefit",
IF(H72*Calc!BM70*(I72/100)&lt;0.3*VLOOKUP(Calc!BI70,'Fertiliser recommendations'!$A$4:$I$63,9,FALSE),"limited benefit",
IF(H72*Calc!BM70*(I72/100)&lt;1.1*J72,"benefit","excessive")))))))))))</f>
        <v/>
      </c>
      <c r="O72" s="91" t="str">
        <f ca="1">IF(B72="","",
IF(AND('Field information 2'!$O$5="", 'Field information 2'!$Q$5=""),
   IF('Waste results'!$S$19&lt;&gt;"data missing", Calc!BC70*'Waste results'!$S$19, "data missing"),
IF('Field information 2'!$Q$5="",
   IF(Calc!BD70=0,
     IF('Waste results'!$S$19&lt;&gt;"data missing", Calc!BC70*'Waste results'!$S$19, "data missing"),
   IF(Calc!BC70=0,
     IF('Waste results'!$S$55&lt;&gt;"data missing", Calc!BD70*'Waste results'!$S$55, "data missing"),
   IF(OR('Waste results'!$S$19&lt;&gt;"data missing", 'Waste results'!$S$55&lt;&gt;"data missing"), Calc!BC70*'Waste results'!$S$19+ Calc!BD70*'Waste results'!$S$55, "data missing"))),
IF(AND('Field information 2'!$M$5&lt;&gt;"", 'Field information 2'!$O$5&lt;&gt;"", 'Field information 2'!$Q$5&lt;&gt;""),
   IF(AND(Calc!BD70=0,Calc!BE70=0),
     IF('Waste results'!$S$19&lt;&gt;"data missing", Calc!BC70*'Waste results'!$S$19, "data missing"),
   IF(AND(Calc!BC70=0,Calc!BE70=0),
     IF('Waste results'!$S$55&lt;&gt;"data missing", Calc!BD70*'Waste results'!$S$55, "data missing"),
   IF(AND(Calc!BC70=0,Calc!BD70=0),
     IF('Waste results'!$S$91&lt;&gt;"data missing", Calc!BE70*'Waste results'!$S$91, "data missing"),
   IF(Calc!BE70=0,
     IF(OR('Waste results'!$S$19&lt;&gt;"data missing", 'Waste results'!$S$55&lt;&gt;"data missing"), Calc!BC70*'Waste results'!$S$19+ Calc!BD70*'Waste results'!$S$55, "data missing"),
   IF(Calc!BD70=0,
     IF(OR('Waste results'!$S$19&lt;&gt;"data missing", 'Waste results'!$S$91&lt;&gt;"data missing"), Calc!BC70*'Waste results'!$S$19+ Calc!BE70*'Waste results'!$S$91, "data missing"),
   IF(Calc!BC70=0,
     IF(OR('Waste results'!$S$55&lt;&gt;"data missing", 'Waste results'!$S$91&lt;&gt;"data missing"), Calc!BD70*'Waste results'!$S$55+Calc!BE70*'Waste results'!$S$91, "data missing"),
   IF(OR('Waste results'!$S$19&lt;&gt;"data missing", 'Waste results'!$S$55&lt;&gt;"data missing", 'Waste results'!$S$91&lt;&gt;"data missing"), Calc!BC70*'Waste results'!$S$19+Calc!BD70*'Waste results'!$S$55+ Calc!BE70*'Waste results'!$S$91, "data missing")))))))))))</f>
        <v/>
      </c>
      <c r="P72" s="91" t="str">
        <f ca="1">IF(B72="","",
IF(OR(ISBLANK('Soil results'!H$7),ISBLANK('Soil results'!H75)),"data missing",
IF(OR(AND('Soil results'!H$7="ammonium nitrate (ADAS)",'Soil results'!H75&gt;400),AND('Soil results'!H$7="modified Morgan (SAC)",'Soil results'!H75&gt;400)),0,
IF(OR(AND('Soil results'!H$7="ammonium nitrate (ADAS)",'Soil results'!H75&gt;=121,'Soil results'!H75&lt;=180),AND('Soil results'!H$7="modified Morgan (SAC)",'Soil results'!H75&gt;=76,'Soil results'!H75&lt;=140)),VLOOKUP(Calc!BI70,'Fertiliser recommendations'!$A$4:$Z$63,26,FALSE),
IF(OR(AND('Soil results'!H$7="ammonium nitrate (ADAS)",'Soil results'!H75&lt;61),AND('Soil results'!H$7="modified Morgan (SAC)",'Soil results'!H75&lt;40)),VLOOKUP(Calc!BI70,'Fertiliser recommendations'!$A$4:$Z$63,26,FALSE)+VLOOKUP(Calc!BI70,'Fertiliser recommendations'!$A$4:$AA$63,27,FALSE),
IF(OR(AND('Soil results'!H$7="ammonium nitrate (ADAS)",'Soil results'!H75&lt;121),AND('Soil results'!H$7="modified Morgan (SAC)",'Soil results'!H75&lt;76)),VLOOKUP(Calc!BI70,'Fertiliser recommendations'!$A$4:$Z$63,26,FALSE)+VLOOKUP(Calc!BI70,'Fertiliser recommendations'!$A$4:$AB$63,28,FALSE),
IF(OR(AND('Soil results'!H$7="ammonium nitrate (ADAS)",'Soil results'!H75&lt;241),AND('Soil results'!H$7="modified Morgan (SAC)",'Soil results'!H75&lt;201)),VLOOKUP(Calc!BI70,'Fertiliser recommendations'!$A$4:$Z$63,26,FALSE)+VLOOKUP(Calc!BI70,'Fertiliser recommendations'!$A$4:$AC$63,29,FALSE),
IF(OR(AND('Soil results'!H$7="ammonium nitrate (ADAS)",'Soil results'!H75&lt;=400),AND('Soil results'!H$7="modified Morgan (SAC)",'Soil results'!H75&lt;=400)),VLOOKUP(Calc!BI70,'Fertiliser recommendations'!$A$4:$Z$63,26,FALSE)+VLOOKUP(Calc!BI70,'Fertiliser recommendations'!$A$4:$AD$63,30,FALSE),
"??"))))))))</f>
        <v/>
      </c>
      <c r="Q72" s="91" t="str">
        <f t="shared" ref="Q72:Q106" ca="1" si="19">IF(OR(O72="",P72="",O72="data missing",P72="data missing"),"",O72-P72)</f>
        <v/>
      </c>
      <c r="R72" s="9" t="str">
        <f ca="1">IF(B72="","",
IF(OR(O72="data missing",P72="data missing"),"data missing",
IF(Calc!BF70=0,"n/a",
IF(P72=0, "no requirement",
IF(O72&lt;0.1*P72,"no benefit",
IF(O72&lt;0.3*P72,"limited benefit",
IF(O72&gt;1.25*P72,"excessive",
"benefit")))))))</f>
        <v/>
      </c>
      <c r="T72" s="91" t="str">
        <f ca="1">IF(B72="","",
IF(AND('Field information 2'!$O$5="", 'Field information 2'!$Q$5=""),
   IF('Waste results'!$S$21&lt;&gt;"data missing", Calc!BC70*'Waste results'!$S$21, "data missing"),
IF('Field information 2'!$Q$5="",
   IF(Calc!BD70=0,
     IF('Waste results'!$S$21&lt;&gt;"data missing", Calc!BC70*'Waste results'!$S$21, "data missing"),
   IF(Calc!BC70=0,
     IF('Waste results'!$S$57&lt;&gt;"data missing", Calc!BD70*'Waste results'!$S$57, "data missing"),
   IF(OR('Waste results'!$S$21&lt;&gt;"data missing", 'Waste results'!$S$57&lt;&gt;"data missing"), Calc!BC70*'Waste results'!$S$21+ Calc!BD70*'Waste results'!$S$57, "data missing"))),
IF(AND('Field information 2'!$M$5&lt;&gt;"", 'Field information 2'!$O$5&lt;&gt;"", 'Field information 2'!$Q$5&lt;&gt;""),
   IF(AND(Calc!BD70=0,Calc!BE70=0),
     IF('Waste results'!$S$21&lt;&gt;"data missing", Calc!BC70*'Waste results'!$S$21, "data missing"),
   IF(AND(Calc!BC70=0,Calc!BE70=0),
     IF('Waste results'!$S$57&lt;&gt;"data missing", Calc!BD70*'Waste results'!$S$57, "data missing"),
   IF(AND(Calc!BC70=0,Calc!BD70=0),
     IF('Waste results'!$S$93&lt;&gt;"data missing", Calc!BE70*'Waste results'!$S$93, "data missing"),
   IF(Calc!BE70=0,
     IF(OR('Waste results'!$S$21&lt;&gt;"data missing", 'Waste results'!$S$57&lt;&gt;"data missing"), Calc!BC70*'Waste results'!$S$21+ Calc!BD70*'Waste results'!$S$57, "data missing"),
   IF(Calc!BD70=0,
     IF(OR('Waste results'!$S$21&lt;&gt;"data missing", 'Waste results'!$S$93&lt;&gt;"data missing"), Calc!BC70*'Waste results'!$S$21+ Calc!BE70*'Waste results'!$S$93, "data missing"),
   IF(Calc!BC70=0,
     IF(OR('Waste results'!$S$57&lt;&gt;"data missing", 'Waste results'!$S$93&lt;&gt;"data missing"), Calc!BD70*'Waste results'!$S$57+Calc!BE70*'Waste results'!$S$93, "data missing"),
   IF(OR('Waste results'!$S$21&lt;&gt;"data missing", 'Waste results'!$S$57&lt;&gt;"data missing", 'Waste results'!$S$93&lt;&gt;"data missing"), Calc!BC70*'Waste results'!$S$21+Calc!BD70*'Waste results'!$S$57+ Calc!BE70*'Waste results'!$S$93, "data missing")))))))))))</f>
        <v/>
      </c>
      <c r="U72" s="7" t="str">
        <f ca="1">IF(B72="","",
IF(OR(ISBLANK('Soil results'!I$7),ISBLANK('Soil results'!I75)),"data missing",
IF(OR(AND('Soil results'!I$7="ammonium nitrate (ADAS)",'Soil results'!I75&gt;51),AND('Soil results'!I$7="modified Morgan (SAC)",'Soil results'!I75&gt;61)),0,
IF(OR(AND('Soil results'!I$7="ammonium nitrate (ADAS)",'Soil results'!I75&lt;25),AND('Soil results'!I$7="modified Morgan (SAC)",'Soil results'!I75&lt;19)),VLOOKUP(Calc!BI70,'Fertiliser recommendations'!$A$4:$AH$63,34,FALSE),
IF(OR(AND('Soil results'!I$7="ammonium nitrate (ADAS)",'Soil results'!I75&lt;=51),AND('Soil results'!I$7="modified Morgan (SAC)",'Soil results'!I75&lt;=61)),VLOOKUP(Calc!BI70,'Fertiliser recommendations'!$A$4:$AI$63,35,FALSE),
"")))))</f>
        <v/>
      </c>
      <c r="V72" s="91" t="str">
        <f t="shared" ref="V72:V106" ca="1" si="20">IF(OR(T72="",U72="",T72="data missing",U72="data missing"),"",T72-U72)</f>
        <v/>
      </c>
      <c r="W72" s="9" t="str">
        <f ca="1">IF(B72="","",
IF(OR(T72="data missing",U72="data missing"),"data missing",
IF(Calc!BF70=0,"n/a",
IF(U72=0,"no requirement",
IF(T72&lt;0.1*U72,"no benefit",
IF(T72&lt;0.3*U72,"limited benefit",
IF(OR(T72&gt;1.5*U72,AND(Calc!BJ70="g",T72&gt;100)),"excessive",
"benefit")))))))</f>
        <v/>
      </c>
      <c r="Y72" s="91" t="str">
        <f ca="1">IF(B72="","",
IF(AND('Field information 2'!$O$5="", 'Field information 2'!$Q$5=""),
   IF('Waste results'!$P$23&lt;&gt;"", Calc!BC70*'Waste results'!$P$23, "no data"),
IF('Field information 2'!$Q$5="",
   IF(Calc!BD70=0,
     IF('Waste results'!$P$23&lt;&gt;"", Calc!BC70*'Waste results'!$P$23, "no data"),
   IF(Calc!BC70=0,
     IF('Waste results'!$P$59&lt;&gt;"", Calc!BD70*'Waste results'!$P$59, "no data"),
   IF(OR('Waste results'!$P$23&lt;&gt;"", 'Waste results'!$P$59&lt;&gt;""), Calc!BC70*'Waste results'!$P$23+ Calc!BD70*'Waste results'!$P$59, "no data"))),
IF(AND('Field information 2'!$M$5&lt;&gt;"", 'Field information 2'!$O$5&lt;&gt;"", 'Field information 2'!$Q$5&lt;&gt;""),
   IF(AND(Calc!BD70=0,Calc!BE70=0),
     IF('Waste results'!$P$23&lt;&gt;"", Calc!BC70*'Waste results'!$P$23, "no data"),
   IF(AND(Calc!BC70=0,Calc!BE70=0),
     IF('Waste results'!$P$59&lt;&gt;"", Calc!BD70*'Waste results'!$P$59, "no data"),
   IF(AND(Calc!BC70=0,Calc!BD70=0),
     IF('Waste results'!$P$95&lt;&gt;"", Calc!BE70*'Waste results'!$P$95, "no data"),
   IF(Calc!BE70=0,
     IF(OR('Waste results'!$P$23&lt;&gt;"", 'Waste results'!$P$59&lt;&gt;""), Calc!BC70*'Waste results'!$P$23+ Calc!BD70*'Waste results'!$P$59, "no data"),
   IF(Calc!BD70=0,
     IF(OR('Waste results'!$P$23&lt;&gt;"", 'Waste results'!$P$95&lt;&gt;""), Calc!BC70*'Waste results'!$P$23+ Calc!BE70*'Waste results'!$P$95, "no data"),
   IF(Calc!BC70=0,
     IF(OR('Waste results'!$P$59&lt;&gt;"", 'Waste results'!$P$95&lt;&gt;""), Calc!BD70*'Waste results'!$P$59+Calc!BE70*'Waste results'!$P$95, "no data"),
   IF(OR('Waste results'!$P$23&lt;&gt;"", 'Waste results'!$P$59&lt;&gt;"", 'Waste results'!$P$95&lt;&gt;""), Calc!BC70*'Waste results'!$P$23+Calc!BD70*'Waste results'!$P$59+ Calc!BE70*'Waste results'!$P$95, "no data")))))))))))</f>
        <v/>
      </c>
      <c r="Z72" s="7" t="str">
        <f ca="1">IF(OR(ISBLANK('Soil results'!I$7),ISBLANK('Soil results'!I75),'Soil results'!B75=""),"",
VLOOKUP(Calc!BI70,'Fertiliser recommendations'!$A$4:$AM$63,39,FALSE))</f>
        <v/>
      </c>
      <c r="AA72" s="91" t="str">
        <f t="shared" ref="AA72:AA106" ca="1" si="21">IF(OR(Y72="no data",Z72=""),"",Y72-Z72)</f>
        <v/>
      </c>
      <c r="AB72" s="9" t="str">
        <f t="shared" ref="AB72:AB106" ca="1" si="22">IF(OR(B72="",Y72="no data",Z72=""),"",
IF(T72=0,"n/a",
IF(Z72=0,"no requirement",
IF(Y72&lt;0.1*Z72,"no benefit",
IF(Y72&lt;0.3*Z72,"limited benefit",
IF(Y72&gt;1.5*Z72,"excessive",
"benefit"))))))</f>
        <v/>
      </c>
      <c r="AD72" s="48" t="str">
        <f>IF(ISBLANK('Soil results'!F75),"",'Soil results'!F75)</f>
        <v/>
      </c>
      <c r="AE72" s="49" t="str">
        <f ca="1">IF(B72="","",
IF(AND(Calc!BJ70="g", VLOOKUP(LEFT($B72,LEN($B72)-2),'Field information 2'!$B$12:$P$111,9,FALSE)&lt;&gt;"yes"),
 IF(Calc!BG70="10-25% OM", 5.9, IF(Calc!BG70="&gt;25% OM", 5.5, 6.2)),
IF(OR(Calc!BJ70="a", VLOOKUP(LEFT($B72,LEN($B72)-2),'Field information 2'!$B$12:$P$111,9,FALSE)="yes"),
 IF(Calc!BG70="10-25% OM", 6.4, IF(Calc!BG70="&gt;25% OM", 6, 6.7)), "")))</f>
        <v/>
      </c>
      <c r="AF72" s="91" t="str">
        <f ca="1">IF(B72="","",
IF('Waste results'!$Q$33="","no (significant) liming properties",
IF('Waste results'!Q$33&gt;100,"no (significant) liming properties",
IF(AD72="","",
IF(AD72&gt;=AE72,0,ROUNDDOWN((AE72-AD72)*Calc!BK70*'Waste results'!$Q$33+0.2,0))))))</f>
        <v/>
      </c>
      <c r="AG72" s="9" t="str">
        <f ca="1">IF(B72="","",
IF(T72=0,"n/a",
IF(AD72="","data missing",
IF(AND(AD72&lt;5,AF72="no (significant) liming properties"),"no waste application - pH too low",
IF(AND(AD72&gt;5.1,AF72="no (significant) liming properties",Calc!BH70&gt;25, LEFT(Calc!BI70,4)="graz"),"ok",
IF(AND(AD72&lt;=5.2,AF72="no (significant) liming properties"),"liming highly recommended",
IF(AF72=0,"no waste application - liming not required",
IF(AF72&lt;Calc!BC70,"application rate too high - exceeds liming requirement",
"ok"))))))))</f>
        <v/>
      </c>
      <c r="AI72" s="91" t="str">
        <f ca="1">IF(B72="","",
IF(AND('Field information 2'!$O$5="", 'Field information 2'!$Q$5=""),
   IF('Waste results'!$P$10&lt;&gt;"data missing", Calc!BC70*'Waste results'!$P$10, "data missing"),
IF('Field information 2'!$Q$5="",
   IF(Calc!BD70=0,
     IF('Waste results'!$P$10&lt;&gt;"data missing", Calc!BC70*'Waste results'!$P$10, "data missing"),
   IF(Calc!BC70=0,
     IF('Waste results'!$P$45&lt;&gt;"data missing", Calc!BD70*'Waste results'!$P$45, "data missing"),
   IF(OR('Waste results'!$P$10&lt;&gt;"data missing", 'Waste results'!$P$45&lt;&gt;"data missing"), Calc!BC70*'Waste results'!$P$10+ Calc!BD70*'Waste results'!$P$45, "data missing"))),
IF(AND('Field information 2'!$M$5&lt;&gt;"", 'Field information 2'!$O$5&lt;&gt;"", 'Field information 2'!$Q$5&lt;&gt;""),
   IF(AND(Calc!BD70=0,Calc!BE70=0),
     IF('Waste results'!$P$10&lt;&gt;"data missing", Calc!BC70*'Waste results'!$P$10, "data missing"),
   IF(AND(Calc!BC70=0,Calc!BE70=0),
     IF('Waste results'!$P$45&lt;&gt;"data missing", Calc!BD70*'Waste results'!$P$45, "data missing"),
   IF(AND(Calc!BC70=0,Calc!BD70=0),
     IF('Waste results'!$P$82&lt;&gt;"data missing", Calc!BE70*'Waste results'!$P$82, "data missing"),
   IF(Calc!BE70=0,
     IF(OR('Waste results'!$P$10&lt;&gt;"data missing", 'Waste results'!$P$45&lt;&gt;"data missing"), Calc!BC70*'Waste results'!$P$10+ Calc!BD70*'Waste results'!$P$45, "data missing"),
   IF(Calc!BD70=0,
     IF(OR('Waste results'!$P$10&lt;&gt;"data missing", 'Waste results'!$P$82&lt;&gt;"data missing"), Calc!BC70*'Waste results'!$P$10+ Calc!BE70*'Waste results'!$P$82, "data missing"),
   IF(Calc!BC70=0,
     IF(OR('Waste results'!$P$45&lt;&gt;"data missing", 'Waste results'!$P$82&lt;&gt;"data missing"), Calc!BD70*'Waste results'!$P$45+Calc!BE70*'Waste results'!$P$82, "data missing"),
   IF(OR('Waste results'!$P$10&lt;&gt;"data missing", 'Waste results'!$P$45&lt;&gt;"data missing", 'Waste results'!$P$82&lt;&gt;"data missing"), Calc!BC70*'Waste results'!$P$10+Calc!BD70*'Waste results'!$P$45+ Calc!BE70*'Waste results'!$P$82, "data missing")))))))))))</f>
        <v/>
      </c>
      <c r="AJ72" s="237" t="str">
        <f ca="1">IF(B72="","",
IF(AI72="data missing","data missing",
IF(Calc!BF70=0,"n/a",
IF(AND(Calc!BH70&gt;=8,AI72&lt;500),"no benefit",
IF(OR(AND(Calc!BH70&lt;=4,AI72&gt;=500),AND(Calc!BH70&lt;8,AI72&gt;5000)),"benefit",
"limited benefit")))))</f>
        <v/>
      </c>
      <c r="AL72" s="238" t="str">
        <f ca="1">IF(B72="","",
IF(AND('Field information 2'!$O$5="", 'Field information 2'!$Q$5=""),
   IF('Waste results'!$S$25&lt;&gt;"data missing", Calc!BC70*'Waste results'!$S$25, "data missing"),
IF('Field information 2'!$Q$5="",
   IF(Calc!BD70=0,
     IF('Waste results'!$S$25&lt;&gt;"data missing", Calc!BC70*'Waste results'!$S$25, "data missing"),
   IF(Calc!BC70=0,
     IF('Waste results'!$S$61&lt;&gt;"data missing", Calc!BD70*'Waste results'!$S$61, "data missing"),
   IF(OR('Waste results'!$S$25&lt;&gt;"data missing", 'Waste results'!$S$61&lt;&gt;"data missing"), Calc!BC70*'Waste results'!$S$25+ Calc!BD70*'Waste results'!$S$61, "data missing"))),
IF(AND('Field information 2'!$M$5&lt;&gt;"", 'Field information 2'!$O$5&lt;&gt;"", 'Field information 2'!$Q$5&lt;&gt;""),
   IF(AND(Calc!BD70=0,Calc!BE70=0),
     IF('Waste results'!$S$25&lt;&gt;"data missing", Calc!BC70*'Waste results'!$S$25, "data missing"),
   IF(AND(Calc!BC70=0,Calc!BE70=0),
     IF('Waste results'!$S$61&lt;&gt;"data missing", Calc!BD70*'Waste results'!$S$61, "data missing"),
   IF(AND(Calc!BC70=0,Calc!BD70=0),
     IF('Waste results'!$S$97&lt;&gt;"data missing", Calc!BE70*'Waste results'!$S$97, "data missing"),
   IF(Calc!BE70=0,
     IF(OR('Waste results'!$S$25&lt;&gt;"data missing", 'Waste results'!$S$61&lt;&gt;"data missing"), Calc!BC70*'Waste results'!$S$25+ Calc!BD70*'Waste results'!$S$61, "data missing"),
   IF(Calc!BD70=0,
     IF(OR('Waste results'!$S$25&lt;&gt;"data missing", 'Waste results'!$S$97&lt;&gt;"data missing"), Calc!BC70*'Waste results'!$S$25+ Calc!BE70*'Waste results'!$S$97, "data missing"),
   IF(Calc!BC70=0,
     IF(OR('Waste results'!$S$61&lt;&gt;"data missing", 'Waste results'!$S$97&lt;&gt;"data missing"), Calc!BD70*'Waste results'!$S$61+Calc!BE70*'Waste results'!$S$97, "data missing"),
   IF(OR('Waste results'!$S$25&lt;&gt;"data missing", 'Waste results'!$S$61&lt;&gt;"data missing", 'Waste results'!$S$97&lt;&gt;"data missing"), Calc!BC70*'Waste results'!$S$25+Calc!BD70*'Waste results'!$S$61+ Calc!BE70*'Waste results'!$S$97, "data missing")))))))))))</f>
        <v/>
      </c>
      <c r="AM72" s="239" t="str">
        <f ca="1">IF($B72="","",
IF(ISBLANK('Soil results'!K75),"data missing",'Soil results'!K75))</f>
        <v/>
      </c>
      <c r="AN72" s="239" t="str">
        <f t="shared" ref="AN72:AN106" ca="1" si="23">IF(OR($B72="",AM72="data missing"),"",AL72*1000/3000+AM72)</f>
        <v/>
      </c>
      <c r="AO72" s="9" t="str">
        <f t="shared" ref="AO72:AO106" ca="1" si="24">IF(B72="","",
IF(AL72=0,"n/a",
IF(OR(AL72="data missing",AM72="data missing"),"data missing",
IF(AL72&gt;0.15,"application rate too high - permissible rate exceeds limit",
IF(AM72&gt;3,"no application - soil conc. already above limit",
IF(AN72&gt;3,"application rate too high - soil conc. will exceed limit",
IF(AM72&gt;3*0.9,"soil conc. is at or above 90% of the limit",
IF(10*AL72*1000/3000+AM72&gt;3,"soil limit likely to be exceeded in 10yrs",
IF(50*AL72*1000/3000+AM72&gt;3,"soil limit likely to be exceeded in 50yrs","ok")))))))))</f>
        <v/>
      </c>
      <c r="AQ72" s="240" t="str">
        <f ca="1">IF(B72="","",
IF(AND('Field information 2'!$O$5="", 'Field information 2'!$Q$5=""),
   IF('Waste results'!$S$26&lt;&gt;"data missing", Calc!BC70*'Waste results'!$S$26, "data missing"),
IF('Field information 2'!$Q$5="",
   IF(Calc!BD70=0,
     IF('Waste results'!$S$26&lt;&gt;"data missing", Calc!BC70*'Waste results'!$S$26, "data missing"),
   IF(Calc!BC70=0,
     IF('Waste results'!$S$62&lt;&gt;"data missing", Calc!BD70*'Waste results'!$S$62, "data missing"),
   IF(OR('Waste results'!$S$26&lt;&gt;"data missing", 'Waste results'!$S$62&lt;&gt;"data missing"), Calc!BC70*'Waste results'!$S$26+ Calc!BD70*'Waste results'!$S$62, "data missing"))),
IF(AND('Field information 2'!$M$5&lt;&gt;"", 'Field information 2'!$O$5&lt;&gt;"", 'Field information 2'!$Q$5&lt;&gt;""),
   IF(AND(Calc!BD70=0,Calc!BE70=0),
     IF('Waste results'!$S$26&lt;&gt;"data missing", Calc!BC70*'Waste results'!$S$26, "data missing"),
   IF(AND(Calc!BC70=0,Calc!BE70=0),
     IF('Waste results'!$S$62&lt;&gt;"data missing", Calc!BD70*'Waste results'!$S$62, "data missing"),
   IF(AND(Calc!BC70=0,Calc!BD70=0),
     IF('Waste results'!$S$98&lt;&gt;"data missing", Calc!BE70*'Waste results'!$S$98, "data missing"),
   IF(Calc!BE70=0,
     IF(OR('Waste results'!$S$26&lt;&gt;"data missing", 'Waste results'!$S$62&lt;&gt;"data missing"), Calc!BC70*'Waste results'!$S$26+ Calc!BD70*'Waste results'!$S$62, "data missing"),
   IF(Calc!BD70=0,
     IF(OR('Waste results'!$S$26&lt;&gt;"data missing", 'Waste results'!$S$98&lt;&gt;"data missing"), Calc!BC70*'Waste results'!$S$26+ Calc!BE70*'Waste results'!$S$98, "data missing"),
   IF(Calc!BC70=0,
     IF(OR('Waste results'!$S$62&lt;&gt;"data missing", 'Waste results'!$S$98&lt;&gt;"data missing"), Calc!BD70*'Waste results'!$S$62+Calc!BE70*'Waste results'!$S$98, "data missing"),
   IF(OR('Waste results'!$S$26&lt;&gt;"data missing", 'Waste results'!$S$62&lt;&gt;"data missing", 'Waste results'!$S$98&lt;&gt;"data missing"), Calc!BC70*'Waste results'!$S$26+Calc!BD70*'Waste results'!$S$62+ Calc!BE70*'Waste results'!$S$98, "data missing")))))))))))</f>
        <v/>
      </c>
      <c r="AR72" s="241" t="str">
        <f ca="1">IF($B72="","",
IF(ISBLANK('Soil results'!L75),"data missing",'Soil results'!L75))</f>
        <v/>
      </c>
      <c r="AS72" s="241" t="str">
        <f t="shared" ref="AS72:AS106" ca="1" si="25">IF(OR($B72="",AR72="data missing"),"",AQ72*1000/3000+AR72)</f>
        <v/>
      </c>
      <c r="AT72" s="66" t="str">
        <f t="shared" ref="AT72:AT106" ca="1" si="26">IF(B72="","",
IF(AQ72=0,"n/a",
IF(OR(AQ72="data missing",AR72="data missing"),"data missing",
IF(AQ72&gt;15,"application rate too high - permissible rate exceeds limit",
IF(AR72&gt;400,"no application - soil conc. already above limit",
IF(AS72&gt;400,"application rate too high - soil conc. will exceed limit",
IF(AR72&gt;400*0.9,"soil conc. is at or above 90% of the limit",
IF(10*AQ72*1000/3000+AR72&gt;400,"soil limit likely to be exceeded in 10yrs",
IF(50*AQ72*1000/3000+AR72&gt;400,"soil limit likely to be exceeded in 50yrs","ok")))))))))</f>
        <v/>
      </c>
      <c r="AV72" s="238" t="str">
        <f ca="1">IF(B72="","",
IF(AND('Field information 2'!$O$5="", 'Field information 2'!$Q$5=""),
   IF('Waste results'!$S$27&lt;&gt;"data missing", Calc!BC70*'Waste results'!$S$27, "data missing"),
IF('Field information 2'!$Q$5="",
   IF(Calc!BD70=0,
     IF('Waste results'!$S$27&lt;&gt;"data missing", Calc!BC70*'Waste results'!$S$27, "data missing"),
   IF(Calc!BC70=0,
     IF('Waste results'!$S$63&lt;&gt;"data missing", Calc!BD70*'Waste results'!$S$63, "data missing"),
   IF(OR('Waste results'!$S$27&lt;&gt;"data missing", 'Waste results'!$S$63&lt;&gt;"data missing"), Calc!BC70*'Waste results'!$S$27+ Calc!BD70*'Waste results'!$S$63, "data missing"))),
IF(AND('Field information 2'!$M$5&lt;&gt;"", 'Field information 2'!$O$5&lt;&gt;"", 'Field information 2'!$Q$5&lt;&gt;""),
   IF(AND(Calc!BD70=0,Calc!BE70=0),
     IF('Waste results'!$S$27&lt;&gt;"data missing", Calc!BC70*'Waste results'!$S$27, "data missing"),
   IF(AND(Calc!BC70=0,Calc!BE70=0),
     IF('Waste results'!$S$63&lt;&gt;"data missing", Calc!BD70*'Waste results'!$S$63, "data missing"),
   IF(AND(Calc!BC70=0,Calc!BD70=0),
     IF('Waste results'!$S$99&lt;&gt;"data missing", Calc!BE70*'Waste results'!$S$99, "data missing"),
   IF(Calc!BE70=0,
     IF(OR('Waste results'!$S$27&lt;&gt;"data missing", 'Waste results'!$S$63&lt;&gt;"data missing"), Calc!BC70*'Waste results'!$S$27+ Calc!BD70*'Waste results'!$S$63, "data missing"),
   IF(Calc!BD70=0,
     IF(OR('Waste results'!$S$27&lt;&gt;"data missing", 'Waste results'!$S$99&lt;&gt;"data missing"), Calc!BC70*'Waste results'!$S$27+ Calc!BE70*'Waste results'!$S$99, "data missing"),
   IF(Calc!BC70=0,
     IF(OR('Waste results'!$S$63&lt;&gt;"data missing", 'Waste results'!$S$99&lt;&gt;"data missing"), Calc!BD70*'Waste results'!$S$63+Calc!BE70*'Waste results'!$S$99, "data missing"),
   IF(OR('Waste results'!$S$27&lt;&gt;"data missing", 'Waste results'!$S$63&lt;&gt;"data missing", 'Waste results'!$S$99&lt;&gt;"data missing"), Calc!BC70*'Waste results'!$S$27+Calc!BD70*'Waste results'!$S$63+ Calc!BE70*'Waste results'!$S$99, "data missing")))))))))))</f>
        <v/>
      </c>
      <c r="AW72" s="239" t="str">
        <f ca="1">IF($B72="","",
IF(ISBLANK('Soil results'!M75),"data missing",'Soil results'!M75))</f>
        <v/>
      </c>
      <c r="AX72" s="239" t="str">
        <f t="shared" ref="AX72:AX106" ca="1" si="27">IF(OR($B72="",AW72="data missing"),"",AV72*1000/3000+AW72)</f>
        <v/>
      </c>
      <c r="AY72" s="9" t="str">
        <f ca="1">IF(B72="","",
IF(AV72=0,"n/a",
IF(OR(AV72="data missing",AW72="data missing"),"data missing",
IF(AV72&gt;7.5,"application rate too high - permissible rate exceeds limit",
IF('Soil results'!$F75&lt;=5.5,
  IF(AW72&gt;80,"no application - soil conc. already above limit",
  IF(AX72&gt;80,"application rate too high - soil conc. will exceed limit",
  IF(AW72&gt;80*0.9,"soil conc. is at or above 90% of the limit",
  IF(10*AV72*1000/3000+AW72&gt;80,"soil limit likely to be exceeded in 10yrs",
  IF(50*AV72*1000/3000+AW72&gt;80,"soil limit likely to be exceeded in 50yrs","ok"))))),
IF('Soil results'!$F75&lt;=6,
  IF(AW72&gt;100,"no application - soil conc. already above limit",
  IF(AX72&gt;100,"application rate too high - soil conc. will exceed limit",
  IF(AW72&gt;100*0.9,"soil conc. is at or above 90% of the limit",
  IF(10*AV72*1000/3000+AW72&gt;100,"soil limit likely to be exceeded in 10yrs",
  IF(50*AV72*1000/3000+AW72&gt;100,"soil limit likely to be exceeded in 50yrs","ok"))))),
IF('Soil results'!$F75&lt;=7,
  IF(AW72&gt;135,"no application - soil conc. already above limit",
  IF(AX72&gt;135,"application rate too high - soil conc. will exceed limit",
  IF(AW72&gt;135*0.9,"soil conc. is at or above 90% of the limit",
  IF(10*AV72*1000/3000+AW72&gt;135,"soil limit likely to be exceeded in 10yrs",
  IF(50*AV72*1000/3000+AW72&gt;135,"soil limit likely to be exceeded in 50yrs","ok"))))),
IF('Soil results'!$F75&gt;7,
  IF(AW72&gt;200,"no application - soil conc. already above limit",
  IF(AX72&gt;200,"application too high - soil conc. will exceed limit",
  IF(AW72&gt;200*0.9,"soil conc. is at or above 90% of the limit",
  IF(10*AV72*1000/3000+AW72&gt;200,"soil limit likely to be exceeded in 10yrs",
  IF(50*AV72*1000/3000+AW72&gt;200,"soil limit likely to be exceeded in 50yrs","ok")))))
))))))))</f>
        <v/>
      </c>
      <c r="BA72" s="238" t="str">
        <f ca="1">IF(B72="","",
IF(AND('Field information 2'!$O$5="", 'Field information 2'!$Q$5=""),
   IF('Waste results'!$S$28&lt;&gt;"data missing", Calc!BC70*'Waste results'!$S$28, "data missing"),
IF('Field information 2'!$Q$5="",
   IF(Calc!BD70=0,
     IF('Waste results'!$S$28&lt;&gt;"data missing", Calc!BC70*'Waste results'!$S$28, "data missing"),
   IF(Calc!BC70=0,
     IF('Waste results'!$S$64&lt;&gt;"data missing", Calc!BD70*'Waste results'!$S$64, "data missing"),
   IF(OR('Waste results'!$S$28&lt;&gt;"data missing", 'Waste results'!$S$64&lt;&gt;"data missing"), Calc!BC70*'Waste results'!$S$28+ Calc!BD70*'Waste results'!$S$64, "data missing"))),
IF(AND('Field information 2'!$M$5&lt;&gt;"", 'Field information 2'!$O$5&lt;&gt;"", 'Field information 2'!$Q$5&lt;&gt;""),
   IF(AND(Calc!BD70=0,Calc!BE70=0),
     IF('Waste results'!$S$28&lt;&gt;"data missing", Calc!BC70*'Waste results'!$S$28, "data missing"),
   IF(AND(Calc!BC70=0,Calc!BE70=0),
     IF('Waste results'!$S$64&lt;&gt;"data missing", Calc!BD70*'Waste results'!$S$64, "data missing"),
   IF(AND(Calc!BC70=0,Calc!BD70=0),
     IF('Waste results'!$S$100&lt;&gt;"data missing", Calc!BE70*'Waste results'!$S$100, "data missing"),
   IF(Calc!BE70=0,
     IF(OR('Waste results'!$S$28&lt;&gt;"data missing", 'Waste results'!$S$64&lt;&gt;"data missing"), Calc!BC70*'Waste results'!$S$28+ Calc!BD70*'Waste results'!$S$64, "data missing"),
   IF(Calc!BD70=0,
     IF(OR('Waste results'!$S$28&lt;&gt;"data missing", 'Waste results'!$S$100&lt;&gt;"data missing"), Calc!BC70*'Waste results'!$S$28+ Calc!BE70*'Waste results'!$S$100, "data missing"),
   IF(Calc!BC70=0,
     IF(OR('Waste results'!$S$64&lt;&gt;"data missing", 'Waste results'!$S$100&lt;&gt;"data missing"), Calc!BD70*'Waste results'!$S$64+Calc!BE70*'Waste results'!$S$100, "data missing"),
   IF(OR('Waste results'!$S$28&lt;&gt;"data missing", 'Waste results'!$S$64&lt;&gt;"data missing", 'Waste results'!$S$100&lt;&gt;"data missing"), Calc!BC70*'Waste results'!$S$28+Calc!BD70*'Waste results'!$S$64+ Calc!BE70*'Waste results'!$S$100, "data missing")))))))))))</f>
        <v/>
      </c>
      <c r="BB72" s="239" t="str">
        <f ca="1">IF($B72="","",
IF(ISBLANK('Soil results'!N75),"data missing",'Soil results'!N75))</f>
        <v/>
      </c>
      <c r="BC72" s="239" t="str">
        <f t="shared" ref="BC72:BC106" ca="1" si="28">IF(OR($B72="",BB72="data missing"),"",BA72*1000/3000+BB72)</f>
        <v/>
      </c>
      <c r="BD72" s="9" t="str">
        <f t="shared" ref="BD72:BD106" ca="1" si="29">IF(B72="","",
IF(BA72=0,"n/a",
IF(OR(BA72="data missing",BB72="data missing"),"data missing",
IF(BA72&gt;0.1,"application rate too high - permissible rate exceeds limit",
IF(BB72&gt;1,"no application - soil conc. already above limit",
IF(BC72&gt;1,"application rate too high - soil conc. will exceed limit",
IF(BB72&gt;1*0.9,"soil conc. is at or above 90% of the limit",
IF(10*BA72*1000/3000+BB72&gt;1,"soil limit likely to be exceeded in 10yrs",
IF(50*BA72*1000/3000+BB72&gt;1,"soil limit likely to be exceeded in 50yrs","ok")))))))))</f>
        <v/>
      </c>
      <c r="BF72" s="238" t="str">
        <f ca="1">IF(B72="","",
IF(AND('Field information 2'!$O$5="", 'Field information 2'!$Q$5=""),
   IF('Waste results'!$S$29&lt;&gt;"data missing", Calc!BC70*'Waste results'!$S$29, "data missing"),
IF('Field information 2'!$Q$5="",
   IF(Calc!BD70=0,
     IF('Waste results'!$S$29&lt;&gt;"data missing", Calc!BC70*'Waste results'!$S$29, "data missing"),
   IF(Calc!BC70=0,
     IF('Waste results'!$S$65&lt;&gt;"data missing", Calc!BD70*'Waste results'!$S$65, "data missing"),
   IF(OR('Waste results'!$S$29&lt;&gt;"data missing", 'Waste results'!$S$65&lt;&gt;"data missing"), Calc!BC70*'Waste results'!$S$29+ Calc!BD70*'Waste results'!$S$65, "data missing"))),
IF(AND('Field information 2'!$M$5&lt;&gt;"", 'Field information 2'!$O$5&lt;&gt;"", 'Field information 2'!$Q$5&lt;&gt;""),
   IF(AND(Calc!BD70=0,Calc!BE70=0),
     IF('Waste results'!$S$29&lt;&gt;"data missing", Calc!BC70*'Waste results'!$S$29, "data missing"),
   IF(AND(Calc!BC70=0,Calc!BE70=0),
     IF('Waste results'!$S$65&lt;&gt;"data missing", Calc!BD70*'Waste results'!$S$65, "data missing"),
   IF(AND(Calc!BC70=0,Calc!BD70=0),
     IF('Waste results'!$S$101&lt;&gt;"data missing", Calc!BE70*'Waste results'!$S$101, "data missing"),
   IF(Calc!BE70=0,
     IF(OR('Waste results'!$S$29&lt;&gt;"data missing", 'Waste results'!$S$65&lt;&gt;"data missing"), Calc!BC70*'Waste results'!$S$29+ Calc!BD70*'Waste results'!$S$65, "data missing"),
   IF(Calc!BD70=0,
     IF(OR('Waste results'!$S$29&lt;&gt;"data missing", 'Waste results'!$S$101&lt;&gt;"data missing"), Calc!BC70*'Waste results'!$S$29+ Calc!BE70*'Waste results'!$S$101, "data missing"),
   IF(Calc!BC70=0,
     IF(OR('Waste results'!$S$65&lt;&gt;"data missing", 'Waste results'!$S$101&lt;&gt;"data missing"), Calc!BD70*'Waste results'!$S$65+Calc!BE70*'Waste results'!$S$101, "data missing"),
   IF(OR('Waste results'!$S$29&lt;&gt;"data missing", 'Waste results'!$S$65&lt;&gt;"data missing", 'Waste results'!$S$101&lt;&gt;"data missing"), Calc!BC70*'Waste results'!$S$29+Calc!BD70*'Waste results'!$S$65+ Calc!BE70*'Waste results'!$S$101, "data missing")))))))))))</f>
        <v/>
      </c>
      <c r="BG72" s="239" t="str">
        <f ca="1">IF($B72="","",
IF(ISBLANK('Soil results'!O75),"data missing",'Soil results'!O75))</f>
        <v/>
      </c>
      <c r="BH72" s="239" t="str">
        <f t="shared" ref="BH72:BH106" ca="1" si="30">IF(OR($B72="",BG72="data missing"),"",BF72*1000/3000+BG72)</f>
        <v/>
      </c>
      <c r="BI72" s="9" t="str">
        <f ca="1">IF(B72="","",
IF(BF72=0,"n/a",
IF(OR(BF72="data missing",BG72="data missing"),"data missing",
IF(BF72&gt;3,"application rate too high - permissible rate exceeds limit",
IF('Soil results'!F75&lt;=5.5,
  IF(BG72&gt;50,"no application - soil conc. already above limit",
  IF(BH72&gt;50,"application rate too high - soil conc. will exceed limit",
  IF(BG72&gt;50*0.9,"soil conc. is at or above 90% of the limit",
  IF(10*BF72*1000/3000+BG72&gt;50,"soil limit likely to be exceeded in 10yrs",
  IF(50*BF72*1000/3000+BG72&gt;50,"soil limit likely to be exceeded in 50yrs","ok"))))),
IF('Soil results'!F75&lt;=6,
  IF(BG72&gt;60,"no application - soil conc. already above limit",
  IF(BH72&gt;60,"application rate too high - soil conc. will exceed limit",
  IF(BG72&gt;60*0.9,"soil conc. is at or above 90% of the limit",
  IF(10*BF72*1000/3000+BG72&gt;60,"soil limit likely to be exceeded in 10yrs",
  IF(50*BF72*1000/3000+BG72&gt;60,"soil limit likely to be exceeded in 50yrs","ok"))))),
IF('Soil results'!F75&lt;=7,
  IF(BG72&gt;75,"no application - soil conc. already above limit",
  IF(BH72&gt;75,"application rate too high - soil conc. will exceed limit",
  IF(BG72&gt;75*0.9,"soil conc. is at or above 90% of the limit",
  IF(10*BF72*1000/3000+BG72&gt;75,"soil limit likely to be exceeded in 10yrs",
  IF(50*BF72*1000/3000+BG72&gt;75,"soil limit likely to be exceeded in 50yrs","ok"))))),
IF('Soil results'!F75&gt;7,
  IF(BG72&gt;100,"no application - soil conc. already above limit",
  IF(BH72&gt;100,"application rate too high - soil conc. will exceed limit",
  IF(BG72&gt;100*0.9,"soil conc. is at or above 90% of the limit",
  IF(10*BF72*1000/3000+BG72&gt;100,"soil limit likely to be exceeded in 10yrs",
  IF(50*BF72*1000/3000+BG72&gt;100,"soil limit likely to beexceeded in 50yrs","ok")))))
))))))))</f>
        <v/>
      </c>
      <c r="BK72" s="240" t="str">
        <f ca="1">IF(B72="","",
IF(AND('Field information 2'!$O$5="", 'Field information 2'!$Q$5=""),
   IF('Waste results'!$S$30&lt;&gt;"data missing", Calc!BC70*'Waste results'!$S$30, "data missing"),
IF('Field information 2'!$Q$5="",
   IF(Calc!BD70=0,
     IF('Waste results'!$S$30&lt;&gt;"data missing", Calc!BC70*'Waste results'!$S$30, "data missing"),
   IF(Calc!BC70=0,
     IF('Waste results'!$S$66&lt;&gt;"data missing", Calc!BD70*'Waste results'!$S$66, "data missing"),
   IF(OR('Waste results'!$S$30&lt;&gt;"data missing", 'Waste results'!$S$66&lt;&gt;"data missing"), Calc!BC70*'Waste results'!$S$30+ Calc!BD70*'Waste results'!$S$66, "data missing"))),
IF(AND('Field information 2'!$M$5&lt;&gt;"", 'Field information 2'!$O$5&lt;&gt;"", 'Field information 2'!$Q$5&lt;&gt;""),
   IF(AND(Calc!BD70=0,Calc!BE70=0),
     IF('Waste results'!$S$30&lt;&gt;"data missing", Calc!BC70*'Waste results'!$S$30, "data missing"),
   IF(AND(Calc!BC70=0,Calc!BE70=0),
     IF('Waste results'!$S$66&lt;&gt;"data missing", Calc!BD70*'Waste results'!$S$66, "data missing"),
   IF(AND(Calc!BC70=0,Calc!BD70=0),
     IF('Waste results'!$S$102&lt;&gt;"data missing", Calc!BE70*'Waste results'!$S$102, "data missing"),
   IF(Calc!BE70=0,
     IF(OR('Waste results'!$S$30&lt;&gt;"data missing", 'Waste results'!$S$66&lt;&gt;"data missing"), Calc!BC70*'Waste results'!$S$30+ Calc!BD70*'Waste results'!$S$66, "data missing"),
   IF(Calc!BD70=0,
     IF(OR('Waste results'!$S$30&lt;&gt;"data missing", 'Waste results'!$S$102&lt;&gt;"data missing"), Calc!BC70*'Waste results'!$S$30+ Calc!BE70*'Waste results'!$S$102, "data missing"),
   IF(Calc!BC70=0,
     IF(OR('Waste results'!$S$66&lt;&gt;"data missing", 'Waste results'!$S$102&lt;&gt;"data missing"), Calc!BD70*'Waste results'!$S$66+Calc!BE70*'Waste results'!$S$102, "data missing"),
   IF(OR('Waste results'!$S$30&lt;&gt;"data missing", 'Waste results'!$S$66&lt;&gt;"data missing", 'Waste results'!$S$102&lt;&gt;"data missing"), Calc!BC70*'Waste results'!$S$30+Calc!BD70*'Waste results'!$S$66+ Calc!BE70*'Waste results'!$S$102, "data missing")))))))))))</f>
        <v/>
      </c>
      <c r="BL72" s="241" t="str">
        <f ca="1">IF($B72="","",
IF(ISBLANK('Soil results'!P75),"data missing",'Soil results'!P75))</f>
        <v/>
      </c>
      <c r="BM72" s="241" t="str">
        <f t="shared" ref="BM72:BM106" ca="1" si="31">IF(OR($B72="",BL72="data missing"),"",BK72*1000/3000+BL72)</f>
        <v/>
      </c>
      <c r="BN72" s="66" t="str">
        <f t="shared" ref="BN72:BN106" ca="1" si="32">IF(B72="","",
IF(BK72=0,"n/a",
IF(OR(BK72="data missing",BL72="data missing"),"data missing",
IF(BK72&gt;15,"application rate too high - permissible rate exceeds limit",
IF(BL72&gt;300,"no application - soil conc. already above limit",
IF(BM72&gt;300,"application rate too high - soil conc. will exceed limit",
IF(BL72&gt;300*0.9,"soil conc. is at or above 90% of the limit",
IF(10*BK72*1000/3000+BL72&gt;300,"soil limit likely to be exceeded in 10yrs",
IF(50*BK72*1000/3000+BL72&gt;300,"soil limit likely to be exceeded in 50yrs","ok")))))))))</f>
        <v/>
      </c>
      <c r="BP72" s="238" t="str">
        <f ca="1">IF(B72="","",
IF(AND('Field information 2'!$O$5="", 'Field information 2'!$Q$5=""),
   IF('Waste results'!$S$31&lt;&gt;"data missing", Calc!BC70*'Waste results'!$S$31, "data missing"),
IF('Field information 2'!$Q$5="",
   IF(Calc!BD70=0,
     IF('Waste results'!$S$31&lt;&gt;"data missing", Calc!BC70*'Waste results'!$S$31, "data missing"),
   IF(Calc!BC70=0,
     IF('Waste results'!$S$67&lt;&gt;"data missing", Calc!BD70*'Waste results'!$S$67, "data missing"),
   IF(OR('Waste results'!$S$31&lt;&gt;"data missing", 'Waste results'!$S$67&lt;&gt;"data missing"), Calc!BC70*'Waste results'!$S$31+ Calc!BD70*'Waste results'!$S$67, "data missing"))),
IF(AND('Field information 2'!$M$5&lt;&gt;"", 'Field information 2'!$O$5&lt;&gt;"", 'Field information 2'!$Q$5&lt;&gt;""),
   IF(AND(Calc!BD70=0,Calc!BE70=0),
     IF('Waste results'!$S$31&lt;&gt;"data missing", Calc!BC70*'Waste results'!$S$31, "data missing"),
   IF(AND(Calc!BC70=0,Calc!BE70=0),
     IF('Waste results'!$S$67&lt;&gt;"data missing", Calc!BD70*'Waste results'!$S$67, "data missing"),
   IF(AND(Calc!BC70=0,Calc!BD70=0),
     IF('Waste results'!$S$103&lt;&gt;"data missing", Calc!BE70*'Waste results'!$S$103, "data missing"),
   IF(Calc!BE70=0,
     IF(OR('Waste results'!$S$31&lt;&gt;"data missing", 'Waste results'!$S$67&lt;&gt;"data missing"), Calc!BC70*'Waste results'!$S$31+ Calc!BD70*'Waste results'!$S$67, "data missing"),
   IF(Calc!BD70=0,
     IF(OR('Waste results'!$S$31&lt;&gt;"data missing", 'Waste results'!$S$103&lt;&gt;"data missing"), Calc!BC70*'Waste results'!$S$31+ Calc!BE70*'Waste results'!$S$103, "data missing"),
   IF(Calc!BC70=0,
     IF(OR('Waste results'!$S$67&lt;&gt;"data missing", 'Waste results'!$S$103&lt;&gt;"data missing"), Calc!BD70*'Waste results'!$S$67+Calc!BE70*'Waste results'!$S$103, "data missing"),
   IF(OR('Waste results'!$S$31&lt;&gt;"data missing", 'Waste results'!$S$67&lt;&gt;"data missing", 'Waste results'!$S$103&lt;&gt;"data missing"), Calc!BC70*'Waste results'!$S$31+Calc!BD70*'Waste results'!$S$67+ Calc!BE70*'Waste results'!$S$103, "data missing")))))))))))</f>
        <v/>
      </c>
      <c r="BQ72" s="239" t="str">
        <f ca="1">IF($B72="","",
IF(ISBLANK('Soil results'!Q75),"data missing",'Soil results'!Q75))</f>
        <v/>
      </c>
      <c r="BR72" s="239" t="str">
        <f t="shared" ref="BR72:BR106" ca="1" si="33">IF(OR($B72="",BQ72="data missing"),"",BP72*1000/3000+BQ72)</f>
        <v/>
      </c>
      <c r="BS72" s="9" t="str">
        <f ca="1">IF(B72="","",
IF(BP72=0,"n/a",
IF(OR(BP72="data missing",BQ72=""),"data missing",
IF(BP72&gt;15,"application rate too high - permissible rate exceeds limit",
IF('Soil results'!F75&lt;=5.5,
  IF(BQ72&gt;200,"no application - soil conc. already above limit",
  IF(BR72&gt;200,"application rate too high - soil conc. will exceed limit",
  IF(BQ72&gt;200*0.9,"soil conc. is at or above 90% of the limit",
  IF(10*BP72*1000/3000+BQ72&gt;200,"soil limit likely to be exceeded in 10yrs",
  IF(50*BP72*1000/3000+BQ72&gt;200,"soil limit likely to be exceeded in 50yrs","ok"))))),
IF('Soil results'!F75&lt;=6,
  IF(BQ72&gt;250,"no application - soil conc. already above limit",
  IF(BR72&gt;250,"application rate too high - soil conc. will exceed limit",
  IF(BQ72&gt;250*0.9,"soil conc. is at or above 90% of the limit",
  IF(10*BP72*1000/3000+BQ72&gt;250,"soil limit likely to be exceeded in 10yrs",
  IF(50*BP72*1000/3000+BQ72&gt;250,"soil limit likely to be exceeded in 50yrs","ok"))))),
IF('Soil results'!F75&lt;=7,
  IF(BQ72&gt;300,"no application - soil conc. already above limit",
  IF(BR72&gt;300,"application rate too high - soil conc. will exceed limit",
  IF(BQ72&gt;300*0.9,"soil conc. is at or above 90% of the limit",
  IF(10*BP72*1000/3000+BQ72&gt;300,"soil limit likey to be exceeded in 10yrs",
  IF(50*BP72*1000/3000+BQ72&gt;300,"soil limit likely to be exceeded in 50yrs","ok"))))),
IF('Soil results'!F75&gt;7,
  IF(BQ72&gt;450,"no application - soil conc. already above limit",
  IF(BR72&gt;450,"application rate too high - soil conc. will exceed limit",
  IF(AW72&gt;450*0.9,"soil conc. is at or above 90% of the limit",
  IF(10*BP72*1000/3000+BQ72&gt;450,"soil limit likely to be exceeded in 10yrs",
  IF(50*BP72*1000/3000+BQ72&gt;450,"soil limit likely to be exceeded in 50yrs","ok")))))
))))))))</f>
        <v/>
      </c>
    </row>
    <row r="73" spans="2:71" s="9" customFormat="1" ht="15" x14ac:dyDescent="0.25">
      <c r="B73" s="236" t="str">
        <f ca="1">'Soil results'!B76</f>
        <v/>
      </c>
      <c r="C73" s="91" t="str">
        <f ca="1">IF(B73="","",
IF(AND('Field information 2'!$O$5="", 'Field information 2'!$Q$5=""),
   IF('Waste results'!$S$12&lt;&gt;"data missing", Calc!BC71*'Waste results'!$S$12, "data missing"),
IF('Field information 2'!$Q$5="",
   IF(Calc!BD71=0,
     IF('Waste results'!$S$12&lt;&gt;"data missing", Calc!BC71*'Waste results'!$S$12, "data missing"),
   IF(Calc!BC71=0,
     IF('Waste results'!$S$48&lt;&gt;"data missing", Calc!BD71*'Waste results'!$S$48, "data missing"),
   IF(OR('Waste results'!$S$12&lt;&gt;"data missing", 'Waste results'!$S$48&lt;&gt;"data missing"), Calc!BC71*'Waste results'!$S$12+ Calc!BD71*'Waste results'!$S$48, "data missing"))),
IF(AND('Field information 2'!$M$5&lt;&gt;"", 'Field information 2'!$O$5&lt;&gt;"", 'Field information 2'!$Q$5&lt;&gt;""),
   IF(AND(Calc!BD71=0,Calc!BE71=0),
     IF('Waste results'!$S$12&lt;&gt;"data missing", Calc!BC71*'Waste results'!$S$12, "data missing"),
   IF(AND(Calc!BC71=0,Calc!BE71=0),
     IF('Waste results'!$S$48&lt;&gt;"data missing", Calc!BD71*'Waste results'!$S$48, "data missing"),
   IF(AND(Calc!BC71=0,Calc!BD71=0),
     IF('Waste results'!$S$84&lt;&gt;"data missing", Calc!BE71*'Waste results'!$S$84, "data missing"),
   IF(Calc!BE71=0,
     IF(OR('Waste results'!$S$12&lt;&gt;"data missing", 'Waste results'!$S$48&lt;&gt;"data missing"), Calc!BC71*'Waste results'!$S$12+ Calc!BD71*'Waste results'!$S$48, "data missing"),
   IF(Calc!BD71=0,
     IF(OR('Waste results'!$S$12&lt;&gt;"data missing", 'Waste results'!$S$84&lt;&gt;"data missing"), Calc!BC71*'Waste results'!$S$12+ Calc!BE71*'Waste results'!$S$84, "data missing"),
   IF(Calc!BC71=0,
     IF(OR('Waste results'!$S$48&lt;&gt;"data missing", 'Waste results'!$S$84&lt;&gt;"data missing"), Calc!BD71*'Waste results'!$S$48+Calc!BE71*'Waste results'!$S$84, "data missing"),
   IF(OR('Waste results'!$S$12&lt;&gt;"data missing", 'Waste results'!$S$48&lt;&gt;"data missing", 'Waste results'!$S$84&lt;&gt;"data missing"), Calc!BC71*'Waste results'!$S$12+Calc!BD71*'Waste results'!$S$48+ Calc!BE71*'Waste results'!$S$84, "data missing")))))))))))</f>
        <v/>
      </c>
      <c r="D73" s="161" t="str">
        <f ca="1">IF(B73="","",
IF(Calc!BG71="","soil texture missing",
IF(OR(Calc!BG71="SL; SZL; ZL",Calc!BG71="SCL; CL; ZCL; SC; ZC; C"),VLOOKUP(Calc!BI71,'Fertiliser recommendations'!$A$4:$C$63,3,FALSE),
IF(Calc!BG71="S; LS",VLOOKUP(Calc!BI71,'Fertiliser recommendations'!$A$4:$C$63,3,FALSE)+VLOOKUP(Calc!BI71,'Fertiliser recommendations'!$A$4:$D$63,4,FALSE),
IF(Calc!BG71="10-25% OM",VLOOKUP(Calc!BI71,'Fertiliser recommendations'!$A$4:$C$63,3,FALSE)+VLOOKUP(Calc!BI71,'Fertiliser recommendations'!$A$4:$E$63,5,FALSE),
IF(Calc!BG71="&gt;25% OM",VLOOKUP(Calc!BI71,'Fertiliser recommendations'!$A$4:$C$63,3,FALSE)+VLOOKUP(Calc!BI71,'Fertiliser recommendations'!$A$4:$F$63,6,FALSE),
""))))))</f>
        <v/>
      </c>
      <c r="E73" s="91" t="str">
        <f t="shared" ca="1" si="17"/>
        <v/>
      </c>
      <c r="F73" s="9" t="str">
        <f ca="1">IF(B73="","",
IF(OR(C73="data missing",D73="soil texture missing"),"data missing",
IF(Calc!BF71=0,"n/a",
IF(C73&lt;0.1*D73,"no benefit",
IF(C73&lt;0.3*D73,"limited benefit",
IF(C73&gt;250,"exceeds limit",
IF(OR(AND(D73=0,C73&gt;75),C73&gt;1.25*D73),"excessive",
IF(D73=0, "no requirement",
"benefit"))))))))</f>
        <v/>
      </c>
      <c r="H73" s="91" t="str">
        <f ca="1">IF(B73="","",
IF(AND('Field information 2'!$O$5="", 'Field information 2'!$Q$5=""),
   IF('Waste results'!$S$17&lt;&gt;"data missing", Calc!BC71*'Waste results'!$S$17, "data missing"),
IF('Field information 2'!$Q$5="",
   IF(Calc!BD71=0,
     IF('Waste results'!$S$17&lt;&gt;"data missing", Calc!BC71*'Waste results'!$S$17, "data missing"),
   IF(Calc!BC71=0,
     IF('Waste results'!$S$53&lt;&gt;"data missing", Calc!BD71*'Waste results'!$S$53, "data missing"),
   IF(OR('Waste results'!$S$17&lt;&gt;"data missing", 'Waste results'!$S$53&lt;&gt;"data missing"), Calc!BC71*'Waste results'!$S$17+ Calc!BD71*'Waste results'!$S$53, "data missing"))),
IF(AND('Field information 2'!$M$5&lt;&gt;"", 'Field information 2'!$O$5&lt;&gt;"", 'Field information 2'!$Q$5&lt;&gt;""),
   IF(AND(Calc!BD71=0,Calc!BE71=0),
     IF('Waste results'!$S$17&lt;&gt;"data missing", Calc!BC71*'Waste results'!$S$17, "data missing"),
   IF(AND(Calc!BC71=0,Calc!BE71=0),
     IF('Waste results'!$S$53&lt;&gt;"data missing", Calc!BD71*'Waste results'!$S$53, "data missing"),
   IF(AND(Calc!BC71=0,Calc!BD71=0),
     IF('Waste results'!$S$89&lt;&gt;"data missing", Calc!BE71*'Waste results'!$S$89, "data missing"),
   IF(Calc!BE71=0,
     IF(OR('Waste results'!$S$17&lt;&gt;"data missing", 'Waste results'!$S$53&lt;&gt;"data missing"), Calc!BC71*'Waste results'!$S$17+ Calc!BD71*'Waste results'!$S$53, "data missing"),
   IF(Calc!BD71=0,
     IF(OR('Waste results'!$S$17&lt;&gt;"data missing", 'Waste results'!$S$89&lt;&gt;"data missing"), Calc!BC71*'Waste results'!$S$17+ Calc!BE71*'Waste results'!$S$89, "data missing"),
   IF(Calc!BC71=0,
     IF(OR('Waste results'!$S$53&lt;&gt;"data missing", 'Waste results'!$S$89&lt;&gt;"data missing"), Calc!BD71*'Waste results'!$S$53+Calc!BE71*'Waste results'!$S$89, "data missing"),
   IF(OR('Waste results'!$S$17&lt;&gt;"data missing", 'Waste results'!$S$53&lt;&gt;"data missing", 'Waste results'!$S$89&lt;&gt;"data missing"), Calc!BC71*'Waste results'!$S$17+Calc!BD71*'Waste results'!$S$53+ Calc!BE71*'Waste results'!$S$89, "data missing")))))))))))</f>
        <v/>
      </c>
      <c r="I73" s="195" t="str">
        <f ca="1">IF(B73="","",
IF(OR(ISBLANK('Soil results'!G76), ISBLANK('Soil results'!G$7)),"data missing",
IF(OR(AND('Soil results'!G$7="Olsen (ADAS)",'Soil results'!G76&lt;16),AND('Soil results'!G$7="modified Morgan (SAC)",'Soil results'!G76&lt;4.5)),50,100)))</f>
        <v/>
      </c>
      <c r="J73" s="49" t="str">
        <f ca="1">IF(B73="","",
IF(OR(ISBLANK('Soil results'!G$7),ISBLANK('Soil results'!G76)),"data missing",
IF(OR(AND('Soil results'!G$7="Olsen (ADAS)",'Soil results'!G76&gt;45),AND('Soil results'!G$7="modified Morgan (SAC)",'Soil results'!G76&gt;30)),0,
IF(OR(AND('Soil results'!G$7="Olsen (ADAS)",'Soil results'!G76&gt;=16,'Soil results'!G76&lt;=20),AND('Soil results'!G$7="modified Morgan (SAC)",'Soil results'!G76&gt;=4.5,'Soil results'!G76&lt;=9.4)),VLOOKUP(Calc!BI71,'Fertiliser recommendations'!$A$4:$I$63,9,FALSE),
IF(OR(AND('Soil results'!G$7="Olsen (ADAS)",'Soil results'!G76&lt;10),AND('Soil results'!G$7="modified Morgan (SAC)",'Soil results'!G76&lt;1.8)),VLOOKUP(Calc!BI71,'Fertiliser recommendations'!$A$4:$I$63,9,FALSE)+VLOOKUP(Calc!BI71,'Fertiliser recommendations'!$A$4:$J$63,10,FALSE),
IF(OR(AND('Soil results'!G$7="Olsen (ADAS)",'Soil results'!G76&lt;16),AND('Soil results'!G$7="modified Morgan (SAC)",'Soil results'!G76&lt;4.5)),VLOOKUP(Calc!BI71,'Fertiliser recommendations'!$A$4:$I$63,9,FALSE)+VLOOKUP(Calc!BI71,'Fertiliser recommendations'!$A$4:$K$63,11,FALSE),
IF(OR(AND('Soil results'!G$7="Olsen (ADAS)",'Soil results'!G76&lt;26),AND('Soil results'!G$7="modified Morgan (SAC)",'Soil results'!G76&lt;13.5)),VLOOKUP(Calc!BI71,'Fertiliser recommendations'!$A$4:$I$63,9,FALSE)+VLOOKUP(Calc!BI71,'Fertiliser recommendations'!$A$4:$L$63,12,FALSE),
IF(OR(AND('Soil results'!G$7="Olsen (ADAS)",'Soil results'!G76&lt;=45),AND('Soil results'!G$7="modified Morgan (SAC)",'Soil results'!G76&lt;=30)),VLOOKUP(Calc!BI71,'Fertiliser recommendations'!$A$4:$I$63,9,FALSE)+VLOOKUP(Calc!BI71,'Fertiliser recommendations'!$A$4:$M$63,13,FALSE),
""))))))))</f>
        <v/>
      </c>
      <c r="K73" s="161" t="str">
        <f t="shared" ca="1" si="18"/>
        <v/>
      </c>
      <c r="L73" s="47" t="str">
        <f ca="1">IF(OR(ISBLANK('Soil results'!G$7),ISBLANK('Soil results'!G76),B73="", H73="data missing"),"",
IF('Soil results'!G$7="Olsen (ADAS)",
IF(((H73*Calc!BM71/2.291-(VLOOKUP(Calc!BI71,'Fertiliser recommendations'!$A$4:$I$63,9,FALSE))/2.291)*10/(400/2.291)+'Soil results'!G76)&lt;10,"0 (VL)",
IF(((H73*Calc!BM71/2.291-(VLOOKUP(Calc!BI71,'Fertiliser recommendations'!$A$4:$I$63,9,FALSE))/2.291)*10/(400/2.291)+'Soil results'!G76)&lt;16,"1 (L)",
IF(((H73*Calc!BM71/2.291-(VLOOKUP(Calc!BI71,'Fertiliser recommendations'!$A$4:$I$63,9,FALSE))/2.291)*10/(400/2.291)+'Soil results'!G76)&lt;21,"2 (M-)",
IF(((H73*Calc!BM71/2.291-(VLOOKUP(Calc!BI71,'Fertiliser recommendations'!$A$4:$I$63,9,FALSE))/2.291)*10/(400/2.291)+'Soil results'!G76)&lt;26,"2 (M+)",
IF(((H73*Calc!BM71/2.291-(VLOOKUP(Calc!BI71,'Fertiliser recommendations'!$A$4:$I$63,9,FALSE))/2.291)*10/(400/2.291)+'Soil results'!G76)&lt;45,"3 (H)","&gt;3 (VH)"))))),
IF('Soil results'!G$7="modified Morgan (SAC)",
IF('Soil results'!G76&gt;=6,
IF(((H73*Calc!BM71/2.291-(VLOOKUP(Calc!BI71,'Fertiliser recommendations'!$A$4:$I$63,9,FALSE))/2.291)*5/(147/2.291)+'Soil results'!G76)&lt;9.5,"2 (M-)",
IF(((H73*Calc!BM71/2.291-(VLOOKUP(Calc!BI71,'Fertiliser recommendations'!$A$4:$I$63,9,FALSE))/2.291)*5/(147/2.291)+'Soil results'!G76)&lt;13.5,"2 (M+)",
IF(((H73*Calc!BM71/2.291-(VLOOKUP(Calc!BI71,'Fertiliser recommendations'!$A$4:$I$63,9,FALSE))/2.291)*5/(147/2.291)+'Soil results'!G76)&lt;30,"3 (H)","4 (VH)"))),
IF(((H73*Calc!BM71/2.291-(VLOOKUP(Calc!BI71,'Fertiliser recommendations'!$A$4:$I$63,9,FALSE))/2.291)*5/(346/2.291)+'Soil results'!G76)&lt;1.8,"0 (VL)",
IF(((H73*Calc!BM71/2.291-(VLOOKUP(Calc!BI71,'Fertiliser recommendations'!$A$4:$I$63,9,FALSE))/2.291)*5/(147/2.291)+'Soil results'!G76)&lt;4.5,"1 (L)","2 (M-)"))))))</f>
        <v/>
      </c>
      <c r="M73" s="9" t="str">
        <f ca="1">IF(B73="","",
IF(OR(H73="data missing",I73="data missing",J73="data missing"),"data missing",
IF(Calc!BF71=0,"n/a",
IF(OR(AND('Soil results'!G$7="Olsen (ADAS)",'Soil results'!G76&gt;45),AND('Soil results'!G$7="modified Morgan (SAC)",'Soil results'!G76&gt;30)),
IF(H73&gt;2,"too high, not acceptable","no requirement"),IF(OR(AND('Soil results'!G$7="Olsen (ADAS)",'Soil results'!G76&gt;25),AND('Soil results'!G$7="modified Morgan (SAC)",'Soil results'!G76&gt;13.4)),
IF(H73*(I73/100)&lt;0.1*J73,"no benefit",
IF(H73*(I73/100)&lt;0.3*J73,"limited benefit",
IF(H73*(I73/100)&lt;1.1*J73,"benefit",
IF(H73*(I73/100)&lt;0.7*VLOOKUP(Calc!BI71,'Fertiliser recommendations'!$A$4:$I$63,9,FALSE),"excessive","too high, not acceptable")))),
IF(OR(AND('Soil results'!G$7="Olsen (ADAS)",'Soil results'!G76&gt;20),AND('Soil results'!G$7="modified Morgan (SAC)",'Soil results'!G76&gt;9.4)),
IF(H73*Calc!BM71*(I73/100)&lt;0.1*J73,"no benefit",
IF(H73*Calc!BM71*(I73/100)&lt;0.3*J73,"limited benefit",
IF(H73*Calc!BM71*(I73/100)&lt;1.1*J73,"benefit",
IF(L73="3 (H)","too high, not acceptable","excessive")))),
IF(OR(AND('Soil results'!G$7="Olsen (ADAS)",'Soil results'!G76&gt;15),AND('Soil results'!G$7="modified Morgan (SAC)",'Soil results'!G76&gt;4.4)),
IF(H73*Calc!BM71*(I73/100)&lt;0.1*VLOOKUP(Calc!BI71,'Fertiliser recommendations'!$A$4:$I$63,9,FALSE),"no benefit",
IF(H73*Calc!BM71*(I73/100)&lt;0.3*VLOOKUP(Calc!BI71,'Fertiliser recommendations'!$A$4:$I$63,9,FALSE),"limited benefit",
IF(H73*Calc!BM71*(I73/100)&lt;1.1*VLOOKUP(Calc!BI71,'Fertiliser recommendations'!$A$4:$I$63,9,FALSE),"benefit",
IF(L73="3 (H)", "too high, not acceptable", "excessive")))),
IF(OR(AND('Soil results'!G$7="Olsen (ADAS)",'Soil results'!G76&lt;=15),AND('Soil results'!G$7="modified Morgan (SAC)",'Soil results'!G76&lt;=4.4)),
IF(H73*Calc!BM71*(I73/100)&lt;0.1*VLOOKUP(Calc!BI71,'Fertiliser recommendations'!$A$4:$I$63,9,FALSE),"no benefit",
IF(H73*Calc!BM71*(I73/100)&lt;0.3*VLOOKUP(Calc!BI71,'Fertiliser recommendations'!$A$4:$I$63,9,FALSE),"limited benefit",
IF(H73*Calc!BM71*(I73/100)&lt;1.1*J73,"benefit","excessive")))))))))))</f>
        <v/>
      </c>
      <c r="O73" s="91" t="str">
        <f ca="1">IF(B73="","",
IF(AND('Field information 2'!$O$5="", 'Field information 2'!$Q$5=""),
   IF('Waste results'!$S$19&lt;&gt;"data missing", Calc!BC71*'Waste results'!$S$19, "data missing"),
IF('Field information 2'!$Q$5="",
   IF(Calc!BD71=0,
     IF('Waste results'!$S$19&lt;&gt;"data missing", Calc!BC71*'Waste results'!$S$19, "data missing"),
   IF(Calc!BC71=0,
     IF('Waste results'!$S$55&lt;&gt;"data missing", Calc!BD71*'Waste results'!$S$55, "data missing"),
   IF(OR('Waste results'!$S$19&lt;&gt;"data missing", 'Waste results'!$S$55&lt;&gt;"data missing"), Calc!BC71*'Waste results'!$S$19+ Calc!BD71*'Waste results'!$S$55, "data missing"))),
IF(AND('Field information 2'!$M$5&lt;&gt;"", 'Field information 2'!$O$5&lt;&gt;"", 'Field information 2'!$Q$5&lt;&gt;""),
   IF(AND(Calc!BD71=0,Calc!BE71=0),
     IF('Waste results'!$S$19&lt;&gt;"data missing", Calc!BC71*'Waste results'!$S$19, "data missing"),
   IF(AND(Calc!BC71=0,Calc!BE71=0),
     IF('Waste results'!$S$55&lt;&gt;"data missing", Calc!BD71*'Waste results'!$S$55, "data missing"),
   IF(AND(Calc!BC71=0,Calc!BD71=0),
     IF('Waste results'!$S$91&lt;&gt;"data missing", Calc!BE71*'Waste results'!$S$91, "data missing"),
   IF(Calc!BE71=0,
     IF(OR('Waste results'!$S$19&lt;&gt;"data missing", 'Waste results'!$S$55&lt;&gt;"data missing"), Calc!BC71*'Waste results'!$S$19+ Calc!BD71*'Waste results'!$S$55, "data missing"),
   IF(Calc!BD71=0,
     IF(OR('Waste results'!$S$19&lt;&gt;"data missing", 'Waste results'!$S$91&lt;&gt;"data missing"), Calc!BC71*'Waste results'!$S$19+ Calc!BE71*'Waste results'!$S$91, "data missing"),
   IF(Calc!BC71=0,
     IF(OR('Waste results'!$S$55&lt;&gt;"data missing", 'Waste results'!$S$91&lt;&gt;"data missing"), Calc!BD71*'Waste results'!$S$55+Calc!BE71*'Waste results'!$S$91, "data missing"),
   IF(OR('Waste results'!$S$19&lt;&gt;"data missing", 'Waste results'!$S$55&lt;&gt;"data missing", 'Waste results'!$S$91&lt;&gt;"data missing"), Calc!BC71*'Waste results'!$S$19+Calc!BD71*'Waste results'!$S$55+ Calc!BE71*'Waste results'!$S$91, "data missing")))))))))))</f>
        <v/>
      </c>
      <c r="P73" s="91" t="str">
        <f ca="1">IF(B73="","",
IF(OR(ISBLANK('Soil results'!H$7),ISBLANK('Soil results'!H76)),"data missing",
IF(OR(AND('Soil results'!H$7="ammonium nitrate (ADAS)",'Soil results'!H76&gt;400),AND('Soil results'!H$7="modified Morgan (SAC)",'Soil results'!H76&gt;400)),0,
IF(OR(AND('Soil results'!H$7="ammonium nitrate (ADAS)",'Soil results'!H76&gt;=121,'Soil results'!H76&lt;=180),AND('Soil results'!H$7="modified Morgan (SAC)",'Soil results'!H76&gt;=76,'Soil results'!H76&lt;=140)),VLOOKUP(Calc!BI71,'Fertiliser recommendations'!$A$4:$Z$63,26,FALSE),
IF(OR(AND('Soil results'!H$7="ammonium nitrate (ADAS)",'Soil results'!H76&lt;61),AND('Soil results'!H$7="modified Morgan (SAC)",'Soil results'!H76&lt;40)),VLOOKUP(Calc!BI71,'Fertiliser recommendations'!$A$4:$Z$63,26,FALSE)+VLOOKUP(Calc!BI71,'Fertiliser recommendations'!$A$4:$AA$63,27,FALSE),
IF(OR(AND('Soil results'!H$7="ammonium nitrate (ADAS)",'Soil results'!H76&lt;121),AND('Soil results'!H$7="modified Morgan (SAC)",'Soil results'!H76&lt;76)),VLOOKUP(Calc!BI71,'Fertiliser recommendations'!$A$4:$Z$63,26,FALSE)+VLOOKUP(Calc!BI71,'Fertiliser recommendations'!$A$4:$AB$63,28,FALSE),
IF(OR(AND('Soil results'!H$7="ammonium nitrate (ADAS)",'Soil results'!H76&lt;241),AND('Soil results'!H$7="modified Morgan (SAC)",'Soil results'!H76&lt;201)),VLOOKUP(Calc!BI71,'Fertiliser recommendations'!$A$4:$Z$63,26,FALSE)+VLOOKUP(Calc!BI71,'Fertiliser recommendations'!$A$4:$AC$63,29,FALSE),
IF(OR(AND('Soil results'!H$7="ammonium nitrate (ADAS)",'Soil results'!H76&lt;=400),AND('Soil results'!H$7="modified Morgan (SAC)",'Soil results'!H76&lt;=400)),VLOOKUP(Calc!BI71,'Fertiliser recommendations'!$A$4:$Z$63,26,FALSE)+VLOOKUP(Calc!BI71,'Fertiliser recommendations'!$A$4:$AD$63,30,FALSE),
"??"))))))))</f>
        <v/>
      </c>
      <c r="Q73" s="91" t="str">
        <f t="shared" ca="1" si="19"/>
        <v/>
      </c>
      <c r="R73" s="9" t="str">
        <f ca="1">IF(B73="","",
IF(OR(O73="data missing",P73="data missing"),"data missing",
IF(Calc!BF71=0,"n/a",
IF(P73=0, "no requirement",
IF(O73&lt;0.1*P73,"no benefit",
IF(O73&lt;0.3*P73,"limited benefit",
IF(O73&gt;1.25*P73,"excessive",
"benefit")))))))</f>
        <v/>
      </c>
      <c r="T73" s="91" t="str">
        <f ca="1">IF(B73="","",
IF(AND('Field information 2'!$O$5="", 'Field information 2'!$Q$5=""),
   IF('Waste results'!$S$21&lt;&gt;"data missing", Calc!BC71*'Waste results'!$S$21, "data missing"),
IF('Field information 2'!$Q$5="",
   IF(Calc!BD71=0,
     IF('Waste results'!$S$21&lt;&gt;"data missing", Calc!BC71*'Waste results'!$S$21, "data missing"),
   IF(Calc!BC71=0,
     IF('Waste results'!$S$57&lt;&gt;"data missing", Calc!BD71*'Waste results'!$S$57, "data missing"),
   IF(OR('Waste results'!$S$21&lt;&gt;"data missing", 'Waste results'!$S$57&lt;&gt;"data missing"), Calc!BC71*'Waste results'!$S$21+ Calc!BD71*'Waste results'!$S$57, "data missing"))),
IF(AND('Field information 2'!$M$5&lt;&gt;"", 'Field information 2'!$O$5&lt;&gt;"", 'Field information 2'!$Q$5&lt;&gt;""),
   IF(AND(Calc!BD71=0,Calc!BE71=0),
     IF('Waste results'!$S$21&lt;&gt;"data missing", Calc!BC71*'Waste results'!$S$21, "data missing"),
   IF(AND(Calc!BC71=0,Calc!BE71=0),
     IF('Waste results'!$S$57&lt;&gt;"data missing", Calc!BD71*'Waste results'!$S$57, "data missing"),
   IF(AND(Calc!BC71=0,Calc!BD71=0),
     IF('Waste results'!$S$93&lt;&gt;"data missing", Calc!BE71*'Waste results'!$S$93, "data missing"),
   IF(Calc!BE71=0,
     IF(OR('Waste results'!$S$21&lt;&gt;"data missing", 'Waste results'!$S$57&lt;&gt;"data missing"), Calc!BC71*'Waste results'!$S$21+ Calc!BD71*'Waste results'!$S$57, "data missing"),
   IF(Calc!BD71=0,
     IF(OR('Waste results'!$S$21&lt;&gt;"data missing", 'Waste results'!$S$93&lt;&gt;"data missing"), Calc!BC71*'Waste results'!$S$21+ Calc!BE71*'Waste results'!$S$93, "data missing"),
   IF(Calc!BC71=0,
     IF(OR('Waste results'!$S$57&lt;&gt;"data missing", 'Waste results'!$S$93&lt;&gt;"data missing"), Calc!BD71*'Waste results'!$S$57+Calc!BE71*'Waste results'!$S$93, "data missing"),
   IF(OR('Waste results'!$S$21&lt;&gt;"data missing", 'Waste results'!$S$57&lt;&gt;"data missing", 'Waste results'!$S$93&lt;&gt;"data missing"), Calc!BC71*'Waste results'!$S$21+Calc!BD71*'Waste results'!$S$57+ Calc!BE71*'Waste results'!$S$93, "data missing")))))))))))</f>
        <v/>
      </c>
      <c r="U73" s="7" t="str">
        <f ca="1">IF(B73="","",
IF(OR(ISBLANK('Soil results'!I$7),ISBLANK('Soil results'!I76)),"data missing",
IF(OR(AND('Soil results'!I$7="ammonium nitrate (ADAS)",'Soil results'!I76&gt;51),AND('Soil results'!I$7="modified Morgan (SAC)",'Soil results'!I76&gt;61)),0,
IF(OR(AND('Soil results'!I$7="ammonium nitrate (ADAS)",'Soil results'!I76&lt;25),AND('Soil results'!I$7="modified Morgan (SAC)",'Soil results'!I76&lt;19)),VLOOKUP(Calc!BI71,'Fertiliser recommendations'!$A$4:$AH$63,34,FALSE),
IF(OR(AND('Soil results'!I$7="ammonium nitrate (ADAS)",'Soil results'!I76&lt;=51),AND('Soil results'!I$7="modified Morgan (SAC)",'Soil results'!I76&lt;=61)),VLOOKUP(Calc!BI71,'Fertiliser recommendations'!$A$4:$AI$63,35,FALSE),
"")))))</f>
        <v/>
      </c>
      <c r="V73" s="91" t="str">
        <f t="shared" ca="1" si="20"/>
        <v/>
      </c>
      <c r="W73" s="9" t="str">
        <f ca="1">IF(B73="","",
IF(OR(T73="data missing",U73="data missing"),"data missing",
IF(Calc!BF71=0,"n/a",
IF(U73=0,"no requirement",
IF(T73&lt;0.1*U73,"no benefit",
IF(T73&lt;0.3*U73,"limited benefit",
IF(OR(T73&gt;1.5*U73,AND(Calc!BJ71="g",T73&gt;100)),"excessive",
"benefit")))))))</f>
        <v/>
      </c>
      <c r="Y73" s="91" t="str">
        <f ca="1">IF(B73="","",
IF(AND('Field information 2'!$O$5="", 'Field information 2'!$Q$5=""),
   IF('Waste results'!$P$23&lt;&gt;"", Calc!BC71*'Waste results'!$P$23, "no data"),
IF('Field information 2'!$Q$5="",
   IF(Calc!BD71=0,
     IF('Waste results'!$P$23&lt;&gt;"", Calc!BC71*'Waste results'!$P$23, "no data"),
   IF(Calc!BC71=0,
     IF('Waste results'!$P$59&lt;&gt;"", Calc!BD71*'Waste results'!$P$59, "no data"),
   IF(OR('Waste results'!$P$23&lt;&gt;"", 'Waste results'!$P$59&lt;&gt;""), Calc!BC71*'Waste results'!$P$23+ Calc!BD71*'Waste results'!$P$59, "no data"))),
IF(AND('Field information 2'!$M$5&lt;&gt;"", 'Field information 2'!$O$5&lt;&gt;"", 'Field information 2'!$Q$5&lt;&gt;""),
   IF(AND(Calc!BD71=0,Calc!BE71=0),
     IF('Waste results'!$P$23&lt;&gt;"", Calc!BC71*'Waste results'!$P$23, "no data"),
   IF(AND(Calc!BC71=0,Calc!BE71=0),
     IF('Waste results'!$P$59&lt;&gt;"", Calc!BD71*'Waste results'!$P$59, "no data"),
   IF(AND(Calc!BC71=0,Calc!BD71=0),
     IF('Waste results'!$P$95&lt;&gt;"", Calc!BE71*'Waste results'!$P$95, "no data"),
   IF(Calc!BE71=0,
     IF(OR('Waste results'!$P$23&lt;&gt;"", 'Waste results'!$P$59&lt;&gt;""), Calc!BC71*'Waste results'!$P$23+ Calc!BD71*'Waste results'!$P$59, "no data"),
   IF(Calc!BD71=0,
     IF(OR('Waste results'!$P$23&lt;&gt;"", 'Waste results'!$P$95&lt;&gt;""), Calc!BC71*'Waste results'!$P$23+ Calc!BE71*'Waste results'!$P$95, "no data"),
   IF(Calc!BC71=0,
     IF(OR('Waste results'!$P$59&lt;&gt;"", 'Waste results'!$P$95&lt;&gt;""), Calc!BD71*'Waste results'!$P$59+Calc!BE71*'Waste results'!$P$95, "no data"),
   IF(OR('Waste results'!$P$23&lt;&gt;"", 'Waste results'!$P$59&lt;&gt;"", 'Waste results'!$P$95&lt;&gt;""), Calc!BC71*'Waste results'!$P$23+Calc!BD71*'Waste results'!$P$59+ Calc!BE71*'Waste results'!$P$95, "no data")))))))))))</f>
        <v/>
      </c>
      <c r="Z73" s="7" t="str">
        <f ca="1">IF(OR(ISBLANK('Soil results'!I$7),ISBLANK('Soil results'!I76),'Soil results'!B76=""),"",
VLOOKUP(Calc!BI71,'Fertiliser recommendations'!$A$4:$AM$63,39,FALSE))</f>
        <v/>
      </c>
      <c r="AA73" s="91" t="str">
        <f t="shared" ca="1" si="21"/>
        <v/>
      </c>
      <c r="AB73" s="9" t="str">
        <f t="shared" ca="1" si="22"/>
        <v/>
      </c>
      <c r="AD73" s="48" t="str">
        <f>IF(ISBLANK('Soil results'!F76),"",'Soil results'!F76)</f>
        <v/>
      </c>
      <c r="AE73" s="49" t="str">
        <f ca="1">IF(B73="","",
IF(AND(Calc!BJ71="g", VLOOKUP(LEFT($B73,LEN($B73)-2),'Field information 2'!$B$12:$P$111,9,FALSE)&lt;&gt;"yes"),
 IF(Calc!BG71="10-25% OM", 5.9, IF(Calc!BG71="&gt;25% OM", 5.5, 6.2)),
IF(OR(Calc!BJ71="a", VLOOKUP(LEFT($B73,LEN($B73)-2),'Field information 2'!$B$12:$P$111,9,FALSE)="yes"),
 IF(Calc!BG71="10-25% OM", 6.4, IF(Calc!BG71="&gt;25% OM", 6, 6.7)), "")))</f>
        <v/>
      </c>
      <c r="AF73" s="91" t="str">
        <f ca="1">IF(B73="","",
IF('Waste results'!$Q$33="","no (significant) liming properties",
IF('Waste results'!Q$33&gt;100,"no (significant) liming properties",
IF(AD73="","",
IF(AD73&gt;=AE73,0,ROUNDDOWN((AE73-AD73)*Calc!BK71*'Waste results'!$Q$33+0.2,0))))))</f>
        <v/>
      </c>
      <c r="AG73" s="9" t="str">
        <f ca="1">IF(B73="","",
IF(T73=0,"n/a",
IF(AD73="","data missing",
IF(AND(AD73&lt;5,AF73="no (significant) liming properties"),"no waste application - pH too low",
IF(AND(AD73&gt;5.1,AF73="no (significant) liming properties",Calc!BH71&gt;25, LEFT(Calc!BI71,4)="graz"),"ok",
IF(AND(AD73&lt;=5.2,AF73="no (significant) liming properties"),"liming highly recommended",
IF(AF73=0,"no waste application - liming not required",
IF(AF73&lt;Calc!BC71,"application rate too high - exceeds liming requirement",
"ok"))))))))</f>
        <v/>
      </c>
      <c r="AI73" s="91" t="str">
        <f ca="1">IF(B73="","",
IF(AND('Field information 2'!$O$5="", 'Field information 2'!$Q$5=""),
   IF('Waste results'!$P$10&lt;&gt;"data missing", Calc!BC71*'Waste results'!$P$10, "data missing"),
IF('Field information 2'!$Q$5="",
   IF(Calc!BD71=0,
     IF('Waste results'!$P$10&lt;&gt;"data missing", Calc!BC71*'Waste results'!$P$10, "data missing"),
   IF(Calc!BC71=0,
     IF('Waste results'!$P$45&lt;&gt;"data missing", Calc!BD71*'Waste results'!$P$45, "data missing"),
   IF(OR('Waste results'!$P$10&lt;&gt;"data missing", 'Waste results'!$P$45&lt;&gt;"data missing"), Calc!BC71*'Waste results'!$P$10+ Calc!BD71*'Waste results'!$P$45, "data missing"))),
IF(AND('Field information 2'!$M$5&lt;&gt;"", 'Field information 2'!$O$5&lt;&gt;"", 'Field information 2'!$Q$5&lt;&gt;""),
   IF(AND(Calc!BD71=0,Calc!BE71=0),
     IF('Waste results'!$P$10&lt;&gt;"data missing", Calc!BC71*'Waste results'!$P$10, "data missing"),
   IF(AND(Calc!BC71=0,Calc!BE71=0),
     IF('Waste results'!$P$45&lt;&gt;"data missing", Calc!BD71*'Waste results'!$P$45, "data missing"),
   IF(AND(Calc!BC71=0,Calc!BD71=0),
     IF('Waste results'!$P$82&lt;&gt;"data missing", Calc!BE71*'Waste results'!$P$82, "data missing"),
   IF(Calc!BE71=0,
     IF(OR('Waste results'!$P$10&lt;&gt;"data missing", 'Waste results'!$P$45&lt;&gt;"data missing"), Calc!BC71*'Waste results'!$P$10+ Calc!BD71*'Waste results'!$P$45, "data missing"),
   IF(Calc!BD71=0,
     IF(OR('Waste results'!$P$10&lt;&gt;"data missing", 'Waste results'!$P$82&lt;&gt;"data missing"), Calc!BC71*'Waste results'!$P$10+ Calc!BE71*'Waste results'!$P$82, "data missing"),
   IF(Calc!BC71=0,
     IF(OR('Waste results'!$P$45&lt;&gt;"data missing", 'Waste results'!$P$82&lt;&gt;"data missing"), Calc!BD71*'Waste results'!$P$45+Calc!BE71*'Waste results'!$P$82, "data missing"),
   IF(OR('Waste results'!$P$10&lt;&gt;"data missing", 'Waste results'!$P$45&lt;&gt;"data missing", 'Waste results'!$P$82&lt;&gt;"data missing"), Calc!BC71*'Waste results'!$P$10+Calc!BD71*'Waste results'!$P$45+ Calc!BE71*'Waste results'!$P$82, "data missing")))))))))))</f>
        <v/>
      </c>
      <c r="AJ73" s="237" t="str">
        <f ca="1">IF(B73="","",
IF(AI73="data missing","data missing",
IF(Calc!BF71=0,"n/a",
IF(AND(Calc!BH71&gt;=8,AI73&lt;500),"no benefit",
IF(OR(AND(Calc!BH71&lt;=4,AI73&gt;=500),AND(Calc!BH71&lt;8,AI73&gt;5000)),"benefit",
"limited benefit")))))</f>
        <v/>
      </c>
      <c r="AL73" s="238" t="str">
        <f ca="1">IF(B73="","",
IF(AND('Field information 2'!$O$5="", 'Field information 2'!$Q$5=""),
   IF('Waste results'!$S$25&lt;&gt;"data missing", Calc!BC71*'Waste results'!$S$25, "data missing"),
IF('Field information 2'!$Q$5="",
   IF(Calc!BD71=0,
     IF('Waste results'!$S$25&lt;&gt;"data missing", Calc!BC71*'Waste results'!$S$25, "data missing"),
   IF(Calc!BC71=0,
     IF('Waste results'!$S$61&lt;&gt;"data missing", Calc!BD71*'Waste results'!$S$61, "data missing"),
   IF(OR('Waste results'!$S$25&lt;&gt;"data missing", 'Waste results'!$S$61&lt;&gt;"data missing"), Calc!BC71*'Waste results'!$S$25+ Calc!BD71*'Waste results'!$S$61, "data missing"))),
IF(AND('Field information 2'!$M$5&lt;&gt;"", 'Field information 2'!$O$5&lt;&gt;"", 'Field information 2'!$Q$5&lt;&gt;""),
   IF(AND(Calc!BD71=0,Calc!BE71=0),
     IF('Waste results'!$S$25&lt;&gt;"data missing", Calc!BC71*'Waste results'!$S$25, "data missing"),
   IF(AND(Calc!BC71=0,Calc!BE71=0),
     IF('Waste results'!$S$61&lt;&gt;"data missing", Calc!BD71*'Waste results'!$S$61, "data missing"),
   IF(AND(Calc!BC71=0,Calc!BD71=0),
     IF('Waste results'!$S$97&lt;&gt;"data missing", Calc!BE71*'Waste results'!$S$97, "data missing"),
   IF(Calc!BE71=0,
     IF(OR('Waste results'!$S$25&lt;&gt;"data missing", 'Waste results'!$S$61&lt;&gt;"data missing"), Calc!BC71*'Waste results'!$S$25+ Calc!BD71*'Waste results'!$S$61, "data missing"),
   IF(Calc!BD71=0,
     IF(OR('Waste results'!$S$25&lt;&gt;"data missing", 'Waste results'!$S$97&lt;&gt;"data missing"), Calc!BC71*'Waste results'!$S$25+ Calc!BE71*'Waste results'!$S$97, "data missing"),
   IF(Calc!BC71=0,
     IF(OR('Waste results'!$S$61&lt;&gt;"data missing", 'Waste results'!$S$97&lt;&gt;"data missing"), Calc!BD71*'Waste results'!$S$61+Calc!BE71*'Waste results'!$S$97, "data missing"),
   IF(OR('Waste results'!$S$25&lt;&gt;"data missing", 'Waste results'!$S$61&lt;&gt;"data missing", 'Waste results'!$S$97&lt;&gt;"data missing"), Calc!BC71*'Waste results'!$S$25+Calc!BD71*'Waste results'!$S$61+ Calc!BE71*'Waste results'!$S$97, "data missing")))))))))))</f>
        <v/>
      </c>
      <c r="AM73" s="239" t="str">
        <f ca="1">IF($B73="","",
IF(ISBLANK('Soil results'!K76),"data missing",'Soil results'!K76))</f>
        <v/>
      </c>
      <c r="AN73" s="239" t="str">
        <f t="shared" ca="1" si="23"/>
        <v/>
      </c>
      <c r="AO73" s="9" t="str">
        <f t="shared" ca="1" si="24"/>
        <v/>
      </c>
      <c r="AQ73" s="240" t="str">
        <f ca="1">IF(B73="","",
IF(AND('Field information 2'!$O$5="", 'Field information 2'!$Q$5=""),
   IF('Waste results'!$S$26&lt;&gt;"data missing", Calc!BC71*'Waste results'!$S$26, "data missing"),
IF('Field information 2'!$Q$5="",
   IF(Calc!BD71=0,
     IF('Waste results'!$S$26&lt;&gt;"data missing", Calc!BC71*'Waste results'!$S$26, "data missing"),
   IF(Calc!BC71=0,
     IF('Waste results'!$S$62&lt;&gt;"data missing", Calc!BD71*'Waste results'!$S$62, "data missing"),
   IF(OR('Waste results'!$S$26&lt;&gt;"data missing", 'Waste results'!$S$62&lt;&gt;"data missing"), Calc!BC71*'Waste results'!$S$26+ Calc!BD71*'Waste results'!$S$62, "data missing"))),
IF(AND('Field information 2'!$M$5&lt;&gt;"", 'Field information 2'!$O$5&lt;&gt;"", 'Field information 2'!$Q$5&lt;&gt;""),
   IF(AND(Calc!BD71=0,Calc!BE71=0),
     IF('Waste results'!$S$26&lt;&gt;"data missing", Calc!BC71*'Waste results'!$S$26, "data missing"),
   IF(AND(Calc!BC71=0,Calc!BE71=0),
     IF('Waste results'!$S$62&lt;&gt;"data missing", Calc!BD71*'Waste results'!$S$62, "data missing"),
   IF(AND(Calc!BC71=0,Calc!BD71=0),
     IF('Waste results'!$S$98&lt;&gt;"data missing", Calc!BE71*'Waste results'!$S$98, "data missing"),
   IF(Calc!BE71=0,
     IF(OR('Waste results'!$S$26&lt;&gt;"data missing", 'Waste results'!$S$62&lt;&gt;"data missing"), Calc!BC71*'Waste results'!$S$26+ Calc!BD71*'Waste results'!$S$62, "data missing"),
   IF(Calc!BD71=0,
     IF(OR('Waste results'!$S$26&lt;&gt;"data missing", 'Waste results'!$S$98&lt;&gt;"data missing"), Calc!BC71*'Waste results'!$S$26+ Calc!BE71*'Waste results'!$S$98, "data missing"),
   IF(Calc!BC71=0,
     IF(OR('Waste results'!$S$62&lt;&gt;"data missing", 'Waste results'!$S$98&lt;&gt;"data missing"), Calc!BD71*'Waste results'!$S$62+Calc!BE71*'Waste results'!$S$98, "data missing"),
   IF(OR('Waste results'!$S$26&lt;&gt;"data missing", 'Waste results'!$S$62&lt;&gt;"data missing", 'Waste results'!$S$98&lt;&gt;"data missing"), Calc!BC71*'Waste results'!$S$26+Calc!BD71*'Waste results'!$S$62+ Calc!BE71*'Waste results'!$S$98, "data missing")))))))))))</f>
        <v/>
      </c>
      <c r="AR73" s="241" t="str">
        <f ca="1">IF($B73="","",
IF(ISBLANK('Soil results'!L76),"data missing",'Soil results'!L76))</f>
        <v/>
      </c>
      <c r="AS73" s="241" t="str">
        <f t="shared" ca="1" si="25"/>
        <v/>
      </c>
      <c r="AT73" s="66" t="str">
        <f t="shared" ca="1" si="26"/>
        <v/>
      </c>
      <c r="AV73" s="238" t="str">
        <f ca="1">IF(B73="","",
IF(AND('Field information 2'!$O$5="", 'Field information 2'!$Q$5=""),
   IF('Waste results'!$S$27&lt;&gt;"data missing", Calc!BC71*'Waste results'!$S$27, "data missing"),
IF('Field information 2'!$Q$5="",
   IF(Calc!BD71=0,
     IF('Waste results'!$S$27&lt;&gt;"data missing", Calc!BC71*'Waste results'!$S$27, "data missing"),
   IF(Calc!BC71=0,
     IF('Waste results'!$S$63&lt;&gt;"data missing", Calc!BD71*'Waste results'!$S$63, "data missing"),
   IF(OR('Waste results'!$S$27&lt;&gt;"data missing", 'Waste results'!$S$63&lt;&gt;"data missing"), Calc!BC71*'Waste results'!$S$27+ Calc!BD71*'Waste results'!$S$63, "data missing"))),
IF(AND('Field information 2'!$M$5&lt;&gt;"", 'Field information 2'!$O$5&lt;&gt;"", 'Field information 2'!$Q$5&lt;&gt;""),
   IF(AND(Calc!BD71=0,Calc!BE71=0),
     IF('Waste results'!$S$27&lt;&gt;"data missing", Calc!BC71*'Waste results'!$S$27, "data missing"),
   IF(AND(Calc!BC71=0,Calc!BE71=0),
     IF('Waste results'!$S$63&lt;&gt;"data missing", Calc!BD71*'Waste results'!$S$63, "data missing"),
   IF(AND(Calc!BC71=0,Calc!BD71=0),
     IF('Waste results'!$S$99&lt;&gt;"data missing", Calc!BE71*'Waste results'!$S$99, "data missing"),
   IF(Calc!BE71=0,
     IF(OR('Waste results'!$S$27&lt;&gt;"data missing", 'Waste results'!$S$63&lt;&gt;"data missing"), Calc!BC71*'Waste results'!$S$27+ Calc!BD71*'Waste results'!$S$63, "data missing"),
   IF(Calc!BD71=0,
     IF(OR('Waste results'!$S$27&lt;&gt;"data missing", 'Waste results'!$S$99&lt;&gt;"data missing"), Calc!BC71*'Waste results'!$S$27+ Calc!BE71*'Waste results'!$S$99, "data missing"),
   IF(Calc!BC71=0,
     IF(OR('Waste results'!$S$63&lt;&gt;"data missing", 'Waste results'!$S$99&lt;&gt;"data missing"), Calc!BD71*'Waste results'!$S$63+Calc!BE71*'Waste results'!$S$99, "data missing"),
   IF(OR('Waste results'!$S$27&lt;&gt;"data missing", 'Waste results'!$S$63&lt;&gt;"data missing", 'Waste results'!$S$99&lt;&gt;"data missing"), Calc!BC71*'Waste results'!$S$27+Calc!BD71*'Waste results'!$S$63+ Calc!BE71*'Waste results'!$S$99, "data missing")))))))))))</f>
        <v/>
      </c>
      <c r="AW73" s="239" t="str">
        <f ca="1">IF($B73="","",
IF(ISBLANK('Soil results'!M76),"data missing",'Soil results'!M76))</f>
        <v/>
      </c>
      <c r="AX73" s="239" t="str">
        <f t="shared" ca="1" si="27"/>
        <v/>
      </c>
      <c r="AY73" s="9" t="str">
        <f ca="1">IF(B73="","",
IF(AV73=0,"n/a",
IF(OR(AV73="data missing",AW73="data missing"),"data missing",
IF(AV73&gt;7.5,"application rate too high - permissible rate exceeds limit",
IF('Soil results'!$F76&lt;=5.5,
  IF(AW73&gt;80,"no application - soil conc. already above limit",
  IF(AX73&gt;80,"application rate too high - soil conc. will exceed limit",
  IF(AW73&gt;80*0.9,"soil conc. is at or above 90% of the limit",
  IF(10*AV73*1000/3000+AW73&gt;80,"soil limit likely to be exceeded in 10yrs",
  IF(50*AV73*1000/3000+AW73&gt;80,"soil limit likely to be exceeded in 50yrs","ok"))))),
IF('Soil results'!$F76&lt;=6,
  IF(AW73&gt;100,"no application - soil conc. already above limit",
  IF(AX73&gt;100,"application rate too high - soil conc. will exceed limit",
  IF(AW73&gt;100*0.9,"soil conc. is at or above 90% of the limit",
  IF(10*AV73*1000/3000+AW73&gt;100,"soil limit likely to be exceeded in 10yrs",
  IF(50*AV73*1000/3000+AW73&gt;100,"soil limit likely to be exceeded in 50yrs","ok"))))),
IF('Soil results'!$F76&lt;=7,
  IF(AW73&gt;135,"no application - soil conc. already above limit",
  IF(AX73&gt;135,"application rate too high - soil conc. will exceed limit",
  IF(AW73&gt;135*0.9,"soil conc. is at or above 90% of the limit",
  IF(10*AV73*1000/3000+AW73&gt;135,"soil limit likely to be exceeded in 10yrs",
  IF(50*AV73*1000/3000+AW73&gt;135,"soil limit likely to be exceeded in 50yrs","ok"))))),
IF('Soil results'!$F76&gt;7,
  IF(AW73&gt;200,"no application - soil conc. already above limit",
  IF(AX73&gt;200,"application too high - soil conc. will exceed limit",
  IF(AW73&gt;200*0.9,"soil conc. is at or above 90% of the limit",
  IF(10*AV73*1000/3000+AW73&gt;200,"soil limit likely to be exceeded in 10yrs",
  IF(50*AV73*1000/3000+AW73&gt;200,"soil limit likely to be exceeded in 50yrs","ok")))))
))))))))</f>
        <v/>
      </c>
      <c r="BA73" s="238" t="str">
        <f ca="1">IF(B73="","",
IF(AND('Field information 2'!$O$5="", 'Field information 2'!$Q$5=""),
   IF('Waste results'!$S$28&lt;&gt;"data missing", Calc!BC71*'Waste results'!$S$28, "data missing"),
IF('Field information 2'!$Q$5="",
   IF(Calc!BD71=0,
     IF('Waste results'!$S$28&lt;&gt;"data missing", Calc!BC71*'Waste results'!$S$28, "data missing"),
   IF(Calc!BC71=0,
     IF('Waste results'!$S$64&lt;&gt;"data missing", Calc!BD71*'Waste results'!$S$64, "data missing"),
   IF(OR('Waste results'!$S$28&lt;&gt;"data missing", 'Waste results'!$S$64&lt;&gt;"data missing"), Calc!BC71*'Waste results'!$S$28+ Calc!BD71*'Waste results'!$S$64, "data missing"))),
IF(AND('Field information 2'!$M$5&lt;&gt;"", 'Field information 2'!$O$5&lt;&gt;"", 'Field information 2'!$Q$5&lt;&gt;""),
   IF(AND(Calc!BD71=0,Calc!BE71=0),
     IF('Waste results'!$S$28&lt;&gt;"data missing", Calc!BC71*'Waste results'!$S$28, "data missing"),
   IF(AND(Calc!BC71=0,Calc!BE71=0),
     IF('Waste results'!$S$64&lt;&gt;"data missing", Calc!BD71*'Waste results'!$S$64, "data missing"),
   IF(AND(Calc!BC71=0,Calc!BD71=0),
     IF('Waste results'!$S$100&lt;&gt;"data missing", Calc!BE71*'Waste results'!$S$100, "data missing"),
   IF(Calc!BE71=0,
     IF(OR('Waste results'!$S$28&lt;&gt;"data missing", 'Waste results'!$S$64&lt;&gt;"data missing"), Calc!BC71*'Waste results'!$S$28+ Calc!BD71*'Waste results'!$S$64, "data missing"),
   IF(Calc!BD71=0,
     IF(OR('Waste results'!$S$28&lt;&gt;"data missing", 'Waste results'!$S$100&lt;&gt;"data missing"), Calc!BC71*'Waste results'!$S$28+ Calc!BE71*'Waste results'!$S$100, "data missing"),
   IF(Calc!BC71=0,
     IF(OR('Waste results'!$S$64&lt;&gt;"data missing", 'Waste results'!$S$100&lt;&gt;"data missing"), Calc!BD71*'Waste results'!$S$64+Calc!BE71*'Waste results'!$S$100, "data missing"),
   IF(OR('Waste results'!$S$28&lt;&gt;"data missing", 'Waste results'!$S$64&lt;&gt;"data missing", 'Waste results'!$S$100&lt;&gt;"data missing"), Calc!BC71*'Waste results'!$S$28+Calc!BD71*'Waste results'!$S$64+ Calc!BE71*'Waste results'!$S$100, "data missing")))))))))))</f>
        <v/>
      </c>
      <c r="BB73" s="239" t="str">
        <f ca="1">IF($B73="","",
IF(ISBLANK('Soil results'!N76),"data missing",'Soil results'!N76))</f>
        <v/>
      </c>
      <c r="BC73" s="239" t="str">
        <f t="shared" ca="1" si="28"/>
        <v/>
      </c>
      <c r="BD73" s="9" t="str">
        <f t="shared" ca="1" si="29"/>
        <v/>
      </c>
      <c r="BF73" s="238" t="str">
        <f ca="1">IF(B73="","",
IF(AND('Field information 2'!$O$5="", 'Field information 2'!$Q$5=""),
   IF('Waste results'!$S$29&lt;&gt;"data missing", Calc!BC71*'Waste results'!$S$29, "data missing"),
IF('Field information 2'!$Q$5="",
   IF(Calc!BD71=0,
     IF('Waste results'!$S$29&lt;&gt;"data missing", Calc!BC71*'Waste results'!$S$29, "data missing"),
   IF(Calc!BC71=0,
     IF('Waste results'!$S$65&lt;&gt;"data missing", Calc!BD71*'Waste results'!$S$65, "data missing"),
   IF(OR('Waste results'!$S$29&lt;&gt;"data missing", 'Waste results'!$S$65&lt;&gt;"data missing"), Calc!BC71*'Waste results'!$S$29+ Calc!BD71*'Waste results'!$S$65, "data missing"))),
IF(AND('Field information 2'!$M$5&lt;&gt;"", 'Field information 2'!$O$5&lt;&gt;"", 'Field information 2'!$Q$5&lt;&gt;""),
   IF(AND(Calc!BD71=0,Calc!BE71=0),
     IF('Waste results'!$S$29&lt;&gt;"data missing", Calc!BC71*'Waste results'!$S$29, "data missing"),
   IF(AND(Calc!BC71=0,Calc!BE71=0),
     IF('Waste results'!$S$65&lt;&gt;"data missing", Calc!BD71*'Waste results'!$S$65, "data missing"),
   IF(AND(Calc!BC71=0,Calc!BD71=0),
     IF('Waste results'!$S$101&lt;&gt;"data missing", Calc!BE71*'Waste results'!$S$101, "data missing"),
   IF(Calc!BE71=0,
     IF(OR('Waste results'!$S$29&lt;&gt;"data missing", 'Waste results'!$S$65&lt;&gt;"data missing"), Calc!BC71*'Waste results'!$S$29+ Calc!BD71*'Waste results'!$S$65, "data missing"),
   IF(Calc!BD71=0,
     IF(OR('Waste results'!$S$29&lt;&gt;"data missing", 'Waste results'!$S$101&lt;&gt;"data missing"), Calc!BC71*'Waste results'!$S$29+ Calc!BE71*'Waste results'!$S$101, "data missing"),
   IF(Calc!BC71=0,
     IF(OR('Waste results'!$S$65&lt;&gt;"data missing", 'Waste results'!$S$101&lt;&gt;"data missing"), Calc!BD71*'Waste results'!$S$65+Calc!BE71*'Waste results'!$S$101, "data missing"),
   IF(OR('Waste results'!$S$29&lt;&gt;"data missing", 'Waste results'!$S$65&lt;&gt;"data missing", 'Waste results'!$S$101&lt;&gt;"data missing"), Calc!BC71*'Waste results'!$S$29+Calc!BD71*'Waste results'!$S$65+ Calc!BE71*'Waste results'!$S$101, "data missing")))))))))))</f>
        <v/>
      </c>
      <c r="BG73" s="239" t="str">
        <f ca="1">IF($B73="","",
IF(ISBLANK('Soil results'!O76),"data missing",'Soil results'!O76))</f>
        <v/>
      </c>
      <c r="BH73" s="239" t="str">
        <f t="shared" ca="1" si="30"/>
        <v/>
      </c>
      <c r="BI73" s="9" t="str">
        <f ca="1">IF(B73="","",
IF(BF73=0,"n/a",
IF(OR(BF73="data missing",BG73="data missing"),"data missing",
IF(BF73&gt;3,"application rate too high - permissible rate exceeds limit",
IF('Soil results'!F76&lt;=5.5,
  IF(BG73&gt;50,"no application - soil conc. already above limit",
  IF(BH73&gt;50,"application rate too high - soil conc. will exceed limit",
  IF(BG73&gt;50*0.9,"soil conc. is at or above 90% of the limit",
  IF(10*BF73*1000/3000+BG73&gt;50,"soil limit likely to be exceeded in 10yrs",
  IF(50*BF73*1000/3000+BG73&gt;50,"soil limit likely to be exceeded in 50yrs","ok"))))),
IF('Soil results'!F76&lt;=6,
  IF(BG73&gt;60,"no application - soil conc. already above limit",
  IF(BH73&gt;60,"application rate too high - soil conc. will exceed limit",
  IF(BG73&gt;60*0.9,"soil conc. is at or above 90% of the limit",
  IF(10*BF73*1000/3000+BG73&gt;60,"soil limit likely to be exceeded in 10yrs",
  IF(50*BF73*1000/3000+BG73&gt;60,"soil limit likely to be exceeded in 50yrs","ok"))))),
IF('Soil results'!F76&lt;=7,
  IF(BG73&gt;75,"no application - soil conc. already above limit",
  IF(BH73&gt;75,"application rate too high - soil conc. will exceed limit",
  IF(BG73&gt;75*0.9,"soil conc. is at or above 90% of the limit",
  IF(10*BF73*1000/3000+BG73&gt;75,"soil limit likely to be exceeded in 10yrs",
  IF(50*BF73*1000/3000+BG73&gt;75,"soil limit likely to be exceeded in 50yrs","ok"))))),
IF('Soil results'!F76&gt;7,
  IF(BG73&gt;100,"no application - soil conc. already above limit",
  IF(BH73&gt;100,"application rate too high - soil conc. will exceed limit",
  IF(BG73&gt;100*0.9,"soil conc. is at or above 90% of the limit",
  IF(10*BF73*1000/3000+BG73&gt;100,"soil limit likely to be exceeded in 10yrs",
  IF(50*BF73*1000/3000+BG73&gt;100,"soil limit likely to beexceeded in 50yrs","ok")))))
))))))))</f>
        <v/>
      </c>
      <c r="BK73" s="240" t="str">
        <f ca="1">IF(B73="","",
IF(AND('Field information 2'!$O$5="", 'Field information 2'!$Q$5=""),
   IF('Waste results'!$S$30&lt;&gt;"data missing", Calc!BC71*'Waste results'!$S$30, "data missing"),
IF('Field information 2'!$Q$5="",
   IF(Calc!BD71=0,
     IF('Waste results'!$S$30&lt;&gt;"data missing", Calc!BC71*'Waste results'!$S$30, "data missing"),
   IF(Calc!BC71=0,
     IF('Waste results'!$S$66&lt;&gt;"data missing", Calc!BD71*'Waste results'!$S$66, "data missing"),
   IF(OR('Waste results'!$S$30&lt;&gt;"data missing", 'Waste results'!$S$66&lt;&gt;"data missing"), Calc!BC71*'Waste results'!$S$30+ Calc!BD71*'Waste results'!$S$66, "data missing"))),
IF(AND('Field information 2'!$M$5&lt;&gt;"", 'Field information 2'!$O$5&lt;&gt;"", 'Field information 2'!$Q$5&lt;&gt;""),
   IF(AND(Calc!BD71=0,Calc!BE71=0),
     IF('Waste results'!$S$30&lt;&gt;"data missing", Calc!BC71*'Waste results'!$S$30, "data missing"),
   IF(AND(Calc!BC71=0,Calc!BE71=0),
     IF('Waste results'!$S$66&lt;&gt;"data missing", Calc!BD71*'Waste results'!$S$66, "data missing"),
   IF(AND(Calc!BC71=0,Calc!BD71=0),
     IF('Waste results'!$S$102&lt;&gt;"data missing", Calc!BE71*'Waste results'!$S$102, "data missing"),
   IF(Calc!BE71=0,
     IF(OR('Waste results'!$S$30&lt;&gt;"data missing", 'Waste results'!$S$66&lt;&gt;"data missing"), Calc!BC71*'Waste results'!$S$30+ Calc!BD71*'Waste results'!$S$66, "data missing"),
   IF(Calc!BD71=0,
     IF(OR('Waste results'!$S$30&lt;&gt;"data missing", 'Waste results'!$S$102&lt;&gt;"data missing"), Calc!BC71*'Waste results'!$S$30+ Calc!BE71*'Waste results'!$S$102, "data missing"),
   IF(Calc!BC71=0,
     IF(OR('Waste results'!$S$66&lt;&gt;"data missing", 'Waste results'!$S$102&lt;&gt;"data missing"), Calc!BD71*'Waste results'!$S$66+Calc!BE71*'Waste results'!$S$102, "data missing"),
   IF(OR('Waste results'!$S$30&lt;&gt;"data missing", 'Waste results'!$S$66&lt;&gt;"data missing", 'Waste results'!$S$102&lt;&gt;"data missing"), Calc!BC71*'Waste results'!$S$30+Calc!BD71*'Waste results'!$S$66+ Calc!BE71*'Waste results'!$S$102, "data missing")))))))))))</f>
        <v/>
      </c>
      <c r="BL73" s="241" t="str">
        <f ca="1">IF($B73="","",
IF(ISBLANK('Soil results'!P76),"data missing",'Soil results'!P76))</f>
        <v/>
      </c>
      <c r="BM73" s="241" t="str">
        <f t="shared" ca="1" si="31"/>
        <v/>
      </c>
      <c r="BN73" s="66" t="str">
        <f t="shared" ca="1" si="32"/>
        <v/>
      </c>
      <c r="BP73" s="238" t="str">
        <f ca="1">IF(B73="","",
IF(AND('Field information 2'!$O$5="", 'Field information 2'!$Q$5=""),
   IF('Waste results'!$S$31&lt;&gt;"data missing", Calc!BC71*'Waste results'!$S$31, "data missing"),
IF('Field information 2'!$Q$5="",
   IF(Calc!BD71=0,
     IF('Waste results'!$S$31&lt;&gt;"data missing", Calc!BC71*'Waste results'!$S$31, "data missing"),
   IF(Calc!BC71=0,
     IF('Waste results'!$S$67&lt;&gt;"data missing", Calc!BD71*'Waste results'!$S$67, "data missing"),
   IF(OR('Waste results'!$S$31&lt;&gt;"data missing", 'Waste results'!$S$67&lt;&gt;"data missing"), Calc!BC71*'Waste results'!$S$31+ Calc!BD71*'Waste results'!$S$67, "data missing"))),
IF(AND('Field information 2'!$M$5&lt;&gt;"", 'Field information 2'!$O$5&lt;&gt;"", 'Field information 2'!$Q$5&lt;&gt;""),
   IF(AND(Calc!BD71=0,Calc!BE71=0),
     IF('Waste results'!$S$31&lt;&gt;"data missing", Calc!BC71*'Waste results'!$S$31, "data missing"),
   IF(AND(Calc!BC71=0,Calc!BE71=0),
     IF('Waste results'!$S$67&lt;&gt;"data missing", Calc!BD71*'Waste results'!$S$67, "data missing"),
   IF(AND(Calc!BC71=0,Calc!BD71=0),
     IF('Waste results'!$S$103&lt;&gt;"data missing", Calc!BE71*'Waste results'!$S$103, "data missing"),
   IF(Calc!BE71=0,
     IF(OR('Waste results'!$S$31&lt;&gt;"data missing", 'Waste results'!$S$67&lt;&gt;"data missing"), Calc!BC71*'Waste results'!$S$31+ Calc!BD71*'Waste results'!$S$67, "data missing"),
   IF(Calc!BD71=0,
     IF(OR('Waste results'!$S$31&lt;&gt;"data missing", 'Waste results'!$S$103&lt;&gt;"data missing"), Calc!BC71*'Waste results'!$S$31+ Calc!BE71*'Waste results'!$S$103, "data missing"),
   IF(Calc!BC71=0,
     IF(OR('Waste results'!$S$67&lt;&gt;"data missing", 'Waste results'!$S$103&lt;&gt;"data missing"), Calc!BD71*'Waste results'!$S$67+Calc!BE71*'Waste results'!$S$103, "data missing"),
   IF(OR('Waste results'!$S$31&lt;&gt;"data missing", 'Waste results'!$S$67&lt;&gt;"data missing", 'Waste results'!$S$103&lt;&gt;"data missing"), Calc!BC71*'Waste results'!$S$31+Calc!BD71*'Waste results'!$S$67+ Calc!BE71*'Waste results'!$S$103, "data missing")))))))))))</f>
        <v/>
      </c>
      <c r="BQ73" s="239" t="str">
        <f ca="1">IF($B73="","",
IF(ISBLANK('Soil results'!Q76),"data missing",'Soil results'!Q76))</f>
        <v/>
      </c>
      <c r="BR73" s="239" t="str">
        <f t="shared" ca="1" si="33"/>
        <v/>
      </c>
      <c r="BS73" s="9" t="str">
        <f ca="1">IF(B73="","",
IF(BP73=0,"n/a",
IF(OR(BP73="data missing",BQ73=""),"data missing",
IF(BP73&gt;15,"application rate too high - permissible rate exceeds limit",
IF('Soil results'!F76&lt;=5.5,
  IF(BQ73&gt;200,"no application - soil conc. already above limit",
  IF(BR73&gt;200,"application rate too high - soil conc. will exceed limit",
  IF(BQ73&gt;200*0.9,"soil conc. is at or above 90% of the limit",
  IF(10*BP73*1000/3000+BQ73&gt;200,"soil limit likely to be exceeded in 10yrs",
  IF(50*BP73*1000/3000+BQ73&gt;200,"soil limit likely to be exceeded in 50yrs","ok"))))),
IF('Soil results'!F76&lt;=6,
  IF(BQ73&gt;250,"no application - soil conc. already above limit",
  IF(BR73&gt;250,"application rate too high - soil conc. will exceed limit",
  IF(BQ73&gt;250*0.9,"soil conc. is at or above 90% of the limit",
  IF(10*BP73*1000/3000+BQ73&gt;250,"soil limit likely to be exceeded in 10yrs",
  IF(50*BP73*1000/3000+BQ73&gt;250,"soil limit likely to be exceeded in 50yrs","ok"))))),
IF('Soil results'!F76&lt;=7,
  IF(BQ73&gt;300,"no application - soil conc. already above limit",
  IF(BR73&gt;300,"application rate too high - soil conc. will exceed limit",
  IF(BQ73&gt;300*0.9,"soil conc. is at or above 90% of the limit",
  IF(10*BP73*1000/3000+BQ73&gt;300,"soil limit likey to be exceeded in 10yrs",
  IF(50*BP73*1000/3000+BQ73&gt;300,"soil limit likely to be exceeded in 50yrs","ok"))))),
IF('Soil results'!F76&gt;7,
  IF(BQ73&gt;450,"no application - soil conc. already above limit",
  IF(BR73&gt;450,"application rate too high - soil conc. will exceed limit",
  IF(AW73&gt;450*0.9,"soil conc. is at or above 90% of the limit",
  IF(10*BP73*1000/3000+BQ73&gt;450,"soil limit likely to be exceeded in 10yrs",
  IF(50*BP73*1000/3000+BQ73&gt;450,"soil limit likely to be exceeded in 50yrs","ok")))))
))))))))</f>
        <v/>
      </c>
    </row>
    <row r="74" spans="2:71" s="9" customFormat="1" ht="15" x14ac:dyDescent="0.25">
      <c r="B74" s="236" t="str">
        <f ca="1">'Soil results'!B77</f>
        <v/>
      </c>
      <c r="C74" s="91" t="str">
        <f ca="1">IF(B74="","",
IF(AND('Field information 2'!$O$5="", 'Field information 2'!$Q$5=""),
   IF('Waste results'!$S$12&lt;&gt;"data missing", Calc!BC72*'Waste results'!$S$12, "data missing"),
IF('Field information 2'!$Q$5="",
   IF(Calc!BD72=0,
     IF('Waste results'!$S$12&lt;&gt;"data missing", Calc!BC72*'Waste results'!$S$12, "data missing"),
   IF(Calc!BC72=0,
     IF('Waste results'!$S$48&lt;&gt;"data missing", Calc!BD72*'Waste results'!$S$48, "data missing"),
   IF(OR('Waste results'!$S$12&lt;&gt;"data missing", 'Waste results'!$S$48&lt;&gt;"data missing"), Calc!BC72*'Waste results'!$S$12+ Calc!BD72*'Waste results'!$S$48, "data missing"))),
IF(AND('Field information 2'!$M$5&lt;&gt;"", 'Field information 2'!$O$5&lt;&gt;"", 'Field information 2'!$Q$5&lt;&gt;""),
   IF(AND(Calc!BD72=0,Calc!BE72=0),
     IF('Waste results'!$S$12&lt;&gt;"data missing", Calc!BC72*'Waste results'!$S$12, "data missing"),
   IF(AND(Calc!BC72=0,Calc!BE72=0),
     IF('Waste results'!$S$48&lt;&gt;"data missing", Calc!BD72*'Waste results'!$S$48, "data missing"),
   IF(AND(Calc!BC72=0,Calc!BD72=0),
     IF('Waste results'!$S$84&lt;&gt;"data missing", Calc!BE72*'Waste results'!$S$84, "data missing"),
   IF(Calc!BE72=0,
     IF(OR('Waste results'!$S$12&lt;&gt;"data missing", 'Waste results'!$S$48&lt;&gt;"data missing"), Calc!BC72*'Waste results'!$S$12+ Calc!BD72*'Waste results'!$S$48, "data missing"),
   IF(Calc!BD72=0,
     IF(OR('Waste results'!$S$12&lt;&gt;"data missing", 'Waste results'!$S$84&lt;&gt;"data missing"), Calc!BC72*'Waste results'!$S$12+ Calc!BE72*'Waste results'!$S$84, "data missing"),
   IF(Calc!BC72=0,
     IF(OR('Waste results'!$S$48&lt;&gt;"data missing", 'Waste results'!$S$84&lt;&gt;"data missing"), Calc!BD72*'Waste results'!$S$48+Calc!BE72*'Waste results'!$S$84, "data missing"),
   IF(OR('Waste results'!$S$12&lt;&gt;"data missing", 'Waste results'!$S$48&lt;&gt;"data missing", 'Waste results'!$S$84&lt;&gt;"data missing"), Calc!BC72*'Waste results'!$S$12+Calc!BD72*'Waste results'!$S$48+ Calc!BE72*'Waste results'!$S$84, "data missing")))))))))))</f>
        <v/>
      </c>
      <c r="D74" s="161" t="str">
        <f ca="1">IF(B74="","",
IF(Calc!BG72="","soil texture missing",
IF(OR(Calc!BG72="SL; SZL; ZL",Calc!BG72="SCL; CL; ZCL; SC; ZC; C"),VLOOKUP(Calc!BI72,'Fertiliser recommendations'!$A$4:$C$63,3,FALSE),
IF(Calc!BG72="S; LS",VLOOKUP(Calc!BI72,'Fertiliser recommendations'!$A$4:$C$63,3,FALSE)+VLOOKUP(Calc!BI72,'Fertiliser recommendations'!$A$4:$D$63,4,FALSE),
IF(Calc!BG72="10-25% OM",VLOOKUP(Calc!BI72,'Fertiliser recommendations'!$A$4:$C$63,3,FALSE)+VLOOKUP(Calc!BI72,'Fertiliser recommendations'!$A$4:$E$63,5,FALSE),
IF(Calc!BG72="&gt;25% OM",VLOOKUP(Calc!BI72,'Fertiliser recommendations'!$A$4:$C$63,3,FALSE)+VLOOKUP(Calc!BI72,'Fertiliser recommendations'!$A$4:$F$63,6,FALSE),
""))))))</f>
        <v/>
      </c>
      <c r="E74" s="91" t="str">
        <f t="shared" ca="1" si="17"/>
        <v/>
      </c>
      <c r="F74" s="9" t="str">
        <f ca="1">IF(B74="","",
IF(OR(C74="data missing",D74="soil texture missing"),"data missing",
IF(Calc!BF72=0,"n/a",
IF(C74&lt;0.1*D74,"no benefit",
IF(C74&lt;0.3*D74,"limited benefit",
IF(C74&gt;250,"exceeds limit",
IF(OR(AND(D74=0,C74&gt;75),C74&gt;1.25*D74),"excessive",
IF(D74=0, "no requirement",
"benefit"))))))))</f>
        <v/>
      </c>
      <c r="H74" s="91" t="str">
        <f ca="1">IF(B74="","",
IF(AND('Field information 2'!$O$5="", 'Field information 2'!$Q$5=""),
   IF('Waste results'!$S$17&lt;&gt;"data missing", Calc!BC72*'Waste results'!$S$17, "data missing"),
IF('Field information 2'!$Q$5="",
   IF(Calc!BD72=0,
     IF('Waste results'!$S$17&lt;&gt;"data missing", Calc!BC72*'Waste results'!$S$17, "data missing"),
   IF(Calc!BC72=0,
     IF('Waste results'!$S$53&lt;&gt;"data missing", Calc!BD72*'Waste results'!$S$53, "data missing"),
   IF(OR('Waste results'!$S$17&lt;&gt;"data missing", 'Waste results'!$S$53&lt;&gt;"data missing"), Calc!BC72*'Waste results'!$S$17+ Calc!BD72*'Waste results'!$S$53, "data missing"))),
IF(AND('Field information 2'!$M$5&lt;&gt;"", 'Field information 2'!$O$5&lt;&gt;"", 'Field information 2'!$Q$5&lt;&gt;""),
   IF(AND(Calc!BD72=0,Calc!BE72=0),
     IF('Waste results'!$S$17&lt;&gt;"data missing", Calc!BC72*'Waste results'!$S$17, "data missing"),
   IF(AND(Calc!BC72=0,Calc!BE72=0),
     IF('Waste results'!$S$53&lt;&gt;"data missing", Calc!BD72*'Waste results'!$S$53, "data missing"),
   IF(AND(Calc!BC72=0,Calc!BD72=0),
     IF('Waste results'!$S$89&lt;&gt;"data missing", Calc!BE72*'Waste results'!$S$89, "data missing"),
   IF(Calc!BE72=0,
     IF(OR('Waste results'!$S$17&lt;&gt;"data missing", 'Waste results'!$S$53&lt;&gt;"data missing"), Calc!BC72*'Waste results'!$S$17+ Calc!BD72*'Waste results'!$S$53, "data missing"),
   IF(Calc!BD72=0,
     IF(OR('Waste results'!$S$17&lt;&gt;"data missing", 'Waste results'!$S$89&lt;&gt;"data missing"), Calc!BC72*'Waste results'!$S$17+ Calc!BE72*'Waste results'!$S$89, "data missing"),
   IF(Calc!BC72=0,
     IF(OR('Waste results'!$S$53&lt;&gt;"data missing", 'Waste results'!$S$89&lt;&gt;"data missing"), Calc!BD72*'Waste results'!$S$53+Calc!BE72*'Waste results'!$S$89, "data missing"),
   IF(OR('Waste results'!$S$17&lt;&gt;"data missing", 'Waste results'!$S$53&lt;&gt;"data missing", 'Waste results'!$S$89&lt;&gt;"data missing"), Calc!BC72*'Waste results'!$S$17+Calc!BD72*'Waste results'!$S$53+ Calc!BE72*'Waste results'!$S$89, "data missing")))))))))))</f>
        <v/>
      </c>
      <c r="I74" s="195" t="str">
        <f ca="1">IF(B74="","",
IF(OR(ISBLANK('Soil results'!G77), ISBLANK('Soil results'!G$7)),"data missing",
IF(OR(AND('Soil results'!G$7="Olsen (ADAS)",'Soil results'!G77&lt;16),AND('Soil results'!G$7="modified Morgan (SAC)",'Soil results'!G77&lt;4.5)),50,100)))</f>
        <v/>
      </c>
      <c r="J74" s="49" t="str">
        <f ca="1">IF(B74="","",
IF(OR(ISBLANK('Soil results'!G$7),ISBLANK('Soil results'!G77)),"data missing",
IF(OR(AND('Soil results'!G$7="Olsen (ADAS)",'Soil results'!G77&gt;45),AND('Soil results'!G$7="modified Morgan (SAC)",'Soil results'!G77&gt;30)),0,
IF(OR(AND('Soil results'!G$7="Olsen (ADAS)",'Soil results'!G77&gt;=16,'Soil results'!G77&lt;=20),AND('Soil results'!G$7="modified Morgan (SAC)",'Soil results'!G77&gt;=4.5,'Soil results'!G77&lt;=9.4)),VLOOKUP(Calc!BI72,'Fertiliser recommendations'!$A$4:$I$63,9,FALSE),
IF(OR(AND('Soil results'!G$7="Olsen (ADAS)",'Soil results'!G77&lt;10),AND('Soil results'!G$7="modified Morgan (SAC)",'Soil results'!G77&lt;1.8)),VLOOKUP(Calc!BI72,'Fertiliser recommendations'!$A$4:$I$63,9,FALSE)+VLOOKUP(Calc!BI72,'Fertiliser recommendations'!$A$4:$J$63,10,FALSE),
IF(OR(AND('Soil results'!G$7="Olsen (ADAS)",'Soil results'!G77&lt;16),AND('Soil results'!G$7="modified Morgan (SAC)",'Soil results'!G77&lt;4.5)),VLOOKUP(Calc!BI72,'Fertiliser recommendations'!$A$4:$I$63,9,FALSE)+VLOOKUP(Calc!BI72,'Fertiliser recommendations'!$A$4:$K$63,11,FALSE),
IF(OR(AND('Soil results'!G$7="Olsen (ADAS)",'Soil results'!G77&lt;26),AND('Soil results'!G$7="modified Morgan (SAC)",'Soil results'!G77&lt;13.5)),VLOOKUP(Calc!BI72,'Fertiliser recommendations'!$A$4:$I$63,9,FALSE)+VLOOKUP(Calc!BI72,'Fertiliser recommendations'!$A$4:$L$63,12,FALSE),
IF(OR(AND('Soil results'!G$7="Olsen (ADAS)",'Soil results'!G77&lt;=45),AND('Soil results'!G$7="modified Morgan (SAC)",'Soil results'!G77&lt;=30)),VLOOKUP(Calc!BI72,'Fertiliser recommendations'!$A$4:$I$63,9,FALSE)+VLOOKUP(Calc!BI72,'Fertiliser recommendations'!$A$4:$M$63,13,FALSE),
""))))))))</f>
        <v/>
      </c>
      <c r="K74" s="161" t="str">
        <f t="shared" ca="1" si="18"/>
        <v/>
      </c>
      <c r="L74" s="47" t="str">
        <f ca="1">IF(OR(ISBLANK('Soil results'!G$7),ISBLANK('Soil results'!G77),B74="", H74="data missing"),"",
IF('Soil results'!G$7="Olsen (ADAS)",
IF(((H74*Calc!BM72/2.291-(VLOOKUP(Calc!BI72,'Fertiliser recommendations'!$A$4:$I$63,9,FALSE))/2.291)*10/(400/2.291)+'Soil results'!G77)&lt;10,"0 (VL)",
IF(((H74*Calc!BM72/2.291-(VLOOKUP(Calc!BI72,'Fertiliser recommendations'!$A$4:$I$63,9,FALSE))/2.291)*10/(400/2.291)+'Soil results'!G77)&lt;16,"1 (L)",
IF(((H74*Calc!BM72/2.291-(VLOOKUP(Calc!BI72,'Fertiliser recommendations'!$A$4:$I$63,9,FALSE))/2.291)*10/(400/2.291)+'Soil results'!G77)&lt;21,"2 (M-)",
IF(((H74*Calc!BM72/2.291-(VLOOKUP(Calc!BI72,'Fertiliser recommendations'!$A$4:$I$63,9,FALSE))/2.291)*10/(400/2.291)+'Soil results'!G77)&lt;26,"2 (M+)",
IF(((H74*Calc!BM72/2.291-(VLOOKUP(Calc!BI72,'Fertiliser recommendations'!$A$4:$I$63,9,FALSE))/2.291)*10/(400/2.291)+'Soil results'!G77)&lt;45,"3 (H)","&gt;3 (VH)"))))),
IF('Soil results'!G$7="modified Morgan (SAC)",
IF('Soil results'!G77&gt;=6,
IF(((H74*Calc!BM72/2.291-(VLOOKUP(Calc!BI72,'Fertiliser recommendations'!$A$4:$I$63,9,FALSE))/2.291)*5/(147/2.291)+'Soil results'!G77)&lt;9.5,"2 (M-)",
IF(((H74*Calc!BM72/2.291-(VLOOKUP(Calc!BI72,'Fertiliser recommendations'!$A$4:$I$63,9,FALSE))/2.291)*5/(147/2.291)+'Soil results'!G77)&lt;13.5,"2 (M+)",
IF(((H74*Calc!BM72/2.291-(VLOOKUP(Calc!BI72,'Fertiliser recommendations'!$A$4:$I$63,9,FALSE))/2.291)*5/(147/2.291)+'Soil results'!G77)&lt;30,"3 (H)","4 (VH)"))),
IF(((H74*Calc!BM72/2.291-(VLOOKUP(Calc!BI72,'Fertiliser recommendations'!$A$4:$I$63,9,FALSE))/2.291)*5/(346/2.291)+'Soil results'!G77)&lt;1.8,"0 (VL)",
IF(((H74*Calc!BM72/2.291-(VLOOKUP(Calc!BI72,'Fertiliser recommendations'!$A$4:$I$63,9,FALSE))/2.291)*5/(147/2.291)+'Soil results'!G77)&lt;4.5,"1 (L)","2 (M-)"))))))</f>
        <v/>
      </c>
      <c r="M74" s="9" t="str">
        <f ca="1">IF(B74="","",
IF(OR(H74="data missing",I74="data missing",J74="data missing"),"data missing",
IF(Calc!BF72=0,"n/a",
IF(OR(AND('Soil results'!G$7="Olsen (ADAS)",'Soil results'!G77&gt;45),AND('Soil results'!G$7="modified Morgan (SAC)",'Soil results'!G77&gt;30)),
IF(H74&gt;2,"too high, not acceptable","no requirement"),IF(OR(AND('Soil results'!G$7="Olsen (ADAS)",'Soil results'!G77&gt;25),AND('Soil results'!G$7="modified Morgan (SAC)",'Soil results'!G77&gt;13.4)),
IF(H74*(I74/100)&lt;0.1*J74,"no benefit",
IF(H74*(I74/100)&lt;0.3*J74,"limited benefit",
IF(H74*(I74/100)&lt;1.1*J74,"benefit",
IF(H74*(I74/100)&lt;0.7*VLOOKUP(Calc!BI72,'Fertiliser recommendations'!$A$4:$I$63,9,FALSE),"excessive","too high, not acceptable")))),
IF(OR(AND('Soil results'!G$7="Olsen (ADAS)",'Soil results'!G77&gt;20),AND('Soil results'!G$7="modified Morgan (SAC)",'Soil results'!G77&gt;9.4)),
IF(H74*Calc!BM72*(I74/100)&lt;0.1*J74,"no benefit",
IF(H74*Calc!BM72*(I74/100)&lt;0.3*J74,"limited benefit",
IF(H74*Calc!BM72*(I74/100)&lt;1.1*J74,"benefit",
IF(L74="3 (H)","too high, not acceptable","excessive")))),
IF(OR(AND('Soil results'!G$7="Olsen (ADAS)",'Soil results'!G77&gt;15),AND('Soil results'!G$7="modified Morgan (SAC)",'Soil results'!G77&gt;4.4)),
IF(H74*Calc!BM72*(I74/100)&lt;0.1*VLOOKUP(Calc!BI72,'Fertiliser recommendations'!$A$4:$I$63,9,FALSE),"no benefit",
IF(H74*Calc!BM72*(I74/100)&lt;0.3*VLOOKUP(Calc!BI72,'Fertiliser recommendations'!$A$4:$I$63,9,FALSE),"limited benefit",
IF(H74*Calc!BM72*(I74/100)&lt;1.1*VLOOKUP(Calc!BI72,'Fertiliser recommendations'!$A$4:$I$63,9,FALSE),"benefit",
IF(L74="3 (H)", "too high, not acceptable", "excessive")))),
IF(OR(AND('Soil results'!G$7="Olsen (ADAS)",'Soil results'!G77&lt;=15),AND('Soil results'!G$7="modified Morgan (SAC)",'Soil results'!G77&lt;=4.4)),
IF(H74*Calc!BM72*(I74/100)&lt;0.1*VLOOKUP(Calc!BI72,'Fertiliser recommendations'!$A$4:$I$63,9,FALSE),"no benefit",
IF(H74*Calc!BM72*(I74/100)&lt;0.3*VLOOKUP(Calc!BI72,'Fertiliser recommendations'!$A$4:$I$63,9,FALSE),"limited benefit",
IF(H74*Calc!BM72*(I74/100)&lt;1.1*J74,"benefit","excessive")))))))))))</f>
        <v/>
      </c>
      <c r="O74" s="91" t="str">
        <f ca="1">IF(B74="","",
IF(AND('Field information 2'!$O$5="", 'Field information 2'!$Q$5=""),
   IF('Waste results'!$S$19&lt;&gt;"data missing", Calc!BC72*'Waste results'!$S$19, "data missing"),
IF('Field information 2'!$Q$5="",
   IF(Calc!BD72=0,
     IF('Waste results'!$S$19&lt;&gt;"data missing", Calc!BC72*'Waste results'!$S$19, "data missing"),
   IF(Calc!BC72=0,
     IF('Waste results'!$S$55&lt;&gt;"data missing", Calc!BD72*'Waste results'!$S$55, "data missing"),
   IF(OR('Waste results'!$S$19&lt;&gt;"data missing", 'Waste results'!$S$55&lt;&gt;"data missing"), Calc!BC72*'Waste results'!$S$19+ Calc!BD72*'Waste results'!$S$55, "data missing"))),
IF(AND('Field information 2'!$M$5&lt;&gt;"", 'Field information 2'!$O$5&lt;&gt;"", 'Field information 2'!$Q$5&lt;&gt;""),
   IF(AND(Calc!BD72=0,Calc!BE72=0),
     IF('Waste results'!$S$19&lt;&gt;"data missing", Calc!BC72*'Waste results'!$S$19, "data missing"),
   IF(AND(Calc!BC72=0,Calc!BE72=0),
     IF('Waste results'!$S$55&lt;&gt;"data missing", Calc!BD72*'Waste results'!$S$55, "data missing"),
   IF(AND(Calc!BC72=0,Calc!BD72=0),
     IF('Waste results'!$S$91&lt;&gt;"data missing", Calc!BE72*'Waste results'!$S$91, "data missing"),
   IF(Calc!BE72=0,
     IF(OR('Waste results'!$S$19&lt;&gt;"data missing", 'Waste results'!$S$55&lt;&gt;"data missing"), Calc!BC72*'Waste results'!$S$19+ Calc!BD72*'Waste results'!$S$55, "data missing"),
   IF(Calc!BD72=0,
     IF(OR('Waste results'!$S$19&lt;&gt;"data missing", 'Waste results'!$S$91&lt;&gt;"data missing"), Calc!BC72*'Waste results'!$S$19+ Calc!BE72*'Waste results'!$S$91, "data missing"),
   IF(Calc!BC72=0,
     IF(OR('Waste results'!$S$55&lt;&gt;"data missing", 'Waste results'!$S$91&lt;&gt;"data missing"), Calc!BD72*'Waste results'!$S$55+Calc!BE72*'Waste results'!$S$91, "data missing"),
   IF(OR('Waste results'!$S$19&lt;&gt;"data missing", 'Waste results'!$S$55&lt;&gt;"data missing", 'Waste results'!$S$91&lt;&gt;"data missing"), Calc!BC72*'Waste results'!$S$19+Calc!BD72*'Waste results'!$S$55+ Calc!BE72*'Waste results'!$S$91, "data missing")))))))))))</f>
        <v/>
      </c>
      <c r="P74" s="91" t="str">
        <f ca="1">IF(B74="","",
IF(OR(ISBLANK('Soil results'!H$7),ISBLANK('Soil results'!H77)),"data missing",
IF(OR(AND('Soil results'!H$7="ammonium nitrate (ADAS)",'Soil results'!H77&gt;400),AND('Soil results'!H$7="modified Morgan (SAC)",'Soil results'!H77&gt;400)),0,
IF(OR(AND('Soil results'!H$7="ammonium nitrate (ADAS)",'Soil results'!H77&gt;=121,'Soil results'!H77&lt;=180),AND('Soil results'!H$7="modified Morgan (SAC)",'Soil results'!H77&gt;=76,'Soil results'!H77&lt;=140)),VLOOKUP(Calc!BI72,'Fertiliser recommendations'!$A$4:$Z$63,26,FALSE),
IF(OR(AND('Soil results'!H$7="ammonium nitrate (ADAS)",'Soil results'!H77&lt;61),AND('Soil results'!H$7="modified Morgan (SAC)",'Soil results'!H77&lt;40)),VLOOKUP(Calc!BI72,'Fertiliser recommendations'!$A$4:$Z$63,26,FALSE)+VLOOKUP(Calc!BI72,'Fertiliser recommendations'!$A$4:$AA$63,27,FALSE),
IF(OR(AND('Soil results'!H$7="ammonium nitrate (ADAS)",'Soil results'!H77&lt;121),AND('Soil results'!H$7="modified Morgan (SAC)",'Soil results'!H77&lt;76)),VLOOKUP(Calc!BI72,'Fertiliser recommendations'!$A$4:$Z$63,26,FALSE)+VLOOKUP(Calc!BI72,'Fertiliser recommendations'!$A$4:$AB$63,28,FALSE),
IF(OR(AND('Soil results'!H$7="ammonium nitrate (ADAS)",'Soil results'!H77&lt;241),AND('Soil results'!H$7="modified Morgan (SAC)",'Soil results'!H77&lt;201)),VLOOKUP(Calc!BI72,'Fertiliser recommendations'!$A$4:$Z$63,26,FALSE)+VLOOKUP(Calc!BI72,'Fertiliser recommendations'!$A$4:$AC$63,29,FALSE),
IF(OR(AND('Soil results'!H$7="ammonium nitrate (ADAS)",'Soil results'!H77&lt;=400),AND('Soil results'!H$7="modified Morgan (SAC)",'Soil results'!H77&lt;=400)),VLOOKUP(Calc!BI72,'Fertiliser recommendations'!$A$4:$Z$63,26,FALSE)+VLOOKUP(Calc!BI72,'Fertiliser recommendations'!$A$4:$AD$63,30,FALSE),
"??"))))))))</f>
        <v/>
      </c>
      <c r="Q74" s="91" t="str">
        <f t="shared" ca="1" si="19"/>
        <v/>
      </c>
      <c r="R74" s="9" t="str">
        <f ca="1">IF(B74="","",
IF(OR(O74="data missing",P74="data missing"),"data missing",
IF(Calc!BF72=0,"n/a",
IF(P74=0, "no requirement",
IF(O74&lt;0.1*P74,"no benefit",
IF(O74&lt;0.3*P74,"limited benefit",
IF(O74&gt;1.25*P74,"excessive",
"benefit")))))))</f>
        <v/>
      </c>
      <c r="T74" s="91" t="str">
        <f ca="1">IF(B74="","",
IF(AND('Field information 2'!$O$5="", 'Field information 2'!$Q$5=""),
   IF('Waste results'!$S$21&lt;&gt;"data missing", Calc!BC72*'Waste results'!$S$21, "data missing"),
IF('Field information 2'!$Q$5="",
   IF(Calc!BD72=0,
     IF('Waste results'!$S$21&lt;&gt;"data missing", Calc!BC72*'Waste results'!$S$21, "data missing"),
   IF(Calc!BC72=0,
     IF('Waste results'!$S$57&lt;&gt;"data missing", Calc!BD72*'Waste results'!$S$57, "data missing"),
   IF(OR('Waste results'!$S$21&lt;&gt;"data missing", 'Waste results'!$S$57&lt;&gt;"data missing"), Calc!BC72*'Waste results'!$S$21+ Calc!BD72*'Waste results'!$S$57, "data missing"))),
IF(AND('Field information 2'!$M$5&lt;&gt;"", 'Field information 2'!$O$5&lt;&gt;"", 'Field information 2'!$Q$5&lt;&gt;""),
   IF(AND(Calc!BD72=0,Calc!BE72=0),
     IF('Waste results'!$S$21&lt;&gt;"data missing", Calc!BC72*'Waste results'!$S$21, "data missing"),
   IF(AND(Calc!BC72=0,Calc!BE72=0),
     IF('Waste results'!$S$57&lt;&gt;"data missing", Calc!BD72*'Waste results'!$S$57, "data missing"),
   IF(AND(Calc!BC72=0,Calc!BD72=0),
     IF('Waste results'!$S$93&lt;&gt;"data missing", Calc!BE72*'Waste results'!$S$93, "data missing"),
   IF(Calc!BE72=0,
     IF(OR('Waste results'!$S$21&lt;&gt;"data missing", 'Waste results'!$S$57&lt;&gt;"data missing"), Calc!BC72*'Waste results'!$S$21+ Calc!BD72*'Waste results'!$S$57, "data missing"),
   IF(Calc!BD72=0,
     IF(OR('Waste results'!$S$21&lt;&gt;"data missing", 'Waste results'!$S$93&lt;&gt;"data missing"), Calc!BC72*'Waste results'!$S$21+ Calc!BE72*'Waste results'!$S$93, "data missing"),
   IF(Calc!BC72=0,
     IF(OR('Waste results'!$S$57&lt;&gt;"data missing", 'Waste results'!$S$93&lt;&gt;"data missing"), Calc!BD72*'Waste results'!$S$57+Calc!BE72*'Waste results'!$S$93, "data missing"),
   IF(OR('Waste results'!$S$21&lt;&gt;"data missing", 'Waste results'!$S$57&lt;&gt;"data missing", 'Waste results'!$S$93&lt;&gt;"data missing"), Calc!BC72*'Waste results'!$S$21+Calc!BD72*'Waste results'!$S$57+ Calc!BE72*'Waste results'!$S$93, "data missing")))))))))))</f>
        <v/>
      </c>
      <c r="U74" s="7" t="str">
        <f ca="1">IF(B74="","",
IF(OR(ISBLANK('Soil results'!I$7),ISBLANK('Soil results'!I77)),"data missing",
IF(OR(AND('Soil results'!I$7="ammonium nitrate (ADAS)",'Soil results'!I77&gt;51),AND('Soil results'!I$7="modified Morgan (SAC)",'Soil results'!I77&gt;61)),0,
IF(OR(AND('Soil results'!I$7="ammonium nitrate (ADAS)",'Soil results'!I77&lt;25),AND('Soil results'!I$7="modified Morgan (SAC)",'Soil results'!I77&lt;19)),VLOOKUP(Calc!BI72,'Fertiliser recommendations'!$A$4:$AH$63,34,FALSE),
IF(OR(AND('Soil results'!I$7="ammonium nitrate (ADAS)",'Soil results'!I77&lt;=51),AND('Soil results'!I$7="modified Morgan (SAC)",'Soil results'!I77&lt;=61)),VLOOKUP(Calc!BI72,'Fertiliser recommendations'!$A$4:$AI$63,35,FALSE),
"")))))</f>
        <v/>
      </c>
      <c r="V74" s="91" t="str">
        <f t="shared" ca="1" si="20"/>
        <v/>
      </c>
      <c r="W74" s="9" t="str">
        <f ca="1">IF(B74="","",
IF(OR(T74="data missing",U74="data missing"),"data missing",
IF(Calc!BF72=0,"n/a",
IF(U74=0,"no requirement",
IF(T74&lt;0.1*U74,"no benefit",
IF(T74&lt;0.3*U74,"limited benefit",
IF(OR(T74&gt;1.5*U74,AND(Calc!BJ72="g",T74&gt;100)),"excessive",
"benefit")))))))</f>
        <v/>
      </c>
      <c r="Y74" s="91" t="str">
        <f ca="1">IF(B74="","",
IF(AND('Field information 2'!$O$5="", 'Field information 2'!$Q$5=""),
   IF('Waste results'!$P$23&lt;&gt;"", Calc!BC72*'Waste results'!$P$23, "no data"),
IF('Field information 2'!$Q$5="",
   IF(Calc!BD72=0,
     IF('Waste results'!$P$23&lt;&gt;"", Calc!BC72*'Waste results'!$P$23, "no data"),
   IF(Calc!BC72=0,
     IF('Waste results'!$P$59&lt;&gt;"", Calc!BD72*'Waste results'!$P$59, "no data"),
   IF(OR('Waste results'!$P$23&lt;&gt;"", 'Waste results'!$P$59&lt;&gt;""), Calc!BC72*'Waste results'!$P$23+ Calc!BD72*'Waste results'!$P$59, "no data"))),
IF(AND('Field information 2'!$M$5&lt;&gt;"", 'Field information 2'!$O$5&lt;&gt;"", 'Field information 2'!$Q$5&lt;&gt;""),
   IF(AND(Calc!BD72=0,Calc!BE72=0),
     IF('Waste results'!$P$23&lt;&gt;"", Calc!BC72*'Waste results'!$P$23, "no data"),
   IF(AND(Calc!BC72=0,Calc!BE72=0),
     IF('Waste results'!$P$59&lt;&gt;"", Calc!BD72*'Waste results'!$P$59, "no data"),
   IF(AND(Calc!BC72=0,Calc!BD72=0),
     IF('Waste results'!$P$95&lt;&gt;"", Calc!BE72*'Waste results'!$P$95, "no data"),
   IF(Calc!BE72=0,
     IF(OR('Waste results'!$P$23&lt;&gt;"", 'Waste results'!$P$59&lt;&gt;""), Calc!BC72*'Waste results'!$P$23+ Calc!BD72*'Waste results'!$P$59, "no data"),
   IF(Calc!BD72=0,
     IF(OR('Waste results'!$P$23&lt;&gt;"", 'Waste results'!$P$95&lt;&gt;""), Calc!BC72*'Waste results'!$P$23+ Calc!BE72*'Waste results'!$P$95, "no data"),
   IF(Calc!BC72=0,
     IF(OR('Waste results'!$P$59&lt;&gt;"", 'Waste results'!$P$95&lt;&gt;""), Calc!BD72*'Waste results'!$P$59+Calc!BE72*'Waste results'!$P$95, "no data"),
   IF(OR('Waste results'!$P$23&lt;&gt;"", 'Waste results'!$P$59&lt;&gt;"", 'Waste results'!$P$95&lt;&gt;""), Calc!BC72*'Waste results'!$P$23+Calc!BD72*'Waste results'!$P$59+ Calc!BE72*'Waste results'!$P$95, "no data")))))))))))</f>
        <v/>
      </c>
      <c r="Z74" s="7" t="str">
        <f ca="1">IF(OR(ISBLANK('Soil results'!I$7),ISBLANK('Soil results'!I77),'Soil results'!B77=""),"",
VLOOKUP(Calc!BI72,'Fertiliser recommendations'!$A$4:$AM$63,39,FALSE))</f>
        <v/>
      </c>
      <c r="AA74" s="91" t="str">
        <f t="shared" ca="1" si="21"/>
        <v/>
      </c>
      <c r="AB74" s="9" t="str">
        <f t="shared" ca="1" si="22"/>
        <v/>
      </c>
      <c r="AD74" s="48" t="str">
        <f>IF(ISBLANK('Soil results'!F77),"",'Soil results'!F77)</f>
        <v/>
      </c>
      <c r="AE74" s="49" t="str">
        <f ca="1">IF(B74="","",
IF(AND(Calc!BJ72="g", VLOOKUP(LEFT($B74,LEN($B74)-2),'Field information 2'!$B$12:$P$111,9,FALSE)&lt;&gt;"yes"),
 IF(Calc!BG72="10-25% OM", 5.9, IF(Calc!BG72="&gt;25% OM", 5.5, 6.2)),
IF(OR(Calc!BJ72="a", VLOOKUP(LEFT($B74,LEN($B74)-2),'Field information 2'!$B$12:$P$111,9,FALSE)="yes"),
 IF(Calc!BG72="10-25% OM", 6.4, IF(Calc!BG72="&gt;25% OM", 6, 6.7)), "")))</f>
        <v/>
      </c>
      <c r="AF74" s="91" t="str">
        <f ca="1">IF(B74="","",
IF('Waste results'!$Q$33="","no (significant) liming properties",
IF('Waste results'!Q$33&gt;100,"no (significant) liming properties",
IF(AD74="","",
IF(AD74&gt;=AE74,0,ROUNDDOWN((AE74-AD74)*Calc!BK72*'Waste results'!$Q$33+0.2,0))))))</f>
        <v/>
      </c>
      <c r="AG74" s="9" t="str">
        <f ca="1">IF(B74="","",
IF(T74=0,"n/a",
IF(AD74="","data missing",
IF(AND(AD74&lt;5,AF74="no (significant) liming properties"),"no waste application - pH too low",
IF(AND(AD74&gt;5.1,AF74="no (significant) liming properties",Calc!BH72&gt;25, LEFT(Calc!BI72,4)="graz"),"ok",
IF(AND(AD74&lt;=5.2,AF74="no (significant) liming properties"),"liming highly recommended",
IF(AF74=0,"no waste application - liming not required",
IF(AF74&lt;Calc!BC72,"application rate too high - exceeds liming requirement",
"ok"))))))))</f>
        <v/>
      </c>
      <c r="AI74" s="91" t="str">
        <f ca="1">IF(B74="","",
IF(AND('Field information 2'!$O$5="", 'Field information 2'!$Q$5=""),
   IF('Waste results'!$P$10&lt;&gt;"data missing", Calc!BC72*'Waste results'!$P$10, "data missing"),
IF('Field information 2'!$Q$5="",
   IF(Calc!BD72=0,
     IF('Waste results'!$P$10&lt;&gt;"data missing", Calc!BC72*'Waste results'!$P$10, "data missing"),
   IF(Calc!BC72=0,
     IF('Waste results'!$P$45&lt;&gt;"data missing", Calc!BD72*'Waste results'!$P$45, "data missing"),
   IF(OR('Waste results'!$P$10&lt;&gt;"data missing", 'Waste results'!$P$45&lt;&gt;"data missing"), Calc!BC72*'Waste results'!$P$10+ Calc!BD72*'Waste results'!$P$45, "data missing"))),
IF(AND('Field information 2'!$M$5&lt;&gt;"", 'Field information 2'!$O$5&lt;&gt;"", 'Field information 2'!$Q$5&lt;&gt;""),
   IF(AND(Calc!BD72=0,Calc!BE72=0),
     IF('Waste results'!$P$10&lt;&gt;"data missing", Calc!BC72*'Waste results'!$P$10, "data missing"),
   IF(AND(Calc!BC72=0,Calc!BE72=0),
     IF('Waste results'!$P$45&lt;&gt;"data missing", Calc!BD72*'Waste results'!$P$45, "data missing"),
   IF(AND(Calc!BC72=0,Calc!BD72=0),
     IF('Waste results'!$P$82&lt;&gt;"data missing", Calc!BE72*'Waste results'!$P$82, "data missing"),
   IF(Calc!BE72=0,
     IF(OR('Waste results'!$P$10&lt;&gt;"data missing", 'Waste results'!$P$45&lt;&gt;"data missing"), Calc!BC72*'Waste results'!$P$10+ Calc!BD72*'Waste results'!$P$45, "data missing"),
   IF(Calc!BD72=0,
     IF(OR('Waste results'!$P$10&lt;&gt;"data missing", 'Waste results'!$P$82&lt;&gt;"data missing"), Calc!BC72*'Waste results'!$P$10+ Calc!BE72*'Waste results'!$P$82, "data missing"),
   IF(Calc!BC72=0,
     IF(OR('Waste results'!$P$45&lt;&gt;"data missing", 'Waste results'!$P$82&lt;&gt;"data missing"), Calc!BD72*'Waste results'!$P$45+Calc!BE72*'Waste results'!$P$82, "data missing"),
   IF(OR('Waste results'!$P$10&lt;&gt;"data missing", 'Waste results'!$P$45&lt;&gt;"data missing", 'Waste results'!$P$82&lt;&gt;"data missing"), Calc!BC72*'Waste results'!$P$10+Calc!BD72*'Waste results'!$P$45+ Calc!BE72*'Waste results'!$P$82, "data missing")))))))))))</f>
        <v/>
      </c>
      <c r="AJ74" s="237" t="str">
        <f ca="1">IF(B74="","",
IF(AI74="data missing","data missing",
IF(Calc!BF72=0,"n/a",
IF(AND(Calc!BH72&gt;=8,AI74&lt;500),"no benefit",
IF(OR(AND(Calc!BH72&lt;=4,AI74&gt;=500),AND(Calc!BH72&lt;8,AI74&gt;5000)),"benefit",
"limited benefit")))))</f>
        <v/>
      </c>
      <c r="AL74" s="238" t="str">
        <f ca="1">IF(B74="","",
IF(AND('Field information 2'!$O$5="", 'Field information 2'!$Q$5=""),
   IF('Waste results'!$S$25&lt;&gt;"data missing", Calc!BC72*'Waste results'!$S$25, "data missing"),
IF('Field information 2'!$Q$5="",
   IF(Calc!BD72=0,
     IF('Waste results'!$S$25&lt;&gt;"data missing", Calc!BC72*'Waste results'!$S$25, "data missing"),
   IF(Calc!BC72=0,
     IF('Waste results'!$S$61&lt;&gt;"data missing", Calc!BD72*'Waste results'!$S$61, "data missing"),
   IF(OR('Waste results'!$S$25&lt;&gt;"data missing", 'Waste results'!$S$61&lt;&gt;"data missing"), Calc!BC72*'Waste results'!$S$25+ Calc!BD72*'Waste results'!$S$61, "data missing"))),
IF(AND('Field information 2'!$M$5&lt;&gt;"", 'Field information 2'!$O$5&lt;&gt;"", 'Field information 2'!$Q$5&lt;&gt;""),
   IF(AND(Calc!BD72=0,Calc!BE72=0),
     IF('Waste results'!$S$25&lt;&gt;"data missing", Calc!BC72*'Waste results'!$S$25, "data missing"),
   IF(AND(Calc!BC72=0,Calc!BE72=0),
     IF('Waste results'!$S$61&lt;&gt;"data missing", Calc!BD72*'Waste results'!$S$61, "data missing"),
   IF(AND(Calc!BC72=0,Calc!BD72=0),
     IF('Waste results'!$S$97&lt;&gt;"data missing", Calc!BE72*'Waste results'!$S$97, "data missing"),
   IF(Calc!BE72=0,
     IF(OR('Waste results'!$S$25&lt;&gt;"data missing", 'Waste results'!$S$61&lt;&gt;"data missing"), Calc!BC72*'Waste results'!$S$25+ Calc!BD72*'Waste results'!$S$61, "data missing"),
   IF(Calc!BD72=0,
     IF(OR('Waste results'!$S$25&lt;&gt;"data missing", 'Waste results'!$S$97&lt;&gt;"data missing"), Calc!BC72*'Waste results'!$S$25+ Calc!BE72*'Waste results'!$S$97, "data missing"),
   IF(Calc!BC72=0,
     IF(OR('Waste results'!$S$61&lt;&gt;"data missing", 'Waste results'!$S$97&lt;&gt;"data missing"), Calc!BD72*'Waste results'!$S$61+Calc!BE72*'Waste results'!$S$97, "data missing"),
   IF(OR('Waste results'!$S$25&lt;&gt;"data missing", 'Waste results'!$S$61&lt;&gt;"data missing", 'Waste results'!$S$97&lt;&gt;"data missing"), Calc!BC72*'Waste results'!$S$25+Calc!BD72*'Waste results'!$S$61+ Calc!BE72*'Waste results'!$S$97, "data missing")))))))))))</f>
        <v/>
      </c>
      <c r="AM74" s="239" t="str">
        <f ca="1">IF($B74="","",
IF(ISBLANK('Soil results'!K77),"data missing",'Soil results'!K77))</f>
        <v/>
      </c>
      <c r="AN74" s="239" t="str">
        <f t="shared" ca="1" si="23"/>
        <v/>
      </c>
      <c r="AO74" s="9" t="str">
        <f t="shared" ca="1" si="24"/>
        <v/>
      </c>
      <c r="AQ74" s="240" t="str">
        <f ca="1">IF(B74="","",
IF(AND('Field information 2'!$O$5="", 'Field information 2'!$Q$5=""),
   IF('Waste results'!$S$26&lt;&gt;"data missing", Calc!BC72*'Waste results'!$S$26, "data missing"),
IF('Field information 2'!$Q$5="",
   IF(Calc!BD72=0,
     IF('Waste results'!$S$26&lt;&gt;"data missing", Calc!BC72*'Waste results'!$S$26, "data missing"),
   IF(Calc!BC72=0,
     IF('Waste results'!$S$62&lt;&gt;"data missing", Calc!BD72*'Waste results'!$S$62, "data missing"),
   IF(OR('Waste results'!$S$26&lt;&gt;"data missing", 'Waste results'!$S$62&lt;&gt;"data missing"), Calc!BC72*'Waste results'!$S$26+ Calc!BD72*'Waste results'!$S$62, "data missing"))),
IF(AND('Field information 2'!$M$5&lt;&gt;"", 'Field information 2'!$O$5&lt;&gt;"", 'Field information 2'!$Q$5&lt;&gt;""),
   IF(AND(Calc!BD72=0,Calc!BE72=0),
     IF('Waste results'!$S$26&lt;&gt;"data missing", Calc!BC72*'Waste results'!$S$26, "data missing"),
   IF(AND(Calc!BC72=0,Calc!BE72=0),
     IF('Waste results'!$S$62&lt;&gt;"data missing", Calc!BD72*'Waste results'!$S$62, "data missing"),
   IF(AND(Calc!BC72=0,Calc!BD72=0),
     IF('Waste results'!$S$98&lt;&gt;"data missing", Calc!BE72*'Waste results'!$S$98, "data missing"),
   IF(Calc!BE72=0,
     IF(OR('Waste results'!$S$26&lt;&gt;"data missing", 'Waste results'!$S$62&lt;&gt;"data missing"), Calc!BC72*'Waste results'!$S$26+ Calc!BD72*'Waste results'!$S$62, "data missing"),
   IF(Calc!BD72=0,
     IF(OR('Waste results'!$S$26&lt;&gt;"data missing", 'Waste results'!$S$98&lt;&gt;"data missing"), Calc!BC72*'Waste results'!$S$26+ Calc!BE72*'Waste results'!$S$98, "data missing"),
   IF(Calc!BC72=0,
     IF(OR('Waste results'!$S$62&lt;&gt;"data missing", 'Waste results'!$S$98&lt;&gt;"data missing"), Calc!BD72*'Waste results'!$S$62+Calc!BE72*'Waste results'!$S$98, "data missing"),
   IF(OR('Waste results'!$S$26&lt;&gt;"data missing", 'Waste results'!$S$62&lt;&gt;"data missing", 'Waste results'!$S$98&lt;&gt;"data missing"), Calc!BC72*'Waste results'!$S$26+Calc!BD72*'Waste results'!$S$62+ Calc!BE72*'Waste results'!$S$98, "data missing")))))))))))</f>
        <v/>
      </c>
      <c r="AR74" s="241" t="str">
        <f ca="1">IF($B74="","",
IF(ISBLANK('Soil results'!L77),"data missing",'Soil results'!L77))</f>
        <v/>
      </c>
      <c r="AS74" s="241" t="str">
        <f t="shared" ca="1" si="25"/>
        <v/>
      </c>
      <c r="AT74" s="66" t="str">
        <f t="shared" ca="1" si="26"/>
        <v/>
      </c>
      <c r="AV74" s="238" t="str">
        <f ca="1">IF(B74="","",
IF(AND('Field information 2'!$O$5="", 'Field information 2'!$Q$5=""),
   IF('Waste results'!$S$27&lt;&gt;"data missing", Calc!BC72*'Waste results'!$S$27, "data missing"),
IF('Field information 2'!$Q$5="",
   IF(Calc!BD72=0,
     IF('Waste results'!$S$27&lt;&gt;"data missing", Calc!BC72*'Waste results'!$S$27, "data missing"),
   IF(Calc!BC72=0,
     IF('Waste results'!$S$63&lt;&gt;"data missing", Calc!BD72*'Waste results'!$S$63, "data missing"),
   IF(OR('Waste results'!$S$27&lt;&gt;"data missing", 'Waste results'!$S$63&lt;&gt;"data missing"), Calc!BC72*'Waste results'!$S$27+ Calc!BD72*'Waste results'!$S$63, "data missing"))),
IF(AND('Field information 2'!$M$5&lt;&gt;"", 'Field information 2'!$O$5&lt;&gt;"", 'Field information 2'!$Q$5&lt;&gt;""),
   IF(AND(Calc!BD72=0,Calc!BE72=0),
     IF('Waste results'!$S$27&lt;&gt;"data missing", Calc!BC72*'Waste results'!$S$27, "data missing"),
   IF(AND(Calc!BC72=0,Calc!BE72=0),
     IF('Waste results'!$S$63&lt;&gt;"data missing", Calc!BD72*'Waste results'!$S$63, "data missing"),
   IF(AND(Calc!BC72=0,Calc!BD72=0),
     IF('Waste results'!$S$99&lt;&gt;"data missing", Calc!BE72*'Waste results'!$S$99, "data missing"),
   IF(Calc!BE72=0,
     IF(OR('Waste results'!$S$27&lt;&gt;"data missing", 'Waste results'!$S$63&lt;&gt;"data missing"), Calc!BC72*'Waste results'!$S$27+ Calc!BD72*'Waste results'!$S$63, "data missing"),
   IF(Calc!BD72=0,
     IF(OR('Waste results'!$S$27&lt;&gt;"data missing", 'Waste results'!$S$99&lt;&gt;"data missing"), Calc!BC72*'Waste results'!$S$27+ Calc!BE72*'Waste results'!$S$99, "data missing"),
   IF(Calc!BC72=0,
     IF(OR('Waste results'!$S$63&lt;&gt;"data missing", 'Waste results'!$S$99&lt;&gt;"data missing"), Calc!BD72*'Waste results'!$S$63+Calc!BE72*'Waste results'!$S$99, "data missing"),
   IF(OR('Waste results'!$S$27&lt;&gt;"data missing", 'Waste results'!$S$63&lt;&gt;"data missing", 'Waste results'!$S$99&lt;&gt;"data missing"), Calc!BC72*'Waste results'!$S$27+Calc!BD72*'Waste results'!$S$63+ Calc!BE72*'Waste results'!$S$99, "data missing")))))))))))</f>
        <v/>
      </c>
      <c r="AW74" s="239" t="str">
        <f ca="1">IF($B74="","",
IF(ISBLANK('Soil results'!M77),"data missing",'Soil results'!M77))</f>
        <v/>
      </c>
      <c r="AX74" s="239" t="str">
        <f t="shared" ca="1" si="27"/>
        <v/>
      </c>
      <c r="AY74" s="9" t="str">
        <f ca="1">IF(B74="","",
IF(AV74=0,"n/a",
IF(OR(AV74="data missing",AW74="data missing"),"data missing",
IF(AV74&gt;7.5,"application rate too high - permissible rate exceeds limit",
IF('Soil results'!$F77&lt;=5.5,
  IF(AW74&gt;80,"no application - soil conc. already above limit",
  IF(AX74&gt;80,"application rate too high - soil conc. will exceed limit",
  IF(AW74&gt;80*0.9,"soil conc. is at or above 90% of the limit",
  IF(10*AV74*1000/3000+AW74&gt;80,"soil limit likely to be exceeded in 10yrs",
  IF(50*AV74*1000/3000+AW74&gt;80,"soil limit likely to be exceeded in 50yrs","ok"))))),
IF('Soil results'!$F77&lt;=6,
  IF(AW74&gt;100,"no application - soil conc. already above limit",
  IF(AX74&gt;100,"application rate too high - soil conc. will exceed limit",
  IF(AW74&gt;100*0.9,"soil conc. is at or above 90% of the limit",
  IF(10*AV74*1000/3000+AW74&gt;100,"soil limit likely to be exceeded in 10yrs",
  IF(50*AV74*1000/3000+AW74&gt;100,"soil limit likely to be exceeded in 50yrs","ok"))))),
IF('Soil results'!$F77&lt;=7,
  IF(AW74&gt;135,"no application - soil conc. already above limit",
  IF(AX74&gt;135,"application rate too high - soil conc. will exceed limit",
  IF(AW74&gt;135*0.9,"soil conc. is at or above 90% of the limit",
  IF(10*AV74*1000/3000+AW74&gt;135,"soil limit likely to be exceeded in 10yrs",
  IF(50*AV74*1000/3000+AW74&gt;135,"soil limit likely to be exceeded in 50yrs","ok"))))),
IF('Soil results'!$F77&gt;7,
  IF(AW74&gt;200,"no application - soil conc. already above limit",
  IF(AX74&gt;200,"application too high - soil conc. will exceed limit",
  IF(AW74&gt;200*0.9,"soil conc. is at or above 90% of the limit",
  IF(10*AV74*1000/3000+AW74&gt;200,"soil limit likely to be exceeded in 10yrs",
  IF(50*AV74*1000/3000+AW74&gt;200,"soil limit likely to be exceeded in 50yrs","ok")))))
))))))))</f>
        <v/>
      </c>
      <c r="BA74" s="238" t="str">
        <f ca="1">IF(B74="","",
IF(AND('Field information 2'!$O$5="", 'Field information 2'!$Q$5=""),
   IF('Waste results'!$S$28&lt;&gt;"data missing", Calc!BC72*'Waste results'!$S$28, "data missing"),
IF('Field information 2'!$Q$5="",
   IF(Calc!BD72=0,
     IF('Waste results'!$S$28&lt;&gt;"data missing", Calc!BC72*'Waste results'!$S$28, "data missing"),
   IF(Calc!BC72=0,
     IF('Waste results'!$S$64&lt;&gt;"data missing", Calc!BD72*'Waste results'!$S$64, "data missing"),
   IF(OR('Waste results'!$S$28&lt;&gt;"data missing", 'Waste results'!$S$64&lt;&gt;"data missing"), Calc!BC72*'Waste results'!$S$28+ Calc!BD72*'Waste results'!$S$64, "data missing"))),
IF(AND('Field information 2'!$M$5&lt;&gt;"", 'Field information 2'!$O$5&lt;&gt;"", 'Field information 2'!$Q$5&lt;&gt;""),
   IF(AND(Calc!BD72=0,Calc!BE72=0),
     IF('Waste results'!$S$28&lt;&gt;"data missing", Calc!BC72*'Waste results'!$S$28, "data missing"),
   IF(AND(Calc!BC72=0,Calc!BE72=0),
     IF('Waste results'!$S$64&lt;&gt;"data missing", Calc!BD72*'Waste results'!$S$64, "data missing"),
   IF(AND(Calc!BC72=0,Calc!BD72=0),
     IF('Waste results'!$S$100&lt;&gt;"data missing", Calc!BE72*'Waste results'!$S$100, "data missing"),
   IF(Calc!BE72=0,
     IF(OR('Waste results'!$S$28&lt;&gt;"data missing", 'Waste results'!$S$64&lt;&gt;"data missing"), Calc!BC72*'Waste results'!$S$28+ Calc!BD72*'Waste results'!$S$64, "data missing"),
   IF(Calc!BD72=0,
     IF(OR('Waste results'!$S$28&lt;&gt;"data missing", 'Waste results'!$S$100&lt;&gt;"data missing"), Calc!BC72*'Waste results'!$S$28+ Calc!BE72*'Waste results'!$S$100, "data missing"),
   IF(Calc!BC72=0,
     IF(OR('Waste results'!$S$64&lt;&gt;"data missing", 'Waste results'!$S$100&lt;&gt;"data missing"), Calc!BD72*'Waste results'!$S$64+Calc!BE72*'Waste results'!$S$100, "data missing"),
   IF(OR('Waste results'!$S$28&lt;&gt;"data missing", 'Waste results'!$S$64&lt;&gt;"data missing", 'Waste results'!$S$100&lt;&gt;"data missing"), Calc!BC72*'Waste results'!$S$28+Calc!BD72*'Waste results'!$S$64+ Calc!BE72*'Waste results'!$S$100, "data missing")))))))))))</f>
        <v/>
      </c>
      <c r="BB74" s="239" t="str">
        <f ca="1">IF($B74="","",
IF(ISBLANK('Soil results'!N77),"data missing",'Soil results'!N77))</f>
        <v/>
      </c>
      <c r="BC74" s="239" t="str">
        <f t="shared" ca="1" si="28"/>
        <v/>
      </c>
      <c r="BD74" s="9" t="str">
        <f t="shared" ca="1" si="29"/>
        <v/>
      </c>
      <c r="BF74" s="238" t="str">
        <f ca="1">IF(B74="","",
IF(AND('Field information 2'!$O$5="", 'Field information 2'!$Q$5=""),
   IF('Waste results'!$S$29&lt;&gt;"data missing", Calc!BC72*'Waste results'!$S$29, "data missing"),
IF('Field information 2'!$Q$5="",
   IF(Calc!BD72=0,
     IF('Waste results'!$S$29&lt;&gt;"data missing", Calc!BC72*'Waste results'!$S$29, "data missing"),
   IF(Calc!BC72=0,
     IF('Waste results'!$S$65&lt;&gt;"data missing", Calc!BD72*'Waste results'!$S$65, "data missing"),
   IF(OR('Waste results'!$S$29&lt;&gt;"data missing", 'Waste results'!$S$65&lt;&gt;"data missing"), Calc!BC72*'Waste results'!$S$29+ Calc!BD72*'Waste results'!$S$65, "data missing"))),
IF(AND('Field information 2'!$M$5&lt;&gt;"", 'Field information 2'!$O$5&lt;&gt;"", 'Field information 2'!$Q$5&lt;&gt;""),
   IF(AND(Calc!BD72=0,Calc!BE72=0),
     IF('Waste results'!$S$29&lt;&gt;"data missing", Calc!BC72*'Waste results'!$S$29, "data missing"),
   IF(AND(Calc!BC72=0,Calc!BE72=0),
     IF('Waste results'!$S$65&lt;&gt;"data missing", Calc!BD72*'Waste results'!$S$65, "data missing"),
   IF(AND(Calc!BC72=0,Calc!BD72=0),
     IF('Waste results'!$S$101&lt;&gt;"data missing", Calc!BE72*'Waste results'!$S$101, "data missing"),
   IF(Calc!BE72=0,
     IF(OR('Waste results'!$S$29&lt;&gt;"data missing", 'Waste results'!$S$65&lt;&gt;"data missing"), Calc!BC72*'Waste results'!$S$29+ Calc!BD72*'Waste results'!$S$65, "data missing"),
   IF(Calc!BD72=0,
     IF(OR('Waste results'!$S$29&lt;&gt;"data missing", 'Waste results'!$S$101&lt;&gt;"data missing"), Calc!BC72*'Waste results'!$S$29+ Calc!BE72*'Waste results'!$S$101, "data missing"),
   IF(Calc!BC72=0,
     IF(OR('Waste results'!$S$65&lt;&gt;"data missing", 'Waste results'!$S$101&lt;&gt;"data missing"), Calc!BD72*'Waste results'!$S$65+Calc!BE72*'Waste results'!$S$101, "data missing"),
   IF(OR('Waste results'!$S$29&lt;&gt;"data missing", 'Waste results'!$S$65&lt;&gt;"data missing", 'Waste results'!$S$101&lt;&gt;"data missing"), Calc!BC72*'Waste results'!$S$29+Calc!BD72*'Waste results'!$S$65+ Calc!BE72*'Waste results'!$S$101, "data missing")))))))))))</f>
        <v/>
      </c>
      <c r="BG74" s="239" t="str">
        <f ca="1">IF($B74="","",
IF(ISBLANK('Soil results'!O77),"data missing",'Soil results'!O77))</f>
        <v/>
      </c>
      <c r="BH74" s="239" t="str">
        <f t="shared" ca="1" si="30"/>
        <v/>
      </c>
      <c r="BI74" s="9" t="str">
        <f ca="1">IF(B74="","",
IF(BF74=0,"n/a",
IF(OR(BF74="data missing",BG74="data missing"),"data missing",
IF(BF74&gt;3,"application rate too high - permissible rate exceeds limit",
IF('Soil results'!F77&lt;=5.5,
  IF(BG74&gt;50,"no application - soil conc. already above limit",
  IF(BH74&gt;50,"application rate too high - soil conc. will exceed limit",
  IF(BG74&gt;50*0.9,"soil conc. is at or above 90% of the limit",
  IF(10*BF74*1000/3000+BG74&gt;50,"soil limit likely to be exceeded in 10yrs",
  IF(50*BF74*1000/3000+BG74&gt;50,"soil limit likely to be exceeded in 50yrs","ok"))))),
IF('Soil results'!F77&lt;=6,
  IF(BG74&gt;60,"no application - soil conc. already above limit",
  IF(BH74&gt;60,"application rate too high - soil conc. will exceed limit",
  IF(BG74&gt;60*0.9,"soil conc. is at or above 90% of the limit",
  IF(10*BF74*1000/3000+BG74&gt;60,"soil limit likely to be exceeded in 10yrs",
  IF(50*BF74*1000/3000+BG74&gt;60,"soil limit likely to be exceeded in 50yrs","ok"))))),
IF('Soil results'!F77&lt;=7,
  IF(BG74&gt;75,"no application - soil conc. already above limit",
  IF(BH74&gt;75,"application rate too high - soil conc. will exceed limit",
  IF(BG74&gt;75*0.9,"soil conc. is at or above 90% of the limit",
  IF(10*BF74*1000/3000+BG74&gt;75,"soil limit likely to be exceeded in 10yrs",
  IF(50*BF74*1000/3000+BG74&gt;75,"soil limit likely to be exceeded in 50yrs","ok"))))),
IF('Soil results'!F77&gt;7,
  IF(BG74&gt;100,"no application - soil conc. already above limit",
  IF(BH74&gt;100,"application rate too high - soil conc. will exceed limit",
  IF(BG74&gt;100*0.9,"soil conc. is at or above 90% of the limit",
  IF(10*BF74*1000/3000+BG74&gt;100,"soil limit likely to be exceeded in 10yrs",
  IF(50*BF74*1000/3000+BG74&gt;100,"soil limit likely to beexceeded in 50yrs","ok")))))
))))))))</f>
        <v/>
      </c>
      <c r="BK74" s="240" t="str">
        <f ca="1">IF(B74="","",
IF(AND('Field information 2'!$O$5="", 'Field information 2'!$Q$5=""),
   IF('Waste results'!$S$30&lt;&gt;"data missing", Calc!BC72*'Waste results'!$S$30, "data missing"),
IF('Field information 2'!$Q$5="",
   IF(Calc!BD72=0,
     IF('Waste results'!$S$30&lt;&gt;"data missing", Calc!BC72*'Waste results'!$S$30, "data missing"),
   IF(Calc!BC72=0,
     IF('Waste results'!$S$66&lt;&gt;"data missing", Calc!BD72*'Waste results'!$S$66, "data missing"),
   IF(OR('Waste results'!$S$30&lt;&gt;"data missing", 'Waste results'!$S$66&lt;&gt;"data missing"), Calc!BC72*'Waste results'!$S$30+ Calc!BD72*'Waste results'!$S$66, "data missing"))),
IF(AND('Field information 2'!$M$5&lt;&gt;"", 'Field information 2'!$O$5&lt;&gt;"", 'Field information 2'!$Q$5&lt;&gt;""),
   IF(AND(Calc!BD72=0,Calc!BE72=0),
     IF('Waste results'!$S$30&lt;&gt;"data missing", Calc!BC72*'Waste results'!$S$30, "data missing"),
   IF(AND(Calc!BC72=0,Calc!BE72=0),
     IF('Waste results'!$S$66&lt;&gt;"data missing", Calc!BD72*'Waste results'!$S$66, "data missing"),
   IF(AND(Calc!BC72=0,Calc!BD72=0),
     IF('Waste results'!$S$102&lt;&gt;"data missing", Calc!BE72*'Waste results'!$S$102, "data missing"),
   IF(Calc!BE72=0,
     IF(OR('Waste results'!$S$30&lt;&gt;"data missing", 'Waste results'!$S$66&lt;&gt;"data missing"), Calc!BC72*'Waste results'!$S$30+ Calc!BD72*'Waste results'!$S$66, "data missing"),
   IF(Calc!BD72=0,
     IF(OR('Waste results'!$S$30&lt;&gt;"data missing", 'Waste results'!$S$102&lt;&gt;"data missing"), Calc!BC72*'Waste results'!$S$30+ Calc!BE72*'Waste results'!$S$102, "data missing"),
   IF(Calc!BC72=0,
     IF(OR('Waste results'!$S$66&lt;&gt;"data missing", 'Waste results'!$S$102&lt;&gt;"data missing"), Calc!BD72*'Waste results'!$S$66+Calc!BE72*'Waste results'!$S$102, "data missing"),
   IF(OR('Waste results'!$S$30&lt;&gt;"data missing", 'Waste results'!$S$66&lt;&gt;"data missing", 'Waste results'!$S$102&lt;&gt;"data missing"), Calc!BC72*'Waste results'!$S$30+Calc!BD72*'Waste results'!$S$66+ Calc!BE72*'Waste results'!$S$102, "data missing")))))))))))</f>
        <v/>
      </c>
      <c r="BL74" s="241" t="str">
        <f ca="1">IF($B74="","",
IF(ISBLANK('Soil results'!P77),"data missing",'Soil results'!P77))</f>
        <v/>
      </c>
      <c r="BM74" s="241" t="str">
        <f t="shared" ca="1" si="31"/>
        <v/>
      </c>
      <c r="BN74" s="66" t="str">
        <f t="shared" ca="1" si="32"/>
        <v/>
      </c>
      <c r="BP74" s="238" t="str">
        <f ca="1">IF(B74="","",
IF(AND('Field information 2'!$O$5="", 'Field information 2'!$Q$5=""),
   IF('Waste results'!$S$31&lt;&gt;"data missing", Calc!BC72*'Waste results'!$S$31, "data missing"),
IF('Field information 2'!$Q$5="",
   IF(Calc!BD72=0,
     IF('Waste results'!$S$31&lt;&gt;"data missing", Calc!BC72*'Waste results'!$S$31, "data missing"),
   IF(Calc!BC72=0,
     IF('Waste results'!$S$67&lt;&gt;"data missing", Calc!BD72*'Waste results'!$S$67, "data missing"),
   IF(OR('Waste results'!$S$31&lt;&gt;"data missing", 'Waste results'!$S$67&lt;&gt;"data missing"), Calc!BC72*'Waste results'!$S$31+ Calc!BD72*'Waste results'!$S$67, "data missing"))),
IF(AND('Field information 2'!$M$5&lt;&gt;"", 'Field information 2'!$O$5&lt;&gt;"", 'Field information 2'!$Q$5&lt;&gt;""),
   IF(AND(Calc!BD72=0,Calc!BE72=0),
     IF('Waste results'!$S$31&lt;&gt;"data missing", Calc!BC72*'Waste results'!$S$31, "data missing"),
   IF(AND(Calc!BC72=0,Calc!BE72=0),
     IF('Waste results'!$S$67&lt;&gt;"data missing", Calc!BD72*'Waste results'!$S$67, "data missing"),
   IF(AND(Calc!BC72=0,Calc!BD72=0),
     IF('Waste results'!$S$103&lt;&gt;"data missing", Calc!BE72*'Waste results'!$S$103, "data missing"),
   IF(Calc!BE72=0,
     IF(OR('Waste results'!$S$31&lt;&gt;"data missing", 'Waste results'!$S$67&lt;&gt;"data missing"), Calc!BC72*'Waste results'!$S$31+ Calc!BD72*'Waste results'!$S$67, "data missing"),
   IF(Calc!BD72=0,
     IF(OR('Waste results'!$S$31&lt;&gt;"data missing", 'Waste results'!$S$103&lt;&gt;"data missing"), Calc!BC72*'Waste results'!$S$31+ Calc!BE72*'Waste results'!$S$103, "data missing"),
   IF(Calc!BC72=0,
     IF(OR('Waste results'!$S$67&lt;&gt;"data missing", 'Waste results'!$S$103&lt;&gt;"data missing"), Calc!BD72*'Waste results'!$S$67+Calc!BE72*'Waste results'!$S$103, "data missing"),
   IF(OR('Waste results'!$S$31&lt;&gt;"data missing", 'Waste results'!$S$67&lt;&gt;"data missing", 'Waste results'!$S$103&lt;&gt;"data missing"), Calc!BC72*'Waste results'!$S$31+Calc!BD72*'Waste results'!$S$67+ Calc!BE72*'Waste results'!$S$103, "data missing")))))))))))</f>
        <v/>
      </c>
      <c r="BQ74" s="239" t="str">
        <f ca="1">IF($B74="","",
IF(ISBLANK('Soil results'!Q77),"data missing",'Soil results'!Q77))</f>
        <v/>
      </c>
      <c r="BR74" s="239" t="str">
        <f t="shared" ca="1" si="33"/>
        <v/>
      </c>
      <c r="BS74" s="9" t="str">
        <f ca="1">IF(B74="","",
IF(BP74=0,"n/a",
IF(OR(BP74="data missing",BQ74=""),"data missing",
IF(BP74&gt;15,"application rate too high - permissible rate exceeds limit",
IF('Soil results'!F77&lt;=5.5,
  IF(BQ74&gt;200,"no application - soil conc. already above limit",
  IF(BR74&gt;200,"application rate too high - soil conc. will exceed limit",
  IF(BQ74&gt;200*0.9,"soil conc. is at or above 90% of the limit",
  IF(10*BP74*1000/3000+BQ74&gt;200,"soil limit likely to be exceeded in 10yrs",
  IF(50*BP74*1000/3000+BQ74&gt;200,"soil limit likely to be exceeded in 50yrs","ok"))))),
IF('Soil results'!F77&lt;=6,
  IF(BQ74&gt;250,"no application - soil conc. already above limit",
  IF(BR74&gt;250,"application rate too high - soil conc. will exceed limit",
  IF(BQ74&gt;250*0.9,"soil conc. is at or above 90% of the limit",
  IF(10*BP74*1000/3000+BQ74&gt;250,"soil limit likely to be exceeded in 10yrs",
  IF(50*BP74*1000/3000+BQ74&gt;250,"soil limit likely to be exceeded in 50yrs","ok"))))),
IF('Soil results'!F77&lt;=7,
  IF(BQ74&gt;300,"no application - soil conc. already above limit",
  IF(BR74&gt;300,"application rate too high - soil conc. will exceed limit",
  IF(BQ74&gt;300*0.9,"soil conc. is at or above 90% of the limit",
  IF(10*BP74*1000/3000+BQ74&gt;300,"soil limit likey to be exceeded in 10yrs",
  IF(50*BP74*1000/3000+BQ74&gt;300,"soil limit likely to be exceeded in 50yrs","ok"))))),
IF('Soil results'!F77&gt;7,
  IF(BQ74&gt;450,"no application - soil conc. already above limit",
  IF(BR74&gt;450,"application rate too high - soil conc. will exceed limit",
  IF(AW74&gt;450*0.9,"soil conc. is at or above 90% of the limit",
  IF(10*BP74*1000/3000+BQ74&gt;450,"soil limit likely to be exceeded in 10yrs",
  IF(50*BP74*1000/3000+BQ74&gt;450,"soil limit likely to be exceeded in 50yrs","ok")))))
))))))))</f>
        <v/>
      </c>
    </row>
    <row r="75" spans="2:71" s="9" customFormat="1" ht="15" x14ac:dyDescent="0.25">
      <c r="B75" s="236" t="str">
        <f ca="1">'Soil results'!B78</f>
        <v/>
      </c>
      <c r="C75" s="91" t="str">
        <f ca="1">IF(B75="","",
IF(AND('Field information 2'!$O$5="", 'Field information 2'!$Q$5=""),
   IF('Waste results'!$S$12&lt;&gt;"data missing", Calc!BC73*'Waste results'!$S$12, "data missing"),
IF('Field information 2'!$Q$5="",
   IF(Calc!BD73=0,
     IF('Waste results'!$S$12&lt;&gt;"data missing", Calc!BC73*'Waste results'!$S$12, "data missing"),
   IF(Calc!BC73=0,
     IF('Waste results'!$S$48&lt;&gt;"data missing", Calc!BD73*'Waste results'!$S$48, "data missing"),
   IF(OR('Waste results'!$S$12&lt;&gt;"data missing", 'Waste results'!$S$48&lt;&gt;"data missing"), Calc!BC73*'Waste results'!$S$12+ Calc!BD73*'Waste results'!$S$48, "data missing"))),
IF(AND('Field information 2'!$M$5&lt;&gt;"", 'Field information 2'!$O$5&lt;&gt;"", 'Field information 2'!$Q$5&lt;&gt;""),
   IF(AND(Calc!BD73=0,Calc!BE73=0),
     IF('Waste results'!$S$12&lt;&gt;"data missing", Calc!BC73*'Waste results'!$S$12, "data missing"),
   IF(AND(Calc!BC73=0,Calc!BE73=0),
     IF('Waste results'!$S$48&lt;&gt;"data missing", Calc!BD73*'Waste results'!$S$48, "data missing"),
   IF(AND(Calc!BC73=0,Calc!BD73=0),
     IF('Waste results'!$S$84&lt;&gt;"data missing", Calc!BE73*'Waste results'!$S$84, "data missing"),
   IF(Calc!BE73=0,
     IF(OR('Waste results'!$S$12&lt;&gt;"data missing", 'Waste results'!$S$48&lt;&gt;"data missing"), Calc!BC73*'Waste results'!$S$12+ Calc!BD73*'Waste results'!$S$48, "data missing"),
   IF(Calc!BD73=0,
     IF(OR('Waste results'!$S$12&lt;&gt;"data missing", 'Waste results'!$S$84&lt;&gt;"data missing"), Calc!BC73*'Waste results'!$S$12+ Calc!BE73*'Waste results'!$S$84, "data missing"),
   IF(Calc!BC73=0,
     IF(OR('Waste results'!$S$48&lt;&gt;"data missing", 'Waste results'!$S$84&lt;&gt;"data missing"), Calc!BD73*'Waste results'!$S$48+Calc!BE73*'Waste results'!$S$84, "data missing"),
   IF(OR('Waste results'!$S$12&lt;&gt;"data missing", 'Waste results'!$S$48&lt;&gt;"data missing", 'Waste results'!$S$84&lt;&gt;"data missing"), Calc!BC73*'Waste results'!$S$12+Calc!BD73*'Waste results'!$S$48+ Calc!BE73*'Waste results'!$S$84, "data missing")))))))))))</f>
        <v/>
      </c>
      <c r="D75" s="161" t="str">
        <f ca="1">IF(B75="","",
IF(Calc!BG73="","soil texture missing",
IF(OR(Calc!BG73="SL; SZL; ZL",Calc!BG73="SCL; CL; ZCL; SC; ZC; C"),VLOOKUP(Calc!BI73,'Fertiliser recommendations'!$A$4:$C$63,3,FALSE),
IF(Calc!BG73="S; LS",VLOOKUP(Calc!BI73,'Fertiliser recommendations'!$A$4:$C$63,3,FALSE)+VLOOKUP(Calc!BI73,'Fertiliser recommendations'!$A$4:$D$63,4,FALSE),
IF(Calc!BG73="10-25% OM",VLOOKUP(Calc!BI73,'Fertiliser recommendations'!$A$4:$C$63,3,FALSE)+VLOOKUP(Calc!BI73,'Fertiliser recommendations'!$A$4:$E$63,5,FALSE),
IF(Calc!BG73="&gt;25% OM",VLOOKUP(Calc!BI73,'Fertiliser recommendations'!$A$4:$C$63,3,FALSE)+VLOOKUP(Calc!BI73,'Fertiliser recommendations'!$A$4:$F$63,6,FALSE),
""))))))</f>
        <v/>
      </c>
      <c r="E75" s="91" t="str">
        <f t="shared" ca="1" si="17"/>
        <v/>
      </c>
      <c r="F75" s="9" t="str">
        <f ca="1">IF(B75="","",
IF(OR(C75="data missing",D75="soil texture missing"),"data missing",
IF(Calc!BF73=0,"n/a",
IF(C75&lt;0.1*D75,"no benefit",
IF(C75&lt;0.3*D75,"limited benefit",
IF(C75&gt;250,"exceeds limit",
IF(OR(AND(D75=0,C75&gt;75),C75&gt;1.25*D75),"excessive",
IF(D75=0, "no requirement",
"benefit"))))))))</f>
        <v/>
      </c>
      <c r="H75" s="91" t="str">
        <f ca="1">IF(B75="","",
IF(AND('Field information 2'!$O$5="", 'Field information 2'!$Q$5=""),
   IF('Waste results'!$S$17&lt;&gt;"data missing", Calc!BC73*'Waste results'!$S$17, "data missing"),
IF('Field information 2'!$Q$5="",
   IF(Calc!BD73=0,
     IF('Waste results'!$S$17&lt;&gt;"data missing", Calc!BC73*'Waste results'!$S$17, "data missing"),
   IF(Calc!BC73=0,
     IF('Waste results'!$S$53&lt;&gt;"data missing", Calc!BD73*'Waste results'!$S$53, "data missing"),
   IF(OR('Waste results'!$S$17&lt;&gt;"data missing", 'Waste results'!$S$53&lt;&gt;"data missing"), Calc!BC73*'Waste results'!$S$17+ Calc!BD73*'Waste results'!$S$53, "data missing"))),
IF(AND('Field information 2'!$M$5&lt;&gt;"", 'Field information 2'!$O$5&lt;&gt;"", 'Field information 2'!$Q$5&lt;&gt;""),
   IF(AND(Calc!BD73=0,Calc!BE73=0),
     IF('Waste results'!$S$17&lt;&gt;"data missing", Calc!BC73*'Waste results'!$S$17, "data missing"),
   IF(AND(Calc!BC73=0,Calc!BE73=0),
     IF('Waste results'!$S$53&lt;&gt;"data missing", Calc!BD73*'Waste results'!$S$53, "data missing"),
   IF(AND(Calc!BC73=0,Calc!BD73=0),
     IF('Waste results'!$S$89&lt;&gt;"data missing", Calc!BE73*'Waste results'!$S$89, "data missing"),
   IF(Calc!BE73=0,
     IF(OR('Waste results'!$S$17&lt;&gt;"data missing", 'Waste results'!$S$53&lt;&gt;"data missing"), Calc!BC73*'Waste results'!$S$17+ Calc!BD73*'Waste results'!$S$53, "data missing"),
   IF(Calc!BD73=0,
     IF(OR('Waste results'!$S$17&lt;&gt;"data missing", 'Waste results'!$S$89&lt;&gt;"data missing"), Calc!BC73*'Waste results'!$S$17+ Calc!BE73*'Waste results'!$S$89, "data missing"),
   IF(Calc!BC73=0,
     IF(OR('Waste results'!$S$53&lt;&gt;"data missing", 'Waste results'!$S$89&lt;&gt;"data missing"), Calc!BD73*'Waste results'!$S$53+Calc!BE73*'Waste results'!$S$89, "data missing"),
   IF(OR('Waste results'!$S$17&lt;&gt;"data missing", 'Waste results'!$S$53&lt;&gt;"data missing", 'Waste results'!$S$89&lt;&gt;"data missing"), Calc!BC73*'Waste results'!$S$17+Calc!BD73*'Waste results'!$S$53+ Calc!BE73*'Waste results'!$S$89, "data missing")))))))))))</f>
        <v/>
      </c>
      <c r="I75" s="195" t="str">
        <f ca="1">IF(B75="","",
IF(OR(ISBLANK('Soil results'!G78), ISBLANK('Soil results'!G$7)),"data missing",
IF(OR(AND('Soil results'!G$7="Olsen (ADAS)",'Soil results'!G78&lt;16),AND('Soil results'!G$7="modified Morgan (SAC)",'Soil results'!G78&lt;4.5)),50,100)))</f>
        <v/>
      </c>
      <c r="J75" s="49" t="str">
        <f ca="1">IF(B75="","",
IF(OR(ISBLANK('Soil results'!G$7),ISBLANK('Soil results'!G78)),"data missing",
IF(OR(AND('Soil results'!G$7="Olsen (ADAS)",'Soil results'!G78&gt;45),AND('Soil results'!G$7="modified Morgan (SAC)",'Soil results'!G78&gt;30)),0,
IF(OR(AND('Soil results'!G$7="Olsen (ADAS)",'Soil results'!G78&gt;=16,'Soil results'!G78&lt;=20),AND('Soil results'!G$7="modified Morgan (SAC)",'Soil results'!G78&gt;=4.5,'Soil results'!G78&lt;=9.4)),VLOOKUP(Calc!BI73,'Fertiliser recommendations'!$A$4:$I$63,9,FALSE),
IF(OR(AND('Soil results'!G$7="Olsen (ADAS)",'Soil results'!G78&lt;10),AND('Soil results'!G$7="modified Morgan (SAC)",'Soil results'!G78&lt;1.8)),VLOOKUP(Calc!BI73,'Fertiliser recommendations'!$A$4:$I$63,9,FALSE)+VLOOKUP(Calc!BI73,'Fertiliser recommendations'!$A$4:$J$63,10,FALSE),
IF(OR(AND('Soil results'!G$7="Olsen (ADAS)",'Soil results'!G78&lt;16),AND('Soil results'!G$7="modified Morgan (SAC)",'Soil results'!G78&lt;4.5)),VLOOKUP(Calc!BI73,'Fertiliser recommendations'!$A$4:$I$63,9,FALSE)+VLOOKUP(Calc!BI73,'Fertiliser recommendations'!$A$4:$K$63,11,FALSE),
IF(OR(AND('Soil results'!G$7="Olsen (ADAS)",'Soil results'!G78&lt;26),AND('Soil results'!G$7="modified Morgan (SAC)",'Soil results'!G78&lt;13.5)),VLOOKUP(Calc!BI73,'Fertiliser recommendations'!$A$4:$I$63,9,FALSE)+VLOOKUP(Calc!BI73,'Fertiliser recommendations'!$A$4:$L$63,12,FALSE),
IF(OR(AND('Soil results'!G$7="Olsen (ADAS)",'Soil results'!G78&lt;=45),AND('Soil results'!G$7="modified Morgan (SAC)",'Soil results'!G78&lt;=30)),VLOOKUP(Calc!BI73,'Fertiliser recommendations'!$A$4:$I$63,9,FALSE)+VLOOKUP(Calc!BI73,'Fertiliser recommendations'!$A$4:$M$63,13,FALSE),
""))))))))</f>
        <v/>
      </c>
      <c r="K75" s="161" t="str">
        <f t="shared" ca="1" si="18"/>
        <v/>
      </c>
      <c r="L75" s="47" t="str">
        <f ca="1">IF(OR(ISBLANK('Soil results'!G$7),ISBLANK('Soil results'!G78),B75="", H75="data missing"),"",
IF('Soil results'!G$7="Olsen (ADAS)",
IF(((H75*Calc!BM73/2.291-(VLOOKUP(Calc!BI73,'Fertiliser recommendations'!$A$4:$I$63,9,FALSE))/2.291)*10/(400/2.291)+'Soil results'!G78)&lt;10,"0 (VL)",
IF(((H75*Calc!BM73/2.291-(VLOOKUP(Calc!BI73,'Fertiliser recommendations'!$A$4:$I$63,9,FALSE))/2.291)*10/(400/2.291)+'Soil results'!G78)&lt;16,"1 (L)",
IF(((H75*Calc!BM73/2.291-(VLOOKUP(Calc!BI73,'Fertiliser recommendations'!$A$4:$I$63,9,FALSE))/2.291)*10/(400/2.291)+'Soil results'!G78)&lt;21,"2 (M-)",
IF(((H75*Calc!BM73/2.291-(VLOOKUP(Calc!BI73,'Fertiliser recommendations'!$A$4:$I$63,9,FALSE))/2.291)*10/(400/2.291)+'Soil results'!G78)&lt;26,"2 (M+)",
IF(((H75*Calc!BM73/2.291-(VLOOKUP(Calc!BI73,'Fertiliser recommendations'!$A$4:$I$63,9,FALSE))/2.291)*10/(400/2.291)+'Soil results'!G78)&lt;45,"3 (H)","&gt;3 (VH)"))))),
IF('Soil results'!G$7="modified Morgan (SAC)",
IF('Soil results'!G78&gt;=6,
IF(((H75*Calc!BM73/2.291-(VLOOKUP(Calc!BI73,'Fertiliser recommendations'!$A$4:$I$63,9,FALSE))/2.291)*5/(147/2.291)+'Soil results'!G78)&lt;9.5,"2 (M-)",
IF(((H75*Calc!BM73/2.291-(VLOOKUP(Calc!BI73,'Fertiliser recommendations'!$A$4:$I$63,9,FALSE))/2.291)*5/(147/2.291)+'Soil results'!G78)&lt;13.5,"2 (M+)",
IF(((H75*Calc!BM73/2.291-(VLOOKUP(Calc!BI73,'Fertiliser recommendations'!$A$4:$I$63,9,FALSE))/2.291)*5/(147/2.291)+'Soil results'!G78)&lt;30,"3 (H)","4 (VH)"))),
IF(((H75*Calc!BM73/2.291-(VLOOKUP(Calc!BI73,'Fertiliser recommendations'!$A$4:$I$63,9,FALSE))/2.291)*5/(346/2.291)+'Soil results'!G78)&lt;1.8,"0 (VL)",
IF(((H75*Calc!BM73/2.291-(VLOOKUP(Calc!BI73,'Fertiliser recommendations'!$A$4:$I$63,9,FALSE))/2.291)*5/(147/2.291)+'Soil results'!G78)&lt;4.5,"1 (L)","2 (M-)"))))))</f>
        <v/>
      </c>
      <c r="M75" s="9" t="str">
        <f ca="1">IF(B75="","",
IF(OR(H75="data missing",I75="data missing",J75="data missing"),"data missing",
IF(Calc!BF73=0,"n/a",
IF(OR(AND('Soil results'!G$7="Olsen (ADAS)",'Soil results'!G78&gt;45),AND('Soil results'!G$7="modified Morgan (SAC)",'Soil results'!G78&gt;30)),
IF(H75&gt;2,"too high, not acceptable","no requirement"),IF(OR(AND('Soil results'!G$7="Olsen (ADAS)",'Soil results'!G78&gt;25),AND('Soil results'!G$7="modified Morgan (SAC)",'Soil results'!G78&gt;13.4)),
IF(H75*(I75/100)&lt;0.1*J75,"no benefit",
IF(H75*(I75/100)&lt;0.3*J75,"limited benefit",
IF(H75*(I75/100)&lt;1.1*J75,"benefit",
IF(H75*(I75/100)&lt;0.7*VLOOKUP(Calc!BI73,'Fertiliser recommendations'!$A$4:$I$63,9,FALSE),"excessive","too high, not acceptable")))),
IF(OR(AND('Soil results'!G$7="Olsen (ADAS)",'Soil results'!G78&gt;20),AND('Soil results'!G$7="modified Morgan (SAC)",'Soil results'!G78&gt;9.4)),
IF(H75*Calc!BM73*(I75/100)&lt;0.1*J75,"no benefit",
IF(H75*Calc!BM73*(I75/100)&lt;0.3*J75,"limited benefit",
IF(H75*Calc!BM73*(I75/100)&lt;1.1*J75,"benefit",
IF(L75="3 (H)","too high, not acceptable","excessive")))),
IF(OR(AND('Soil results'!G$7="Olsen (ADAS)",'Soil results'!G78&gt;15),AND('Soil results'!G$7="modified Morgan (SAC)",'Soil results'!G78&gt;4.4)),
IF(H75*Calc!BM73*(I75/100)&lt;0.1*VLOOKUP(Calc!BI73,'Fertiliser recommendations'!$A$4:$I$63,9,FALSE),"no benefit",
IF(H75*Calc!BM73*(I75/100)&lt;0.3*VLOOKUP(Calc!BI73,'Fertiliser recommendations'!$A$4:$I$63,9,FALSE),"limited benefit",
IF(H75*Calc!BM73*(I75/100)&lt;1.1*VLOOKUP(Calc!BI73,'Fertiliser recommendations'!$A$4:$I$63,9,FALSE),"benefit",
IF(L75="3 (H)", "too high, not acceptable", "excessive")))),
IF(OR(AND('Soil results'!G$7="Olsen (ADAS)",'Soil results'!G78&lt;=15),AND('Soil results'!G$7="modified Morgan (SAC)",'Soil results'!G78&lt;=4.4)),
IF(H75*Calc!BM73*(I75/100)&lt;0.1*VLOOKUP(Calc!BI73,'Fertiliser recommendations'!$A$4:$I$63,9,FALSE),"no benefit",
IF(H75*Calc!BM73*(I75/100)&lt;0.3*VLOOKUP(Calc!BI73,'Fertiliser recommendations'!$A$4:$I$63,9,FALSE),"limited benefit",
IF(H75*Calc!BM73*(I75/100)&lt;1.1*J75,"benefit","excessive")))))))))))</f>
        <v/>
      </c>
      <c r="O75" s="91" t="str">
        <f ca="1">IF(B75="","",
IF(AND('Field information 2'!$O$5="", 'Field information 2'!$Q$5=""),
   IF('Waste results'!$S$19&lt;&gt;"data missing", Calc!BC73*'Waste results'!$S$19, "data missing"),
IF('Field information 2'!$Q$5="",
   IF(Calc!BD73=0,
     IF('Waste results'!$S$19&lt;&gt;"data missing", Calc!BC73*'Waste results'!$S$19, "data missing"),
   IF(Calc!BC73=0,
     IF('Waste results'!$S$55&lt;&gt;"data missing", Calc!BD73*'Waste results'!$S$55, "data missing"),
   IF(OR('Waste results'!$S$19&lt;&gt;"data missing", 'Waste results'!$S$55&lt;&gt;"data missing"), Calc!BC73*'Waste results'!$S$19+ Calc!BD73*'Waste results'!$S$55, "data missing"))),
IF(AND('Field information 2'!$M$5&lt;&gt;"", 'Field information 2'!$O$5&lt;&gt;"", 'Field information 2'!$Q$5&lt;&gt;""),
   IF(AND(Calc!BD73=0,Calc!BE73=0),
     IF('Waste results'!$S$19&lt;&gt;"data missing", Calc!BC73*'Waste results'!$S$19, "data missing"),
   IF(AND(Calc!BC73=0,Calc!BE73=0),
     IF('Waste results'!$S$55&lt;&gt;"data missing", Calc!BD73*'Waste results'!$S$55, "data missing"),
   IF(AND(Calc!BC73=0,Calc!BD73=0),
     IF('Waste results'!$S$91&lt;&gt;"data missing", Calc!BE73*'Waste results'!$S$91, "data missing"),
   IF(Calc!BE73=0,
     IF(OR('Waste results'!$S$19&lt;&gt;"data missing", 'Waste results'!$S$55&lt;&gt;"data missing"), Calc!BC73*'Waste results'!$S$19+ Calc!BD73*'Waste results'!$S$55, "data missing"),
   IF(Calc!BD73=0,
     IF(OR('Waste results'!$S$19&lt;&gt;"data missing", 'Waste results'!$S$91&lt;&gt;"data missing"), Calc!BC73*'Waste results'!$S$19+ Calc!BE73*'Waste results'!$S$91, "data missing"),
   IF(Calc!BC73=0,
     IF(OR('Waste results'!$S$55&lt;&gt;"data missing", 'Waste results'!$S$91&lt;&gt;"data missing"), Calc!BD73*'Waste results'!$S$55+Calc!BE73*'Waste results'!$S$91, "data missing"),
   IF(OR('Waste results'!$S$19&lt;&gt;"data missing", 'Waste results'!$S$55&lt;&gt;"data missing", 'Waste results'!$S$91&lt;&gt;"data missing"), Calc!BC73*'Waste results'!$S$19+Calc!BD73*'Waste results'!$S$55+ Calc!BE73*'Waste results'!$S$91, "data missing")))))))))))</f>
        <v/>
      </c>
      <c r="P75" s="91" t="str">
        <f ca="1">IF(B75="","",
IF(OR(ISBLANK('Soil results'!H$7),ISBLANK('Soil results'!H78)),"data missing",
IF(OR(AND('Soil results'!H$7="ammonium nitrate (ADAS)",'Soil results'!H78&gt;400),AND('Soil results'!H$7="modified Morgan (SAC)",'Soil results'!H78&gt;400)),0,
IF(OR(AND('Soil results'!H$7="ammonium nitrate (ADAS)",'Soil results'!H78&gt;=121,'Soil results'!H78&lt;=180),AND('Soil results'!H$7="modified Morgan (SAC)",'Soil results'!H78&gt;=76,'Soil results'!H78&lt;=140)),VLOOKUP(Calc!BI73,'Fertiliser recommendations'!$A$4:$Z$63,26,FALSE),
IF(OR(AND('Soil results'!H$7="ammonium nitrate (ADAS)",'Soil results'!H78&lt;61),AND('Soil results'!H$7="modified Morgan (SAC)",'Soil results'!H78&lt;40)),VLOOKUP(Calc!BI73,'Fertiliser recommendations'!$A$4:$Z$63,26,FALSE)+VLOOKUP(Calc!BI73,'Fertiliser recommendations'!$A$4:$AA$63,27,FALSE),
IF(OR(AND('Soil results'!H$7="ammonium nitrate (ADAS)",'Soil results'!H78&lt;121),AND('Soil results'!H$7="modified Morgan (SAC)",'Soil results'!H78&lt;76)),VLOOKUP(Calc!BI73,'Fertiliser recommendations'!$A$4:$Z$63,26,FALSE)+VLOOKUP(Calc!BI73,'Fertiliser recommendations'!$A$4:$AB$63,28,FALSE),
IF(OR(AND('Soil results'!H$7="ammonium nitrate (ADAS)",'Soil results'!H78&lt;241),AND('Soil results'!H$7="modified Morgan (SAC)",'Soil results'!H78&lt;201)),VLOOKUP(Calc!BI73,'Fertiliser recommendations'!$A$4:$Z$63,26,FALSE)+VLOOKUP(Calc!BI73,'Fertiliser recommendations'!$A$4:$AC$63,29,FALSE),
IF(OR(AND('Soil results'!H$7="ammonium nitrate (ADAS)",'Soil results'!H78&lt;=400),AND('Soil results'!H$7="modified Morgan (SAC)",'Soil results'!H78&lt;=400)),VLOOKUP(Calc!BI73,'Fertiliser recommendations'!$A$4:$Z$63,26,FALSE)+VLOOKUP(Calc!BI73,'Fertiliser recommendations'!$A$4:$AD$63,30,FALSE),
"??"))))))))</f>
        <v/>
      </c>
      <c r="Q75" s="91" t="str">
        <f t="shared" ca="1" si="19"/>
        <v/>
      </c>
      <c r="R75" s="9" t="str">
        <f ca="1">IF(B75="","",
IF(OR(O75="data missing",P75="data missing"),"data missing",
IF(Calc!BF73=0,"n/a",
IF(P75=0, "no requirement",
IF(O75&lt;0.1*P75,"no benefit",
IF(O75&lt;0.3*P75,"limited benefit",
IF(O75&gt;1.25*P75,"excessive",
"benefit")))))))</f>
        <v/>
      </c>
      <c r="T75" s="91" t="str">
        <f ca="1">IF(B75="","",
IF(AND('Field information 2'!$O$5="", 'Field information 2'!$Q$5=""),
   IF('Waste results'!$S$21&lt;&gt;"data missing", Calc!BC73*'Waste results'!$S$21, "data missing"),
IF('Field information 2'!$Q$5="",
   IF(Calc!BD73=0,
     IF('Waste results'!$S$21&lt;&gt;"data missing", Calc!BC73*'Waste results'!$S$21, "data missing"),
   IF(Calc!BC73=0,
     IF('Waste results'!$S$57&lt;&gt;"data missing", Calc!BD73*'Waste results'!$S$57, "data missing"),
   IF(OR('Waste results'!$S$21&lt;&gt;"data missing", 'Waste results'!$S$57&lt;&gt;"data missing"), Calc!BC73*'Waste results'!$S$21+ Calc!BD73*'Waste results'!$S$57, "data missing"))),
IF(AND('Field information 2'!$M$5&lt;&gt;"", 'Field information 2'!$O$5&lt;&gt;"", 'Field information 2'!$Q$5&lt;&gt;""),
   IF(AND(Calc!BD73=0,Calc!BE73=0),
     IF('Waste results'!$S$21&lt;&gt;"data missing", Calc!BC73*'Waste results'!$S$21, "data missing"),
   IF(AND(Calc!BC73=0,Calc!BE73=0),
     IF('Waste results'!$S$57&lt;&gt;"data missing", Calc!BD73*'Waste results'!$S$57, "data missing"),
   IF(AND(Calc!BC73=0,Calc!BD73=0),
     IF('Waste results'!$S$93&lt;&gt;"data missing", Calc!BE73*'Waste results'!$S$93, "data missing"),
   IF(Calc!BE73=0,
     IF(OR('Waste results'!$S$21&lt;&gt;"data missing", 'Waste results'!$S$57&lt;&gt;"data missing"), Calc!BC73*'Waste results'!$S$21+ Calc!BD73*'Waste results'!$S$57, "data missing"),
   IF(Calc!BD73=0,
     IF(OR('Waste results'!$S$21&lt;&gt;"data missing", 'Waste results'!$S$93&lt;&gt;"data missing"), Calc!BC73*'Waste results'!$S$21+ Calc!BE73*'Waste results'!$S$93, "data missing"),
   IF(Calc!BC73=0,
     IF(OR('Waste results'!$S$57&lt;&gt;"data missing", 'Waste results'!$S$93&lt;&gt;"data missing"), Calc!BD73*'Waste results'!$S$57+Calc!BE73*'Waste results'!$S$93, "data missing"),
   IF(OR('Waste results'!$S$21&lt;&gt;"data missing", 'Waste results'!$S$57&lt;&gt;"data missing", 'Waste results'!$S$93&lt;&gt;"data missing"), Calc!BC73*'Waste results'!$S$21+Calc!BD73*'Waste results'!$S$57+ Calc!BE73*'Waste results'!$S$93, "data missing")))))))))))</f>
        <v/>
      </c>
      <c r="U75" s="7" t="str">
        <f ca="1">IF(B75="","",
IF(OR(ISBLANK('Soil results'!I$7),ISBLANK('Soil results'!I78)),"data missing",
IF(OR(AND('Soil results'!I$7="ammonium nitrate (ADAS)",'Soil results'!I78&gt;51),AND('Soil results'!I$7="modified Morgan (SAC)",'Soil results'!I78&gt;61)),0,
IF(OR(AND('Soil results'!I$7="ammonium nitrate (ADAS)",'Soil results'!I78&lt;25),AND('Soil results'!I$7="modified Morgan (SAC)",'Soil results'!I78&lt;19)),VLOOKUP(Calc!BI73,'Fertiliser recommendations'!$A$4:$AH$63,34,FALSE),
IF(OR(AND('Soil results'!I$7="ammonium nitrate (ADAS)",'Soil results'!I78&lt;=51),AND('Soil results'!I$7="modified Morgan (SAC)",'Soil results'!I78&lt;=61)),VLOOKUP(Calc!BI73,'Fertiliser recommendations'!$A$4:$AI$63,35,FALSE),
"")))))</f>
        <v/>
      </c>
      <c r="V75" s="91" t="str">
        <f t="shared" ca="1" si="20"/>
        <v/>
      </c>
      <c r="W75" s="9" t="str">
        <f ca="1">IF(B75="","",
IF(OR(T75="data missing",U75="data missing"),"data missing",
IF(Calc!BF73=0,"n/a",
IF(U75=0,"no requirement",
IF(T75&lt;0.1*U75,"no benefit",
IF(T75&lt;0.3*U75,"limited benefit",
IF(OR(T75&gt;1.5*U75,AND(Calc!BJ73="g",T75&gt;100)),"excessive",
"benefit")))))))</f>
        <v/>
      </c>
      <c r="Y75" s="91" t="str">
        <f ca="1">IF(B75="","",
IF(AND('Field information 2'!$O$5="", 'Field information 2'!$Q$5=""),
   IF('Waste results'!$P$23&lt;&gt;"", Calc!BC73*'Waste results'!$P$23, "no data"),
IF('Field information 2'!$Q$5="",
   IF(Calc!BD73=0,
     IF('Waste results'!$P$23&lt;&gt;"", Calc!BC73*'Waste results'!$P$23, "no data"),
   IF(Calc!BC73=0,
     IF('Waste results'!$P$59&lt;&gt;"", Calc!BD73*'Waste results'!$P$59, "no data"),
   IF(OR('Waste results'!$P$23&lt;&gt;"", 'Waste results'!$P$59&lt;&gt;""), Calc!BC73*'Waste results'!$P$23+ Calc!BD73*'Waste results'!$P$59, "no data"))),
IF(AND('Field information 2'!$M$5&lt;&gt;"", 'Field information 2'!$O$5&lt;&gt;"", 'Field information 2'!$Q$5&lt;&gt;""),
   IF(AND(Calc!BD73=0,Calc!BE73=0),
     IF('Waste results'!$P$23&lt;&gt;"", Calc!BC73*'Waste results'!$P$23, "no data"),
   IF(AND(Calc!BC73=0,Calc!BE73=0),
     IF('Waste results'!$P$59&lt;&gt;"", Calc!BD73*'Waste results'!$P$59, "no data"),
   IF(AND(Calc!BC73=0,Calc!BD73=0),
     IF('Waste results'!$P$95&lt;&gt;"", Calc!BE73*'Waste results'!$P$95, "no data"),
   IF(Calc!BE73=0,
     IF(OR('Waste results'!$P$23&lt;&gt;"", 'Waste results'!$P$59&lt;&gt;""), Calc!BC73*'Waste results'!$P$23+ Calc!BD73*'Waste results'!$P$59, "no data"),
   IF(Calc!BD73=0,
     IF(OR('Waste results'!$P$23&lt;&gt;"", 'Waste results'!$P$95&lt;&gt;""), Calc!BC73*'Waste results'!$P$23+ Calc!BE73*'Waste results'!$P$95, "no data"),
   IF(Calc!BC73=0,
     IF(OR('Waste results'!$P$59&lt;&gt;"", 'Waste results'!$P$95&lt;&gt;""), Calc!BD73*'Waste results'!$P$59+Calc!BE73*'Waste results'!$P$95, "no data"),
   IF(OR('Waste results'!$P$23&lt;&gt;"", 'Waste results'!$P$59&lt;&gt;"", 'Waste results'!$P$95&lt;&gt;""), Calc!BC73*'Waste results'!$P$23+Calc!BD73*'Waste results'!$P$59+ Calc!BE73*'Waste results'!$P$95, "no data")))))))))))</f>
        <v/>
      </c>
      <c r="Z75" s="7" t="str">
        <f ca="1">IF(OR(ISBLANK('Soil results'!I$7),ISBLANK('Soil results'!I78),'Soil results'!B78=""),"",
VLOOKUP(Calc!BI73,'Fertiliser recommendations'!$A$4:$AM$63,39,FALSE))</f>
        <v/>
      </c>
      <c r="AA75" s="91" t="str">
        <f t="shared" ca="1" si="21"/>
        <v/>
      </c>
      <c r="AB75" s="9" t="str">
        <f t="shared" ca="1" si="22"/>
        <v/>
      </c>
      <c r="AD75" s="48" t="str">
        <f>IF(ISBLANK('Soil results'!F78),"",'Soil results'!F78)</f>
        <v/>
      </c>
      <c r="AE75" s="49" t="str">
        <f ca="1">IF(B75="","",
IF(AND(Calc!BJ73="g", VLOOKUP(LEFT($B75,LEN($B75)-2),'Field information 2'!$B$12:$P$111,9,FALSE)&lt;&gt;"yes"),
 IF(Calc!BG73="10-25% OM", 5.9, IF(Calc!BG73="&gt;25% OM", 5.5, 6.2)),
IF(OR(Calc!BJ73="a", VLOOKUP(LEFT($B75,LEN($B75)-2),'Field information 2'!$B$12:$P$111,9,FALSE)="yes"),
 IF(Calc!BG73="10-25% OM", 6.4, IF(Calc!BG73="&gt;25% OM", 6, 6.7)), "")))</f>
        <v/>
      </c>
      <c r="AF75" s="91" t="str">
        <f ca="1">IF(B75="","",
IF('Waste results'!$Q$33="","no (significant) liming properties",
IF('Waste results'!Q$33&gt;100,"no (significant) liming properties",
IF(AD75="","",
IF(AD75&gt;=AE75,0,ROUNDDOWN((AE75-AD75)*Calc!BK73*'Waste results'!$Q$33+0.2,0))))))</f>
        <v/>
      </c>
      <c r="AG75" s="9" t="str">
        <f ca="1">IF(B75="","",
IF(T75=0,"n/a",
IF(AD75="","data missing",
IF(AND(AD75&lt;5,AF75="no (significant) liming properties"),"no waste application - pH too low",
IF(AND(AD75&gt;5.1,AF75="no (significant) liming properties",Calc!BH73&gt;25, LEFT(Calc!BI73,4)="graz"),"ok",
IF(AND(AD75&lt;=5.2,AF75="no (significant) liming properties"),"liming highly recommended",
IF(AF75=0,"no waste application - liming not required",
IF(AF75&lt;Calc!BC73,"application rate too high - exceeds liming requirement",
"ok"))))))))</f>
        <v/>
      </c>
      <c r="AI75" s="91" t="str">
        <f ca="1">IF(B75="","",
IF(AND('Field information 2'!$O$5="", 'Field information 2'!$Q$5=""),
   IF('Waste results'!$P$10&lt;&gt;"data missing", Calc!BC73*'Waste results'!$P$10, "data missing"),
IF('Field information 2'!$Q$5="",
   IF(Calc!BD73=0,
     IF('Waste results'!$P$10&lt;&gt;"data missing", Calc!BC73*'Waste results'!$P$10, "data missing"),
   IF(Calc!BC73=0,
     IF('Waste results'!$P$45&lt;&gt;"data missing", Calc!BD73*'Waste results'!$P$45, "data missing"),
   IF(OR('Waste results'!$P$10&lt;&gt;"data missing", 'Waste results'!$P$45&lt;&gt;"data missing"), Calc!BC73*'Waste results'!$P$10+ Calc!BD73*'Waste results'!$P$45, "data missing"))),
IF(AND('Field information 2'!$M$5&lt;&gt;"", 'Field information 2'!$O$5&lt;&gt;"", 'Field information 2'!$Q$5&lt;&gt;""),
   IF(AND(Calc!BD73=0,Calc!BE73=0),
     IF('Waste results'!$P$10&lt;&gt;"data missing", Calc!BC73*'Waste results'!$P$10, "data missing"),
   IF(AND(Calc!BC73=0,Calc!BE73=0),
     IF('Waste results'!$P$45&lt;&gt;"data missing", Calc!BD73*'Waste results'!$P$45, "data missing"),
   IF(AND(Calc!BC73=0,Calc!BD73=0),
     IF('Waste results'!$P$82&lt;&gt;"data missing", Calc!BE73*'Waste results'!$P$82, "data missing"),
   IF(Calc!BE73=0,
     IF(OR('Waste results'!$P$10&lt;&gt;"data missing", 'Waste results'!$P$45&lt;&gt;"data missing"), Calc!BC73*'Waste results'!$P$10+ Calc!BD73*'Waste results'!$P$45, "data missing"),
   IF(Calc!BD73=0,
     IF(OR('Waste results'!$P$10&lt;&gt;"data missing", 'Waste results'!$P$82&lt;&gt;"data missing"), Calc!BC73*'Waste results'!$P$10+ Calc!BE73*'Waste results'!$P$82, "data missing"),
   IF(Calc!BC73=0,
     IF(OR('Waste results'!$P$45&lt;&gt;"data missing", 'Waste results'!$P$82&lt;&gt;"data missing"), Calc!BD73*'Waste results'!$P$45+Calc!BE73*'Waste results'!$P$82, "data missing"),
   IF(OR('Waste results'!$P$10&lt;&gt;"data missing", 'Waste results'!$P$45&lt;&gt;"data missing", 'Waste results'!$P$82&lt;&gt;"data missing"), Calc!BC73*'Waste results'!$P$10+Calc!BD73*'Waste results'!$P$45+ Calc!BE73*'Waste results'!$P$82, "data missing")))))))))))</f>
        <v/>
      </c>
      <c r="AJ75" s="237" t="str">
        <f ca="1">IF(B75="","",
IF(AI75="data missing","data missing",
IF(Calc!BF73=0,"n/a",
IF(AND(Calc!BH73&gt;=8,AI75&lt;500),"no benefit",
IF(OR(AND(Calc!BH73&lt;=4,AI75&gt;=500),AND(Calc!BH73&lt;8,AI75&gt;5000)),"benefit",
"limited benefit")))))</f>
        <v/>
      </c>
      <c r="AL75" s="238" t="str">
        <f ca="1">IF(B75="","",
IF(AND('Field information 2'!$O$5="", 'Field information 2'!$Q$5=""),
   IF('Waste results'!$S$25&lt;&gt;"data missing", Calc!BC73*'Waste results'!$S$25, "data missing"),
IF('Field information 2'!$Q$5="",
   IF(Calc!BD73=0,
     IF('Waste results'!$S$25&lt;&gt;"data missing", Calc!BC73*'Waste results'!$S$25, "data missing"),
   IF(Calc!BC73=0,
     IF('Waste results'!$S$61&lt;&gt;"data missing", Calc!BD73*'Waste results'!$S$61, "data missing"),
   IF(OR('Waste results'!$S$25&lt;&gt;"data missing", 'Waste results'!$S$61&lt;&gt;"data missing"), Calc!BC73*'Waste results'!$S$25+ Calc!BD73*'Waste results'!$S$61, "data missing"))),
IF(AND('Field information 2'!$M$5&lt;&gt;"", 'Field information 2'!$O$5&lt;&gt;"", 'Field information 2'!$Q$5&lt;&gt;""),
   IF(AND(Calc!BD73=0,Calc!BE73=0),
     IF('Waste results'!$S$25&lt;&gt;"data missing", Calc!BC73*'Waste results'!$S$25, "data missing"),
   IF(AND(Calc!BC73=0,Calc!BE73=0),
     IF('Waste results'!$S$61&lt;&gt;"data missing", Calc!BD73*'Waste results'!$S$61, "data missing"),
   IF(AND(Calc!BC73=0,Calc!BD73=0),
     IF('Waste results'!$S$97&lt;&gt;"data missing", Calc!BE73*'Waste results'!$S$97, "data missing"),
   IF(Calc!BE73=0,
     IF(OR('Waste results'!$S$25&lt;&gt;"data missing", 'Waste results'!$S$61&lt;&gt;"data missing"), Calc!BC73*'Waste results'!$S$25+ Calc!BD73*'Waste results'!$S$61, "data missing"),
   IF(Calc!BD73=0,
     IF(OR('Waste results'!$S$25&lt;&gt;"data missing", 'Waste results'!$S$97&lt;&gt;"data missing"), Calc!BC73*'Waste results'!$S$25+ Calc!BE73*'Waste results'!$S$97, "data missing"),
   IF(Calc!BC73=0,
     IF(OR('Waste results'!$S$61&lt;&gt;"data missing", 'Waste results'!$S$97&lt;&gt;"data missing"), Calc!BD73*'Waste results'!$S$61+Calc!BE73*'Waste results'!$S$97, "data missing"),
   IF(OR('Waste results'!$S$25&lt;&gt;"data missing", 'Waste results'!$S$61&lt;&gt;"data missing", 'Waste results'!$S$97&lt;&gt;"data missing"), Calc!BC73*'Waste results'!$S$25+Calc!BD73*'Waste results'!$S$61+ Calc!BE73*'Waste results'!$S$97, "data missing")))))))))))</f>
        <v/>
      </c>
      <c r="AM75" s="239" t="str">
        <f ca="1">IF($B75="","",
IF(ISBLANK('Soil results'!K78),"data missing",'Soil results'!K78))</f>
        <v/>
      </c>
      <c r="AN75" s="239" t="str">
        <f t="shared" ca="1" si="23"/>
        <v/>
      </c>
      <c r="AO75" s="9" t="str">
        <f t="shared" ca="1" si="24"/>
        <v/>
      </c>
      <c r="AQ75" s="240" t="str">
        <f ca="1">IF(B75="","",
IF(AND('Field information 2'!$O$5="", 'Field information 2'!$Q$5=""),
   IF('Waste results'!$S$26&lt;&gt;"data missing", Calc!BC73*'Waste results'!$S$26, "data missing"),
IF('Field information 2'!$Q$5="",
   IF(Calc!BD73=0,
     IF('Waste results'!$S$26&lt;&gt;"data missing", Calc!BC73*'Waste results'!$S$26, "data missing"),
   IF(Calc!BC73=0,
     IF('Waste results'!$S$62&lt;&gt;"data missing", Calc!BD73*'Waste results'!$S$62, "data missing"),
   IF(OR('Waste results'!$S$26&lt;&gt;"data missing", 'Waste results'!$S$62&lt;&gt;"data missing"), Calc!BC73*'Waste results'!$S$26+ Calc!BD73*'Waste results'!$S$62, "data missing"))),
IF(AND('Field information 2'!$M$5&lt;&gt;"", 'Field information 2'!$O$5&lt;&gt;"", 'Field information 2'!$Q$5&lt;&gt;""),
   IF(AND(Calc!BD73=0,Calc!BE73=0),
     IF('Waste results'!$S$26&lt;&gt;"data missing", Calc!BC73*'Waste results'!$S$26, "data missing"),
   IF(AND(Calc!BC73=0,Calc!BE73=0),
     IF('Waste results'!$S$62&lt;&gt;"data missing", Calc!BD73*'Waste results'!$S$62, "data missing"),
   IF(AND(Calc!BC73=0,Calc!BD73=0),
     IF('Waste results'!$S$98&lt;&gt;"data missing", Calc!BE73*'Waste results'!$S$98, "data missing"),
   IF(Calc!BE73=0,
     IF(OR('Waste results'!$S$26&lt;&gt;"data missing", 'Waste results'!$S$62&lt;&gt;"data missing"), Calc!BC73*'Waste results'!$S$26+ Calc!BD73*'Waste results'!$S$62, "data missing"),
   IF(Calc!BD73=0,
     IF(OR('Waste results'!$S$26&lt;&gt;"data missing", 'Waste results'!$S$98&lt;&gt;"data missing"), Calc!BC73*'Waste results'!$S$26+ Calc!BE73*'Waste results'!$S$98, "data missing"),
   IF(Calc!BC73=0,
     IF(OR('Waste results'!$S$62&lt;&gt;"data missing", 'Waste results'!$S$98&lt;&gt;"data missing"), Calc!BD73*'Waste results'!$S$62+Calc!BE73*'Waste results'!$S$98, "data missing"),
   IF(OR('Waste results'!$S$26&lt;&gt;"data missing", 'Waste results'!$S$62&lt;&gt;"data missing", 'Waste results'!$S$98&lt;&gt;"data missing"), Calc!BC73*'Waste results'!$S$26+Calc!BD73*'Waste results'!$S$62+ Calc!BE73*'Waste results'!$S$98, "data missing")))))))))))</f>
        <v/>
      </c>
      <c r="AR75" s="241" t="str">
        <f ca="1">IF($B75="","",
IF(ISBLANK('Soil results'!L78),"data missing",'Soil results'!L78))</f>
        <v/>
      </c>
      <c r="AS75" s="241" t="str">
        <f t="shared" ca="1" si="25"/>
        <v/>
      </c>
      <c r="AT75" s="66" t="str">
        <f t="shared" ca="1" si="26"/>
        <v/>
      </c>
      <c r="AV75" s="238" t="str">
        <f ca="1">IF(B75="","",
IF(AND('Field information 2'!$O$5="", 'Field information 2'!$Q$5=""),
   IF('Waste results'!$S$27&lt;&gt;"data missing", Calc!BC73*'Waste results'!$S$27, "data missing"),
IF('Field information 2'!$Q$5="",
   IF(Calc!BD73=0,
     IF('Waste results'!$S$27&lt;&gt;"data missing", Calc!BC73*'Waste results'!$S$27, "data missing"),
   IF(Calc!BC73=0,
     IF('Waste results'!$S$63&lt;&gt;"data missing", Calc!BD73*'Waste results'!$S$63, "data missing"),
   IF(OR('Waste results'!$S$27&lt;&gt;"data missing", 'Waste results'!$S$63&lt;&gt;"data missing"), Calc!BC73*'Waste results'!$S$27+ Calc!BD73*'Waste results'!$S$63, "data missing"))),
IF(AND('Field information 2'!$M$5&lt;&gt;"", 'Field information 2'!$O$5&lt;&gt;"", 'Field information 2'!$Q$5&lt;&gt;""),
   IF(AND(Calc!BD73=0,Calc!BE73=0),
     IF('Waste results'!$S$27&lt;&gt;"data missing", Calc!BC73*'Waste results'!$S$27, "data missing"),
   IF(AND(Calc!BC73=0,Calc!BE73=0),
     IF('Waste results'!$S$63&lt;&gt;"data missing", Calc!BD73*'Waste results'!$S$63, "data missing"),
   IF(AND(Calc!BC73=0,Calc!BD73=0),
     IF('Waste results'!$S$99&lt;&gt;"data missing", Calc!BE73*'Waste results'!$S$99, "data missing"),
   IF(Calc!BE73=0,
     IF(OR('Waste results'!$S$27&lt;&gt;"data missing", 'Waste results'!$S$63&lt;&gt;"data missing"), Calc!BC73*'Waste results'!$S$27+ Calc!BD73*'Waste results'!$S$63, "data missing"),
   IF(Calc!BD73=0,
     IF(OR('Waste results'!$S$27&lt;&gt;"data missing", 'Waste results'!$S$99&lt;&gt;"data missing"), Calc!BC73*'Waste results'!$S$27+ Calc!BE73*'Waste results'!$S$99, "data missing"),
   IF(Calc!BC73=0,
     IF(OR('Waste results'!$S$63&lt;&gt;"data missing", 'Waste results'!$S$99&lt;&gt;"data missing"), Calc!BD73*'Waste results'!$S$63+Calc!BE73*'Waste results'!$S$99, "data missing"),
   IF(OR('Waste results'!$S$27&lt;&gt;"data missing", 'Waste results'!$S$63&lt;&gt;"data missing", 'Waste results'!$S$99&lt;&gt;"data missing"), Calc!BC73*'Waste results'!$S$27+Calc!BD73*'Waste results'!$S$63+ Calc!BE73*'Waste results'!$S$99, "data missing")))))))))))</f>
        <v/>
      </c>
      <c r="AW75" s="239" t="str">
        <f ca="1">IF($B75="","",
IF(ISBLANK('Soil results'!M78),"data missing",'Soil results'!M78))</f>
        <v/>
      </c>
      <c r="AX75" s="239" t="str">
        <f t="shared" ca="1" si="27"/>
        <v/>
      </c>
      <c r="AY75" s="9" t="str">
        <f ca="1">IF(B75="","",
IF(AV75=0,"n/a",
IF(OR(AV75="data missing",AW75="data missing"),"data missing",
IF(AV75&gt;7.5,"application rate too high - permissible rate exceeds limit",
IF('Soil results'!$F78&lt;=5.5,
  IF(AW75&gt;80,"no application - soil conc. already above limit",
  IF(AX75&gt;80,"application rate too high - soil conc. will exceed limit",
  IF(AW75&gt;80*0.9,"soil conc. is at or above 90% of the limit",
  IF(10*AV75*1000/3000+AW75&gt;80,"soil limit likely to be exceeded in 10yrs",
  IF(50*AV75*1000/3000+AW75&gt;80,"soil limit likely to be exceeded in 50yrs","ok"))))),
IF('Soil results'!$F78&lt;=6,
  IF(AW75&gt;100,"no application - soil conc. already above limit",
  IF(AX75&gt;100,"application rate too high - soil conc. will exceed limit",
  IF(AW75&gt;100*0.9,"soil conc. is at or above 90% of the limit",
  IF(10*AV75*1000/3000+AW75&gt;100,"soil limit likely to be exceeded in 10yrs",
  IF(50*AV75*1000/3000+AW75&gt;100,"soil limit likely to be exceeded in 50yrs","ok"))))),
IF('Soil results'!$F78&lt;=7,
  IF(AW75&gt;135,"no application - soil conc. already above limit",
  IF(AX75&gt;135,"application rate too high - soil conc. will exceed limit",
  IF(AW75&gt;135*0.9,"soil conc. is at or above 90% of the limit",
  IF(10*AV75*1000/3000+AW75&gt;135,"soil limit likely to be exceeded in 10yrs",
  IF(50*AV75*1000/3000+AW75&gt;135,"soil limit likely to be exceeded in 50yrs","ok"))))),
IF('Soil results'!$F78&gt;7,
  IF(AW75&gt;200,"no application - soil conc. already above limit",
  IF(AX75&gt;200,"application too high - soil conc. will exceed limit",
  IF(AW75&gt;200*0.9,"soil conc. is at or above 90% of the limit",
  IF(10*AV75*1000/3000+AW75&gt;200,"soil limit likely to be exceeded in 10yrs",
  IF(50*AV75*1000/3000+AW75&gt;200,"soil limit likely to be exceeded in 50yrs","ok")))))
))))))))</f>
        <v/>
      </c>
      <c r="BA75" s="238" t="str">
        <f ca="1">IF(B75="","",
IF(AND('Field information 2'!$O$5="", 'Field information 2'!$Q$5=""),
   IF('Waste results'!$S$28&lt;&gt;"data missing", Calc!BC73*'Waste results'!$S$28, "data missing"),
IF('Field information 2'!$Q$5="",
   IF(Calc!BD73=0,
     IF('Waste results'!$S$28&lt;&gt;"data missing", Calc!BC73*'Waste results'!$S$28, "data missing"),
   IF(Calc!BC73=0,
     IF('Waste results'!$S$64&lt;&gt;"data missing", Calc!BD73*'Waste results'!$S$64, "data missing"),
   IF(OR('Waste results'!$S$28&lt;&gt;"data missing", 'Waste results'!$S$64&lt;&gt;"data missing"), Calc!BC73*'Waste results'!$S$28+ Calc!BD73*'Waste results'!$S$64, "data missing"))),
IF(AND('Field information 2'!$M$5&lt;&gt;"", 'Field information 2'!$O$5&lt;&gt;"", 'Field information 2'!$Q$5&lt;&gt;""),
   IF(AND(Calc!BD73=0,Calc!BE73=0),
     IF('Waste results'!$S$28&lt;&gt;"data missing", Calc!BC73*'Waste results'!$S$28, "data missing"),
   IF(AND(Calc!BC73=0,Calc!BE73=0),
     IF('Waste results'!$S$64&lt;&gt;"data missing", Calc!BD73*'Waste results'!$S$64, "data missing"),
   IF(AND(Calc!BC73=0,Calc!BD73=0),
     IF('Waste results'!$S$100&lt;&gt;"data missing", Calc!BE73*'Waste results'!$S$100, "data missing"),
   IF(Calc!BE73=0,
     IF(OR('Waste results'!$S$28&lt;&gt;"data missing", 'Waste results'!$S$64&lt;&gt;"data missing"), Calc!BC73*'Waste results'!$S$28+ Calc!BD73*'Waste results'!$S$64, "data missing"),
   IF(Calc!BD73=0,
     IF(OR('Waste results'!$S$28&lt;&gt;"data missing", 'Waste results'!$S$100&lt;&gt;"data missing"), Calc!BC73*'Waste results'!$S$28+ Calc!BE73*'Waste results'!$S$100, "data missing"),
   IF(Calc!BC73=0,
     IF(OR('Waste results'!$S$64&lt;&gt;"data missing", 'Waste results'!$S$100&lt;&gt;"data missing"), Calc!BD73*'Waste results'!$S$64+Calc!BE73*'Waste results'!$S$100, "data missing"),
   IF(OR('Waste results'!$S$28&lt;&gt;"data missing", 'Waste results'!$S$64&lt;&gt;"data missing", 'Waste results'!$S$100&lt;&gt;"data missing"), Calc!BC73*'Waste results'!$S$28+Calc!BD73*'Waste results'!$S$64+ Calc!BE73*'Waste results'!$S$100, "data missing")))))))))))</f>
        <v/>
      </c>
      <c r="BB75" s="239" t="str">
        <f ca="1">IF($B75="","",
IF(ISBLANK('Soil results'!N78),"data missing",'Soil results'!N78))</f>
        <v/>
      </c>
      <c r="BC75" s="239" t="str">
        <f t="shared" ca="1" si="28"/>
        <v/>
      </c>
      <c r="BD75" s="9" t="str">
        <f t="shared" ca="1" si="29"/>
        <v/>
      </c>
      <c r="BF75" s="238" t="str">
        <f ca="1">IF(B75="","",
IF(AND('Field information 2'!$O$5="", 'Field information 2'!$Q$5=""),
   IF('Waste results'!$S$29&lt;&gt;"data missing", Calc!BC73*'Waste results'!$S$29, "data missing"),
IF('Field information 2'!$Q$5="",
   IF(Calc!BD73=0,
     IF('Waste results'!$S$29&lt;&gt;"data missing", Calc!BC73*'Waste results'!$S$29, "data missing"),
   IF(Calc!BC73=0,
     IF('Waste results'!$S$65&lt;&gt;"data missing", Calc!BD73*'Waste results'!$S$65, "data missing"),
   IF(OR('Waste results'!$S$29&lt;&gt;"data missing", 'Waste results'!$S$65&lt;&gt;"data missing"), Calc!BC73*'Waste results'!$S$29+ Calc!BD73*'Waste results'!$S$65, "data missing"))),
IF(AND('Field information 2'!$M$5&lt;&gt;"", 'Field information 2'!$O$5&lt;&gt;"", 'Field information 2'!$Q$5&lt;&gt;""),
   IF(AND(Calc!BD73=0,Calc!BE73=0),
     IF('Waste results'!$S$29&lt;&gt;"data missing", Calc!BC73*'Waste results'!$S$29, "data missing"),
   IF(AND(Calc!BC73=0,Calc!BE73=0),
     IF('Waste results'!$S$65&lt;&gt;"data missing", Calc!BD73*'Waste results'!$S$65, "data missing"),
   IF(AND(Calc!BC73=0,Calc!BD73=0),
     IF('Waste results'!$S$101&lt;&gt;"data missing", Calc!BE73*'Waste results'!$S$101, "data missing"),
   IF(Calc!BE73=0,
     IF(OR('Waste results'!$S$29&lt;&gt;"data missing", 'Waste results'!$S$65&lt;&gt;"data missing"), Calc!BC73*'Waste results'!$S$29+ Calc!BD73*'Waste results'!$S$65, "data missing"),
   IF(Calc!BD73=0,
     IF(OR('Waste results'!$S$29&lt;&gt;"data missing", 'Waste results'!$S$101&lt;&gt;"data missing"), Calc!BC73*'Waste results'!$S$29+ Calc!BE73*'Waste results'!$S$101, "data missing"),
   IF(Calc!BC73=0,
     IF(OR('Waste results'!$S$65&lt;&gt;"data missing", 'Waste results'!$S$101&lt;&gt;"data missing"), Calc!BD73*'Waste results'!$S$65+Calc!BE73*'Waste results'!$S$101, "data missing"),
   IF(OR('Waste results'!$S$29&lt;&gt;"data missing", 'Waste results'!$S$65&lt;&gt;"data missing", 'Waste results'!$S$101&lt;&gt;"data missing"), Calc!BC73*'Waste results'!$S$29+Calc!BD73*'Waste results'!$S$65+ Calc!BE73*'Waste results'!$S$101, "data missing")))))))))))</f>
        <v/>
      </c>
      <c r="BG75" s="239" t="str">
        <f ca="1">IF($B75="","",
IF(ISBLANK('Soil results'!O78),"data missing",'Soil results'!O78))</f>
        <v/>
      </c>
      <c r="BH75" s="239" t="str">
        <f t="shared" ca="1" si="30"/>
        <v/>
      </c>
      <c r="BI75" s="9" t="str">
        <f ca="1">IF(B75="","",
IF(BF75=0,"n/a",
IF(OR(BF75="data missing",BG75="data missing"),"data missing",
IF(BF75&gt;3,"application rate too high - permissible rate exceeds limit",
IF('Soil results'!F78&lt;=5.5,
  IF(BG75&gt;50,"no application - soil conc. already above limit",
  IF(BH75&gt;50,"application rate too high - soil conc. will exceed limit",
  IF(BG75&gt;50*0.9,"soil conc. is at or above 90% of the limit",
  IF(10*BF75*1000/3000+BG75&gt;50,"soil limit likely to be exceeded in 10yrs",
  IF(50*BF75*1000/3000+BG75&gt;50,"soil limit likely to be exceeded in 50yrs","ok"))))),
IF('Soil results'!F78&lt;=6,
  IF(BG75&gt;60,"no application - soil conc. already above limit",
  IF(BH75&gt;60,"application rate too high - soil conc. will exceed limit",
  IF(BG75&gt;60*0.9,"soil conc. is at or above 90% of the limit",
  IF(10*BF75*1000/3000+BG75&gt;60,"soil limit likely to be exceeded in 10yrs",
  IF(50*BF75*1000/3000+BG75&gt;60,"soil limit likely to be exceeded in 50yrs","ok"))))),
IF('Soil results'!F78&lt;=7,
  IF(BG75&gt;75,"no application - soil conc. already above limit",
  IF(BH75&gt;75,"application rate too high - soil conc. will exceed limit",
  IF(BG75&gt;75*0.9,"soil conc. is at or above 90% of the limit",
  IF(10*BF75*1000/3000+BG75&gt;75,"soil limit likely to be exceeded in 10yrs",
  IF(50*BF75*1000/3000+BG75&gt;75,"soil limit likely to be exceeded in 50yrs","ok"))))),
IF('Soil results'!F78&gt;7,
  IF(BG75&gt;100,"no application - soil conc. already above limit",
  IF(BH75&gt;100,"application rate too high - soil conc. will exceed limit",
  IF(BG75&gt;100*0.9,"soil conc. is at or above 90% of the limit",
  IF(10*BF75*1000/3000+BG75&gt;100,"soil limit likely to be exceeded in 10yrs",
  IF(50*BF75*1000/3000+BG75&gt;100,"soil limit likely to beexceeded in 50yrs","ok")))))
))))))))</f>
        <v/>
      </c>
      <c r="BK75" s="240" t="str">
        <f ca="1">IF(B75="","",
IF(AND('Field information 2'!$O$5="", 'Field information 2'!$Q$5=""),
   IF('Waste results'!$S$30&lt;&gt;"data missing", Calc!BC73*'Waste results'!$S$30, "data missing"),
IF('Field information 2'!$Q$5="",
   IF(Calc!BD73=0,
     IF('Waste results'!$S$30&lt;&gt;"data missing", Calc!BC73*'Waste results'!$S$30, "data missing"),
   IF(Calc!BC73=0,
     IF('Waste results'!$S$66&lt;&gt;"data missing", Calc!BD73*'Waste results'!$S$66, "data missing"),
   IF(OR('Waste results'!$S$30&lt;&gt;"data missing", 'Waste results'!$S$66&lt;&gt;"data missing"), Calc!BC73*'Waste results'!$S$30+ Calc!BD73*'Waste results'!$S$66, "data missing"))),
IF(AND('Field information 2'!$M$5&lt;&gt;"", 'Field information 2'!$O$5&lt;&gt;"", 'Field information 2'!$Q$5&lt;&gt;""),
   IF(AND(Calc!BD73=0,Calc!BE73=0),
     IF('Waste results'!$S$30&lt;&gt;"data missing", Calc!BC73*'Waste results'!$S$30, "data missing"),
   IF(AND(Calc!BC73=0,Calc!BE73=0),
     IF('Waste results'!$S$66&lt;&gt;"data missing", Calc!BD73*'Waste results'!$S$66, "data missing"),
   IF(AND(Calc!BC73=0,Calc!BD73=0),
     IF('Waste results'!$S$102&lt;&gt;"data missing", Calc!BE73*'Waste results'!$S$102, "data missing"),
   IF(Calc!BE73=0,
     IF(OR('Waste results'!$S$30&lt;&gt;"data missing", 'Waste results'!$S$66&lt;&gt;"data missing"), Calc!BC73*'Waste results'!$S$30+ Calc!BD73*'Waste results'!$S$66, "data missing"),
   IF(Calc!BD73=0,
     IF(OR('Waste results'!$S$30&lt;&gt;"data missing", 'Waste results'!$S$102&lt;&gt;"data missing"), Calc!BC73*'Waste results'!$S$30+ Calc!BE73*'Waste results'!$S$102, "data missing"),
   IF(Calc!BC73=0,
     IF(OR('Waste results'!$S$66&lt;&gt;"data missing", 'Waste results'!$S$102&lt;&gt;"data missing"), Calc!BD73*'Waste results'!$S$66+Calc!BE73*'Waste results'!$S$102, "data missing"),
   IF(OR('Waste results'!$S$30&lt;&gt;"data missing", 'Waste results'!$S$66&lt;&gt;"data missing", 'Waste results'!$S$102&lt;&gt;"data missing"), Calc!BC73*'Waste results'!$S$30+Calc!BD73*'Waste results'!$S$66+ Calc!BE73*'Waste results'!$S$102, "data missing")))))))))))</f>
        <v/>
      </c>
      <c r="BL75" s="241" t="str">
        <f ca="1">IF($B75="","",
IF(ISBLANK('Soil results'!P78),"data missing",'Soil results'!P78))</f>
        <v/>
      </c>
      <c r="BM75" s="241" t="str">
        <f t="shared" ca="1" si="31"/>
        <v/>
      </c>
      <c r="BN75" s="66" t="str">
        <f t="shared" ca="1" si="32"/>
        <v/>
      </c>
      <c r="BP75" s="238" t="str">
        <f ca="1">IF(B75="","",
IF(AND('Field information 2'!$O$5="", 'Field information 2'!$Q$5=""),
   IF('Waste results'!$S$31&lt;&gt;"data missing", Calc!BC73*'Waste results'!$S$31, "data missing"),
IF('Field information 2'!$Q$5="",
   IF(Calc!BD73=0,
     IF('Waste results'!$S$31&lt;&gt;"data missing", Calc!BC73*'Waste results'!$S$31, "data missing"),
   IF(Calc!BC73=0,
     IF('Waste results'!$S$67&lt;&gt;"data missing", Calc!BD73*'Waste results'!$S$67, "data missing"),
   IF(OR('Waste results'!$S$31&lt;&gt;"data missing", 'Waste results'!$S$67&lt;&gt;"data missing"), Calc!BC73*'Waste results'!$S$31+ Calc!BD73*'Waste results'!$S$67, "data missing"))),
IF(AND('Field information 2'!$M$5&lt;&gt;"", 'Field information 2'!$O$5&lt;&gt;"", 'Field information 2'!$Q$5&lt;&gt;""),
   IF(AND(Calc!BD73=0,Calc!BE73=0),
     IF('Waste results'!$S$31&lt;&gt;"data missing", Calc!BC73*'Waste results'!$S$31, "data missing"),
   IF(AND(Calc!BC73=0,Calc!BE73=0),
     IF('Waste results'!$S$67&lt;&gt;"data missing", Calc!BD73*'Waste results'!$S$67, "data missing"),
   IF(AND(Calc!BC73=0,Calc!BD73=0),
     IF('Waste results'!$S$103&lt;&gt;"data missing", Calc!BE73*'Waste results'!$S$103, "data missing"),
   IF(Calc!BE73=0,
     IF(OR('Waste results'!$S$31&lt;&gt;"data missing", 'Waste results'!$S$67&lt;&gt;"data missing"), Calc!BC73*'Waste results'!$S$31+ Calc!BD73*'Waste results'!$S$67, "data missing"),
   IF(Calc!BD73=0,
     IF(OR('Waste results'!$S$31&lt;&gt;"data missing", 'Waste results'!$S$103&lt;&gt;"data missing"), Calc!BC73*'Waste results'!$S$31+ Calc!BE73*'Waste results'!$S$103, "data missing"),
   IF(Calc!BC73=0,
     IF(OR('Waste results'!$S$67&lt;&gt;"data missing", 'Waste results'!$S$103&lt;&gt;"data missing"), Calc!BD73*'Waste results'!$S$67+Calc!BE73*'Waste results'!$S$103, "data missing"),
   IF(OR('Waste results'!$S$31&lt;&gt;"data missing", 'Waste results'!$S$67&lt;&gt;"data missing", 'Waste results'!$S$103&lt;&gt;"data missing"), Calc!BC73*'Waste results'!$S$31+Calc!BD73*'Waste results'!$S$67+ Calc!BE73*'Waste results'!$S$103, "data missing")))))))))))</f>
        <v/>
      </c>
      <c r="BQ75" s="239" t="str">
        <f ca="1">IF($B75="","",
IF(ISBLANK('Soil results'!Q78),"data missing",'Soil results'!Q78))</f>
        <v/>
      </c>
      <c r="BR75" s="239" t="str">
        <f t="shared" ca="1" si="33"/>
        <v/>
      </c>
      <c r="BS75" s="9" t="str">
        <f ca="1">IF(B75="","",
IF(BP75=0,"n/a",
IF(OR(BP75="data missing",BQ75=""),"data missing",
IF(BP75&gt;15,"application rate too high - permissible rate exceeds limit",
IF('Soil results'!F78&lt;=5.5,
  IF(BQ75&gt;200,"no application - soil conc. already above limit",
  IF(BR75&gt;200,"application rate too high - soil conc. will exceed limit",
  IF(BQ75&gt;200*0.9,"soil conc. is at or above 90% of the limit",
  IF(10*BP75*1000/3000+BQ75&gt;200,"soil limit likely to be exceeded in 10yrs",
  IF(50*BP75*1000/3000+BQ75&gt;200,"soil limit likely to be exceeded in 50yrs","ok"))))),
IF('Soil results'!F78&lt;=6,
  IF(BQ75&gt;250,"no application - soil conc. already above limit",
  IF(BR75&gt;250,"application rate too high - soil conc. will exceed limit",
  IF(BQ75&gt;250*0.9,"soil conc. is at or above 90% of the limit",
  IF(10*BP75*1000/3000+BQ75&gt;250,"soil limit likely to be exceeded in 10yrs",
  IF(50*BP75*1000/3000+BQ75&gt;250,"soil limit likely to be exceeded in 50yrs","ok"))))),
IF('Soil results'!F78&lt;=7,
  IF(BQ75&gt;300,"no application - soil conc. already above limit",
  IF(BR75&gt;300,"application rate too high - soil conc. will exceed limit",
  IF(BQ75&gt;300*0.9,"soil conc. is at or above 90% of the limit",
  IF(10*BP75*1000/3000+BQ75&gt;300,"soil limit likey to be exceeded in 10yrs",
  IF(50*BP75*1000/3000+BQ75&gt;300,"soil limit likely to be exceeded in 50yrs","ok"))))),
IF('Soil results'!F78&gt;7,
  IF(BQ75&gt;450,"no application - soil conc. already above limit",
  IF(BR75&gt;450,"application rate too high - soil conc. will exceed limit",
  IF(AW75&gt;450*0.9,"soil conc. is at or above 90% of the limit",
  IF(10*BP75*1000/3000+BQ75&gt;450,"soil limit likely to be exceeded in 10yrs",
  IF(50*BP75*1000/3000+BQ75&gt;450,"soil limit likely to be exceeded in 50yrs","ok")))))
))))))))</f>
        <v/>
      </c>
    </row>
    <row r="76" spans="2:71" s="9" customFormat="1" ht="15" x14ac:dyDescent="0.25">
      <c r="B76" s="236" t="str">
        <f ca="1">'Soil results'!B79</f>
        <v/>
      </c>
      <c r="C76" s="91" t="str">
        <f ca="1">IF(B76="","",
IF(AND('Field information 2'!$O$5="", 'Field information 2'!$Q$5=""),
   IF('Waste results'!$S$12&lt;&gt;"data missing", Calc!BC74*'Waste results'!$S$12, "data missing"),
IF('Field information 2'!$Q$5="",
   IF(Calc!BD74=0,
     IF('Waste results'!$S$12&lt;&gt;"data missing", Calc!BC74*'Waste results'!$S$12, "data missing"),
   IF(Calc!BC74=0,
     IF('Waste results'!$S$48&lt;&gt;"data missing", Calc!BD74*'Waste results'!$S$48, "data missing"),
   IF(OR('Waste results'!$S$12&lt;&gt;"data missing", 'Waste results'!$S$48&lt;&gt;"data missing"), Calc!BC74*'Waste results'!$S$12+ Calc!BD74*'Waste results'!$S$48, "data missing"))),
IF(AND('Field information 2'!$M$5&lt;&gt;"", 'Field information 2'!$O$5&lt;&gt;"", 'Field information 2'!$Q$5&lt;&gt;""),
   IF(AND(Calc!BD74=0,Calc!BE74=0),
     IF('Waste results'!$S$12&lt;&gt;"data missing", Calc!BC74*'Waste results'!$S$12, "data missing"),
   IF(AND(Calc!BC74=0,Calc!BE74=0),
     IF('Waste results'!$S$48&lt;&gt;"data missing", Calc!BD74*'Waste results'!$S$48, "data missing"),
   IF(AND(Calc!BC74=0,Calc!BD74=0),
     IF('Waste results'!$S$84&lt;&gt;"data missing", Calc!BE74*'Waste results'!$S$84, "data missing"),
   IF(Calc!BE74=0,
     IF(OR('Waste results'!$S$12&lt;&gt;"data missing", 'Waste results'!$S$48&lt;&gt;"data missing"), Calc!BC74*'Waste results'!$S$12+ Calc!BD74*'Waste results'!$S$48, "data missing"),
   IF(Calc!BD74=0,
     IF(OR('Waste results'!$S$12&lt;&gt;"data missing", 'Waste results'!$S$84&lt;&gt;"data missing"), Calc!BC74*'Waste results'!$S$12+ Calc!BE74*'Waste results'!$S$84, "data missing"),
   IF(Calc!BC74=0,
     IF(OR('Waste results'!$S$48&lt;&gt;"data missing", 'Waste results'!$S$84&lt;&gt;"data missing"), Calc!BD74*'Waste results'!$S$48+Calc!BE74*'Waste results'!$S$84, "data missing"),
   IF(OR('Waste results'!$S$12&lt;&gt;"data missing", 'Waste results'!$S$48&lt;&gt;"data missing", 'Waste results'!$S$84&lt;&gt;"data missing"), Calc!BC74*'Waste results'!$S$12+Calc!BD74*'Waste results'!$S$48+ Calc!BE74*'Waste results'!$S$84, "data missing")))))))))))</f>
        <v/>
      </c>
      <c r="D76" s="161" t="str">
        <f ca="1">IF(B76="","",
IF(Calc!BG74="","soil texture missing",
IF(OR(Calc!BG74="SL; SZL; ZL",Calc!BG74="SCL; CL; ZCL; SC; ZC; C"),VLOOKUP(Calc!BI74,'Fertiliser recommendations'!$A$4:$C$63,3,FALSE),
IF(Calc!BG74="S; LS",VLOOKUP(Calc!BI74,'Fertiliser recommendations'!$A$4:$C$63,3,FALSE)+VLOOKUP(Calc!BI74,'Fertiliser recommendations'!$A$4:$D$63,4,FALSE),
IF(Calc!BG74="10-25% OM",VLOOKUP(Calc!BI74,'Fertiliser recommendations'!$A$4:$C$63,3,FALSE)+VLOOKUP(Calc!BI74,'Fertiliser recommendations'!$A$4:$E$63,5,FALSE),
IF(Calc!BG74="&gt;25% OM",VLOOKUP(Calc!BI74,'Fertiliser recommendations'!$A$4:$C$63,3,FALSE)+VLOOKUP(Calc!BI74,'Fertiliser recommendations'!$A$4:$F$63,6,FALSE),
""))))))</f>
        <v/>
      </c>
      <c r="E76" s="91" t="str">
        <f t="shared" ca="1" si="17"/>
        <v/>
      </c>
      <c r="F76" s="9" t="str">
        <f ca="1">IF(B76="","",
IF(OR(C76="data missing",D76="soil texture missing"),"data missing",
IF(Calc!BF74=0,"n/a",
IF(C76&lt;0.1*D76,"no benefit",
IF(C76&lt;0.3*D76,"limited benefit",
IF(C76&gt;250,"exceeds limit",
IF(OR(AND(D76=0,C76&gt;75),C76&gt;1.25*D76),"excessive",
IF(D76=0, "no requirement",
"benefit"))))))))</f>
        <v/>
      </c>
      <c r="H76" s="91" t="str">
        <f ca="1">IF(B76="","",
IF(AND('Field information 2'!$O$5="", 'Field information 2'!$Q$5=""),
   IF('Waste results'!$S$17&lt;&gt;"data missing", Calc!BC74*'Waste results'!$S$17, "data missing"),
IF('Field information 2'!$Q$5="",
   IF(Calc!BD74=0,
     IF('Waste results'!$S$17&lt;&gt;"data missing", Calc!BC74*'Waste results'!$S$17, "data missing"),
   IF(Calc!BC74=0,
     IF('Waste results'!$S$53&lt;&gt;"data missing", Calc!BD74*'Waste results'!$S$53, "data missing"),
   IF(OR('Waste results'!$S$17&lt;&gt;"data missing", 'Waste results'!$S$53&lt;&gt;"data missing"), Calc!BC74*'Waste results'!$S$17+ Calc!BD74*'Waste results'!$S$53, "data missing"))),
IF(AND('Field information 2'!$M$5&lt;&gt;"", 'Field information 2'!$O$5&lt;&gt;"", 'Field information 2'!$Q$5&lt;&gt;""),
   IF(AND(Calc!BD74=0,Calc!BE74=0),
     IF('Waste results'!$S$17&lt;&gt;"data missing", Calc!BC74*'Waste results'!$S$17, "data missing"),
   IF(AND(Calc!BC74=0,Calc!BE74=0),
     IF('Waste results'!$S$53&lt;&gt;"data missing", Calc!BD74*'Waste results'!$S$53, "data missing"),
   IF(AND(Calc!BC74=0,Calc!BD74=0),
     IF('Waste results'!$S$89&lt;&gt;"data missing", Calc!BE74*'Waste results'!$S$89, "data missing"),
   IF(Calc!BE74=0,
     IF(OR('Waste results'!$S$17&lt;&gt;"data missing", 'Waste results'!$S$53&lt;&gt;"data missing"), Calc!BC74*'Waste results'!$S$17+ Calc!BD74*'Waste results'!$S$53, "data missing"),
   IF(Calc!BD74=0,
     IF(OR('Waste results'!$S$17&lt;&gt;"data missing", 'Waste results'!$S$89&lt;&gt;"data missing"), Calc!BC74*'Waste results'!$S$17+ Calc!BE74*'Waste results'!$S$89, "data missing"),
   IF(Calc!BC74=0,
     IF(OR('Waste results'!$S$53&lt;&gt;"data missing", 'Waste results'!$S$89&lt;&gt;"data missing"), Calc!BD74*'Waste results'!$S$53+Calc!BE74*'Waste results'!$S$89, "data missing"),
   IF(OR('Waste results'!$S$17&lt;&gt;"data missing", 'Waste results'!$S$53&lt;&gt;"data missing", 'Waste results'!$S$89&lt;&gt;"data missing"), Calc!BC74*'Waste results'!$S$17+Calc!BD74*'Waste results'!$S$53+ Calc!BE74*'Waste results'!$S$89, "data missing")))))))))))</f>
        <v/>
      </c>
      <c r="I76" s="195" t="str">
        <f ca="1">IF(B76="","",
IF(OR(ISBLANK('Soil results'!G79), ISBLANK('Soil results'!G$7)),"data missing",
IF(OR(AND('Soil results'!G$7="Olsen (ADAS)",'Soil results'!G79&lt;16),AND('Soil results'!G$7="modified Morgan (SAC)",'Soil results'!G79&lt;4.5)),50,100)))</f>
        <v/>
      </c>
      <c r="J76" s="49" t="str">
        <f ca="1">IF(B76="","",
IF(OR(ISBLANK('Soil results'!G$7),ISBLANK('Soil results'!G79)),"data missing",
IF(OR(AND('Soil results'!G$7="Olsen (ADAS)",'Soil results'!G79&gt;45),AND('Soil results'!G$7="modified Morgan (SAC)",'Soil results'!G79&gt;30)),0,
IF(OR(AND('Soil results'!G$7="Olsen (ADAS)",'Soil results'!G79&gt;=16,'Soil results'!G79&lt;=20),AND('Soil results'!G$7="modified Morgan (SAC)",'Soil results'!G79&gt;=4.5,'Soil results'!G79&lt;=9.4)),VLOOKUP(Calc!BI74,'Fertiliser recommendations'!$A$4:$I$63,9,FALSE),
IF(OR(AND('Soil results'!G$7="Olsen (ADAS)",'Soil results'!G79&lt;10),AND('Soil results'!G$7="modified Morgan (SAC)",'Soil results'!G79&lt;1.8)),VLOOKUP(Calc!BI74,'Fertiliser recommendations'!$A$4:$I$63,9,FALSE)+VLOOKUP(Calc!BI74,'Fertiliser recommendations'!$A$4:$J$63,10,FALSE),
IF(OR(AND('Soil results'!G$7="Olsen (ADAS)",'Soil results'!G79&lt;16),AND('Soil results'!G$7="modified Morgan (SAC)",'Soil results'!G79&lt;4.5)),VLOOKUP(Calc!BI74,'Fertiliser recommendations'!$A$4:$I$63,9,FALSE)+VLOOKUP(Calc!BI74,'Fertiliser recommendations'!$A$4:$K$63,11,FALSE),
IF(OR(AND('Soil results'!G$7="Olsen (ADAS)",'Soil results'!G79&lt;26),AND('Soil results'!G$7="modified Morgan (SAC)",'Soil results'!G79&lt;13.5)),VLOOKUP(Calc!BI74,'Fertiliser recommendations'!$A$4:$I$63,9,FALSE)+VLOOKUP(Calc!BI74,'Fertiliser recommendations'!$A$4:$L$63,12,FALSE),
IF(OR(AND('Soil results'!G$7="Olsen (ADAS)",'Soil results'!G79&lt;=45),AND('Soil results'!G$7="modified Morgan (SAC)",'Soil results'!G79&lt;=30)),VLOOKUP(Calc!BI74,'Fertiliser recommendations'!$A$4:$I$63,9,FALSE)+VLOOKUP(Calc!BI74,'Fertiliser recommendations'!$A$4:$M$63,13,FALSE),
""))))))))</f>
        <v/>
      </c>
      <c r="K76" s="161" t="str">
        <f t="shared" ca="1" si="18"/>
        <v/>
      </c>
      <c r="L76" s="47" t="str">
        <f ca="1">IF(OR(ISBLANK('Soil results'!G$7),ISBLANK('Soil results'!G79),B76="", H76="data missing"),"",
IF('Soil results'!G$7="Olsen (ADAS)",
IF(((H76*Calc!BM74/2.291-(VLOOKUP(Calc!BI74,'Fertiliser recommendations'!$A$4:$I$63,9,FALSE))/2.291)*10/(400/2.291)+'Soil results'!G79)&lt;10,"0 (VL)",
IF(((H76*Calc!BM74/2.291-(VLOOKUP(Calc!BI74,'Fertiliser recommendations'!$A$4:$I$63,9,FALSE))/2.291)*10/(400/2.291)+'Soil results'!G79)&lt;16,"1 (L)",
IF(((H76*Calc!BM74/2.291-(VLOOKUP(Calc!BI74,'Fertiliser recommendations'!$A$4:$I$63,9,FALSE))/2.291)*10/(400/2.291)+'Soil results'!G79)&lt;21,"2 (M-)",
IF(((H76*Calc!BM74/2.291-(VLOOKUP(Calc!BI74,'Fertiliser recommendations'!$A$4:$I$63,9,FALSE))/2.291)*10/(400/2.291)+'Soil results'!G79)&lt;26,"2 (M+)",
IF(((H76*Calc!BM74/2.291-(VLOOKUP(Calc!BI74,'Fertiliser recommendations'!$A$4:$I$63,9,FALSE))/2.291)*10/(400/2.291)+'Soil results'!G79)&lt;45,"3 (H)","&gt;3 (VH)"))))),
IF('Soil results'!G$7="modified Morgan (SAC)",
IF('Soil results'!G79&gt;=6,
IF(((H76*Calc!BM74/2.291-(VLOOKUP(Calc!BI74,'Fertiliser recommendations'!$A$4:$I$63,9,FALSE))/2.291)*5/(147/2.291)+'Soil results'!G79)&lt;9.5,"2 (M-)",
IF(((H76*Calc!BM74/2.291-(VLOOKUP(Calc!BI74,'Fertiliser recommendations'!$A$4:$I$63,9,FALSE))/2.291)*5/(147/2.291)+'Soil results'!G79)&lt;13.5,"2 (M+)",
IF(((H76*Calc!BM74/2.291-(VLOOKUP(Calc!BI74,'Fertiliser recommendations'!$A$4:$I$63,9,FALSE))/2.291)*5/(147/2.291)+'Soil results'!G79)&lt;30,"3 (H)","4 (VH)"))),
IF(((H76*Calc!BM74/2.291-(VLOOKUP(Calc!BI74,'Fertiliser recommendations'!$A$4:$I$63,9,FALSE))/2.291)*5/(346/2.291)+'Soil results'!G79)&lt;1.8,"0 (VL)",
IF(((H76*Calc!BM74/2.291-(VLOOKUP(Calc!BI74,'Fertiliser recommendations'!$A$4:$I$63,9,FALSE))/2.291)*5/(147/2.291)+'Soil results'!G79)&lt;4.5,"1 (L)","2 (M-)"))))))</f>
        <v/>
      </c>
      <c r="M76" s="9" t="str">
        <f ca="1">IF(B76="","",
IF(OR(H76="data missing",I76="data missing",J76="data missing"),"data missing",
IF(Calc!BF74=0,"n/a",
IF(OR(AND('Soil results'!G$7="Olsen (ADAS)",'Soil results'!G79&gt;45),AND('Soil results'!G$7="modified Morgan (SAC)",'Soil results'!G79&gt;30)),
IF(H76&gt;2,"too high, not acceptable","no requirement"),IF(OR(AND('Soil results'!G$7="Olsen (ADAS)",'Soil results'!G79&gt;25),AND('Soil results'!G$7="modified Morgan (SAC)",'Soil results'!G79&gt;13.4)),
IF(H76*(I76/100)&lt;0.1*J76,"no benefit",
IF(H76*(I76/100)&lt;0.3*J76,"limited benefit",
IF(H76*(I76/100)&lt;1.1*J76,"benefit",
IF(H76*(I76/100)&lt;0.7*VLOOKUP(Calc!BI74,'Fertiliser recommendations'!$A$4:$I$63,9,FALSE),"excessive","too high, not acceptable")))),
IF(OR(AND('Soil results'!G$7="Olsen (ADAS)",'Soil results'!G79&gt;20),AND('Soil results'!G$7="modified Morgan (SAC)",'Soil results'!G79&gt;9.4)),
IF(H76*Calc!BM74*(I76/100)&lt;0.1*J76,"no benefit",
IF(H76*Calc!BM74*(I76/100)&lt;0.3*J76,"limited benefit",
IF(H76*Calc!BM74*(I76/100)&lt;1.1*J76,"benefit",
IF(L76="3 (H)","too high, not acceptable","excessive")))),
IF(OR(AND('Soil results'!G$7="Olsen (ADAS)",'Soil results'!G79&gt;15),AND('Soil results'!G$7="modified Morgan (SAC)",'Soil results'!G79&gt;4.4)),
IF(H76*Calc!BM74*(I76/100)&lt;0.1*VLOOKUP(Calc!BI74,'Fertiliser recommendations'!$A$4:$I$63,9,FALSE),"no benefit",
IF(H76*Calc!BM74*(I76/100)&lt;0.3*VLOOKUP(Calc!BI74,'Fertiliser recommendations'!$A$4:$I$63,9,FALSE),"limited benefit",
IF(H76*Calc!BM74*(I76/100)&lt;1.1*VLOOKUP(Calc!BI74,'Fertiliser recommendations'!$A$4:$I$63,9,FALSE),"benefit",
IF(L76="3 (H)", "too high, not acceptable", "excessive")))),
IF(OR(AND('Soil results'!G$7="Olsen (ADAS)",'Soil results'!G79&lt;=15),AND('Soil results'!G$7="modified Morgan (SAC)",'Soil results'!G79&lt;=4.4)),
IF(H76*Calc!BM74*(I76/100)&lt;0.1*VLOOKUP(Calc!BI74,'Fertiliser recommendations'!$A$4:$I$63,9,FALSE),"no benefit",
IF(H76*Calc!BM74*(I76/100)&lt;0.3*VLOOKUP(Calc!BI74,'Fertiliser recommendations'!$A$4:$I$63,9,FALSE),"limited benefit",
IF(H76*Calc!BM74*(I76/100)&lt;1.1*J76,"benefit","excessive")))))))))))</f>
        <v/>
      </c>
      <c r="O76" s="91" t="str">
        <f ca="1">IF(B76="","",
IF(AND('Field information 2'!$O$5="", 'Field information 2'!$Q$5=""),
   IF('Waste results'!$S$19&lt;&gt;"data missing", Calc!BC74*'Waste results'!$S$19, "data missing"),
IF('Field information 2'!$Q$5="",
   IF(Calc!BD74=0,
     IF('Waste results'!$S$19&lt;&gt;"data missing", Calc!BC74*'Waste results'!$S$19, "data missing"),
   IF(Calc!BC74=0,
     IF('Waste results'!$S$55&lt;&gt;"data missing", Calc!BD74*'Waste results'!$S$55, "data missing"),
   IF(OR('Waste results'!$S$19&lt;&gt;"data missing", 'Waste results'!$S$55&lt;&gt;"data missing"), Calc!BC74*'Waste results'!$S$19+ Calc!BD74*'Waste results'!$S$55, "data missing"))),
IF(AND('Field information 2'!$M$5&lt;&gt;"", 'Field information 2'!$O$5&lt;&gt;"", 'Field information 2'!$Q$5&lt;&gt;""),
   IF(AND(Calc!BD74=0,Calc!BE74=0),
     IF('Waste results'!$S$19&lt;&gt;"data missing", Calc!BC74*'Waste results'!$S$19, "data missing"),
   IF(AND(Calc!BC74=0,Calc!BE74=0),
     IF('Waste results'!$S$55&lt;&gt;"data missing", Calc!BD74*'Waste results'!$S$55, "data missing"),
   IF(AND(Calc!BC74=0,Calc!BD74=0),
     IF('Waste results'!$S$91&lt;&gt;"data missing", Calc!BE74*'Waste results'!$S$91, "data missing"),
   IF(Calc!BE74=0,
     IF(OR('Waste results'!$S$19&lt;&gt;"data missing", 'Waste results'!$S$55&lt;&gt;"data missing"), Calc!BC74*'Waste results'!$S$19+ Calc!BD74*'Waste results'!$S$55, "data missing"),
   IF(Calc!BD74=0,
     IF(OR('Waste results'!$S$19&lt;&gt;"data missing", 'Waste results'!$S$91&lt;&gt;"data missing"), Calc!BC74*'Waste results'!$S$19+ Calc!BE74*'Waste results'!$S$91, "data missing"),
   IF(Calc!BC74=0,
     IF(OR('Waste results'!$S$55&lt;&gt;"data missing", 'Waste results'!$S$91&lt;&gt;"data missing"), Calc!BD74*'Waste results'!$S$55+Calc!BE74*'Waste results'!$S$91, "data missing"),
   IF(OR('Waste results'!$S$19&lt;&gt;"data missing", 'Waste results'!$S$55&lt;&gt;"data missing", 'Waste results'!$S$91&lt;&gt;"data missing"), Calc!BC74*'Waste results'!$S$19+Calc!BD74*'Waste results'!$S$55+ Calc!BE74*'Waste results'!$S$91, "data missing")))))))))))</f>
        <v/>
      </c>
      <c r="P76" s="91" t="str">
        <f ca="1">IF(B76="","",
IF(OR(ISBLANK('Soil results'!H$7),ISBLANK('Soil results'!H79)),"data missing",
IF(OR(AND('Soil results'!H$7="ammonium nitrate (ADAS)",'Soil results'!H79&gt;400),AND('Soil results'!H$7="modified Morgan (SAC)",'Soil results'!H79&gt;400)),0,
IF(OR(AND('Soil results'!H$7="ammonium nitrate (ADAS)",'Soil results'!H79&gt;=121,'Soil results'!H79&lt;=180),AND('Soil results'!H$7="modified Morgan (SAC)",'Soil results'!H79&gt;=76,'Soil results'!H79&lt;=140)),VLOOKUP(Calc!BI74,'Fertiliser recommendations'!$A$4:$Z$63,26,FALSE),
IF(OR(AND('Soil results'!H$7="ammonium nitrate (ADAS)",'Soil results'!H79&lt;61),AND('Soil results'!H$7="modified Morgan (SAC)",'Soil results'!H79&lt;40)),VLOOKUP(Calc!BI74,'Fertiliser recommendations'!$A$4:$Z$63,26,FALSE)+VLOOKUP(Calc!BI74,'Fertiliser recommendations'!$A$4:$AA$63,27,FALSE),
IF(OR(AND('Soil results'!H$7="ammonium nitrate (ADAS)",'Soil results'!H79&lt;121),AND('Soil results'!H$7="modified Morgan (SAC)",'Soil results'!H79&lt;76)),VLOOKUP(Calc!BI74,'Fertiliser recommendations'!$A$4:$Z$63,26,FALSE)+VLOOKUP(Calc!BI74,'Fertiliser recommendations'!$A$4:$AB$63,28,FALSE),
IF(OR(AND('Soil results'!H$7="ammonium nitrate (ADAS)",'Soil results'!H79&lt;241),AND('Soil results'!H$7="modified Morgan (SAC)",'Soil results'!H79&lt;201)),VLOOKUP(Calc!BI74,'Fertiliser recommendations'!$A$4:$Z$63,26,FALSE)+VLOOKUP(Calc!BI74,'Fertiliser recommendations'!$A$4:$AC$63,29,FALSE),
IF(OR(AND('Soil results'!H$7="ammonium nitrate (ADAS)",'Soil results'!H79&lt;=400),AND('Soil results'!H$7="modified Morgan (SAC)",'Soil results'!H79&lt;=400)),VLOOKUP(Calc!BI74,'Fertiliser recommendations'!$A$4:$Z$63,26,FALSE)+VLOOKUP(Calc!BI74,'Fertiliser recommendations'!$A$4:$AD$63,30,FALSE),
"??"))))))))</f>
        <v/>
      </c>
      <c r="Q76" s="91" t="str">
        <f t="shared" ca="1" si="19"/>
        <v/>
      </c>
      <c r="R76" s="9" t="str">
        <f ca="1">IF(B76="","",
IF(OR(O76="data missing",P76="data missing"),"data missing",
IF(Calc!BF74=0,"n/a",
IF(P76=0, "no requirement",
IF(O76&lt;0.1*P76,"no benefit",
IF(O76&lt;0.3*P76,"limited benefit",
IF(O76&gt;1.25*P76,"excessive",
"benefit")))))))</f>
        <v/>
      </c>
      <c r="T76" s="91" t="str">
        <f ca="1">IF(B76="","",
IF(AND('Field information 2'!$O$5="", 'Field information 2'!$Q$5=""),
   IF('Waste results'!$S$21&lt;&gt;"data missing", Calc!BC74*'Waste results'!$S$21, "data missing"),
IF('Field information 2'!$Q$5="",
   IF(Calc!BD74=0,
     IF('Waste results'!$S$21&lt;&gt;"data missing", Calc!BC74*'Waste results'!$S$21, "data missing"),
   IF(Calc!BC74=0,
     IF('Waste results'!$S$57&lt;&gt;"data missing", Calc!BD74*'Waste results'!$S$57, "data missing"),
   IF(OR('Waste results'!$S$21&lt;&gt;"data missing", 'Waste results'!$S$57&lt;&gt;"data missing"), Calc!BC74*'Waste results'!$S$21+ Calc!BD74*'Waste results'!$S$57, "data missing"))),
IF(AND('Field information 2'!$M$5&lt;&gt;"", 'Field information 2'!$O$5&lt;&gt;"", 'Field information 2'!$Q$5&lt;&gt;""),
   IF(AND(Calc!BD74=0,Calc!BE74=0),
     IF('Waste results'!$S$21&lt;&gt;"data missing", Calc!BC74*'Waste results'!$S$21, "data missing"),
   IF(AND(Calc!BC74=0,Calc!BE74=0),
     IF('Waste results'!$S$57&lt;&gt;"data missing", Calc!BD74*'Waste results'!$S$57, "data missing"),
   IF(AND(Calc!BC74=0,Calc!BD74=0),
     IF('Waste results'!$S$93&lt;&gt;"data missing", Calc!BE74*'Waste results'!$S$93, "data missing"),
   IF(Calc!BE74=0,
     IF(OR('Waste results'!$S$21&lt;&gt;"data missing", 'Waste results'!$S$57&lt;&gt;"data missing"), Calc!BC74*'Waste results'!$S$21+ Calc!BD74*'Waste results'!$S$57, "data missing"),
   IF(Calc!BD74=0,
     IF(OR('Waste results'!$S$21&lt;&gt;"data missing", 'Waste results'!$S$93&lt;&gt;"data missing"), Calc!BC74*'Waste results'!$S$21+ Calc!BE74*'Waste results'!$S$93, "data missing"),
   IF(Calc!BC74=0,
     IF(OR('Waste results'!$S$57&lt;&gt;"data missing", 'Waste results'!$S$93&lt;&gt;"data missing"), Calc!BD74*'Waste results'!$S$57+Calc!BE74*'Waste results'!$S$93, "data missing"),
   IF(OR('Waste results'!$S$21&lt;&gt;"data missing", 'Waste results'!$S$57&lt;&gt;"data missing", 'Waste results'!$S$93&lt;&gt;"data missing"), Calc!BC74*'Waste results'!$S$21+Calc!BD74*'Waste results'!$S$57+ Calc!BE74*'Waste results'!$S$93, "data missing")))))))))))</f>
        <v/>
      </c>
      <c r="U76" s="7" t="str">
        <f ca="1">IF(B76="","",
IF(OR(ISBLANK('Soil results'!I$7),ISBLANK('Soil results'!I79)),"data missing",
IF(OR(AND('Soil results'!I$7="ammonium nitrate (ADAS)",'Soil results'!I79&gt;51),AND('Soil results'!I$7="modified Morgan (SAC)",'Soil results'!I79&gt;61)),0,
IF(OR(AND('Soil results'!I$7="ammonium nitrate (ADAS)",'Soil results'!I79&lt;25),AND('Soil results'!I$7="modified Morgan (SAC)",'Soil results'!I79&lt;19)),VLOOKUP(Calc!BI74,'Fertiliser recommendations'!$A$4:$AH$63,34,FALSE),
IF(OR(AND('Soil results'!I$7="ammonium nitrate (ADAS)",'Soil results'!I79&lt;=51),AND('Soil results'!I$7="modified Morgan (SAC)",'Soil results'!I79&lt;=61)),VLOOKUP(Calc!BI74,'Fertiliser recommendations'!$A$4:$AI$63,35,FALSE),
"")))))</f>
        <v/>
      </c>
      <c r="V76" s="91" t="str">
        <f t="shared" ca="1" si="20"/>
        <v/>
      </c>
      <c r="W76" s="9" t="str">
        <f ca="1">IF(B76="","",
IF(OR(T76="data missing",U76="data missing"),"data missing",
IF(Calc!BF74=0,"n/a",
IF(U76=0,"no requirement",
IF(T76&lt;0.1*U76,"no benefit",
IF(T76&lt;0.3*U76,"limited benefit",
IF(OR(T76&gt;1.5*U76,AND(Calc!BJ74="g",T76&gt;100)),"excessive",
"benefit")))))))</f>
        <v/>
      </c>
      <c r="Y76" s="91" t="str">
        <f ca="1">IF(B76="","",
IF(AND('Field information 2'!$O$5="", 'Field information 2'!$Q$5=""),
   IF('Waste results'!$P$23&lt;&gt;"", Calc!BC74*'Waste results'!$P$23, "no data"),
IF('Field information 2'!$Q$5="",
   IF(Calc!BD74=0,
     IF('Waste results'!$P$23&lt;&gt;"", Calc!BC74*'Waste results'!$P$23, "no data"),
   IF(Calc!BC74=0,
     IF('Waste results'!$P$59&lt;&gt;"", Calc!BD74*'Waste results'!$P$59, "no data"),
   IF(OR('Waste results'!$P$23&lt;&gt;"", 'Waste results'!$P$59&lt;&gt;""), Calc!BC74*'Waste results'!$P$23+ Calc!BD74*'Waste results'!$P$59, "no data"))),
IF(AND('Field information 2'!$M$5&lt;&gt;"", 'Field information 2'!$O$5&lt;&gt;"", 'Field information 2'!$Q$5&lt;&gt;""),
   IF(AND(Calc!BD74=0,Calc!BE74=0),
     IF('Waste results'!$P$23&lt;&gt;"", Calc!BC74*'Waste results'!$P$23, "no data"),
   IF(AND(Calc!BC74=0,Calc!BE74=0),
     IF('Waste results'!$P$59&lt;&gt;"", Calc!BD74*'Waste results'!$P$59, "no data"),
   IF(AND(Calc!BC74=0,Calc!BD74=0),
     IF('Waste results'!$P$95&lt;&gt;"", Calc!BE74*'Waste results'!$P$95, "no data"),
   IF(Calc!BE74=0,
     IF(OR('Waste results'!$P$23&lt;&gt;"", 'Waste results'!$P$59&lt;&gt;""), Calc!BC74*'Waste results'!$P$23+ Calc!BD74*'Waste results'!$P$59, "no data"),
   IF(Calc!BD74=0,
     IF(OR('Waste results'!$P$23&lt;&gt;"", 'Waste results'!$P$95&lt;&gt;""), Calc!BC74*'Waste results'!$P$23+ Calc!BE74*'Waste results'!$P$95, "no data"),
   IF(Calc!BC74=0,
     IF(OR('Waste results'!$P$59&lt;&gt;"", 'Waste results'!$P$95&lt;&gt;""), Calc!BD74*'Waste results'!$P$59+Calc!BE74*'Waste results'!$P$95, "no data"),
   IF(OR('Waste results'!$P$23&lt;&gt;"", 'Waste results'!$P$59&lt;&gt;"", 'Waste results'!$P$95&lt;&gt;""), Calc!BC74*'Waste results'!$P$23+Calc!BD74*'Waste results'!$P$59+ Calc!BE74*'Waste results'!$P$95, "no data")))))))))))</f>
        <v/>
      </c>
      <c r="Z76" s="7" t="str">
        <f ca="1">IF(OR(ISBLANK('Soil results'!I$7),ISBLANK('Soil results'!I79),'Soil results'!B79=""),"",
VLOOKUP(Calc!BI74,'Fertiliser recommendations'!$A$4:$AM$63,39,FALSE))</f>
        <v/>
      </c>
      <c r="AA76" s="91" t="str">
        <f t="shared" ca="1" si="21"/>
        <v/>
      </c>
      <c r="AB76" s="9" t="str">
        <f t="shared" ca="1" si="22"/>
        <v/>
      </c>
      <c r="AD76" s="48" t="str">
        <f>IF(ISBLANK('Soil results'!F79),"",'Soil results'!F79)</f>
        <v/>
      </c>
      <c r="AE76" s="49" t="str">
        <f ca="1">IF(B76="","",
IF(AND(Calc!BJ74="g", VLOOKUP(LEFT($B76,LEN($B76)-2),'Field information 2'!$B$12:$P$111,9,FALSE)&lt;&gt;"yes"),
 IF(Calc!BG74="10-25% OM", 5.9, IF(Calc!BG74="&gt;25% OM", 5.5, 6.2)),
IF(OR(Calc!BJ74="a", VLOOKUP(LEFT($B76,LEN($B76)-2),'Field information 2'!$B$12:$P$111,9,FALSE)="yes"),
 IF(Calc!BG74="10-25% OM", 6.4, IF(Calc!BG74="&gt;25% OM", 6, 6.7)), "")))</f>
        <v/>
      </c>
      <c r="AF76" s="91" t="str">
        <f ca="1">IF(B76="","",
IF('Waste results'!$Q$33="","no (significant) liming properties",
IF('Waste results'!Q$33&gt;100,"no (significant) liming properties",
IF(AD76="","",
IF(AD76&gt;=AE76,0,ROUNDDOWN((AE76-AD76)*Calc!BK74*'Waste results'!$Q$33+0.2,0))))))</f>
        <v/>
      </c>
      <c r="AG76" s="9" t="str">
        <f ca="1">IF(B76="","",
IF(T76=0,"n/a",
IF(AD76="","data missing",
IF(AND(AD76&lt;5,AF76="no (significant) liming properties"),"no waste application - pH too low",
IF(AND(AD76&gt;5.1,AF76="no (significant) liming properties",Calc!BH74&gt;25, LEFT(Calc!BI74,4)="graz"),"ok",
IF(AND(AD76&lt;=5.2,AF76="no (significant) liming properties"),"liming highly recommended",
IF(AF76=0,"no waste application - liming not required",
IF(AF76&lt;Calc!BC74,"application rate too high - exceeds liming requirement",
"ok"))))))))</f>
        <v/>
      </c>
      <c r="AI76" s="91" t="str">
        <f ca="1">IF(B76="","",
IF(AND('Field information 2'!$O$5="", 'Field information 2'!$Q$5=""),
   IF('Waste results'!$P$10&lt;&gt;"data missing", Calc!BC74*'Waste results'!$P$10, "data missing"),
IF('Field information 2'!$Q$5="",
   IF(Calc!BD74=0,
     IF('Waste results'!$P$10&lt;&gt;"data missing", Calc!BC74*'Waste results'!$P$10, "data missing"),
   IF(Calc!BC74=0,
     IF('Waste results'!$P$45&lt;&gt;"data missing", Calc!BD74*'Waste results'!$P$45, "data missing"),
   IF(OR('Waste results'!$P$10&lt;&gt;"data missing", 'Waste results'!$P$45&lt;&gt;"data missing"), Calc!BC74*'Waste results'!$P$10+ Calc!BD74*'Waste results'!$P$45, "data missing"))),
IF(AND('Field information 2'!$M$5&lt;&gt;"", 'Field information 2'!$O$5&lt;&gt;"", 'Field information 2'!$Q$5&lt;&gt;""),
   IF(AND(Calc!BD74=0,Calc!BE74=0),
     IF('Waste results'!$P$10&lt;&gt;"data missing", Calc!BC74*'Waste results'!$P$10, "data missing"),
   IF(AND(Calc!BC74=0,Calc!BE74=0),
     IF('Waste results'!$P$45&lt;&gt;"data missing", Calc!BD74*'Waste results'!$P$45, "data missing"),
   IF(AND(Calc!BC74=0,Calc!BD74=0),
     IF('Waste results'!$P$82&lt;&gt;"data missing", Calc!BE74*'Waste results'!$P$82, "data missing"),
   IF(Calc!BE74=0,
     IF(OR('Waste results'!$P$10&lt;&gt;"data missing", 'Waste results'!$P$45&lt;&gt;"data missing"), Calc!BC74*'Waste results'!$P$10+ Calc!BD74*'Waste results'!$P$45, "data missing"),
   IF(Calc!BD74=0,
     IF(OR('Waste results'!$P$10&lt;&gt;"data missing", 'Waste results'!$P$82&lt;&gt;"data missing"), Calc!BC74*'Waste results'!$P$10+ Calc!BE74*'Waste results'!$P$82, "data missing"),
   IF(Calc!BC74=0,
     IF(OR('Waste results'!$P$45&lt;&gt;"data missing", 'Waste results'!$P$82&lt;&gt;"data missing"), Calc!BD74*'Waste results'!$P$45+Calc!BE74*'Waste results'!$P$82, "data missing"),
   IF(OR('Waste results'!$P$10&lt;&gt;"data missing", 'Waste results'!$P$45&lt;&gt;"data missing", 'Waste results'!$P$82&lt;&gt;"data missing"), Calc!BC74*'Waste results'!$P$10+Calc!BD74*'Waste results'!$P$45+ Calc!BE74*'Waste results'!$P$82, "data missing")))))))))))</f>
        <v/>
      </c>
      <c r="AJ76" s="237" t="str">
        <f ca="1">IF(B76="","",
IF(AI76="data missing","data missing",
IF(Calc!BF74=0,"n/a",
IF(AND(Calc!BH74&gt;=8,AI76&lt;500),"no benefit",
IF(OR(AND(Calc!BH74&lt;=4,AI76&gt;=500),AND(Calc!BH74&lt;8,AI76&gt;5000)),"benefit",
"limited benefit")))))</f>
        <v/>
      </c>
      <c r="AL76" s="238" t="str">
        <f ca="1">IF(B76="","",
IF(AND('Field information 2'!$O$5="", 'Field information 2'!$Q$5=""),
   IF('Waste results'!$S$25&lt;&gt;"data missing", Calc!BC74*'Waste results'!$S$25, "data missing"),
IF('Field information 2'!$Q$5="",
   IF(Calc!BD74=0,
     IF('Waste results'!$S$25&lt;&gt;"data missing", Calc!BC74*'Waste results'!$S$25, "data missing"),
   IF(Calc!BC74=0,
     IF('Waste results'!$S$61&lt;&gt;"data missing", Calc!BD74*'Waste results'!$S$61, "data missing"),
   IF(OR('Waste results'!$S$25&lt;&gt;"data missing", 'Waste results'!$S$61&lt;&gt;"data missing"), Calc!BC74*'Waste results'!$S$25+ Calc!BD74*'Waste results'!$S$61, "data missing"))),
IF(AND('Field information 2'!$M$5&lt;&gt;"", 'Field information 2'!$O$5&lt;&gt;"", 'Field information 2'!$Q$5&lt;&gt;""),
   IF(AND(Calc!BD74=0,Calc!BE74=0),
     IF('Waste results'!$S$25&lt;&gt;"data missing", Calc!BC74*'Waste results'!$S$25, "data missing"),
   IF(AND(Calc!BC74=0,Calc!BE74=0),
     IF('Waste results'!$S$61&lt;&gt;"data missing", Calc!BD74*'Waste results'!$S$61, "data missing"),
   IF(AND(Calc!BC74=0,Calc!BD74=0),
     IF('Waste results'!$S$97&lt;&gt;"data missing", Calc!BE74*'Waste results'!$S$97, "data missing"),
   IF(Calc!BE74=0,
     IF(OR('Waste results'!$S$25&lt;&gt;"data missing", 'Waste results'!$S$61&lt;&gt;"data missing"), Calc!BC74*'Waste results'!$S$25+ Calc!BD74*'Waste results'!$S$61, "data missing"),
   IF(Calc!BD74=0,
     IF(OR('Waste results'!$S$25&lt;&gt;"data missing", 'Waste results'!$S$97&lt;&gt;"data missing"), Calc!BC74*'Waste results'!$S$25+ Calc!BE74*'Waste results'!$S$97, "data missing"),
   IF(Calc!BC74=0,
     IF(OR('Waste results'!$S$61&lt;&gt;"data missing", 'Waste results'!$S$97&lt;&gt;"data missing"), Calc!BD74*'Waste results'!$S$61+Calc!BE74*'Waste results'!$S$97, "data missing"),
   IF(OR('Waste results'!$S$25&lt;&gt;"data missing", 'Waste results'!$S$61&lt;&gt;"data missing", 'Waste results'!$S$97&lt;&gt;"data missing"), Calc!BC74*'Waste results'!$S$25+Calc!BD74*'Waste results'!$S$61+ Calc!BE74*'Waste results'!$S$97, "data missing")))))))))))</f>
        <v/>
      </c>
      <c r="AM76" s="239" t="str">
        <f ca="1">IF($B76="","",
IF(ISBLANK('Soil results'!K79),"data missing",'Soil results'!K79))</f>
        <v/>
      </c>
      <c r="AN76" s="239" t="str">
        <f t="shared" ca="1" si="23"/>
        <v/>
      </c>
      <c r="AO76" s="9" t="str">
        <f t="shared" ca="1" si="24"/>
        <v/>
      </c>
      <c r="AQ76" s="240" t="str">
        <f ca="1">IF(B76="","",
IF(AND('Field information 2'!$O$5="", 'Field information 2'!$Q$5=""),
   IF('Waste results'!$S$26&lt;&gt;"data missing", Calc!BC74*'Waste results'!$S$26, "data missing"),
IF('Field information 2'!$Q$5="",
   IF(Calc!BD74=0,
     IF('Waste results'!$S$26&lt;&gt;"data missing", Calc!BC74*'Waste results'!$S$26, "data missing"),
   IF(Calc!BC74=0,
     IF('Waste results'!$S$62&lt;&gt;"data missing", Calc!BD74*'Waste results'!$S$62, "data missing"),
   IF(OR('Waste results'!$S$26&lt;&gt;"data missing", 'Waste results'!$S$62&lt;&gt;"data missing"), Calc!BC74*'Waste results'!$S$26+ Calc!BD74*'Waste results'!$S$62, "data missing"))),
IF(AND('Field information 2'!$M$5&lt;&gt;"", 'Field information 2'!$O$5&lt;&gt;"", 'Field information 2'!$Q$5&lt;&gt;""),
   IF(AND(Calc!BD74=0,Calc!BE74=0),
     IF('Waste results'!$S$26&lt;&gt;"data missing", Calc!BC74*'Waste results'!$S$26, "data missing"),
   IF(AND(Calc!BC74=0,Calc!BE74=0),
     IF('Waste results'!$S$62&lt;&gt;"data missing", Calc!BD74*'Waste results'!$S$62, "data missing"),
   IF(AND(Calc!BC74=0,Calc!BD74=0),
     IF('Waste results'!$S$98&lt;&gt;"data missing", Calc!BE74*'Waste results'!$S$98, "data missing"),
   IF(Calc!BE74=0,
     IF(OR('Waste results'!$S$26&lt;&gt;"data missing", 'Waste results'!$S$62&lt;&gt;"data missing"), Calc!BC74*'Waste results'!$S$26+ Calc!BD74*'Waste results'!$S$62, "data missing"),
   IF(Calc!BD74=0,
     IF(OR('Waste results'!$S$26&lt;&gt;"data missing", 'Waste results'!$S$98&lt;&gt;"data missing"), Calc!BC74*'Waste results'!$S$26+ Calc!BE74*'Waste results'!$S$98, "data missing"),
   IF(Calc!BC74=0,
     IF(OR('Waste results'!$S$62&lt;&gt;"data missing", 'Waste results'!$S$98&lt;&gt;"data missing"), Calc!BD74*'Waste results'!$S$62+Calc!BE74*'Waste results'!$S$98, "data missing"),
   IF(OR('Waste results'!$S$26&lt;&gt;"data missing", 'Waste results'!$S$62&lt;&gt;"data missing", 'Waste results'!$S$98&lt;&gt;"data missing"), Calc!BC74*'Waste results'!$S$26+Calc!BD74*'Waste results'!$S$62+ Calc!BE74*'Waste results'!$S$98, "data missing")))))))))))</f>
        <v/>
      </c>
      <c r="AR76" s="241" t="str">
        <f ca="1">IF($B76="","",
IF(ISBLANK('Soil results'!L79),"data missing",'Soil results'!L79))</f>
        <v/>
      </c>
      <c r="AS76" s="241" t="str">
        <f t="shared" ca="1" si="25"/>
        <v/>
      </c>
      <c r="AT76" s="66" t="str">
        <f t="shared" ca="1" si="26"/>
        <v/>
      </c>
      <c r="AV76" s="238" t="str">
        <f ca="1">IF(B76="","",
IF(AND('Field information 2'!$O$5="", 'Field information 2'!$Q$5=""),
   IF('Waste results'!$S$27&lt;&gt;"data missing", Calc!BC74*'Waste results'!$S$27, "data missing"),
IF('Field information 2'!$Q$5="",
   IF(Calc!BD74=0,
     IF('Waste results'!$S$27&lt;&gt;"data missing", Calc!BC74*'Waste results'!$S$27, "data missing"),
   IF(Calc!BC74=0,
     IF('Waste results'!$S$63&lt;&gt;"data missing", Calc!BD74*'Waste results'!$S$63, "data missing"),
   IF(OR('Waste results'!$S$27&lt;&gt;"data missing", 'Waste results'!$S$63&lt;&gt;"data missing"), Calc!BC74*'Waste results'!$S$27+ Calc!BD74*'Waste results'!$S$63, "data missing"))),
IF(AND('Field information 2'!$M$5&lt;&gt;"", 'Field information 2'!$O$5&lt;&gt;"", 'Field information 2'!$Q$5&lt;&gt;""),
   IF(AND(Calc!BD74=0,Calc!BE74=0),
     IF('Waste results'!$S$27&lt;&gt;"data missing", Calc!BC74*'Waste results'!$S$27, "data missing"),
   IF(AND(Calc!BC74=0,Calc!BE74=0),
     IF('Waste results'!$S$63&lt;&gt;"data missing", Calc!BD74*'Waste results'!$S$63, "data missing"),
   IF(AND(Calc!BC74=0,Calc!BD74=0),
     IF('Waste results'!$S$99&lt;&gt;"data missing", Calc!BE74*'Waste results'!$S$99, "data missing"),
   IF(Calc!BE74=0,
     IF(OR('Waste results'!$S$27&lt;&gt;"data missing", 'Waste results'!$S$63&lt;&gt;"data missing"), Calc!BC74*'Waste results'!$S$27+ Calc!BD74*'Waste results'!$S$63, "data missing"),
   IF(Calc!BD74=0,
     IF(OR('Waste results'!$S$27&lt;&gt;"data missing", 'Waste results'!$S$99&lt;&gt;"data missing"), Calc!BC74*'Waste results'!$S$27+ Calc!BE74*'Waste results'!$S$99, "data missing"),
   IF(Calc!BC74=0,
     IF(OR('Waste results'!$S$63&lt;&gt;"data missing", 'Waste results'!$S$99&lt;&gt;"data missing"), Calc!BD74*'Waste results'!$S$63+Calc!BE74*'Waste results'!$S$99, "data missing"),
   IF(OR('Waste results'!$S$27&lt;&gt;"data missing", 'Waste results'!$S$63&lt;&gt;"data missing", 'Waste results'!$S$99&lt;&gt;"data missing"), Calc!BC74*'Waste results'!$S$27+Calc!BD74*'Waste results'!$S$63+ Calc!BE74*'Waste results'!$S$99, "data missing")))))))))))</f>
        <v/>
      </c>
      <c r="AW76" s="239" t="str">
        <f ca="1">IF($B76="","",
IF(ISBLANK('Soil results'!M79),"data missing",'Soil results'!M79))</f>
        <v/>
      </c>
      <c r="AX76" s="239" t="str">
        <f t="shared" ca="1" si="27"/>
        <v/>
      </c>
      <c r="AY76" s="9" t="str">
        <f ca="1">IF(B76="","",
IF(AV76=0,"n/a",
IF(OR(AV76="data missing",AW76="data missing"),"data missing",
IF(AV76&gt;7.5,"application rate too high - permissible rate exceeds limit",
IF('Soil results'!$F79&lt;=5.5,
  IF(AW76&gt;80,"no application - soil conc. already above limit",
  IF(AX76&gt;80,"application rate too high - soil conc. will exceed limit",
  IF(AW76&gt;80*0.9,"soil conc. is at or above 90% of the limit",
  IF(10*AV76*1000/3000+AW76&gt;80,"soil limit likely to be exceeded in 10yrs",
  IF(50*AV76*1000/3000+AW76&gt;80,"soil limit likely to be exceeded in 50yrs","ok"))))),
IF('Soil results'!$F79&lt;=6,
  IF(AW76&gt;100,"no application - soil conc. already above limit",
  IF(AX76&gt;100,"application rate too high - soil conc. will exceed limit",
  IF(AW76&gt;100*0.9,"soil conc. is at or above 90% of the limit",
  IF(10*AV76*1000/3000+AW76&gt;100,"soil limit likely to be exceeded in 10yrs",
  IF(50*AV76*1000/3000+AW76&gt;100,"soil limit likely to be exceeded in 50yrs","ok"))))),
IF('Soil results'!$F79&lt;=7,
  IF(AW76&gt;135,"no application - soil conc. already above limit",
  IF(AX76&gt;135,"application rate too high - soil conc. will exceed limit",
  IF(AW76&gt;135*0.9,"soil conc. is at or above 90% of the limit",
  IF(10*AV76*1000/3000+AW76&gt;135,"soil limit likely to be exceeded in 10yrs",
  IF(50*AV76*1000/3000+AW76&gt;135,"soil limit likely to be exceeded in 50yrs","ok"))))),
IF('Soil results'!$F79&gt;7,
  IF(AW76&gt;200,"no application - soil conc. already above limit",
  IF(AX76&gt;200,"application too high - soil conc. will exceed limit",
  IF(AW76&gt;200*0.9,"soil conc. is at or above 90% of the limit",
  IF(10*AV76*1000/3000+AW76&gt;200,"soil limit likely to be exceeded in 10yrs",
  IF(50*AV76*1000/3000+AW76&gt;200,"soil limit likely to be exceeded in 50yrs","ok")))))
))))))))</f>
        <v/>
      </c>
      <c r="BA76" s="238" t="str">
        <f ca="1">IF(B76="","",
IF(AND('Field information 2'!$O$5="", 'Field information 2'!$Q$5=""),
   IF('Waste results'!$S$28&lt;&gt;"data missing", Calc!BC74*'Waste results'!$S$28, "data missing"),
IF('Field information 2'!$Q$5="",
   IF(Calc!BD74=0,
     IF('Waste results'!$S$28&lt;&gt;"data missing", Calc!BC74*'Waste results'!$S$28, "data missing"),
   IF(Calc!BC74=0,
     IF('Waste results'!$S$64&lt;&gt;"data missing", Calc!BD74*'Waste results'!$S$64, "data missing"),
   IF(OR('Waste results'!$S$28&lt;&gt;"data missing", 'Waste results'!$S$64&lt;&gt;"data missing"), Calc!BC74*'Waste results'!$S$28+ Calc!BD74*'Waste results'!$S$64, "data missing"))),
IF(AND('Field information 2'!$M$5&lt;&gt;"", 'Field information 2'!$O$5&lt;&gt;"", 'Field information 2'!$Q$5&lt;&gt;""),
   IF(AND(Calc!BD74=0,Calc!BE74=0),
     IF('Waste results'!$S$28&lt;&gt;"data missing", Calc!BC74*'Waste results'!$S$28, "data missing"),
   IF(AND(Calc!BC74=0,Calc!BE74=0),
     IF('Waste results'!$S$64&lt;&gt;"data missing", Calc!BD74*'Waste results'!$S$64, "data missing"),
   IF(AND(Calc!BC74=0,Calc!BD74=0),
     IF('Waste results'!$S$100&lt;&gt;"data missing", Calc!BE74*'Waste results'!$S$100, "data missing"),
   IF(Calc!BE74=0,
     IF(OR('Waste results'!$S$28&lt;&gt;"data missing", 'Waste results'!$S$64&lt;&gt;"data missing"), Calc!BC74*'Waste results'!$S$28+ Calc!BD74*'Waste results'!$S$64, "data missing"),
   IF(Calc!BD74=0,
     IF(OR('Waste results'!$S$28&lt;&gt;"data missing", 'Waste results'!$S$100&lt;&gt;"data missing"), Calc!BC74*'Waste results'!$S$28+ Calc!BE74*'Waste results'!$S$100, "data missing"),
   IF(Calc!BC74=0,
     IF(OR('Waste results'!$S$64&lt;&gt;"data missing", 'Waste results'!$S$100&lt;&gt;"data missing"), Calc!BD74*'Waste results'!$S$64+Calc!BE74*'Waste results'!$S$100, "data missing"),
   IF(OR('Waste results'!$S$28&lt;&gt;"data missing", 'Waste results'!$S$64&lt;&gt;"data missing", 'Waste results'!$S$100&lt;&gt;"data missing"), Calc!BC74*'Waste results'!$S$28+Calc!BD74*'Waste results'!$S$64+ Calc!BE74*'Waste results'!$S$100, "data missing")))))))))))</f>
        <v/>
      </c>
      <c r="BB76" s="239" t="str">
        <f ca="1">IF($B76="","",
IF(ISBLANK('Soil results'!N79),"data missing",'Soil results'!N79))</f>
        <v/>
      </c>
      <c r="BC76" s="239" t="str">
        <f t="shared" ca="1" si="28"/>
        <v/>
      </c>
      <c r="BD76" s="9" t="str">
        <f t="shared" ca="1" si="29"/>
        <v/>
      </c>
      <c r="BF76" s="238" t="str">
        <f ca="1">IF(B76="","",
IF(AND('Field information 2'!$O$5="", 'Field information 2'!$Q$5=""),
   IF('Waste results'!$S$29&lt;&gt;"data missing", Calc!BC74*'Waste results'!$S$29, "data missing"),
IF('Field information 2'!$Q$5="",
   IF(Calc!BD74=0,
     IF('Waste results'!$S$29&lt;&gt;"data missing", Calc!BC74*'Waste results'!$S$29, "data missing"),
   IF(Calc!BC74=0,
     IF('Waste results'!$S$65&lt;&gt;"data missing", Calc!BD74*'Waste results'!$S$65, "data missing"),
   IF(OR('Waste results'!$S$29&lt;&gt;"data missing", 'Waste results'!$S$65&lt;&gt;"data missing"), Calc!BC74*'Waste results'!$S$29+ Calc!BD74*'Waste results'!$S$65, "data missing"))),
IF(AND('Field information 2'!$M$5&lt;&gt;"", 'Field information 2'!$O$5&lt;&gt;"", 'Field information 2'!$Q$5&lt;&gt;""),
   IF(AND(Calc!BD74=0,Calc!BE74=0),
     IF('Waste results'!$S$29&lt;&gt;"data missing", Calc!BC74*'Waste results'!$S$29, "data missing"),
   IF(AND(Calc!BC74=0,Calc!BE74=0),
     IF('Waste results'!$S$65&lt;&gt;"data missing", Calc!BD74*'Waste results'!$S$65, "data missing"),
   IF(AND(Calc!BC74=0,Calc!BD74=0),
     IF('Waste results'!$S$101&lt;&gt;"data missing", Calc!BE74*'Waste results'!$S$101, "data missing"),
   IF(Calc!BE74=0,
     IF(OR('Waste results'!$S$29&lt;&gt;"data missing", 'Waste results'!$S$65&lt;&gt;"data missing"), Calc!BC74*'Waste results'!$S$29+ Calc!BD74*'Waste results'!$S$65, "data missing"),
   IF(Calc!BD74=0,
     IF(OR('Waste results'!$S$29&lt;&gt;"data missing", 'Waste results'!$S$101&lt;&gt;"data missing"), Calc!BC74*'Waste results'!$S$29+ Calc!BE74*'Waste results'!$S$101, "data missing"),
   IF(Calc!BC74=0,
     IF(OR('Waste results'!$S$65&lt;&gt;"data missing", 'Waste results'!$S$101&lt;&gt;"data missing"), Calc!BD74*'Waste results'!$S$65+Calc!BE74*'Waste results'!$S$101, "data missing"),
   IF(OR('Waste results'!$S$29&lt;&gt;"data missing", 'Waste results'!$S$65&lt;&gt;"data missing", 'Waste results'!$S$101&lt;&gt;"data missing"), Calc!BC74*'Waste results'!$S$29+Calc!BD74*'Waste results'!$S$65+ Calc!BE74*'Waste results'!$S$101, "data missing")))))))))))</f>
        <v/>
      </c>
      <c r="BG76" s="239" t="str">
        <f ca="1">IF($B76="","",
IF(ISBLANK('Soil results'!O79),"data missing",'Soil results'!O79))</f>
        <v/>
      </c>
      <c r="BH76" s="239" t="str">
        <f t="shared" ca="1" si="30"/>
        <v/>
      </c>
      <c r="BI76" s="9" t="str">
        <f ca="1">IF(B76="","",
IF(BF76=0,"n/a",
IF(OR(BF76="data missing",BG76="data missing"),"data missing",
IF(BF76&gt;3,"application rate too high - permissible rate exceeds limit",
IF('Soil results'!F79&lt;=5.5,
  IF(BG76&gt;50,"no application - soil conc. already above limit",
  IF(BH76&gt;50,"application rate too high - soil conc. will exceed limit",
  IF(BG76&gt;50*0.9,"soil conc. is at or above 90% of the limit",
  IF(10*BF76*1000/3000+BG76&gt;50,"soil limit likely to be exceeded in 10yrs",
  IF(50*BF76*1000/3000+BG76&gt;50,"soil limit likely to be exceeded in 50yrs","ok"))))),
IF('Soil results'!F79&lt;=6,
  IF(BG76&gt;60,"no application - soil conc. already above limit",
  IF(BH76&gt;60,"application rate too high - soil conc. will exceed limit",
  IF(BG76&gt;60*0.9,"soil conc. is at or above 90% of the limit",
  IF(10*BF76*1000/3000+BG76&gt;60,"soil limit likely to be exceeded in 10yrs",
  IF(50*BF76*1000/3000+BG76&gt;60,"soil limit likely to be exceeded in 50yrs","ok"))))),
IF('Soil results'!F79&lt;=7,
  IF(BG76&gt;75,"no application - soil conc. already above limit",
  IF(BH76&gt;75,"application rate too high - soil conc. will exceed limit",
  IF(BG76&gt;75*0.9,"soil conc. is at or above 90% of the limit",
  IF(10*BF76*1000/3000+BG76&gt;75,"soil limit likely to be exceeded in 10yrs",
  IF(50*BF76*1000/3000+BG76&gt;75,"soil limit likely to be exceeded in 50yrs","ok"))))),
IF('Soil results'!F79&gt;7,
  IF(BG76&gt;100,"no application - soil conc. already above limit",
  IF(BH76&gt;100,"application rate too high - soil conc. will exceed limit",
  IF(BG76&gt;100*0.9,"soil conc. is at or above 90% of the limit",
  IF(10*BF76*1000/3000+BG76&gt;100,"soil limit likely to be exceeded in 10yrs",
  IF(50*BF76*1000/3000+BG76&gt;100,"soil limit likely to beexceeded in 50yrs","ok")))))
))))))))</f>
        <v/>
      </c>
      <c r="BK76" s="240" t="str">
        <f ca="1">IF(B76="","",
IF(AND('Field information 2'!$O$5="", 'Field information 2'!$Q$5=""),
   IF('Waste results'!$S$30&lt;&gt;"data missing", Calc!BC74*'Waste results'!$S$30, "data missing"),
IF('Field information 2'!$Q$5="",
   IF(Calc!BD74=0,
     IF('Waste results'!$S$30&lt;&gt;"data missing", Calc!BC74*'Waste results'!$S$30, "data missing"),
   IF(Calc!BC74=0,
     IF('Waste results'!$S$66&lt;&gt;"data missing", Calc!BD74*'Waste results'!$S$66, "data missing"),
   IF(OR('Waste results'!$S$30&lt;&gt;"data missing", 'Waste results'!$S$66&lt;&gt;"data missing"), Calc!BC74*'Waste results'!$S$30+ Calc!BD74*'Waste results'!$S$66, "data missing"))),
IF(AND('Field information 2'!$M$5&lt;&gt;"", 'Field information 2'!$O$5&lt;&gt;"", 'Field information 2'!$Q$5&lt;&gt;""),
   IF(AND(Calc!BD74=0,Calc!BE74=0),
     IF('Waste results'!$S$30&lt;&gt;"data missing", Calc!BC74*'Waste results'!$S$30, "data missing"),
   IF(AND(Calc!BC74=0,Calc!BE74=0),
     IF('Waste results'!$S$66&lt;&gt;"data missing", Calc!BD74*'Waste results'!$S$66, "data missing"),
   IF(AND(Calc!BC74=0,Calc!BD74=0),
     IF('Waste results'!$S$102&lt;&gt;"data missing", Calc!BE74*'Waste results'!$S$102, "data missing"),
   IF(Calc!BE74=0,
     IF(OR('Waste results'!$S$30&lt;&gt;"data missing", 'Waste results'!$S$66&lt;&gt;"data missing"), Calc!BC74*'Waste results'!$S$30+ Calc!BD74*'Waste results'!$S$66, "data missing"),
   IF(Calc!BD74=0,
     IF(OR('Waste results'!$S$30&lt;&gt;"data missing", 'Waste results'!$S$102&lt;&gt;"data missing"), Calc!BC74*'Waste results'!$S$30+ Calc!BE74*'Waste results'!$S$102, "data missing"),
   IF(Calc!BC74=0,
     IF(OR('Waste results'!$S$66&lt;&gt;"data missing", 'Waste results'!$S$102&lt;&gt;"data missing"), Calc!BD74*'Waste results'!$S$66+Calc!BE74*'Waste results'!$S$102, "data missing"),
   IF(OR('Waste results'!$S$30&lt;&gt;"data missing", 'Waste results'!$S$66&lt;&gt;"data missing", 'Waste results'!$S$102&lt;&gt;"data missing"), Calc!BC74*'Waste results'!$S$30+Calc!BD74*'Waste results'!$S$66+ Calc!BE74*'Waste results'!$S$102, "data missing")))))))))))</f>
        <v/>
      </c>
      <c r="BL76" s="241" t="str">
        <f ca="1">IF($B76="","",
IF(ISBLANK('Soil results'!P79),"data missing",'Soil results'!P79))</f>
        <v/>
      </c>
      <c r="BM76" s="241" t="str">
        <f t="shared" ca="1" si="31"/>
        <v/>
      </c>
      <c r="BN76" s="66" t="str">
        <f t="shared" ca="1" si="32"/>
        <v/>
      </c>
      <c r="BP76" s="238" t="str">
        <f ca="1">IF(B76="","",
IF(AND('Field information 2'!$O$5="", 'Field information 2'!$Q$5=""),
   IF('Waste results'!$S$31&lt;&gt;"data missing", Calc!BC74*'Waste results'!$S$31, "data missing"),
IF('Field information 2'!$Q$5="",
   IF(Calc!BD74=0,
     IF('Waste results'!$S$31&lt;&gt;"data missing", Calc!BC74*'Waste results'!$S$31, "data missing"),
   IF(Calc!BC74=0,
     IF('Waste results'!$S$67&lt;&gt;"data missing", Calc!BD74*'Waste results'!$S$67, "data missing"),
   IF(OR('Waste results'!$S$31&lt;&gt;"data missing", 'Waste results'!$S$67&lt;&gt;"data missing"), Calc!BC74*'Waste results'!$S$31+ Calc!BD74*'Waste results'!$S$67, "data missing"))),
IF(AND('Field information 2'!$M$5&lt;&gt;"", 'Field information 2'!$O$5&lt;&gt;"", 'Field information 2'!$Q$5&lt;&gt;""),
   IF(AND(Calc!BD74=0,Calc!BE74=0),
     IF('Waste results'!$S$31&lt;&gt;"data missing", Calc!BC74*'Waste results'!$S$31, "data missing"),
   IF(AND(Calc!BC74=0,Calc!BE74=0),
     IF('Waste results'!$S$67&lt;&gt;"data missing", Calc!BD74*'Waste results'!$S$67, "data missing"),
   IF(AND(Calc!BC74=0,Calc!BD74=0),
     IF('Waste results'!$S$103&lt;&gt;"data missing", Calc!BE74*'Waste results'!$S$103, "data missing"),
   IF(Calc!BE74=0,
     IF(OR('Waste results'!$S$31&lt;&gt;"data missing", 'Waste results'!$S$67&lt;&gt;"data missing"), Calc!BC74*'Waste results'!$S$31+ Calc!BD74*'Waste results'!$S$67, "data missing"),
   IF(Calc!BD74=0,
     IF(OR('Waste results'!$S$31&lt;&gt;"data missing", 'Waste results'!$S$103&lt;&gt;"data missing"), Calc!BC74*'Waste results'!$S$31+ Calc!BE74*'Waste results'!$S$103, "data missing"),
   IF(Calc!BC74=0,
     IF(OR('Waste results'!$S$67&lt;&gt;"data missing", 'Waste results'!$S$103&lt;&gt;"data missing"), Calc!BD74*'Waste results'!$S$67+Calc!BE74*'Waste results'!$S$103, "data missing"),
   IF(OR('Waste results'!$S$31&lt;&gt;"data missing", 'Waste results'!$S$67&lt;&gt;"data missing", 'Waste results'!$S$103&lt;&gt;"data missing"), Calc!BC74*'Waste results'!$S$31+Calc!BD74*'Waste results'!$S$67+ Calc!BE74*'Waste results'!$S$103, "data missing")))))))))))</f>
        <v/>
      </c>
      <c r="BQ76" s="239" t="str">
        <f ca="1">IF($B76="","",
IF(ISBLANK('Soil results'!Q79),"data missing",'Soil results'!Q79))</f>
        <v/>
      </c>
      <c r="BR76" s="239" t="str">
        <f t="shared" ca="1" si="33"/>
        <v/>
      </c>
      <c r="BS76" s="9" t="str">
        <f ca="1">IF(B76="","",
IF(BP76=0,"n/a",
IF(OR(BP76="data missing",BQ76=""),"data missing",
IF(BP76&gt;15,"application rate too high - permissible rate exceeds limit",
IF('Soil results'!F79&lt;=5.5,
  IF(BQ76&gt;200,"no application - soil conc. already above limit",
  IF(BR76&gt;200,"application rate too high - soil conc. will exceed limit",
  IF(BQ76&gt;200*0.9,"soil conc. is at or above 90% of the limit",
  IF(10*BP76*1000/3000+BQ76&gt;200,"soil limit likely to be exceeded in 10yrs",
  IF(50*BP76*1000/3000+BQ76&gt;200,"soil limit likely to be exceeded in 50yrs","ok"))))),
IF('Soil results'!F79&lt;=6,
  IF(BQ76&gt;250,"no application - soil conc. already above limit",
  IF(BR76&gt;250,"application rate too high - soil conc. will exceed limit",
  IF(BQ76&gt;250*0.9,"soil conc. is at or above 90% of the limit",
  IF(10*BP76*1000/3000+BQ76&gt;250,"soil limit likely to be exceeded in 10yrs",
  IF(50*BP76*1000/3000+BQ76&gt;250,"soil limit likely to be exceeded in 50yrs","ok"))))),
IF('Soil results'!F79&lt;=7,
  IF(BQ76&gt;300,"no application - soil conc. already above limit",
  IF(BR76&gt;300,"application rate too high - soil conc. will exceed limit",
  IF(BQ76&gt;300*0.9,"soil conc. is at or above 90% of the limit",
  IF(10*BP76*1000/3000+BQ76&gt;300,"soil limit likey to be exceeded in 10yrs",
  IF(50*BP76*1000/3000+BQ76&gt;300,"soil limit likely to be exceeded in 50yrs","ok"))))),
IF('Soil results'!F79&gt;7,
  IF(BQ76&gt;450,"no application - soil conc. already above limit",
  IF(BR76&gt;450,"application rate too high - soil conc. will exceed limit",
  IF(AW76&gt;450*0.9,"soil conc. is at or above 90% of the limit",
  IF(10*BP76*1000/3000+BQ76&gt;450,"soil limit likely to be exceeded in 10yrs",
  IF(50*BP76*1000/3000+BQ76&gt;450,"soil limit likely to be exceeded in 50yrs","ok")))))
))))))))</f>
        <v/>
      </c>
    </row>
    <row r="77" spans="2:71" s="9" customFormat="1" ht="15" x14ac:dyDescent="0.25">
      <c r="B77" s="236" t="str">
        <f ca="1">'Soil results'!B80</f>
        <v/>
      </c>
      <c r="C77" s="91" t="str">
        <f ca="1">IF(B77="","",
IF(AND('Field information 2'!$O$5="", 'Field information 2'!$Q$5=""),
   IF('Waste results'!$S$12&lt;&gt;"data missing", Calc!BC75*'Waste results'!$S$12, "data missing"),
IF('Field information 2'!$Q$5="",
   IF(Calc!BD75=0,
     IF('Waste results'!$S$12&lt;&gt;"data missing", Calc!BC75*'Waste results'!$S$12, "data missing"),
   IF(Calc!BC75=0,
     IF('Waste results'!$S$48&lt;&gt;"data missing", Calc!BD75*'Waste results'!$S$48, "data missing"),
   IF(OR('Waste results'!$S$12&lt;&gt;"data missing", 'Waste results'!$S$48&lt;&gt;"data missing"), Calc!BC75*'Waste results'!$S$12+ Calc!BD75*'Waste results'!$S$48, "data missing"))),
IF(AND('Field information 2'!$M$5&lt;&gt;"", 'Field information 2'!$O$5&lt;&gt;"", 'Field information 2'!$Q$5&lt;&gt;""),
   IF(AND(Calc!BD75=0,Calc!BE75=0),
     IF('Waste results'!$S$12&lt;&gt;"data missing", Calc!BC75*'Waste results'!$S$12, "data missing"),
   IF(AND(Calc!BC75=0,Calc!BE75=0),
     IF('Waste results'!$S$48&lt;&gt;"data missing", Calc!BD75*'Waste results'!$S$48, "data missing"),
   IF(AND(Calc!BC75=0,Calc!BD75=0),
     IF('Waste results'!$S$84&lt;&gt;"data missing", Calc!BE75*'Waste results'!$S$84, "data missing"),
   IF(Calc!BE75=0,
     IF(OR('Waste results'!$S$12&lt;&gt;"data missing", 'Waste results'!$S$48&lt;&gt;"data missing"), Calc!BC75*'Waste results'!$S$12+ Calc!BD75*'Waste results'!$S$48, "data missing"),
   IF(Calc!BD75=0,
     IF(OR('Waste results'!$S$12&lt;&gt;"data missing", 'Waste results'!$S$84&lt;&gt;"data missing"), Calc!BC75*'Waste results'!$S$12+ Calc!BE75*'Waste results'!$S$84, "data missing"),
   IF(Calc!BC75=0,
     IF(OR('Waste results'!$S$48&lt;&gt;"data missing", 'Waste results'!$S$84&lt;&gt;"data missing"), Calc!BD75*'Waste results'!$S$48+Calc!BE75*'Waste results'!$S$84, "data missing"),
   IF(OR('Waste results'!$S$12&lt;&gt;"data missing", 'Waste results'!$S$48&lt;&gt;"data missing", 'Waste results'!$S$84&lt;&gt;"data missing"), Calc!BC75*'Waste results'!$S$12+Calc!BD75*'Waste results'!$S$48+ Calc!BE75*'Waste results'!$S$84, "data missing")))))))))))</f>
        <v/>
      </c>
      <c r="D77" s="161" t="str">
        <f ca="1">IF(B77="","",
IF(Calc!BG75="","soil texture missing",
IF(OR(Calc!BG75="SL; SZL; ZL",Calc!BG75="SCL; CL; ZCL; SC; ZC; C"),VLOOKUP(Calc!BI75,'Fertiliser recommendations'!$A$4:$C$63,3,FALSE),
IF(Calc!BG75="S; LS",VLOOKUP(Calc!BI75,'Fertiliser recommendations'!$A$4:$C$63,3,FALSE)+VLOOKUP(Calc!BI75,'Fertiliser recommendations'!$A$4:$D$63,4,FALSE),
IF(Calc!BG75="10-25% OM",VLOOKUP(Calc!BI75,'Fertiliser recommendations'!$A$4:$C$63,3,FALSE)+VLOOKUP(Calc!BI75,'Fertiliser recommendations'!$A$4:$E$63,5,FALSE),
IF(Calc!BG75="&gt;25% OM",VLOOKUP(Calc!BI75,'Fertiliser recommendations'!$A$4:$C$63,3,FALSE)+VLOOKUP(Calc!BI75,'Fertiliser recommendations'!$A$4:$F$63,6,FALSE),
""))))))</f>
        <v/>
      </c>
      <c r="E77" s="91" t="str">
        <f t="shared" ca="1" si="17"/>
        <v/>
      </c>
      <c r="F77" s="9" t="str">
        <f ca="1">IF(B77="","",
IF(OR(C77="data missing",D77="soil texture missing"),"data missing",
IF(Calc!BF75=0,"n/a",
IF(C77&lt;0.1*D77,"no benefit",
IF(C77&lt;0.3*D77,"limited benefit",
IF(C77&gt;250,"exceeds limit",
IF(OR(AND(D77=0,C77&gt;75),C77&gt;1.25*D77),"excessive",
IF(D77=0, "no requirement",
"benefit"))))))))</f>
        <v/>
      </c>
      <c r="H77" s="91" t="str">
        <f ca="1">IF(B77="","",
IF(AND('Field information 2'!$O$5="", 'Field information 2'!$Q$5=""),
   IF('Waste results'!$S$17&lt;&gt;"data missing", Calc!BC75*'Waste results'!$S$17, "data missing"),
IF('Field information 2'!$Q$5="",
   IF(Calc!BD75=0,
     IF('Waste results'!$S$17&lt;&gt;"data missing", Calc!BC75*'Waste results'!$S$17, "data missing"),
   IF(Calc!BC75=0,
     IF('Waste results'!$S$53&lt;&gt;"data missing", Calc!BD75*'Waste results'!$S$53, "data missing"),
   IF(OR('Waste results'!$S$17&lt;&gt;"data missing", 'Waste results'!$S$53&lt;&gt;"data missing"), Calc!BC75*'Waste results'!$S$17+ Calc!BD75*'Waste results'!$S$53, "data missing"))),
IF(AND('Field information 2'!$M$5&lt;&gt;"", 'Field information 2'!$O$5&lt;&gt;"", 'Field information 2'!$Q$5&lt;&gt;""),
   IF(AND(Calc!BD75=0,Calc!BE75=0),
     IF('Waste results'!$S$17&lt;&gt;"data missing", Calc!BC75*'Waste results'!$S$17, "data missing"),
   IF(AND(Calc!BC75=0,Calc!BE75=0),
     IF('Waste results'!$S$53&lt;&gt;"data missing", Calc!BD75*'Waste results'!$S$53, "data missing"),
   IF(AND(Calc!BC75=0,Calc!BD75=0),
     IF('Waste results'!$S$89&lt;&gt;"data missing", Calc!BE75*'Waste results'!$S$89, "data missing"),
   IF(Calc!BE75=0,
     IF(OR('Waste results'!$S$17&lt;&gt;"data missing", 'Waste results'!$S$53&lt;&gt;"data missing"), Calc!BC75*'Waste results'!$S$17+ Calc!BD75*'Waste results'!$S$53, "data missing"),
   IF(Calc!BD75=0,
     IF(OR('Waste results'!$S$17&lt;&gt;"data missing", 'Waste results'!$S$89&lt;&gt;"data missing"), Calc!BC75*'Waste results'!$S$17+ Calc!BE75*'Waste results'!$S$89, "data missing"),
   IF(Calc!BC75=0,
     IF(OR('Waste results'!$S$53&lt;&gt;"data missing", 'Waste results'!$S$89&lt;&gt;"data missing"), Calc!BD75*'Waste results'!$S$53+Calc!BE75*'Waste results'!$S$89, "data missing"),
   IF(OR('Waste results'!$S$17&lt;&gt;"data missing", 'Waste results'!$S$53&lt;&gt;"data missing", 'Waste results'!$S$89&lt;&gt;"data missing"), Calc!BC75*'Waste results'!$S$17+Calc!BD75*'Waste results'!$S$53+ Calc!BE75*'Waste results'!$S$89, "data missing")))))))))))</f>
        <v/>
      </c>
      <c r="I77" s="195" t="str">
        <f ca="1">IF(B77="","",
IF(OR(ISBLANK('Soil results'!G80), ISBLANK('Soil results'!G$7)),"data missing",
IF(OR(AND('Soil results'!G$7="Olsen (ADAS)",'Soil results'!G80&lt;16),AND('Soil results'!G$7="modified Morgan (SAC)",'Soil results'!G80&lt;4.5)),50,100)))</f>
        <v/>
      </c>
      <c r="J77" s="49" t="str">
        <f ca="1">IF(B77="","",
IF(OR(ISBLANK('Soil results'!G$7),ISBLANK('Soil results'!G80)),"data missing",
IF(OR(AND('Soil results'!G$7="Olsen (ADAS)",'Soil results'!G80&gt;45),AND('Soil results'!G$7="modified Morgan (SAC)",'Soil results'!G80&gt;30)),0,
IF(OR(AND('Soil results'!G$7="Olsen (ADAS)",'Soil results'!G80&gt;=16,'Soil results'!G80&lt;=20),AND('Soil results'!G$7="modified Morgan (SAC)",'Soil results'!G80&gt;=4.5,'Soil results'!G80&lt;=9.4)),VLOOKUP(Calc!BI75,'Fertiliser recommendations'!$A$4:$I$63,9,FALSE),
IF(OR(AND('Soil results'!G$7="Olsen (ADAS)",'Soil results'!G80&lt;10),AND('Soil results'!G$7="modified Morgan (SAC)",'Soil results'!G80&lt;1.8)),VLOOKUP(Calc!BI75,'Fertiliser recommendations'!$A$4:$I$63,9,FALSE)+VLOOKUP(Calc!BI75,'Fertiliser recommendations'!$A$4:$J$63,10,FALSE),
IF(OR(AND('Soil results'!G$7="Olsen (ADAS)",'Soil results'!G80&lt;16),AND('Soil results'!G$7="modified Morgan (SAC)",'Soil results'!G80&lt;4.5)),VLOOKUP(Calc!BI75,'Fertiliser recommendations'!$A$4:$I$63,9,FALSE)+VLOOKUP(Calc!BI75,'Fertiliser recommendations'!$A$4:$K$63,11,FALSE),
IF(OR(AND('Soil results'!G$7="Olsen (ADAS)",'Soil results'!G80&lt;26),AND('Soil results'!G$7="modified Morgan (SAC)",'Soil results'!G80&lt;13.5)),VLOOKUP(Calc!BI75,'Fertiliser recommendations'!$A$4:$I$63,9,FALSE)+VLOOKUP(Calc!BI75,'Fertiliser recommendations'!$A$4:$L$63,12,FALSE),
IF(OR(AND('Soil results'!G$7="Olsen (ADAS)",'Soil results'!G80&lt;=45),AND('Soil results'!G$7="modified Morgan (SAC)",'Soil results'!G80&lt;=30)),VLOOKUP(Calc!BI75,'Fertiliser recommendations'!$A$4:$I$63,9,FALSE)+VLOOKUP(Calc!BI75,'Fertiliser recommendations'!$A$4:$M$63,13,FALSE),
""))))))))</f>
        <v/>
      </c>
      <c r="K77" s="161" t="str">
        <f t="shared" ca="1" si="18"/>
        <v/>
      </c>
      <c r="L77" s="47" t="str">
        <f ca="1">IF(OR(ISBLANK('Soil results'!G$7),ISBLANK('Soil results'!G80),B77="", H77="data missing"),"",
IF('Soil results'!G$7="Olsen (ADAS)",
IF(((H77*Calc!BM75/2.291-(VLOOKUP(Calc!BI75,'Fertiliser recommendations'!$A$4:$I$63,9,FALSE))/2.291)*10/(400/2.291)+'Soil results'!G80)&lt;10,"0 (VL)",
IF(((H77*Calc!BM75/2.291-(VLOOKUP(Calc!BI75,'Fertiliser recommendations'!$A$4:$I$63,9,FALSE))/2.291)*10/(400/2.291)+'Soil results'!G80)&lt;16,"1 (L)",
IF(((H77*Calc!BM75/2.291-(VLOOKUP(Calc!BI75,'Fertiliser recommendations'!$A$4:$I$63,9,FALSE))/2.291)*10/(400/2.291)+'Soil results'!G80)&lt;21,"2 (M-)",
IF(((H77*Calc!BM75/2.291-(VLOOKUP(Calc!BI75,'Fertiliser recommendations'!$A$4:$I$63,9,FALSE))/2.291)*10/(400/2.291)+'Soil results'!G80)&lt;26,"2 (M+)",
IF(((H77*Calc!BM75/2.291-(VLOOKUP(Calc!BI75,'Fertiliser recommendations'!$A$4:$I$63,9,FALSE))/2.291)*10/(400/2.291)+'Soil results'!G80)&lt;45,"3 (H)","&gt;3 (VH)"))))),
IF('Soil results'!G$7="modified Morgan (SAC)",
IF('Soil results'!G80&gt;=6,
IF(((H77*Calc!BM75/2.291-(VLOOKUP(Calc!BI75,'Fertiliser recommendations'!$A$4:$I$63,9,FALSE))/2.291)*5/(147/2.291)+'Soil results'!G80)&lt;9.5,"2 (M-)",
IF(((H77*Calc!BM75/2.291-(VLOOKUP(Calc!BI75,'Fertiliser recommendations'!$A$4:$I$63,9,FALSE))/2.291)*5/(147/2.291)+'Soil results'!G80)&lt;13.5,"2 (M+)",
IF(((H77*Calc!BM75/2.291-(VLOOKUP(Calc!BI75,'Fertiliser recommendations'!$A$4:$I$63,9,FALSE))/2.291)*5/(147/2.291)+'Soil results'!G80)&lt;30,"3 (H)","4 (VH)"))),
IF(((H77*Calc!BM75/2.291-(VLOOKUP(Calc!BI75,'Fertiliser recommendations'!$A$4:$I$63,9,FALSE))/2.291)*5/(346/2.291)+'Soil results'!G80)&lt;1.8,"0 (VL)",
IF(((H77*Calc!BM75/2.291-(VLOOKUP(Calc!BI75,'Fertiliser recommendations'!$A$4:$I$63,9,FALSE))/2.291)*5/(147/2.291)+'Soil results'!G80)&lt;4.5,"1 (L)","2 (M-)"))))))</f>
        <v/>
      </c>
      <c r="M77" s="9" t="str">
        <f ca="1">IF(B77="","",
IF(OR(H77="data missing",I77="data missing",J77="data missing"),"data missing",
IF(Calc!BF75=0,"n/a",
IF(OR(AND('Soil results'!G$7="Olsen (ADAS)",'Soil results'!G80&gt;45),AND('Soil results'!G$7="modified Morgan (SAC)",'Soil results'!G80&gt;30)),
IF(H77&gt;2,"too high, not acceptable","no requirement"),IF(OR(AND('Soil results'!G$7="Olsen (ADAS)",'Soil results'!G80&gt;25),AND('Soil results'!G$7="modified Morgan (SAC)",'Soil results'!G80&gt;13.4)),
IF(H77*(I77/100)&lt;0.1*J77,"no benefit",
IF(H77*(I77/100)&lt;0.3*J77,"limited benefit",
IF(H77*(I77/100)&lt;1.1*J77,"benefit",
IF(H77*(I77/100)&lt;0.7*VLOOKUP(Calc!BI75,'Fertiliser recommendations'!$A$4:$I$63,9,FALSE),"excessive","too high, not acceptable")))),
IF(OR(AND('Soil results'!G$7="Olsen (ADAS)",'Soil results'!G80&gt;20),AND('Soil results'!G$7="modified Morgan (SAC)",'Soil results'!G80&gt;9.4)),
IF(H77*Calc!BM75*(I77/100)&lt;0.1*J77,"no benefit",
IF(H77*Calc!BM75*(I77/100)&lt;0.3*J77,"limited benefit",
IF(H77*Calc!BM75*(I77/100)&lt;1.1*J77,"benefit",
IF(L77="3 (H)","too high, not acceptable","excessive")))),
IF(OR(AND('Soil results'!G$7="Olsen (ADAS)",'Soil results'!G80&gt;15),AND('Soil results'!G$7="modified Morgan (SAC)",'Soil results'!G80&gt;4.4)),
IF(H77*Calc!BM75*(I77/100)&lt;0.1*VLOOKUP(Calc!BI75,'Fertiliser recommendations'!$A$4:$I$63,9,FALSE),"no benefit",
IF(H77*Calc!BM75*(I77/100)&lt;0.3*VLOOKUP(Calc!BI75,'Fertiliser recommendations'!$A$4:$I$63,9,FALSE),"limited benefit",
IF(H77*Calc!BM75*(I77/100)&lt;1.1*VLOOKUP(Calc!BI75,'Fertiliser recommendations'!$A$4:$I$63,9,FALSE),"benefit",
IF(L77="3 (H)", "too high, not acceptable", "excessive")))),
IF(OR(AND('Soil results'!G$7="Olsen (ADAS)",'Soil results'!G80&lt;=15),AND('Soil results'!G$7="modified Morgan (SAC)",'Soil results'!G80&lt;=4.4)),
IF(H77*Calc!BM75*(I77/100)&lt;0.1*VLOOKUP(Calc!BI75,'Fertiliser recommendations'!$A$4:$I$63,9,FALSE),"no benefit",
IF(H77*Calc!BM75*(I77/100)&lt;0.3*VLOOKUP(Calc!BI75,'Fertiliser recommendations'!$A$4:$I$63,9,FALSE),"limited benefit",
IF(H77*Calc!BM75*(I77/100)&lt;1.1*J77,"benefit","excessive")))))))))))</f>
        <v/>
      </c>
      <c r="O77" s="91" t="str">
        <f ca="1">IF(B77="","",
IF(AND('Field information 2'!$O$5="", 'Field information 2'!$Q$5=""),
   IF('Waste results'!$S$19&lt;&gt;"data missing", Calc!BC75*'Waste results'!$S$19, "data missing"),
IF('Field information 2'!$Q$5="",
   IF(Calc!BD75=0,
     IF('Waste results'!$S$19&lt;&gt;"data missing", Calc!BC75*'Waste results'!$S$19, "data missing"),
   IF(Calc!BC75=0,
     IF('Waste results'!$S$55&lt;&gt;"data missing", Calc!BD75*'Waste results'!$S$55, "data missing"),
   IF(OR('Waste results'!$S$19&lt;&gt;"data missing", 'Waste results'!$S$55&lt;&gt;"data missing"), Calc!BC75*'Waste results'!$S$19+ Calc!BD75*'Waste results'!$S$55, "data missing"))),
IF(AND('Field information 2'!$M$5&lt;&gt;"", 'Field information 2'!$O$5&lt;&gt;"", 'Field information 2'!$Q$5&lt;&gt;""),
   IF(AND(Calc!BD75=0,Calc!BE75=0),
     IF('Waste results'!$S$19&lt;&gt;"data missing", Calc!BC75*'Waste results'!$S$19, "data missing"),
   IF(AND(Calc!BC75=0,Calc!BE75=0),
     IF('Waste results'!$S$55&lt;&gt;"data missing", Calc!BD75*'Waste results'!$S$55, "data missing"),
   IF(AND(Calc!BC75=0,Calc!BD75=0),
     IF('Waste results'!$S$91&lt;&gt;"data missing", Calc!BE75*'Waste results'!$S$91, "data missing"),
   IF(Calc!BE75=0,
     IF(OR('Waste results'!$S$19&lt;&gt;"data missing", 'Waste results'!$S$55&lt;&gt;"data missing"), Calc!BC75*'Waste results'!$S$19+ Calc!BD75*'Waste results'!$S$55, "data missing"),
   IF(Calc!BD75=0,
     IF(OR('Waste results'!$S$19&lt;&gt;"data missing", 'Waste results'!$S$91&lt;&gt;"data missing"), Calc!BC75*'Waste results'!$S$19+ Calc!BE75*'Waste results'!$S$91, "data missing"),
   IF(Calc!BC75=0,
     IF(OR('Waste results'!$S$55&lt;&gt;"data missing", 'Waste results'!$S$91&lt;&gt;"data missing"), Calc!BD75*'Waste results'!$S$55+Calc!BE75*'Waste results'!$S$91, "data missing"),
   IF(OR('Waste results'!$S$19&lt;&gt;"data missing", 'Waste results'!$S$55&lt;&gt;"data missing", 'Waste results'!$S$91&lt;&gt;"data missing"), Calc!BC75*'Waste results'!$S$19+Calc!BD75*'Waste results'!$S$55+ Calc!BE75*'Waste results'!$S$91, "data missing")))))))))))</f>
        <v/>
      </c>
      <c r="P77" s="91" t="str">
        <f ca="1">IF(B77="","",
IF(OR(ISBLANK('Soil results'!H$7),ISBLANK('Soil results'!H80)),"data missing",
IF(OR(AND('Soil results'!H$7="ammonium nitrate (ADAS)",'Soil results'!H80&gt;400),AND('Soil results'!H$7="modified Morgan (SAC)",'Soil results'!H80&gt;400)),0,
IF(OR(AND('Soil results'!H$7="ammonium nitrate (ADAS)",'Soil results'!H80&gt;=121,'Soil results'!H80&lt;=180),AND('Soil results'!H$7="modified Morgan (SAC)",'Soil results'!H80&gt;=76,'Soil results'!H80&lt;=140)),VLOOKUP(Calc!BI75,'Fertiliser recommendations'!$A$4:$Z$63,26,FALSE),
IF(OR(AND('Soil results'!H$7="ammonium nitrate (ADAS)",'Soil results'!H80&lt;61),AND('Soil results'!H$7="modified Morgan (SAC)",'Soil results'!H80&lt;40)),VLOOKUP(Calc!BI75,'Fertiliser recommendations'!$A$4:$Z$63,26,FALSE)+VLOOKUP(Calc!BI75,'Fertiliser recommendations'!$A$4:$AA$63,27,FALSE),
IF(OR(AND('Soil results'!H$7="ammonium nitrate (ADAS)",'Soil results'!H80&lt;121),AND('Soil results'!H$7="modified Morgan (SAC)",'Soil results'!H80&lt;76)),VLOOKUP(Calc!BI75,'Fertiliser recommendations'!$A$4:$Z$63,26,FALSE)+VLOOKUP(Calc!BI75,'Fertiliser recommendations'!$A$4:$AB$63,28,FALSE),
IF(OR(AND('Soil results'!H$7="ammonium nitrate (ADAS)",'Soil results'!H80&lt;241),AND('Soil results'!H$7="modified Morgan (SAC)",'Soil results'!H80&lt;201)),VLOOKUP(Calc!BI75,'Fertiliser recommendations'!$A$4:$Z$63,26,FALSE)+VLOOKUP(Calc!BI75,'Fertiliser recommendations'!$A$4:$AC$63,29,FALSE),
IF(OR(AND('Soil results'!H$7="ammonium nitrate (ADAS)",'Soil results'!H80&lt;=400),AND('Soil results'!H$7="modified Morgan (SAC)",'Soil results'!H80&lt;=400)),VLOOKUP(Calc!BI75,'Fertiliser recommendations'!$A$4:$Z$63,26,FALSE)+VLOOKUP(Calc!BI75,'Fertiliser recommendations'!$A$4:$AD$63,30,FALSE),
"??"))))))))</f>
        <v/>
      </c>
      <c r="Q77" s="91" t="str">
        <f t="shared" ca="1" si="19"/>
        <v/>
      </c>
      <c r="R77" s="9" t="str">
        <f ca="1">IF(B77="","",
IF(OR(O77="data missing",P77="data missing"),"data missing",
IF(Calc!BF75=0,"n/a",
IF(P77=0, "no requirement",
IF(O77&lt;0.1*P77,"no benefit",
IF(O77&lt;0.3*P77,"limited benefit",
IF(O77&gt;1.25*P77,"excessive",
"benefit")))))))</f>
        <v/>
      </c>
      <c r="T77" s="91" t="str">
        <f ca="1">IF(B77="","",
IF(AND('Field information 2'!$O$5="", 'Field information 2'!$Q$5=""),
   IF('Waste results'!$S$21&lt;&gt;"data missing", Calc!BC75*'Waste results'!$S$21, "data missing"),
IF('Field information 2'!$Q$5="",
   IF(Calc!BD75=0,
     IF('Waste results'!$S$21&lt;&gt;"data missing", Calc!BC75*'Waste results'!$S$21, "data missing"),
   IF(Calc!BC75=0,
     IF('Waste results'!$S$57&lt;&gt;"data missing", Calc!BD75*'Waste results'!$S$57, "data missing"),
   IF(OR('Waste results'!$S$21&lt;&gt;"data missing", 'Waste results'!$S$57&lt;&gt;"data missing"), Calc!BC75*'Waste results'!$S$21+ Calc!BD75*'Waste results'!$S$57, "data missing"))),
IF(AND('Field information 2'!$M$5&lt;&gt;"", 'Field information 2'!$O$5&lt;&gt;"", 'Field information 2'!$Q$5&lt;&gt;""),
   IF(AND(Calc!BD75=0,Calc!BE75=0),
     IF('Waste results'!$S$21&lt;&gt;"data missing", Calc!BC75*'Waste results'!$S$21, "data missing"),
   IF(AND(Calc!BC75=0,Calc!BE75=0),
     IF('Waste results'!$S$57&lt;&gt;"data missing", Calc!BD75*'Waste results'!$S$57, "data missing"),
   IF(AND(Calc!BC75=0,Calc!BD75=0),
     IF('Waste results'!$S$93&lt;&gt;"data missing", Calc!BE75*'Waste results'!$S$93, "data missing"),
   IF(Calc!BE75=0,
     IF(OR('Waste results'!$S$21&lt;&gt;"data missing", 'Waste results'!$S$57&lt;&gt;"data missing"), Calc!BC75*'Waste results'!$S$21+ Calc!BD75*'Waste results'!$S$57, "data missing"),
   IF(Calc!BD75=0,
     IF(OR('Waste results'!$S$21&lt;&gt;"data missing", 'Waste results'!$S$93&lt;&gt;"data missing"), Calc!BC75*'Waste results'!$S$21+ Calc!BE75*'Waste results'!$S$93, "data missing"),
   IF(Calc!BC75=0,
     IF(OR('Waste results'!$S$57&lt;&gt;"data missing", 'Waste results'!$S$93&lt;&gt;"data missing"), Calc!BD75*'Waste results'!$S$57+Calc!BE75*'Waste results'!$S$93, "data missing"),
   IF(OR('Waste results'!$S$21&lt;&gt;"data missing", 'Waste results'!$S$57&lt;&gt;"data missing", 'Waste results'!$S$93&lt;&gt;"data missing"), Calc!BC75*'Waste results'!$S$21+Calc!BD75*'Waste results'!$S$57+ Calc!BE75*'Waste results'!$S$93, "data missing")))))))))))</f>
        <v/>
      </c>
      <c r="U77" s="7" t="str">
        <f ca="1">IF(B77="","",
IF(OR(ISBLANK('Soil results'!I$7),ISBLANK('Soil results'!I80)),"data missing",
IF(OR(AND('Soil results'!I$7="ammonium nitrate (ADAS)",'Soil results'!I80&gt;51),AND('Soil results'!I$7="modified Morgan (SAC)",'Soil results'!I80&gt;61)),0,
IF(OR(AND('Soil results'!I$7="ammonium nitrate (ADAS)",'Soil results'!I80&lt;25),AND('Soil results'!I$7="modified Morgan (SAC)",'Soil results'!I80&lt;19)),VLOOKUP(Calc!BI75,'Fertiliser recommendations'!$A$4:$AH$63,34,FALSE),
IF(OR(AND('Soil results'!I$7="ammonium nitrate (ADAS)",'Soil results'!I80&lt;=51),AND('Soil results'!I$7="modified Morgan (SAC)",'Soil results'!I80&lt;=61)),VLOOKUP(Calc!BI75,'Fertiliser recommendations'!$A$4:$AI$63,35,FALSE),
"")))))</f>
        <v/>
      </c>
      <c r="V77" s="91" t="str">
        <f t="shared" ca="1" si="20"/>
        <v/>
      </c>
      <c r="W77" s="9" t="str">
        <f ca="1">IF(B77="","",
IF(OR(T77="data missing",U77="data missing"),"data missing",
IF(Calc!BF75=0,"n/a",
IF(U77=0,"no requirement",
IF(T77&lt;0.1*U77,"no benefit",
IF(T77&lt;0.3*U77,"limited benefit",
IF(OR(T77&gt;1.5*U77,AND(Calc!BJ75="g",T77&gt;100)),"excessive",
"benefit")))))))</f>
        <v/>
      </c>
      <c r="Y77" s="91" t="str">
        <f ca="1">IF(B77="","",
IF(AND('Field information 2'!$O$5="", 'Field information 2'!$Q$5=""),
   IF('Waste results'!$P$23&lt;&gt;"", Calc!BC75*'Waste results'!$P$23, "no data"),
IF('Field information 2'!$Q$5="",
   IF(Calc!BD75=0,
     IF('Waste results'!$P$23&lt;&gt;"", Calc!BC75*'Waste results'!$P$23, "no data"),
   IF(Calc!BC75=0,
     IF('Waste results'!$P$59&lt;&gt;"", Calc!BD75*'Waste results'!$P$59, "no data"),
   IF(OR('Waste results'!$P$23&lt;&gt;"", 'Waste results'!$P$59&lt;&gt;""), Calc!BC75*'Waste results'!$P$23+ Calc!BD75*'Waste results'!$P$59, "no data"))),
IF(AND('Field information 2'!$M$5&lt;&gt;"", 'Field information 2'!$O$5&lt;&gt;"", 'Field information 2'!$Q$5&lt;&gt;""),
   IF(AND(Calc!BD75=0,Calc!BE75=0),
     IF('Waste results'!$P$23&lt;&gt;"", Calc!BC75*'Waste results'!$P$23, "no data"),
   IF(AND(Calc!BC75=0,Calc!BE75=0),
     IF('Waste results'!$P$59&lt;&gt;"", Calc!BD75*'Waste results'!$P$59, "no data"),
   IF(AND(Calc!BC75=0,Calc!BD75=0),
     IF('Waste results'!$P$95&lt;&gt;"", Calc!BE75*'Waste results'!$P$95, "no data"),
   IF(Calc!BE75=0,
     IF(OR('Waste results'!$P$23&lt;&gt;"", 'Waste results'!$P$59&lt;&gt;""), Calc!BC75*'Waste results'!$P$23+ Calc!BD75*'Waste results'!$P$59, "no data"),
   IF(Calc!BD75=0,
     IF(OR('Waste results'!$P$23&lt;&gt;"", 'Waste results'!$P$95&lt;&gt;""), Calc!BC75*'Waste results'!$P$23+ Calc!BE75*'Waste results'!$P$95, "no data"),
   IF(Calc!BC75=0,
     IF(OR('Waste results'!$P$59&lt;&gt;"", 'Waste results'!$P$95&lt;&gt;""), Calc!BD75*'Waste results'!$P$59+Calc!BE75*'Waste results'!$P$95, "no data"),
   IF(OR('Waste results'!$P$23&lt;&gt;"", 'Waste results'!$P$59&lt;&gt;"", 'Waste results'!$P$95&lt;&gt;""), Calc!BC75*'Waste results'!$P$23+Calc!BD75*'Waste results'!$P$59+ Calc!BE75*'Waste results'!$P$95, "no data")))))))))))</f>
        <v/>
      </c>
      <c r="Z77" s="7" t="str">
        <f ca="1">IF(OR(ISBLANK('Soil results'!I$7),ISBLANK('Soil results'!I80),'Soil results'!B80=""),"",
VLOOKUP(Calc!BI75,'Fertiliser recommendations'!$A$4:$AM$63,39,FALSE))</f>
        <v/>
      </c>
      <c r="AA77" s="91" t="str">
        <f t="shared" ca="1" si="21"/>
        <v/>
      </c>
      <c r="AB77" s="9" t="str">
        <f t="shared" ca="1" si="22"/>
        <v/>
      </c>
      <c r="AD77" s="48" t="str">
        <f>IF(ISBLANK('Soil results'!F80),"",'Soil results'!F80)</f>
        <v/>
      </c>
      <c r="AE77" s="49" t="str">
        <f ca="1">IF(B77="","",
IF(AND(Calc!BJ75="g", VLOOKUP(LEFT($B77,LEN($B77)-2),'Field information 2'!$B$12:$P$111,9,FALSE)&lt;&gt;"yes"),
 IF(Calc!BG75="10-25% OM", 5.9, IF(Calc!BG75="&gt;25% OM", 5.5, 6.2)),
IF(OR(Calc!BJ75="a", VLOOKUP(LEFT($B77,LEN($B77)-2),'Field information 2'!$B$12:$P$111,9,FALSE)="yes"),
 IF(Calc!BG75="10-25% OM", 6.4, IF(Calc!BG75="&gt;25% OM", 6, 6.7)), "")))</f>
        <v/>
      </c>
      <c r="AF77" s="91" t="str">
        <f ca="1">IF(B77="","",
IF('Waste results'!$Q$33="","no (significant) liming properties",
IF('Waste results'!Q$33&gt;100,"no (significant) liming properties",
IF(AD77="","",
IF(AD77&gt;=AE77,0,ROUNDDOWN((AE77-AD77)*Calc!BK75*'Waste results'!$Q$33+0.2,0))))))</f>
        <v/>
      </c>
      <c r="AG77" s="9" t="str">
        <f ca="1">IF(B77="","",
IF(T77=0,"n/a",
IF(AD77="","data missing",
IF(AND(AD77&lt;5,AF77="no (significant) liming properties"),"no waste application - pH too low",
IF(AND(AD77&gt;5.1,AF77="no (significant) liming properties",Calc!BH75&gt;25, LEFT(Calc!BI75,4)="graz"),"ok",
IF(AND(AD77&lt;=5.2,AF77="no (significant) liming properties"),"liming highly recommended",
IF(AF77=0,"no waste application - liming not required",
IF(AF77&lt;Calc!BC75,"application rate too high - exceeds liming requirement",
"ok"))))))))</f>
        <v/>
      </c>
      <c r="AI77" s="91" t="str">
        <f ca="1">IF(B77="","",
IF(AND('Field information 2'!$O$5="", 'Field information 2'!$Q$5=""),
   IF('Waste results'!$P$10&lt;&gt;"data missing", Calc!BC75*'Waste results'!$P$10, "data missing"),
IF('Field information 2'!$Q$5="",
   IF(Calc!BD75=0,
     IF('Waste results'!$P$10&lt;&gt;"data missing", Calc!BC75*'Waste results'!$P$10, "data missing"),
   IF(Calc!BC75=0,
     IF('Waste results'!$P$45&lt;&gt;"data missing", Calc!BD75*'Waste results'!$P$45, "data missing"),
   IF(OR('Waste results'!$P$10&lt;&gt;"data missing", 'Waste results'!$P$45&lt;&gt;"data missing"), Calc!BC75*'Waste results'!$P$10+ Calc!BD75*'Waste results'!$P$45, "data missing"))),
IF(AND('Field information 2'!$M$5&lt;&gt;"", 'Field information 2'!$O$5&lt;&gt;"", 'Field information 2'!$Q$5&lt;&gt;""),
   IF(AND(Calc!BD75=0,Calc!BE75=0),
     IF('Waste results'!$P$10&lt;&gt;"data missing", Calc!BC75*'Waste results'!$P$10, "data missing"),
   IF(AND(Calc!BC75=0,Calc!BE75=0),
     IF('Waste results'!$P$45&lt;&gt;"data missing", Calc!BD75*'Waste results'!$P$45, "data missing"),
   IF(AND(Calc!BC75=0,Calc!BD75=0),
     IF('Waste results'!$P$82&lt;&gt;"data missing", Calc!BE75*'Waste results'!$P$82, "data missing"),
   IF(Calc!BE75=0,
     IF(OR('Waste results'!$P$10&lt;&gt;"data missing", 'Waste results'!$P$45&lt;&gt;"data missing"), Calc!BC75*'Waste results'!$P$10+ Calc!BD75*'Waste results'!$P$45, "data missing"),
   IF(Calc!BD75=0,
     IF(OR('Waste results'!$P$10&lt;&gt;"data missing", 'Waste results'!$P$82&lt;&gt;"data missing"), Calc!BC75*'Waste results'!$P$10+ Calc!BE75*'Waste results'!$P$82, "data missing"),
   IF(Calc!BC75=0,
     IF(OR('Waste results'!$P$45&lt;&gt;"data missing", 'Waste results'!$P$82&lt;&gt;"data missing"), Calc!BD75*'Waste results'!$P$45+Calc!BE75*'Waste results'!$P$82, "data missing"),
   IF(OR('Waste results'!$P$10&lt;&gt;"data missing", 'Waste results'!$P$45&lt;&gt;"data missing", 'Waste results'!$P$82&lt;&gt;"data missing"), Calc!BC75*'Waste results'!$P$10+Calc!BD75*'Waste results'!$P$45+ Calc!BE75*'Waste results'!$P$82, "data missing")))))))))))</f>
        <v/>
      </c>
      <c r="AJ77" s="237" t="str">
        <f ca="1">IF(B77="","",
IF(AI77="data missing","data missing",
IF(Calc!BF75=0,"n/a",
IF(AND(Calc!BH75&gt;=8,AI77&lt;500),"no benefit",
IF(OR(AND(Calc!BH75&lt;=4,AI77&gt;=500),AND(Calc!BH75&lt;8,AI77&gt;5000)),"benefit",
"limited benefit")))))</f>
        <v/>
      </c>
      <c r="AL77" s="238" t="str">
        <f ca="1">IF(B77="","",
IF(AND('Field information 2'!$O$5="", 'Field information 2'!$Q$5=""),
   IF('Waste results'!$S$25&lt;&gt;"data missing", Calc!BC75*'Waste results'!$S$25, "data missing"),
IF('Field information 2'!$Q$5="",
   IF(Calc!BD75=0,
     IF('Waste results'!$S$25&lt;&gt;"data missing", Calc!BC75*'Waste results'!$S$25, "data missing"),
   IF(Calc!BC75=0,
     IF('Waste results'!$S$61&lt;&gt;"data missing", Calc!BD75*'Waste results'!$S$61, "data missing"),
   IF(OR('Waste results'!$S$25&lt;&gt;"data missing", 'Waste results'!$S$61&lt;&gt;"data missing"), Calc!BC75*'Waste results'!$S$25+ Calc!BD75*'Waste results'!$S$61, "data missing"))),
IF(AND('Field information 2'!$M$5&lt;&gt;"", 'Field information 2'!$O$5&lt;&gt;"", 'Field information 2'!$Q$5&lt;&gt;""),
   IF(AND(Calc!BD75=0,Calc!BE75=0),
     IF('Waste results'!$S$25&lt;&gt;"data missing", Calc!BC75*'Waste results'!$S$25, "data missing"),
   IF(AND(Calc!BC75=0,Calc!BE75=0),
     IF('Waste results'!$S$61&lt;&gt;"data missing", Calc!BD75*'Waste results'!$S$61, "data missing"),
   IF(AND(Calc!BC75=0,Calc!BD75=0),
     IF('Waste results'!$S$97&lt;&gt;"data missing", Calc!BE75*'Waste results'!$S$97, "data missing"),
   IF(Calc!BE75=0,
     IF(OR('Waste results'!$S$25&lt;&gt;"data missing", 'Waste results'!$S$61&lt;&gt;"data missing"), Calc!BC75*'Waste results'!$S$25+ Calc!BD75*'Waste results'!$S$61, "data missing"),
   IF(Calc!BD75=0,
     IF(OR('Waste results'!$S$25&lt;&gt;"data missing", 'Waste results'!$S$97&lt;&gt;"data missing"), Calc!BC75*'Waste results'!$S$25+ Calc!BE75*'Waste results'!$S$97, "data missing"),
   IF(Calc!BC75=0,
     IF(OR('Waste results'!$S$61&lt;&gt;"data missing", 'Waste results'!$S$97&lt;&gt;"data missing"), Calc!BD75*'Waste results'!$S$61+Calc!BE75*'Waste results'!$S$97, "data missing"),
   IF(OR('Waste results'!$S$25&lt;&gt;"data missing", 'Waste results'!$S$61&lt;&gt;"data missing", 'Waste results'!$S$97&lt;&gt;"data missing"), Calc!BC75*'Waste results'!$S$25+Calc!BD75*'Waste results'!$S$61+ Calc!BE75*'Waste results'!$S$97, "data missing")))))))))))</f>
        <v/>
      </c>
      <c r="AM77" s="239" t="str">
        <f ca="1">IF($B77="","",
IF(ISBLANK('Soil results'!K80),"data missing",'Soil results'!K80))</f>
        <v/>
      </c>
      <c r="AN77" s="239" t="str">
        <f t="shared" ca="1" si="23"/>
        <v/>
      </c>
      <c r="AO77" s="9" t="str">
        <f t="shared" ca="1" si="24"/>
        <v/>
      </c>
      <c r="AQ77" s="240" t="str">
        <f ca="1">IF(B77="","",
IF(AND('Field information 2'!$O$5="", 'Field information 2'!$Q$5=""),
   IF('Waste results'!$S$26&lt;&gt;"data missing", Calc!BC75*'Waste results'!$S$26, "data missing"),
IF('Field information 2'!$Q$5="",
   IF(Calc!BD75=0,
     IF('Waste results'!$S$26&lt;&gt;"data missing", Calc!BC75*'Waste results'!$S$26, "data missing"),
   IF(Calc!BC75=0,
     IF('Waste results'!$S$62&lt;&gt;"data missing", Calc!BD75*'Waste results'!$S$62, "data missing"),
   IF(OR('Waste results'!$S$26&lt;&gt;"data missing", 'Waste results'!$S$62&lt;&gt;"data missing"), Calc!BC75*'Waste results'!$S$26+ Calc!BD75*'Waste results'!$S$62, "data missing"))),
IF(AND('Field information 2'!$M$5&lt;&gt;"", 'Field information 2'!$O$5&lt;&gt;"", 'Field information 2'!$Q$5&lt;&gt;""),
   IF(AND(Calc!BD75=0,Calc!BE75=0),
     IF('Waste results'!$S$26&lt;&gt;"data missing", Calc!BC75*'Waste results'!$S$26, "data missing"),
   IF(AND(Calc!BC75=0,Calc!BE75=0),
     IF('Waste results'!$S$62&lt;&gt;"data missing", Calc!BD75*'Waste results'!$S$62, "data missing"),
   IF(AND(Calc!BC75=0,Calc!BD75=0),
     IF('Waste results'!$S$98&lt;&gt;"data missing", Calc!BE75*'Waste results'!$S$98, "data missing"),
   IF(Calc!BE75=0,
     IF(OR('Waste results'!$S$26&lt;&gt;"data missing", 'Waste results'!$S$62&lt;&gt;"data missing"), Calc!BC75*'Waste results'!$S$26+ Calc!BD75*'Waste results'!$S$62, "data missing"),
   IF(Calc!BD75=0,
     IF(OR('Waste results'!$S$26&lt;&gt;"data missing", 'Waste results'!$S$98&lt;&gt;"data missing"), Calc!BC75*'Waste results'!$S$26+ Calc!BE75*'Waste results'!$S$98, "data missing"),
   IF(Calc!BC75=0,
     IF(OR('Waste results'!$S$62&lt;&gt;"data missing", 'Waste results'!$S$98&lt;&gt;"data missing"), Calc!BD75*'Waste results'!$S$62+Calc!BE75*'Waste results'!$S$98, "data missing"),
   IF(OR('Waste results'!$S$26&lt;&gt;"data missing", 'Waste results'!$S$62&lt;&gt;"data missing", 'Waste results'!$S$98&lt;&gt;"data missing"), Calc!BC75*'Waste results'!$S$26+Calc!BD75*'Waste results'!$S$62+ Calc!BE75*'Waste results'!$S$98, "data missing")))))))))))</f>
        <v/>
      </c>
      <c r="AR77" s="241" t="str">
        <f ca="1">IF($B77="","",
IF(ISBLANK('Soil results'!L80),"data missing",'Soil results'!L80))</f>
        <v/>
      </c>
      <c r="AS77" s="241" t="str">
        <f t="shared" ca="1" si="25"/>
        <v/>
      </c>
      <c r="AT77" s="66" t="str">
        <f t="shared" ca="1" si="26"/>
        <v/>
      </c>
      <c r="AV77" s="238" t="str">
        <f ca="1">IF(B77="","",
IF(AND('Field information 2'!$O$5="", 'Field information 2'!$Q$5=""),
   IF('Waste results'!$S$27&lt;&gt;"data missing", Calc!BC75*'Waste results'!$S$27, "data missing"),
IF('Field information 2'!$Q$5="",
   IF(Calc!BD75=0,
     IF('Waste results'!$S$27&lt;&gt;"data missing", Calc!BC75*'Waste results'!$S$27, "data missing"),
   IF(Calc!BC75=0,
     IF('Waste results'!$S$63&lt;&gt;"data missing", Calc!BD75*'Waste results'!$S$63, "data missing"),
   IF(OR('Waste results'!$S$27&lt;&gt;"data missing", 'Waste results'!$S$63&lt;&gt;"data missing"), Calc!BC75*'Waste results'!$S$27+ Calc!BD75*'Waste results'!$S$63, "data missing"))),
IF(AND('Field information 2'!$M$5&lt;&gt;"", 'Field information 2'!$O$5&lt;&gt;"", 'Field information 2'!$Q$5&lt;&gt;""),
   IF(AND(Calc!BD75=0,Calc!BE75=0),
     IF('Waste results'!$S$27&lt;&gt;"data missing", Calc!BC75*'Waste results'!$S$27, "data missing"),
   IF(AND(Calc!BC75=0,Calc!BE75=0),
     IF('Waste results'!$S$63&lt;&gt;"data missing", Calc!BD75*'Waste results'!$S$63, "data missing"),
   IF(AND(Calc!BC75=0,Calc!BD75=0),
     IF('Waste results'!$S$99&lt;&gt;"data missing", Calc!BE75*'Waste results'!$S$99, "data missing"),
   IF(Calc!BE75=0,
     IF(OR('Waste results'!$S$27&lt;&gt;"data missing", 'Waste results'!$S$63&lt;&gt;"data missing"), Calc!BC75*'Waste results'!$S$27+ Calc!BD75*'Waste results'!$S$63, "data missing"),
   IF(Calc!BD75=0,
     IF(OR('Waste results'!$S$27&lt;&gt;"data missing", 'Waste results'!$S$99&lt;&gt;"data missing"), Calc!BC75*'Waste results'!$S$27+ Calc!BE75*'Waste results'!$S$99, "data missing"),
   IF(Calc!BC75=0,
     IF(OR('Waste results'!$S$63&lt;&gt;"data missing", 'Waste results'!$S$99&lt;&gt;"data missing"), Calc!BD75*'Waste results'!$S$63+Calc!BE75*'Waste results'!$S$99, "data missing"),
   IF(OR('Waste results'!$S$27&lt;&gt;"data missing", 'Waste results'!$S$63&lt;&gt;"data missing", 'Waste results'!$S$99&lt;&gt;"data missing"), Calc!BC75*'Waste results'!$S$27+Calc!BD75*'Waste results'!$S$63+ Calc!BE75*'Waste results'!$S$99, "data missing")))))))))))</f>
        <v/>
      </c>
      <c r="AW77" s="239" t="str">
        <f ca="1">IF($B77="","",
IF(ISBLANK('Soil results'!M80),"data missing",'Soil results'!M80))</f>
        <v/>
      </c>
      <c r="AX77" s="239" t="str">
        <f t="shared" ca="1" si="27"/>
        <v/>
      </c>
      <c r="AY77" s="9" t="str">
        <f ca="1">IF(B77="","",
IF(AV77=0,"n/a",
IF(OR(AV77="data missing",AW77="data missing"),"data missing",
IF(AV77&gt;7.5,"application rate too high - permissible rate exceeds limit",
IF('Soil results'!$F80&lt;=5.5,
  IF(AW77&gt;80,"no application - soil conc. already above limit",
  IF(AX77&gt;80,"application rate too high - soil conc. will exceed limit",
  IF(AW77&gt;80*0.9,"soil conc. is at or above 90% of the limit",
  IF(10*AV77*1000/3000+AW77&gt;80,"soil limit likely to be exceeded in 10yrs",
  IF(50*AV77*1000/3000+AW77&gt;80,"soil limit likely to be exceeded in 50yrs","ok"))))),
IF('Soil results'!$F80&lt;=6,
  IF(AW77&gt;100,"no application - soil conc. already above limit",
  IF(AX77&gt;100,"application rate too high - soil conc. will exceed limit",
  IF(AW77&gt;100*0.9,"soil conc. is at or above 90% of the limit",
  IF(10*AV77*1000/3000+AW77&gt;100,"soil limit likely to be exceeded in 10yrs",
  IF(50*AV77*1000/3000+AW77&gt;100,"soil limit likely to be exceeded in 50yrs","ok"))))),
IF('Soil results'!$F80&lt;=7,
  IF(AW77&gt;135,"no application - soil conc. already above limit",
  IF(AX77&gt;135,"application rate too high - soil conc. will exceed limit",
  IF(AW77&gt;135*0.9,"soil conc. is at or above 90% of the limit",
  IF(10*AV77*1000/3000+AW77&gt;135,"soil limit likely to be exceeded in 10yrs",
  IF(50*AV77*1000/3000+AW77&gt;135,"soil limit likely to be exceeded in 50yrs","ok"))))),
IF('Soil results'!$F80&gt;7,
  IF(AW77&gt;200,"no application - soil conc. already above limit",
  IF(AX77&gt;200,"application too high - soil conc. will exceed limit",
  IF(AW77&gt;200*0.9,"soil conc. is at or above 90% of the limit",
  IF(10*AV77*1000/3000+AW77&gt;200,"soil limit likely to be exceeded in 10yrs",
  IF(50*AV77*1000/3000+AW77&gt;200,"soil limit likely to be exceeded in 50yrs","ok")))))
))))))))</f>
        <v/>
      </c>
      <c r="BA77" s="238" t="str">
        <f ca="1">IF(B77="","",
IF(AND('Field information 2'!$O$5="", 'Field information 2'!$Q$5=""),
   IF('Waste results'!$S$28&lt;&gt;"data missing", Calc!BC75*'Waste results'!$S$28, "data missing"),
IF('Field information 2'!$Q$5="",
   IF(Calc!BD75=0,
     IF('Waste results'!$S$28&lt;&gt;"data missing", Calc!BC75*'Waste results'!$S$28, "data missing"),
   IF(Calc!BC75=0,
     IF('Waste results'!$S$64&lt;&gt;"data missing", Calc!BD75*'Waste results'!$S$64, "data missing"),
   IF(OR('Waste results'!$S$28&lt;&gt;"data missing", 'Waste results'!$S$64&lt;&gt;"data missing"), Calc!BC75*'Waste results'!$S$28+ Calc!BD75*'Waste results'!$S$64, "data missing"))),
IF(AND('Field information 2'!$M$5&lt;&gt;"", 'Field information 2'!$O$5&lt;&gt;"", 'Field information 2'!$Q$5&lt;&gt;""),
   IF(AND(Calc!BD75=0,Calc!BE75=0),
     IF('Waste results'!$S$28&lt;&gt;"data missing", Calc!BC75*'Waste results'!$S$28, "data missing"),
   IF(AND(Calc!BC75=0,Calc!BE75=0),
     IF('Waste results'!$S$64&lt;&gt;"data missing", Calc!BD75*'Waste results'!$S$64, "data missing"),
   IF(AND(Calc!BC75=0,Calc!BD75=0),
     IF('Waste results'!$S$100&lt;&gt;"data missing", Calc!BE75*'Waste results'!$S$100, "data missing"),
   IF(Calc!BE75=0,
     IF(OR('Waste results'!$S$28&lt;&gt;"data missing", 'Waste results'!$S$64&lt;&gt;"data missing"), Calc!BC75*'Waste results'!$S$28+ Calc!BD75*'Waste results'!$S$64, "data missing"),
   IF(Calc!BD75=0,
     IF(OR('Waste results'!$S$28&lt;&gt;"data missing", 'Waste results'!$S$100&lt;&gt;"data missing"), Calc!BC75*'Waste results'!$S$28+ Calc!BE75*'Waste results'!$S$100, "data missing"),
   IF(Calc!BC75=0,
     IF(OR('Waste results'!$S$64&lt;&gt;"data missing", 'Waste results'!$S$100&lt;&gt;"data missing"), Calc!BD75*'Waste results'!$S$64+Calc!BE75*'Waste results'!$S$100, "data missing"),
   IF(OR('Waste results'!$S$28&lt;&gt;"data missing", 'Waste results'!$S$64&lt;&gt;"data missing", 'Waste results'!$S$100&lt;&gt;"data missing"), Calc!BC75*'Waste results'!$S$28+Calc!BD75*'Waste results'!$S$64+ Calc!BE75*'Waste results'!$S$100, "data missing")))))))))))</f>
        <v/>
      </c>
      <c r="BB77" s="239" t="str">
        <f ca="1">IF($B77="","",
IF(ISBLANK('Soil results'!N80),"data missing",'Soil results'!N80))</f>
        <v/>
      </c>
      <c r="BC77" s="239" t="str">
        <f t="shared" ca="1" si="28"/>
        <v/>
      </c>
      <c r="BD77" s="9" t="str">
        <f t="shared" ca="1" si="29"/>
        <v/>
      </c>
      <c r="BF77" s="238" t="str">
        <f ca="1">IF(B77="","",
IF(AND('Field information 2'!$O$5="", 'Field information 2'!$Q$5=""),
   IF('Waste results'!$S$29&lt;&gt;"data missing", Calc!BC75*'Waste results'!$S$29, "data missing"),
IF('Field information 2'!$Q$5="",
   IF(Calc!BD75=0,
     IF('Waste results'!$S$29&lt;&gt;"data missing", Calc!BC75*'Waste results'!$S$29, "data missing"),
   IF(Calc!BC75=0,
     IF('Waste results'!$S$65&lt;&gt;"data missing", Calc!BD75*'Waste results'!$S$65, "data missing"),
   IF(OR('Waste results'!$S$29&lt;&gt;"data missing", 'Waste results'!$S$65&lt;&gt;"data missing"), Calc!BC75*'Waste results'!$S$29+ Calc!BD75*'Waste results'!$S$65, "data missing"))),
IF(AND('Field information 2'!$M$5&lt;&gt;"", 'Field information 2'!$O$5&lt;&gt;"", 'Field information 2'!$Q$5&lt;&gt;""),
   IF(AND(Calc!BD75=0,Calc!BE75=0),
     IF('Waste results'!$S$29&lt;&gt;"data missing", Calc!BC75*'Waste results'!$S$29, "data missing"),
   IF(AND(Calc!BC75=0,Calc!BE75=0),
     IF('Waste results'!$S$65&lt;&gt;"data missing", Calc!BD75*'Waste results'!$S$65, "data missing"),
   IF(AND(Calc!BC75=0,Calc!BD75=0),
     IF('Waste results'!$S$101&lt;&gt;"data missing", Calc!BE75*'Waste results'!$S$101, "data missing"),
   IF(Calc!BE75=0,
     IF(OR('Waste results'!$S$29&lt;&gt;"data missing", 'Waste results'!$S$65&lt;&gt;"data missing"), Calc!BC75*'Waste results'!$S$29+ Calc!BD75*'Waste results'!$S$65, "data missing"),
   IF(Calc!BD75=0,
     IF(OR('Waste results'!$S$29&lt;&gt;"data missing", 'Waste results'!$S$101&lt;&gt;"data missing"), Calc!BC75*'Waste results'!$S$29+ Calc!BE75*'Waste results'!$S$101, "data missing"),
   IF(Calc!BC75=0,
     IF(OR('Waste results'!$S$65&lt;&gt;"data missing", 'Waste results'!$S$101&lt;&gt;"data missing"), Calc!BD75*'Waste results'!$S$65+Calc!BE75*'Waste results'!$S$101, "data missing"),
   IF(OR('Waste results'!$S$29&lt;&gt;"data missing", 'Waste results'!$S$65&lt;&gt;"data missing", 'Waste results'!$S$101&lt;&gt;"data missing"), Calc!BC75*'Waste results'!$S$29+Calc!BD75*'Waste results'!$S$65+ Calc!BE75*'Waste results'!$S$101, "data missing")))))))))))</f>
        <v/>
      </c>
      <c r="BG77" s="239" t="str">
        <f ca="1">IF($B77="","",
IF(ISBLANK('Soil results'!O80),"data missing",'Soil results'!O80))</f>
        <v/>
      </c>
      <c r="BH77" s="239" t="str">
        <f t="shared" ca="1" si="30"/>
        <v/>
      </c>
      <c r="BI77" s="9" t="str">
        <f ca="1">IF(B77="","",
IF(BF77=0,"n/a",
IF(OR(BF77="data missing",BG77="data missing"),"data missing",
IF(BF77&gt;3,"application rate too high - permissible rate exceeds limit",
IF('Soil results'!F80&lt;=5.5,
  IF(BG77&gt;50,"no application - soil conc. already above limit",
  IF(BH77&gt;50,"application rate too high - soil conc. will exceed limit",
  IF(BG77&gt;50*0.9,"soil conc. is at or above 90% of the limit",
  IF(10*BF77*1000/3000+BG77&gt;50,"soil limit likely to be exceeded in 10yrs",
  IF(50*BF77*1000/3000+BG77&gt;50,"soil limit likely to be exceeded in 50yrs","ok"))))),
IF('Soil results'!F80&lt;=6,
  IF(BG77&gt;60,"no application - soil conc. already above limit",
  IF(BH77&gt;60,"application rate too high - soil conc. will exceed limit",
  IF(BG77&gt;60*0.9,"soil conc. is at or above 90% of the limit",
  IF(10*BF77*1000/3000+BG77&gt;60,"soil limit likely to be exceeded in 10yrs",
  IF(50*BF77*1000/3000+BG77&gt;60,"soil limit likely to be exceeded in 50yrs","ok"))))),
IF('Soil results'!F80&lt;=7,
  IF(BG77&gt;75,"no application - soil conc. already above limit",
  IF(BH77&gt;75,"application rate too high - soil conc. will exceed limit",
  IF(BG77&gt;75*0.9,"soil conc. is at or above 90% of the limit",
  IF(10*BF77*1000/3000+BG77&gt;75,"soil limit likely to be exceeded in 10yrs",
  IF(50*BF77*1000/3000+BG77&gt;75,"soil limit likely to be exceeded in 50yrs","ok"))))),
IF('Soil results'!F80&gt;7,
  IF(BG77&gt;100,"no application - soil conc. already above limit",
  IF(BH77&gt;100,"application rate too high - soil conc. will exceed limit",
  IF(BG77&gt;100*0.9,"soil conc. is at or above 90% of the limit",
  IF(10*BF77*1000/3000+BG77&gt;100,"soil limit likely to be exceeded in 10yrs",
  IF(50*BF77*1000/3000+BG77&gt;100,"soil limit likely to beexceeded in 50yrs","ok")))))
))))))))</f>
        <v/>
      </c>
      <c r="BK77" s="240" t="str">
        <f ca="1">IF(B77="","",
IF(AND('Field information 2'!$O$5="", 'Field information 2'!$Q$5=""),
   IF('Waste results'!$S$30&lt;&gt;"data missing", Calc!BC75*'Waste results'!$S$30, "data missing"),
IF('Field information 2'!$Q$5="",
   IF(Calc!BD75=0,
     IF('Waste results'!$S$30&lt;&gt;"data missing", Calc!BC75*'Waste results'!$S$30, "data missing"),
   IF(Calc!BC75=0,
     IF('Waste results'!$S$66&lt;&gt;"data missing", Calc!BD75*'Waste results'!$S$66, "data missing"),
   IF(OR('Waste results'!$S$30&lt;&gt;"data missing", 'Waste results'!$S$66&lt;&gt;"data missing"), Calc!BC75*'Waste results'!$S$30+ Calc!BD75*'Waste results'!$S$66, "data missing"))),
IF(AND('Field information 2'!$M$5&lt;&gt;"", 'Field information 2'!$O$5&lt;&gt;"", 'Field information 2'!$Q$5&lt;&gt;""),
   IF(AND(Calc!BD75=0,Calc!BE75=0),
     IF('Waste results'!$S$30&lt;&gt;"data missing", Calc!BC75*'Waste results'!$S$30, "data missing"),
   IF(AND(Calc!BC75=0,Calc!BE75=0),
     IF('Waste results'!$S$66&lt;&gt;"data missing", Calc!BD75*'Waste results'!$S$66, "data missing"),
   IF(AND(Calc!BC75=0,Calc!BD75=0),
     IF('Waste results'!$S$102&lt;&gt;"data missing", Calc!BE75*'Waste results'!$S$102, "data missing"),
   IF(Calc!BE75=0,
     IF(OR('Waste results'!$S$30&lt;&gt;"data missing", 'Waste results'!$S$66&lt;&gt;"data missing"), Calc!BC75*'Waste results'!$S$30+ Calc!BD75*'Waste results'!$S$66, "data missing"),
   IF(Calc!BD75=0,
     IF(OR('Waste results'!$S$30&lt;&gt;"data missing", 'Waste results'!$S$102&lt;&gt;"data missing"), Calc!BC75*'Waste results'!$S$30+ Calc!BE75*'Waste results'!$S$102, "data missing"),
   IF(Calc!BC75=0,
     IF(OR('Waste results'!$S$66&lt;&gt;"data missing", 'Waste results'!$S$102&lt;&gt;"data missing"), Calc!BD75*'Waste results'!$S$66+Calc!BE75*'Waste results'!$S$102, "data missing"),
   IF(OR('Waste results'!$S$30&lt;&gt;"data missing", 'Waste results'!$S$66&lt;&gt;"data missing", 'Waste results'!$S$102&lt;&gt;"data missing"), Calc!BC75*'Waste results'!$S$30+Calc!BD75*'Waste results'!$S$66+ Calc!BE75*'Waste results'!$S$102, "data missing")))))))))))</f>
        <v/>
      </c>
      <c r="BL77" s="241" t="str">
        <f ca="1">IF($B77="","",
IF(ISBLANK('Soil results'!P80),"data missing",'Soil results'!P80))</f>
        <v/>
      </c>
      <c r="BM77" s="241" t="str">
        <f t="shared" ca="1" si="31"/>
        <v/>
      </c>
      <c r="BN77" s="66" t="str">
        <f t="shared" ca="1" si="32"/>
        <v/>
      </c>
      <c r="BP77" s="238" t="str">
        <f ca="1">IF(B77="","",
IF(AND('Field information 2'!$O$5="", 'Field information 2'!$Q$5=""),
   IF('Waste results'!$S$31&lt;&gt;"data missing", Calc!BC75*'Waste results'!$S$31, "data missing"),
IF('Field information 2'!$Q$5="",
   IF(Calc!BD75=0,
     IF('Waste results'!$S$31&lt;&gt;"data missing", Calc!BC75*'Waste results'!$S$31, "data missing"),
   IF(Calc!BC75=0,
     IF('Waste results'!$S$67&lt;&gt;"data missing", Calc!BD75*'Waste results'!$S$67, "data missing"),
   IF(OR('Waste results'!$S$31&lt;&gt;"data missing", 'Waste results'!$S$67&lt;&gt;"data missing"), Calc!BC75*'Waste results'!$S$31+ Calc!BD75*'Waste results'!$S$67, "data missing"))),
IF(AND('Field information 2'!$M$5&lt;&gt;"", 'Field information 2'!$O$5&lt;&gt;"", 'Field information 2'!$Q$5&lt;&gt;""),
   IF(AND(Calc!BD75=0,Calc!BE75=0),
     IF('Waste results'!$S$31&lt;&gt;"data missing", Calc!BC75*'Waste results'!$S$31, "data missing"),
   IF(AND(Calc!BC75=0,Calc!BE75=0),
     IF('Waste results'!$S$67&lt;&gt;"data missing", Calc!BD75*'Waste results'!$S$67, "data missing"),
   IF(AND(Calc!BC75=0,Calc!BD75=0),
     IF('Waste results'!$S$103&lt;&gt;"data missing", Calc!BE75*'Waste results'!$S$103, "data missing"),
   IF(Calc!BE75=0,
     IF(OR('Waste results'!$S$31&lt;&gt;"data missing", 'Waste results'!$S$67&lt;&gt;"data missing"), Calc!BC75*'Waste results'!$S$31+ Calc!BD75*'Waste results'!$S$67, "data missing"),
   IF(Calc!BD75=0,
     IF(OR('Waste results'!$S$31&lt;&gt;"data missing", 'Waste results'!$S$103&lt;&gt;"data missing"), Calc!BC75*'Waste results'!$S$31+ Calc!BE75*'Waste results'!$S$103, "data missing"),
   IF(Calc!BC75=0,
     IF(OR('Waste results'!$S$67&lt;&gt;"data missing", 'Waste results'!$S$103&lt;&gt;"data missing"), Calc!BD75*'Waste results'!$S$67+Calc!BE75*'Waste results'!$S$103, "data missing"),
   IF(OR('Waste results'!$S$31&lt;&gt;"data missing", 'Waste results'!$S$67&lt;&gt;"data missing", 'Waste results'!$S$103&lt;&gt;"data missing"), Calc!BC75*'Waste results'!$S$31+Calc!BD75*'Waste results'!$S$67+ Calc!BE75*'Waste results'!$S$103, "data missing")))))))))))</f>
        <v/>
      </c>
      <c r="BQ77" s="239" t="str">
        <f ca="1">IF($B77="","",
IF(ISBLANK('Soil results'!Q80),"data missing",'Soil results'!Q80))</f>
        <v/>
      </c>
      <c r="BR77" s="239" t="str">
        <f t="shared" ca="1" si="33"/>
        <v/>
      </c>
      <c r="BS77" s="9" t="str">
        <f ca="1">IF(B77="","",
IF(BP77=0,"n/a",
IF(OR(BP77="data missing",BQ77=""),"data missing",
IF(BP77&gt;15,"application rate too high - permissible rate exceeds limit",
IF('Soil results'!F80&lt;=5.5,
  IF(BQ77&gt;200,"no application - soil conc. already above limit",
  IF(BR77&gt;200,"application rate too high - soil conc. will exceed limit",
  IF(BQ77&gt;200*0.9,"soil conc. is at or above 90% of the limit",
  IF(10*BP77*1000/3000+BQ77&gt;200,"soil limit likely to be exceeded in 10yrs",
  IF(50*BP77*1000/3000+BQ77&gt;200,"soil limit likely to be exceeded in 50yrs","ok"))))),
IF('Soil results'!F80&lt;=6,
  IF(BQ77&gt;250,"no application - soil conc. already above limit",
  IF(BR77&gt;250,"application rate too high - soil conc. will exceed limit",
  IF(BQ77&gt;250*0.9,"soil conc. is at or above 90% of the limit",
  IF(10*BP77*1000/3000+BQ77&gt;250,"soil limit likely to be exceeded in 10yrs",
  IF(50*BP77*1000/3000+BQ77&gt;250,"soil limit likely to be exceeded in 50yrs","ok"))))),
IF('Soil results'!F80&lt;=7,
  IF(BQ77&gt;300,"no application - soil conc. already above limit",
  IF(BR77&gt;300,"application rate too high - soil conc. will exceed limit",
  IF(BQ77&gt;300*0.9,"soil conc. is at or above 90% of the limit",
  IF(10*BP77*1000/3000+BQ77&gt;300,"soil limit likey to be exceeded in 10yrs",
  IF(50*BP77*1000/3000+BQ77&gt;300,"soil limit likely to be exceeded in 50yrs","ok"))))),
IF('Soil results'!F80&gt;7,
  IF(BQ77&gt;450,"no application - soil conc. already above limit",
  IF(BR77&gt;450,"application rate too high - soil conc. will exceed limit",
  IF(AW77&gt;450*0.9,"soil conc. is at or above 90% of the limit",
  IF(10*BP77*1000/3000+BQ77&gt;450,"soil limit likely to be exceeded in 10yrs",
  IF(50*BP77*1000/3000+BQ77&gt;450,"soil limit likely to be exceeded in 50yrs","ok")))))
))))))))</f>
        <v/>
      </c>
    </row>
    <row r="78" spans="2:71" s="9" customFormat="1" ht="15" x14ac:dyDescent="0.25">
      <c r="B78" s="236" t="str">
        <f ca="1">'Soil results'!B81</f>
        <v/>
      </c>
      <c r="C78" s="91" t="str">
        <f ca="1">IF(B78="","",
IF(AND('Field information 2'!$O$5="", 'Field information 2'!$Q$5=""),
   IF('Waste results'!$S$12&lt;&gt;"data missing", Calc!BC76*'Waste results'!$S$12, "data missing"),
IF('Field information 2'!$Q$5="",
   IF(Calc!BD76=0,
     IF('Waste results'!$S$12&lt;&gt;"data missing", Calc!BC76*'Waste results'!$S$12, "data missing"),
   IF(Calc!BC76=0,
     IF('Waste results'!$S$48&lt;&gt;"data missing", Calc!BD76*'Waste results'!$S$48, "data missing"),
   IF(OR('Waste results'!$S$12&lt;&gt;"data missing", 'Waste results'!$S$48&lt;&gt;"data missing"), Calc!BC76*'Waste results'!$S$12+ Calc!BD76*'Waste results'!$S$48, "data missing"))),
IF(AND('Field information 2'!$M$5&lt;&gt;"", 'Field information 2'!$O$5&lt;&gt;"", 'Field information 2'!$Q$5&lt;&gt;""),
   IF(AND(Calc!BD76=0,Calc!BE76=0),
     IF('Waste results'!$S$12&lt;&gt;"data missing", Calc!BC76*'Waste results'!$S$12, "data missing"),
   IF(AND(Calc!BC76=0,Calc!BE76=0),
     IF('Waste results'!$S$48&lt;&gt;"data missing", Calc!BD76*'Waste results'!$S$48, "data missing"),
   IF(AND(Calc!BC76=0,Calc!BD76=0),
     IF('Waste results'!$S$84&lt;&gt;"data missing", Calc!BE76*'Waste results'!$S$84, "data missing"),
   IF(Calc!BE76=0,
     IF(OR('Waste results'!$S$12&lt;&gt;"data missing", 'Waste results'!$S$48&lt;&gt;"data missing"), Calc!BC76*'Waste results'!$S$12+ Calc!BD76*'Waste results'!$S$48, "data missing"),
   IF(Calc!BD76=0,
     IF(OR('Waste results'!$S$12&lt;&gt;"data missing", 'Waste results'!$S$84&lt;&gt;"data missing"), Calc!BC76*'Waste results'!$S$12+ Calc!BE76*'Waste results'!$S$84, "data missing"),
   IF(Calc!BC76=0,
     IF(OR('Waste results'!$S$48&lt;&gt;"data missing", 'Waste results'!$S$84&lt;&gt;"data missing"), Calc!BD76*'Waste results'!$S$48+Calc!BE76*'Waste results'!$S$84, "data missing"),
   IF(OR('Waste results'!$S$12&lt;&gt;"data missing", 'Waste results'!$S$48&lt;&gt;"data missing", 'Waste results'!$S$84&lt;&gt;"data missing"), Calc!BC76*'Waste results'!$S$12+Calc!BD76*'Waste results'!$S$48+ Calc!BE76*'Waste results'!$S$84, "data missing")))))))))))</f>
        <v/>
      </c>
      <c r="D78" s="161" t="str">
        <f ca="1">IF(B78="","",
IF(Calc!BG76="","soil texture missing",
IF(OR(Calc!BG76="SL; SZL; ZL",Calc!BG76="SCL; CL; ZCL; SC; ZC; C"),VLOOKUP(Calc!BI76,'Fertiliser recommendations'!$A$4:$C$63,3,FALSE),
IF(Calc!BG76="S; LS",VLOOKUP(Calc!BI76,'Fertiliser recommendations'!$A$4:$C$63,3,FALSE)+VLOOKUP(Calc!BI76,'Fertiliser recommendations'!$A$4:$D$63,4,FALSE),
IF(Calc!BG76="10-25% OM",VLOOKUP(Calc!BI76,'Fertiliser recommendations'!$A$4:$C$63,3,FALSE)+VLOOKUP(Calc!BI76,'Fertiliser recommendations'!$A$4:$E$63,5,FALSE),
IF(Calc!BG76="&gt;25% OM",VLOOKUP(Calc!BI76,'Fertiliser recommendations'!$A$4:$C$63,3,FALSE)+VLOOKUP(Calc!BI76,'Fertiliser recommendations'!$A$4:$F$63,6,FALSE),
""))))))</f>
        <v/>
      </c>
      <c r="E78" s="91" t="str">
        <f t="shared" ca="1" si="17"/>
        <v/>
      </c>
      <c r="F78" s="9" t="str">
        <f ca="1">IF(B78="","",
IF(OR(C78="data missing",D78="soil texture missing"),"data missing",
IF(Calc!BF76=0,"n/a",
IF(C78&lt;0.1*D78,"no benefit",
IF(C78&lt;0.3*D78,"limited benefit",
IF(C78&gt;250,"exceeds limit",
IF(OR(AND(D78=0,C78&gt;75),C78&gt;1.25*D78),"excessive",
IF(D78=0, "no requirement",
"benefit"))))))))</f>
        <v/>
      </c>
      <c r="H78" s="91" t="str">
        <f ca="1">IF(B78="","",
IF(AND('Field information 2'!$O$5="", 'Field information 2'!$Q$5=""),
   IF('Waste results'!$S$17&lt;&gt;"data missing", Calc!BC76*'Waste results'!$S$17, "data missing"),
IF('Field information 2'!$Q$5="",
   IF(Calc!BD76=0,
     IF('Waste results'!$S$17&lt;&gt;"data missing", Calc!BC76*'Waste results'!$S$17, "data missing"),
   IF(Calc!BC76=0,
     IF('Waste results'!$S$53&lt;&gt;"data missing", Calc!BD76*'Waste results'!$S$53, "data missing"),
   IF(OR('Waste results'!$S$17&lt;&gt;"data missing", 'Waste results'!$S$53&lt;&gt;"data missing"), Calc!BC76*'Waste results'!$S$17+ Calc!BD76*'Waste results'!$S$53, "data missing"))),
IF(AND('Field information 2'!$M$5&lt;&gt;"", 'Field information 2'!$O$5&lt;&gt;"", 'Field information 2'!$Q$5&lt;&gt;""),
   IF(AND(Calc!BD76=0,Calc!BE76=0),
     IF('Waste results'!$S$17&lt;&gt;"data missing", Calc!BC76*'Waste results'!$S$17, "data missing"),
   IF(AND(Calc!BC76=0,Calc!BE76=0),
     IF('Waste results'!$S$53&lt;&gt;"data missing", Calc!BD76*'Waste results'!$S$53, "data missing"),
   IF(AND(Calc!BC76=0,Calc!BD76=0),
     IF('Waste results'!$S$89&lt;&gt;"data missing", Calc!BE76*'Waste results'!$S$89, "data missing"),
   IF(Calc!BE76=0,
     IF(OR('Waste results'!$S$17&lt;&gt;"data missing", 'Waste results'!$S$53&lt;&gt;"data missing"), Calc!BC76*'Waste results'!$S$17+ Calc!BD76*'Waste results'!$S$53, "data missing"),
   IF(Calc!BD76=0,
     IF(OR('Waste results'!$S$17&lt;&gt;"data missing", 'Waste results'!$S$89&lt;&gt;"data missing"), Calc!BC76*'Waste results'!$S$17+ Calc!BE76*'Waste results'!$S$89, "data missing"),
   IF(Calc!BC76=0,
     IF(OR('Waste results'!$S$53&lt;&gt;"data missing", 'Waste results'!$S$89&lt;&gt;"data missing"), Calc!BD76*'Waste results'!$S$53+Calc!BE76*'Waste results'!$S$89, "data missing"),
   IF(OR('Waste results'!$S$17&lt;&gt;"data missing", 'Waste results'!$S$53&lt;&gt;"data missing", 'Waste results'!$S$89&lt;&gt;"data missing"), Calc!BC76*'Waste results'!$S$17+Calc!BD76*'Waste results'!$S$53+ Calc!BE76*'Waste results'!$S$89, "data missing")))))))))))</f>
        <v/>
      </c>
      <c r="I78" s="195" t="str">
        <f ca="1">IF(B78="","",
IF(OR(ISBLANK('Soil results'!G81), ISBLANK('Soil results'!G$7)),"data missing",
IF(OR(AND('Soil results'!G$7="Olsen (ADAS)",'Soil results'!G81&lt;16),AND('Soil results'!G$7="modified Morgan (SAC)",'Soil results'!G81&lt;4.5)),50,100)))</f>
        <v/>
      </c>
      <c r="J78" s="49" t="str">
        <f ca="1">IF(B78="","",
IF(OR(ISBLANK('Soil results'!G$7),ISBLANK('Soil results'!G81)),"data missing",
IF(OR(AND('Soil results'!G$7="Olsen (ADAS)",'Soil results'!G81&gt;45),AND('Soil results'!G$7="modified Morgan (SAC)",'Soil results'!G81&gt;30)),0,
IF(OR(AND('Soil results'!G$7="Olsen (ADAS)",'Soil results'!G81&gt;=16,'Soil results'!G81&lt;=20),AND('Soil results'!G$7="modified Morgan (SAC)",'Soil results'!G81&gt;=4.5,'Soil results'!G81&lt;=9.4)),VLOOKUP(Calc!BI76,'Fertiliser recommendations'!$A$4:$I$63,9,FALSE),
IF(OR(AND('Soil results'!G$7="Olsen (ADAS)",'Soil results'!G81&lt;10),AND('Soil results'!G$7="modified Morgan (SAC)",'Soil results'!G81&lt;1.8)),VLOOKUP(Calc!BI76,'Fertiliser recommendations'!$A$4:$I$63,9,FALSE)+VLOOKUP(Calc!BI76,'Fertiliser recommendations'!$A$4:$J$63,10,FALSE),
IF(OR(AND('Soil results'!G$7="Olsen (ADAS)",'Soil results'!G81&lt;16),AND('Soil results'!G$7="modified Morgan (SAC)",'Soil results'!G81&lt;4.5)),VLOOKUP(Calc!BI76,'Fertiliser recommendations'!$A$4:$I$63,9,FALSE)+VLOOKUP(Calc!BI76,'Fertiliser recommendations'!$A$4:$K$63,11,FALSE),
IF(OR(AND('Soil results'!G$7="Olsen (ADAS)",'Soil results'!G81&lt;26),AND('Soil results'!G$7="modified Morgan (SAC)",'Soil results'!G81&lt;13.5)),VLOOKUP(Calc!BI76,'Fertiliser recommendations'!$A$4:$I$63,9,FALSE)+VLOOKUP(Calc!BI76,'Fertiliser recommendations'!$A$4:$L$63,12,FALSE),
IF(OR(AND('Soil results'!G$7="Olsen (ADAS)",'Soil results'!G81&lt;=45),AND('Soil results'!G$7="modified Morgan (SAC)",'Soil results'!G81&lt;=30)),VLOOKUP(Calc!BI76,'Fertiliser recommendations'!$A$4:$I$63,9,FALSE)+VLOOKUP(Calc!BI76,'Fertiliser recommendations'!$A$4:$M$63,13,FALSE),
""))))))))</f>
        <v/>
      </c>
      <c r="K78" s="161" t="str">
        <f t="shared" ca="1" si="18"/>
        <v/>
      </c>
      <c r="L78" s="47" t="str">
        <f ca="1">IF(OR(ISBLANK('Soil results'!G$7),ISBLANK('Soil results'!G81),B78="", H78="data missing"),"",
IF('Soil results'!G$7="Olsen (ADAS)",
IF(((H78*Calc!BM76/2.291-(VLOOKUP(Calc!BI76,'Fertiliser recommendations'!$A$4:$I$63,9,FALSE))/2.291)*10/(400/2.291)+'Soil results'!G81)&lt;10,"0 (VL)",
IF(((H78*Calc!BM76/2.291-(VLOOKUP(Calc!BI76,'Fertiliser recommendations'!$A$4:$I$63,9,FALSE))/2.291)*10/(400/2.291)+'Soil results'!G81)&lt;16,"1 (L)",
IF(((H78*Calc!BM76/2.291-(VLOOKUP(Calc!BI76,'Fertiliser recommendations'!$A$4:$I$63,9,FALSE))/2.291)*10/(400/2.291)+'Soil results'!G81)&lt;21,"2 (M-)",
IF(((H78*Calc!BM76/2.291-(VLOOKUP(Calc!BI76,'Fertiliser recommendations'!$A$4:$I$63,9,FALSE))/2.291)*10/(400/2.291)+'Soil results'!G81)&lt;26,"2 (M+)",
IF(((H78*Calc!BM76/2.291-(VLOOKUP(Calc!BI76,'Fertiliser recommendations'!$A$4:$I$63,9,FALSE))/2.291)*10/(400/2.291)+'Soil results'!G81)&lt;45,"3 (H)","&gt;3 (VH)"))))),
IF('Soil results'!G$7="modified Morgan (SAC)",
IF('Soil results'!G81&gt;=6,
IF(((H78*Calc!BM76/2.291-(VLOOKUP(Calc!BI76,'Fertiliser recommendations'!$A$4:$I$63,9,FALSE))/2.291)*5/(147/2.291)+'Soil results'!G81)&lt;9.5,"2 (M-)",
IF(((H78*Calc!BM76/2.291-(VLOOKUP(Calc!BI76,'Fertiliser recommendations'!$A$4:$I$63,9,FALSE))/2.291)*5/(147/2.291)+'Soil results'!G81)&lt;13.5,"2 (M+)",
IF(((H78*Calc!BM76/2.291-(VLOOKUP(Calc!BI76,'Fertiliser recommendations'!$A$4:$I$63,9,FALSE))/2.291)*5/(147/2.291)+'Soil results'!G81)&lt;30,"3 (H)","4 (VH)"))),
IF(((H78*Calc!BM76/2.291-(VLOOKUP(Calc!BI76,'Fertiliser recommendations'!$A$4:$I$63,9,FALSE))/2.291)*5/(346/2.291)+'Soil results'!G81)&lt;1.8,"0 (VL)",
IF(((H78*Calc!BM76/2.291-(VLOOKUP(Calc!BI76,'Fertiliser recommendations'!$A$4:$I$63,9,FALSE))/2.291)*5/(147/2.291)+'Soil results'!G81)&lt;4.5,"1 (L)","2 (M-)"))))))</f>
        <v/>
      </c>
      <c r="M78" s="9" t="str">
        <f ca="1">IF(B78="","",
IF(OR(H78="data missing",I78="data missing",J78="data missing"),"data missing",
IF(Calc!BF76=0,"n/a",
IF(OR(AND('Soil results'!G$7="Olsen (ADAS)",'Soil results'!G81&gt;45),AND('Soil results'!G$7="modified Morgan (SAC)",'Soil results'!G81&gt;30)),
IF(H78&gt;2,"too high, not acceptable","no requirement"),IF(OR(AND('Soil results'!G$7="Olsen (ADAS)",'Soil results'!G81&gt;25),AND('Soil results'!G$7="modified Morgan (SAC)",'Soil results'!G81&gt;13.4)),
IF(H78*(I78/100)&lt;0.1*J78,"no benefit",
IF(H78*(I78/100)&lt;0.3*J78,"limited benefit",
IF(H78*(I78/100)&lt;1.1*J78,"benefit",
IF(H78*(I78/100)&lt;0.7*VLOOKUP(Calc!BI76,'Fertiliser recommendations'!$A$4:$I$63,9,FALSE),"excessive","too high, not acceptable")))),
IF(OR(AND('Soil results'!G$7="Olsen (ADAS)",'Soil results'!G81&gt;20),AND('Soil results'!G$7="modified Morgan (SAC)",'Soil results'!G81&gt;9.4)),
IF(H78*Calc!BM76*(I78/100)&lt;0.1*J78,"no benefit",
IF(H78*Calc!BM76*(I78/100)&lt;0.3*J78,"limited benefit",
IF(H78*Calc!BM76*(I78/100)&lt;1.1*J78,"benefit",
IF(L78="3 (H)","too high, not acceptable","excessive")))),
IF(OR(AND('Soil results'!G$7="Olsen (ADAS)",'Soil results'!G81&gt;15),AND('Soil results'!G$7="modified Morgan (SAC)",'Soil results'!G81&gt;4.4)),
IF(H78*Calc!BM76*(I78/100)&lt;0.1*VLOOKUP(Calc!BI76,'Fertiliser recommendations'!$A$4:$I$63,9,FALSE),"no benefit",
IF(H78*Calc!BM76*(I78/100)&lt;0.3*VLOOKUP(Calc!BI76,'Fertiliser recommendations'!$A$4:$I$63,9,FALSE),"limited benefit",
IF(H78*Calc!BM76*(I78/100)&lt;1.1*VLOOKUP(Calc!BI76,'Fertiliser recommendations'!$A$4:$I$63,9,FALSE),"benefit",
IF(L78="3 (H)", "too high, not acceptable", "excessive")))),
IF(OR(AND('Soil results'!G$7="Olsen (ADAS)",'Soil results'!G81&lt;=15),AND('Soil results'!G$7="modified Morgan (SAC)",'Soil results'!G81&lt;=4.4)),
IF(H78*Calc!BM76*(I78/100)&lt;0.1*VLOOKUP(Calc!BI76,'Fertiliser recommendations'!$A$4:$I$63,9,FALSE),"no benefit",
IF(H78*Calc!BM76*(I78/100)&lt;0.3*VLOOKUP(Calc!BI76,'Fertiliser recommendations'!$A$4:$I$63,9,FALSE),"limited benefit",
IF(H78*Calc!BM76*(I78/100)&lt;1.1*J78,"benefit","excessive")))))))))))</f>
        <v/>
      </c>
      <c r="O78" s="91" t="str">
        <f ca="1">IF(B78="","",
IF(AND('Field information 2'!$O$5="", 'Field information 2'!$Q$5=""),
   IF('Waste results'!$S$19&lt;&gt;"data missing", Calc!BC76*'Waste results'!$S$19, "data missing"),
IF('Field information 2'!$Q$5="",
   IF(Calc!BD76=0,
     IF('Waste results'!$S$19&lt;&gt;"data missing", Calc!BC76*'Waste results'!$S$19, "data missing"),
   IF(Calc!BC76=0,
     IF('Waste results'!$S$55&lt;&gt;"data missing", Calc!BD76*'Waste results'!$S$55, "data missing"),
   IF(OR('Waste results'!$S$19&lt;&gt;"data missing", 'Waste results'!$S$55&lt;&gt;"data missing"), Calc!BC76*'Waste results'!$S$19+ Calc!BD76*'Waste results'!$S$55, "data missing"))),
IF(AND('Field information 2'!$M$5&lt;&gt;"", 'Field information 2'!$O$5&lt;&gt;"", 'Field information 2'!$Q$5&lt;&gt;""),
   IF(AND(Calc!BD76=0,Calc!BE76=0),
     IF('Waste results'!$S$19&lt;&gt;"data missing", Calc!BC76*'Waste results'!$S$19, "data missing"),
   IF(AND(Calc!BC76=0,Calc!BE76=0),
     IF('Waste results'!$S$55&lt;&gt;"data missing", Calc!BD76*'Waste results'!$S$55, "data missing"),
   IF(AND(Calc!BC76=0,Calc!BD76=0),
     IF('Waste results'!$S$91&lt;&gt;"data missing", Calc!BE76*'Waste results'!$S$91, "data missing"),
   IF(Calc!BE76=0,
     IF(OR('Waste results'!$S$19&lt;&gt;"data missing", 'Waste results'!$S$55&lt;&gt;"data missing"), Calc!BC76*'Waste results'!$S$19+ Calc!BD76*'Waste results'!$S$55, "data missing"),
   IF(Calc!BD76=0,
     IF(OR('Waste results'!$S$19&lt;&gt;"data missing", 'Waste results'!$S$91&lt;&gt;"data missing"), Calc!BC76*'Waste results'!$S$19+ Calc!BE76*'Waste results'!$S$91, "data missing"),
   IF(Calc!BC76=0,
     IF(OR('Waste results'!$S$55&lt;&gt;"data missing", 'Waste results'!$S$91&lt;&gt;"data missing"), Calc!BD76*'Waste results'!$S$55+Calc!BE76*'Waste results'!$S$91, "data missing"),
   IF(OR('Waste results'!$S$19&lt;&gt;"data missing", 'Waste results'!$S$55&lt;&gt;"data missing", 'Waste results'!$S$91&lt;&gt;"data missing"), Calc!BC76*'Waste results'!$S$19+Calc!BD76*'Waste results'!$S$55+ Calc!BE76*'Waste results'!$S$91, "data missing")))))))))))</f>
        <v/>
      </c>
      <c r="P78" s="91" t="str">
        <f ca="1">IF(B78="","",
IF(OR(ISBLANK('Soil results'!H$7),ISBLANK('Soil results'!H81)),"data missing",
IF(OR(AND('Soil results'!H$7="ammonium nitrate (ADAS)",'Soil results'!H81&gt;400),AND('Soil results'!H$7="modified Morgan (SAC)",'Soil results'!H81&gt;400)),0,
IF(OR(AND('Soil results'!H$7="ammonium nitrate (ADAS)",'Soil results'!H81&gt;=121,'Soil results'!H81&lt;=180),AND('Soil results'!H$7="modified Morgan (SAC)",'Soil results'!H81&gt;=76,'Soil results'!H81&lt;=140)),VLOOKUP(Calc!BI76,'Fertiliser recommendations'!$A$4:$Z$63,26,FALSE),
IF(OR(AND('Soil results'!H$7="ammonium nitrate (ADAS)",'Soil results'!H81&lt;61),AND('Soil results'!H$7="modified Morgan (SAC)",'Soil results'!H81&lt;40)),VLOOKUP(Calc!BI76,'Fertiliser recommendations'!$A$4:$Z$63,26,FALSE)+VLOOKUP(Calc!BI76,'Fertiliser recommendations'!$A$4:$AA$63,27,FALSE),
IF(OR(AND('Soil results'!H$7="ammonium nitrate (ADAS)",'Soil results'!H81&lt;121),AND('Soil results'!H$7="modified Morgan (SAC)",'Soil results'!H81&lt;76)),VLOOKUP(Calc!BI76,'Fertiliser recommendations'!$A$4:$Z$63,26,FALSE)+VLOOKUP(Calc!BI76,'Fertiliser recommendations'!$A$4:$AB$63,28,FALSE),
IF(OR(AND('Soil results'!H$7="ammonium nitrate (ADAS)",'Soil results'!H81&lt;241),AND('Soil results'!H$7="modified Morgan (SAC)",'Soil results'!H81&lt;201)),VLOOKUP(Calc!BI76,'Fertiliser recommendations'!$A$4:$Z$63,26,FALSE)+VLOOKUP(Calc!BI76,'Fertiliser recommendations'!$A$4:$AC$63,29,FALSE),
IF(OR(AND('Soil results'!H$7="ammonium nitrate (ADAS)",'Soil results'!H81&lt;=400),AND('Soil results'!H$7="modified Morgan (SAC)",'Soil results'!H81&lt;=400)),VLOOKUP(Calc!BI76,'Fertiliser recommendations'!$A$4:$Z$63,26,FALSE)+VLOOKUP(Calc!BI76,'Fertiliser recommendations'!$A$4:$AD$63,30,FALSE),
"??"))))))))</f>
        <v/>
      </c>
      <c r="Q78" s="91" t="str">
        <f t="shared" ca="1" si="19"/>
        <v/>
      </c>
      <c r="R78" s="9" t="str">
        <f ca="1">IF(B78="","",
IF(OR(O78="data missing",P78="data missing"),"data missing",
IF(Calc!BF76=0,"n/a",
IF(P78=0, "no requirement",
IF(O78&lt;0.1*P78,"no benefit",
IF(O78&lt;0.3*P78,"limited benefit",
IF(O78&gt;1.25*P78,"excessive",
"benefit")))))))</f>
        <v/>
      </c>
      <c r="T78" s="91" t="str">
        <f ca="1">IF(B78="","",
IF(AND('Field information 2'!$O$5="", 'Field information 2'!$Q$5=""),
   IF('Waste results'!$S$21&lt;&gt;"data missing", Calc!BC76*'Waste results'!$S$21, "data missing"),
IF('Field information 2'!$Q$5="",
   IF(Calc!BD76=0,
     IF('Waste results'!$S$21&lt;&gt;"data missing", Calc!BC76*'Waste results'!$S$21, "data missing"),
   IF(Calc!BC76=0,
     IF('Waste results'!$S$57&lt;&gt;"data missing", Calc!BD76*'Waste results'!$S$57, "data missing"),
   IF(OR('Waste results'!$S$21&lt;&gt;"data missing", 'Waste results'!$S$57&lt;&gt;"data missing"), Calc!BC76*'Waste results'!$S$21+ Calc!BD76*'Waste results'!$S$57, "data missing"))),
IF(AND('Field information 2'!$M$5&lt;&gt;"", 'Field information 2'!$O$5&lt;&gt;"", 'Field information 2'!$Q$5&lt;&gt;""),
   IF(AND(Calc!BD76=0,Calc!BE76=0),
     IF('Waste results'!$S$21&lt;&gt;"data missing", Calc!BC76*'Waste results'!$S$21, "data missing"),
   IF(AND(Calc!BC76=0,Calc!BE76=0),
     IF('Waste results'!$S$57&lt;&gt;"data missing", Calc!BD76*'Waste results'!$S$57, "data missing"),
   IF(AND(Calc!BC76=0,Calc!BD76=0),
     IF('Waste results'!$S$93&lt;&gt;"data missing", Calc!BE76*'Waste results'!$S$93, "data missing"),
   IF(Calc!BE76=0,
     IF(OR('Waste results'!$S$21&lt;&gt;"data missing", 'Waste results'!$S$57&lt;&gt;"data missing"), Calc!BC76*'Waste results'!$S$21+ Calc!BD76*'Waste results'!$S$57, "data missing"),
   IF(Calc!BD76=0,
     IF(OR('Waste results'!$S$21&lt;&gt;"data missing", 'Waste results'!$S$93&lt;&gt;"data missing"), Calc!BC76*'Waste results'!$S$21+ Calc!BE76*'Waste results'!$S$93, "data missing"),
   IF(Calc!BC76=0,
     IF(OR('Waste results'!$S$57&lt;&gt;"data missing", 'Waste results'!$S$93&lt;&gt;"data missing"), Calc!BD76*'Waste results'!$S$57+Calc!BE76*'Waste results'!$S$93, "data missing"),
   IF(OR('Waste results'!$S$21&lt;&gt;"data missing", 'Waste results'!$S$57&lt;&gt;"data missing", 'Waste results'!$S$93&lt;&gt;"data missing"), Calc!BC76*'Waste results'!$S$21+Calc!BD76*'Waste results'!$S$57+ Calc!BE76*'Waste results'!$S$93, "data missing")))))))))))</f>
        <v/>
      </c>
      <c r="U78" s="7" t="str">
        <f ca="1">IF(B78="","",
IF(OR(ISBLANK('Soil results'!I$7),ISBLANK('Soil results'!I81)),"data missing",
IF(OR(AND('Soil results'!I$7="ammonium nitrate (ADAS)",'Soil results'!I81&gt;51),AND('Soil results'!I$7="modified Morgan (SAC)",'Soil results'!I81&gt;61)),0,
IF(OR(AND('Soil results'!I$7="ammonium nitrate (ADAS)",'Soil results'!I81&lt;25),AND('Soil results'!I$7="modified Morgan (SAC)",'Soil results'!I81&lt;19)),VLOOKUP(Calc!BI76,'Fertiliser recommendations'!$A$4:$AH$63,34,FALSE),
IF(OR(AND('Soil results'!I$7="ammonium nitrate (ADAS)",'Soil results'!I81&lt;=51),AND('Soil results'!I$7="modified Morgan (SAC)",'Soil results'!I81&lt;=61)),VLOOKUP(Calc!BI76,'Fertiliser recommendations'!$A$4:$AI$63,35,FALSE),
"")))))</f>
        <v/>
      </c>
      <c r="V78" s="91" t="str">
        <f t="shared" ca="1" si="20"/>
        <v/>
      </c>
      <c r="W78" s="9" t="str">
        <f ca="1">IF(B78="","",
IF(OR(T78="data missing",U78="data missing"),"data missing",
IF(Calc!BF76=0,"n/a",
IF(U78=0,"no requirement",
IF(T78&lt;0.1*U78,"no benefit",
IF(T78&lt;0.3*U78,"limited benefit",
IF(OR(T78&gt;1.5*U78,AND(Calc!BJ76="g",T78&gt;100)),"excessive",
"benefit")))))))</f>
        <v/>
      </c>
      <c r="Y78" s="91" t="str">
        <f ca="1">IF(B78="","",
IF(AND('Field information 2'!$O$5="", 'Field information 2'!$Q$5=""),
   IF('Waste results'!$P$23&lt;&gt;"", Calc!BC76*'Waste results'!$P$23, "no data"),
IF('Field information 2'!$Q$5="",
   IF(Calc!BD76=0,
     IF('Waste results'!$P$23&lt;&gt;"", Calc!BC76*'Waste results'!$P$23, "no data"),
   IF(Calc!BC76=0,
     IF('Waste results'!$P$59&lt;&gt;"", Calc!BD76*'Waste results'!$P$59, "no data"),
   IF(OR('Waste results'!$P$23&lt;&gt;"", 'Waste results'!$P$59&lt;&gt;""), Calc!BC76*'Waste results'!$P$23+ Calc!BD76*'Waste results'!$P$59, "no data"))),
IF(AND('Field information 2'!$M$5&lt;&gt;"", 'Field information 2'!$O$5&lt;&gt;"", 'Field information 2'!$Q$5&lt;&gt;""),
   IF(AND(Calc!BD76=0,Calc!BE76=0),
     IF('Waste results'!$P$23&lt;&gt;"", Calc!BC76*'Waste results'!$P$23, "no data"),
   IF(AND(Calc!BC76=0,Calc!BE76=0),
     IF('Waste results'!$P$59&lt;&gt;"", Calc!BD76*'Waste results'!$P$59, "no data"),
   IF(AND(Calc!BC76=0,Calc!BD76=0),
     IF('Waste results'!$P$95&lt;&gt;"", Calc!BE76*'Waste results'!$P$95, "no data"),
   IF(Calc!BE76=0,
     IF(OR('Waste results'!$P$23&lt;&gt;"", 'Waste results'!$P$59&lt;&gt;""), Calc!BC76*'Waste results'!$P$23+ Calc!BD76*'Waste results'!$P$59, "no data"),
   IF(Calc!BD76=0,
     IF(OR('Waste results'!$P$23&lt;&gt;"", 'Waste results'!$P$95&lt;&gt;""), Calc!BC76*'Waste results'!$P$23+ Calc!BE76*'Waste results'!$P$95, "no data"),
   IF(Calc!BC76=0,
     IF(OR('Waste results'!$P$59&lt;&gt;"", 'Waste results'!$P$95&lt;&gt;""), Calc!BD76*'Waste results'!$P$59+Calc!BE76*'Waste results'!$P$95, "no data"),
   IF(OR('Waste results'!$P$23&lt;&gt;"", 'Waste results'!$P$59&lt;&gt;"", 'Waste results'!$P$95&lt;&gt;""), Calc!BC76*'Waste results'!$P$23+Calc!BD76*'Waste results'!$P$59+ Calc!BE76*'Waste results'!$P$95, "no data")))))))))))</f>
        <v/>
      </c>
      <c r="Z78" s="7" t="str">
        <f ca="1">IF(OR(ISBLANK('Soil results'!I$7),ISBLANK('Soil results'!I81),'Soil results'!B81=""),"",
VLOOKUP(Calc!BI76,'Fertiliser recommendations'!$A$4:$AM$63,39,FALSE))</f>
        <v/>
      </c>
      <c r="AA78" s="91" t="str">
        <f t="shared" ca="1" si="21"/>
        <v/>
      </c>
      <c r="AB78" s="9" t="str">
        <f t="shared" ca="1" si="22"/>
        <v/>
      </c>
      <c r="AD78" s="48" t="str">
        <f>IF(ISBLANK('Soil results'!F81),"",'Soil results'!F81)</f>
        <v/>
      </c>
      <c r="AE78" s="49" t="str">
        <f ca="1">IF(B78="","",
IF(AND(Calc!BJ76="g", VLOOKUP(LEFT($B78,LEN($B78)-2),'Field information 2'!$B$12:$P$111,9,FALSE)&lt;&gt;"yes"),
 IF(Calc!BG76="10-25% OM", 5.9, IF(Calc!BG76="&gt;25% OM", 5.5, 6.2)),
IF(OR(Calc!BJ76="a", VLOOKUP(LEFT($B78,LEN($B78)-2),'Field information 2'!$B$12:$P$111,9,FALSE)="yes"),
 IF(Calc!BG76="10-25% OM", 6.4, IF(Calc!BG76="&gt;25% OM", 6, 6.7)), "")))</f>
        <v/>
      </c>
      <c r="AF78" s="91" t="str">
        <f ca="1">IF(B78="","",
IF('Waste results'!$Q$33="","no (significant) liming properties",
IF('Waste results'!Q$33&gt;100,"no (significant) liming properties",
IF(AD78="","",
IF(AD78&gt;=AE78,0,ROUNDDOWN((AE78-AD78)*Calc!BK76*'Waste results'!$Q$33+0.2,0))))))</f>
        <v/>
      </c>
      <c r="AG78" s="9" t="str">
        <f ca="1">IF(B78="","",
IF(T78=0,"n/a",
IF(AD78="","data missing",
IF(AND(AD78&lt;5,AF78="no (significant) liming properties"),"no waste application - pH too low",
IF(AND(AD78&gt;5.1,AF78="no (significant) liming properties",Calc!BH76&gt;25, LEFT(Calc!BI76,4)="graz"),"ok",
IF(AND(AD78&lt;=5.2,AF78="no (significant) liming properties"),"liming highly recommended",
IF(AF78=0,"no waste application - liming not required",
IF(AF78&lt;Calc!BC76,"application rate too high - exceeds liming requirement",
"ok"))))))))</f>
        <v/>
      </c>
      <c r="AI78" s="91" t="str">
        <f ca="1">IF(B78="","",
IF(AND('Field information 2'!$O$5="", 'Field information 2'!$Q$5=""),
   IF('Waste results'!$P$10&lt;&gt;"data missing", Calc!BC76*'Waste results'!$P$10, "data missing"),
IF('Field information 2'!$Q$5="",
   IF(Calc!BD76=0,
     IF('Waste results'!$P$10&lt;&gt;"data missing", Calc!BC76*'Waste results'!$P$10, "data missing"),
   IF(Calc!BC76=0,
     IF('Waste results'!$P$45&lt;&gt;"data missing", Calc!BD76*'Waste results'!$P$45, "data missing"),
   IF(OR('Waste results'!$P$10&lt;&gt;"data missing", 'Waste results'!$P$45&lt;&gt;"data missing"), Calc!BC76*'Waste results'!$P$10+ Calc!BD76*'Waste results'!$P$45, "data missing"))),
IF(AND('Field information 2'!$M$5&lt;&gt;"", 'Field information 2'!$O$5&lt;&gt;"", 'Field information 2'!$Q$5&lt;&gt;""),
   IF(AND(Calc!BD76=0,Calc!BE76=0),
     IF('Waste results'!$P$10&lt;&gt;"data missing", Calc!BC76*'Waste results'!$P$10, "data missing"),
   IF(AND(Calc!BC76=0,Calc!BE76=0),
     IF('Waste results'!$P$45&lt;&gt;"data missing", Calc!BD76*'Waste results'!$P$45, "data missing"),
   IF(AND(Calc!BC76=0,Calc!BD76=0),
     IF('Waste results'!$P$82&lt;&gt;"data missing", Calc!BE76*'Waste results'!$P$82, "data missing"),
   IF(Calc!BE76=0,
     IF(OR('Waste results'!$P$10&lt;&gt;"data missing", 'Waste results'!$P$45&lt;&gt;"data missing"), Calc!BC76*'Waste results'!$P$10+ Calc!BD76*'Waste results'!$P$45, "data missing"),
   IF(Calc!BD76=0,
     IF(OR('Waste results'!$P$10&lt;&gt;"data missing", 'Waste results'!$P$82&lt;&gt;"data missing"), Calc!BC76*'Waste results'!$P$10+ Calc!BE76*'Waste results'!$P$82, "data missing"),
   IF(Calc!BC76=0,
     IF(OR('Waste results'!$P$45&lt;&gt;"data missing", 'Waste results'!$P$82&lt;&gt;"data missing"), Calc!BD76*'Waste results'!$P$45+Calc!BE76*'Waste results'!$P$82, "data missing"),
   IF(OR('Waste results'!$P$10&lt;&gt;"data missing", 'Waste results'!$P$45&lt;&gt;"data missing", 'Waste results'!$P$82&lt;&gt;"data missing"), Calc!BC76*'Waste results'!$P$10+Calc!BD76*'Waste results'!$P$45+ Calc!BE76*'Waste results'!$P$82, "data missing")))))))))))</f>
        <v/>
      </c>
      <c r="AJ78" s="237" t="str">
        <f ca="1">IF(B78="","",
IF(AI78="data missing","data missing",
IF(Calc!BF76=0,"n/a",
IF(AND(Calc!BH76&gt;=8,AI78&lt;500),"no benefit",
IF(OR(AND(Calc!BH76&lt;=4,AI78&gt;=500),AND(Calc!BH76&lt;8,AI78&gt;5000)),"benefit",
"limited benefit")))))</f>
        <v/>
      </c>
      <c r="AL78" s="238" t="str">
        <f ca="1">IF(B78="","",
IF(AND('Field information 2'!$O$5="", 'Field information 2'!$Q$5=""),
   IF('Waste results'!$S$25&lt;&gt;"data missing", Calc!BC76*'Waste results'!$S$25, "data missing"),
IF('Field information 2'!$Q$5="",
   IF(Calc!BD76=0,
     IF('Waste results'!$S$25&lt;&gt;"data missing", Calc!BC76*'Waste results'!$S$25, "data missing"),
   IF(Calc!BC76=0,
     IF('Waste results'!$S$61&lt;&gt;"data missing", Calc!BD76*'Waste results'!$S$61, "data missing"),
   IF(OR('Waste results'!$S$25&lt;&gt;"data missing", 'Waste results'!$S$61&lt;&gt;"data missing"), Calc!BC76*'Waste results'!$S$25+ Calc!BD76*'Waste results'!$S$61, "data missing"))),
IF(AND('Field information 2'!$M$5&lt;&gt;"", 'Field information 2'!$O$5&lt;&gt;"", 'Field information 2'!$Q$5&lt;&gt;""),
   IF(AND(Calc!BD76=0,Calc!BE76=0),
     IF('Waste results'!$S$25&lt;&gt;"data missing", Calc!BC76*'Waste results'!$S$25, "data missing"),
   IF(AND(Calc!BC76=0,Calc!BE76=0),
     IF('Waste results'!$S$61&lt;&gt;"data missing", Calc!BD76*'Waste results'!$S$61, "data missing"),
   IF(AND(Calc!BC76=0,Calc!BD76=0),
     IF('Waste results'!$S$97&lt;&gt;"data missing", Calc!BE76*'Waste results'!$S$97, "data missing"),
   IF(Calc!BE76=0,
     IF(OR('Waste results'!$S$25&lt;&gt;"data missing", 'Waste results'!$S$61&lt;&gt;"data missing"), Calc!BC76*'Waste results'!$S$25+ Calc!BD76*'Waste results'!$S$61, "data missing"),
   IF(Calc!BD76=0,
     IF(OR('Waste results'!$S$25&lt;&gt;"data missing", 'Waste results'!$S$97&lt;&gt;"data missing"), Calc!BC76*'Waste results'!$S$25+ Calc!BE76*'Waste results'!$S$97, "data missing"),
   IF(Calc!BC76=0,
     IF(OR('Waste results'!$S$61&lt;&gt;"data missing", 'Waste results'!$S$97&lt;&gt;"data missing"), Calc!BD76*'Waste results'!$S$61+Calc!BE76*'Waste results'!$S$97, "data missing"),
   IF(OR('Waste results'!$S$25&lt;&gt;"data missing", 'Waste results'!$S$61&lt;&gt;"data missing", 'Waste results'!$S$97&lt;&gt;"data missing"), Calc!BC76*'Waste results'!$S$25+Calc!BD76*'Waste results'!$S$61+ Calc!BE76*'Waste results'!$S$97, "data missing")))))))))))</f>
        <v/>
      </c>
      <c r="AM78" s="239" t="str">
        <f ca="1">IF($B78="","",
IF(ISBLANK('Soil results'!K81),"data missing",'Soil results'!K81))</f>
        <v/>
      </c>
      <c r="AN78" s="239" t="str">
        <f t="shared" ca="1" si="23"/>
        <v/>
      </c>
      <c r="AO78" s="9" t="str">
        <f t="shared" ca="1" si="24"/>
        <v/>
      </c>
      <c r="AQ78" s="240" t="str">
        <f ca="1">IF(B78="","",
IF(AND('Field information 2'!$O$5="", 'Field information 2'!$Q$5=""),
   IF('Waste results'!$S$26&lt;&gt;"data missing", Calc!BC76*'Waste results'!$S$26, "data missing"),
IF('Field information 2'!$Q$5="",
   IF(Calc!BD76=0,
     IF('Waste results'!$S$26&lt;&gt;"data missing", Calc!BC76*'Waste results'!$S$26, "data missing"),
   IF(Calc!BC76=0,
     IF('Waste results'!$S$62&lt;&gt;"data missing", Calc!BD76*'Waste results'!$S$62, "data missing"),
   IF(OR('Waste results'!$S$26&lt;&gt;"data missing", 'Waste results'!$S$62&lt;&gt;"data missing"), Calc!BC76*'Waste results'!$S$26+ Calc!BD76*'Waste results'!$S$62, "data missing"))),
IF(AND('Field information 2'!$M$5&lt;&gt;"", 'Field information 2'!$O$5&lt;&gt;"", 'Field information 2'!$Q$5&lt;&gt;""),
   IF(AND(Calc!BD76=0,Calc!BE76=0),
     IF('Waste results'!$S$26&lt;&gt;"data missing", Calc!BC76*'Waste results'!$S$26, "data missing"),
   IF(AND(Calc!BC76=0,Calc!BE76=0),
     IF('Waste results'!$S$62&lt;&gt;"data missing", Calc!BD76*'Waste results'!$S$62, "data missing"),
   IF(AND(Calc!BC76=0,Calc!BD76=0),
     IF('Waste results'!$S$98&lt;&gt;"data missing", Calc!BE76*'Waste results'!$S$98, "data missing"),
   IF(Calc!BE76=0,
     IF(OR('Waste results'!$S$26&lt;&gt;"data missing", 'Waste results'!$S$62&lt;&gt;"data missing"), Calc!BC76*'Waste results'!$S$26+ Calc!BD76*'Waste results'!$S$62, "data missing"),
   IF(Calc!BD76=0,
     IF(OR('Waste results'!$S$26&lt;&gt;"data missing", 'Waste results'!$S$98&lt;&gt;"data missing"), Calc!BC76*'Waste results'!$S$26+ Calc!BE76*'Waste results'!$S$98, "data missing"),
   IF(Calc!BC76=0,
     IF(OR('Waste results'!$S$62&lt;&gt;"data missing", 'Waste results'!$S$98&lt;&gt;"data missing"), Calc!BD76*'Waste results'!$S$62+Calc!BE76*'Waste results'!$S$98, "data missing"),
   IF(OR('Waste results'!$S$26&lt;&gt;"data missing", 'Waste results'!$S$62&lt;&gt;"data missing", 'Waste results'!$S$98&lt;&gt;"data missing"), Calc!BC76*'Waste results'!$S$26+Calc!BD76*'Waste results'!$S$62+ Calc!BE76*'Waste results'!$S$98, "data missing")))))))))))</f>
        <v/>
      </c>
      <c r="AR78" s="241" t="str">
        <f ca="1">IF($B78="","",
IF(ISBLANK('Soil results'!L81),"data missing",'Soil results'!L81))</f>
        <v/>
      </c>
      <c r="AS78" s="241" t="str">
        <f t="shared" ca="1" si="25"/>
        <v/>
      </c>
      <c r="AT78" s="66" t="str">
        <f t="shared" ca="1" si="26"/>
        <v/>
      </c>
      <c r="AV78" s="238" t="str">
        <f ca="1">IF(B78="","",
IF(AND('Field information 2'!$O$5="", 'Field information 2'!$Q$5=""),
   IF('Waste results'!$S$27&lt;&gt;"data missing", Calc!BC76*'Waste results'!$S$27, "data missing"),
IF('Field information 2'!$Q$5="",
   IF(Calc!BD76=0,
     IF('Waste results'!$S$27&lt;&gt;"data missing", Calc!BC76*'Waste results'!$S$27, "data missing"),
   IF(Calc!BC76=0,
     IF('Waste results'!$S$63&lt;&gt;"data missing", Calc!BD76*'Waste results'!$S$63, "data missing"),
   IF(OR('Waste results'!$S$27&lt;&gt;"data missing", 'Waste results'!$S$63&lt;&gt;"data missing"), Calc!BC76*'Waste results'!$S$27+ Calc!BD76*'Waste results'!$S$63, "data missing"))),
IF(AND('Field information 2'!$M$5&lt;&gt;"", 'Field information 2'!$O$5&lt;&gt;"", 'Field information 2'!$Q$5&lt;&gt;""),
   IF(AND(Calc!BD76=0,Calc!BE76=0),
     IF('Waste results'!$S$27&lt;&gt;"data missing", Calc!BC76*'Waste results'!$S$27, "data missing"),
   IF(AND(Calc!BC76=0,Calc!BE76=0),
     IF('Waste results'!$S$63&lt;&gt;"data missing", Calc!BD76*'Waste results'!$S$63, "data missing"),
   IF(AND(Calc!BC76=0,Calc!BD76=0),
     IF('Waste results'!$S$99&lt;&gt;"data missing", Calc!BE76*'Waste results'!$S$99, "data missing"),
   IF(Calc!BE76=0,
     IF(OR('Waste results'!$S$27&lt;&gt;"data missing", 'Waste results'!$S$63&lt;&gt;"data missing"), Calc!BC76*'Waste results'!$S$27+ Calc!BD76*'Waste results'!$S$63, "data missing"),
   IF(Calc!BD76=0,
     IF(OR('Waste results'!$S$27&lt;&gt;"data missing", 'Waste results'!$S$99&lt;&gt;"data missing"), Calc!BC76*'Waste results'!$S$27+ Calc!BE76*'Waste results'!$S$99, "data missing"),
   IF(Calc!BC76=0,
     IF(OR('Waste results'!$S$63&lt;&gt;"data missing", 'Waste results'!$S$99&lt;&gt;"data missing"), Calc!BD76*'Waste results'!$S$63+Calc!BE76*'Waste results'!$S$99, "data missing"),
   IF(OR('Waste results'!$S$27&lt;&gt;"data missing", 'Waste results'!$S$63&lt;&gt;"data missing", 'Waste results'!$S$99&lt;&gt;"data missing"), Calc!BC76*'Waste results'!$S$27+Calc!BD76*'Waste results'!$S$63+ Calc!BE76*'Waste results'!$S$99, "data missing")))))))))))</f>
        <v/>
      </c>
      <c r="AW78" s="239" t="str">
        <f ca="1">IF($B78="","",
IF(ISBLANK('Soil results'!M81),"data missing",'Soil results'!M81))</f>
        <v/>
      </c>
      <c r="AX78" s="239" t="str">
        <f t="shared" ca="1" si="27"/>
        <v/>
      </c>
      <c r="AY78" s="9" t="str">
        <f ca="1">IF(B78="","",
IF(AV78=0,"n/a",
IF(OR(AV78="data missing",AW78="data missing"),"data missing",
IF(AV78&gt;7.5,"application rate too high - permissible rate exceeds limit",
IF('Soil results'!$F81&lt;=5.5,
  IF(AW78&gt;80,"no application - soil conc. already above limit",
  IF(AX78&gt;80,"application rate too high - soil conc. will exceed limit",
  IF(AW78&gt;80*0.9,"soil conc. is at or above 90% of the limit",
  IF(10*AV78*1000/3000+AW78&gt;80,"soil limit likely to be exceeded in 10yrs",
  IF(50*AV78*1000/3000+AW78&gt;80,"soil limit likely to be exceeded in 50yrs","ok"))))),
IF('Soil results'!$F81&lt;=6,
  IF(AW78&gt;100,"no application - soil conc. already above limit",
  IF(AX78&gt;100,"application rate too high - soil conc. will exceed limit",
  IF(AW78&gt;100*0.9,"soil conc. is at or above 90% of the limit",
  IF(10*AV78*1000/3000+AW78&gt;100,"soil limit likely to be exceeded in 10yrs",
  IF(50*AV78*1000/3000+AW78&gt;100,"soil limit likely to be exceeded in 50yrs","ok"))))),
IF('Soil results'!$F81&lt;=7,
  IF(AW78&gt;135,"no application - soil conc. already above limit",
  IF(AX78&gt;135,"application rate too high - soil conc. will exceed limit",
  IF(AW78&gt;135*0.9,"soil conc. is at or above 90% of the limit",
  IF(10*AV78*1000/3000+AW78&gt;135,"soil limit likely to be exceeded in 10yrs",
  IF(50*AV78*1000/3000+AW78&gt;135,"soil limit likely to be exceeded in 50yrs","ok"))))),
IF('Soil results'!$F81&gt;7,
  IF(AW78&gt;200,"no application - soil conc. already above limit",
  IF(AX78&gt;200,"application too high - soil conc. will exceed limit",
  IF(AW78&gt;200*0.9,"soil conc. is at or above 90% of the limit",
  IF(10*AV78*1000/3000+AW78&gt;200,"soil limit likely to be exceeded in 10yrs",
  IF(50*AV78*1000/3000+AW78&gt;200,"soil limit likely to be exceeded in 50yrs","ok")))))
))))))))</f>
        <v/>
      </c>
      <c r="BA78" s="238" t="str">
        <f ca="1">IF(B78="","",
IF(AND('Field information 2'!$O$5="", 'Field information 2'!$Q$5=""),
   IF('Waste results'!$S$28&lt;&gt;"data missing", Calc!BC76*'Waste results'!$S$28, "data missing"),
IF('Field information 2'!$Q$5="",
   IF(Calc!BD76=0,
     IF('Waste results'!$S$28&lt;&gt;"data missing", Calc!BC76*'Waste results'!$S$28, "data missing"),
   IF(Calc!BC76=0,
     IF('Waste results'!$S$64&lt;&gt;"data missing", Calc!BD76*'Waste results'!$S$64, "data missing"),
   IF(OR('Waste results'!$S$28&lt;&gt;"data missing", 'Waste results'!$S$64&lt;&gt;"data missing"), Calc!BC76*'Waste results'!$S$28+ Calc!BD76*'Waste results'!$S$64, "data missing"))),
IF(AND('Field information 2'!$M$5&lt;&gt;"", 'Field information 2'!$O$5&lt;&gt;"", 'Field information 2'!$Q$5&lt;&gt;""),
   IF(AND(Calc!BD76=0,Calc!BE76=0),
     IF('Waste results'!$S$28&lt;&gt;"data missing", Calc!BC76*'Waste results'!$S$28, "data missing"),
   IF(AND(Calc!BC76=0,Calc!BE76=0),
     IF('Waste results'!$S$64&lt;&gt;"data missing", Calc!BD76*'Waste results'!$S$64, "data missing"),
   IF(AND(Calc!BC76=0,Calc!BD76=0),
     IF('Waste results'!$S$100&lt;&gt;"data missing", Calc!BE76*'Waste results'!$S$100, "data missing"),
   IF(Calc!BE76=0,
     IF(OR('Waste results'!$S$28&lt;&gt;"data missing", 'Waste results'!$S$64&lt;&gt;"data missing"), Calc!BC76*'Waste results'!$S$28+ Calc!BD76*'Waste results'!$S$64, "data missing"),
   IF(Calc!BD76=0,
     IF(OR('Waste results'!$S$28&lt;&gt;"data missing", 'Waste results'!$S$100&lt;&gt;"data missing"), Calc!BC76*'Waste results'!$S$28+ Calc!BE76*'Waste results'!$S$100, "data missing"),
   IF(Calc!BC76=0,
     IF(OR('Waste results'!$S$64&lt;&gt;"data missing", 'Waste results'!$S$100&lt;&gt;"data missing"), Calc!BD76*'Waste results'!$S$64+Calc!BE76*'Waste results'!$S$100, "data missing"),
   IF(OR('Waste results'!$S$28&lt;&gt;"data missing", 'Waste results'!$S$64&lt;&gt;"data missing", 'Waste results'!$S$100&lt;&gt;"data missing"), Calc!BC76*'Waste results'!$S$28+Calc!BD76*'Waste results'!$S$64+ Calc!BE76*'Waste results'!$S$100, "data missing")))))))))))</f>
        <v/>
      </c>
      <c r="BB78" s="239" t="str">
        <f ca="1">IF($B78="","",
IF(ISBLANK('Soil results'!N81),"data missing",'Soil results'!N81))</f>
        <v/>
      </c>
      <c r="BC78" s="239" t="str">
        <f t="shared" ca="1" si="28"/>
        <v/>
      </c>
      <c r="BD78" s="9" t="str">
        <f t="shared" ca="1" si="29"/>
        <v/>
      </c>
      <c r="BF78" s="238" t="str">
        <f ca="1">IF(B78="","",
IF(AND('Field information 2'!$O$5="", 'Field information 2'!$Q$5=""),
   IF('Waste results'!$S$29&lt;&gt;"data missing", Calc!BC76*'Waste results'!$S$29, "data missing"),
IF('Field information 2'!$Q$5="",
   IF(Calc!BD76=0,
     IF('Waste results'!$S$29&lt;&gt;"data missing", Calc!BC76*'Waste results'!$S$29, "data missing"),
   IF(Calc!BC76=0,
     IF('Waste results'!$S$65&lt;&gt;"data missing", Calc!BD76*'Waste results'!$S$65, "data missing"),
   IF(OR('Waste results'!$S$29&lt;&gt;"data missing", 'Waste results'!$S$65&lt;&gt;"data missing"), Calc!BC76*'Waste results'!$S$29+ Calc!BD76*'Waste results'!$S$65, "data missing"))),
IF(AND('Field information 2'!$M$5&lt;&gt;"", 'Field information 2'!$O$5&lt;&gt;"", 'Field information 2'!$Q$5&lt;&gt;""),
   IF(AND(Calc!BD76=0,Calc!BE76=0),
     IF('Waste results'!$S$29&lt;&gt;"data missing", Calc!BC76*'Waste results'!$S$29, "data missing"),
   IF(AND(Calc!BC76=0,Calc!BE76=0),
     IF('Waste results'!$S$65&lt;&gt;"data missing", Calc!BD76*'Waste results'!$S$65, "data missing"),
   IF(AND(Calc!BC76=0,Calc!BD76=0),
     IF('Waste results'!$S$101&lt;&gt;"data missing", Calc!BE76*'Waste results'!$S$101, "data missing"),
   IF(Calc!BE76=0,
     IF(OR('Waste results'!$S$29&lt;&gt;"data missing", 'Waste results'!$S$65&lt;&gt;"data missing"), Calc!BC76*'Waste results'!$S$29+ Calc!BD76*'Waste results'!$S$65, "data missing"),
   IF(Calc!BD76=0,
     IF(OR('Waste results'!$S$29&lt;&gt;"data missing", 'Waste results'!$S$101&lt;&gt;"data missing"), Calc!BC76*'Waste results'!$S$29+ Calc!BE76*'Waste results'!$S$101, "data missing"),
   IF(Calc!BC76=0,
     IF(OR('Waste results'!$S$65&lt;&gt;"data missing", 'Waste results'!$S$101&lt;&gt;"data missing"), Calc!BD76*'Waste results'!$S$65+Calc!BE76*'Waste results'!$S$101, "data missing"),
   IF(OR('Waste results'!$S$29&lt;&gt;"data missing", 'Waste results'!$S$65&lt;&gt;"data missing", 'Waste results'!$S$101&lt;&gt;"data missing"), Calc!BC76*'Waste results'!$S$29+Calc!BD76*'Waste results'!$S$65+ Calc!BE76*'Waste results'!$S$101, "data missing")))))))))))</f>
        <v/>
      </c>
      <c r="BG78" s="239" t="str">
        <f ca="1">IF($B78="","",
IF(ISBLANK('Soil results'!O81),"data missing",'Soil results'!O81))</f>
        <v/>
      </c>
      <c r="BH78" s="239" t="str">
        <f t="shared" ca="1" si="30"/>
        <v/>
      </c>
      <c r="BI78" s="9" t="str">
        <f ca="1">IF(B78="","",
IF(BF78=0,"n/a",
IF(OR(BF78="data missing",BG78="data missing"),"data missing",
IF(BF78&gt;3,"application rate too high - permissible rate exceeds limit",
IF('Soil results'!F81&lt;=5.5,
  IF(BG78&gt;50,"no application - soil conc. already above limit",
  IF(BH78&gt;50,"application rate too high - soil conc. will exceed limit",
  IF(BG78&gt;50*0.9,"soil conc. is at or above 90% of the limit",
  IF(10*BF78*1000/3000+BG78&gt;50,"soil limit likely to be exceeded in 10yrs",
  IF(50*BF78*1000/3000+BG78&gt;50,"soil limit likely to be exceeded in 50yrs","ok"))))),
IF('Soil results'!F81&lt;=6,
  IF(BG78&gt;60,"no application - soil conc. already above limit",
  IF(BH78&gt;60,"application rate too high - soil conc. will exceed limit",
  IF(BG78&gt;60*0.9,"soil conc. is at or above 90% of the limit",
  IF(10*BF78*1000/3000+BG78&gt;60,"soil limit likely to be exceeded in 10yrs",
  IF(50*BF78*1000/3000+BG78&gt;60,"soil limit likely to be exceeded in 50yrs","ok"))))),
IF('Soil results'!F81&lt;=7,
  IF(BG78&gt;75,"no application - soil conc. already above limit",
  IF(BH78&gt;75,"application rate too high - soil conc. will exceed limit",
  IF(BG78&gt;75*0.9,"soil conc. is at or above 90% of the limit",
  IF(10*BF78*1000/3000+BG78&gt;75,"soil limit likely to be exceeded in 10yrs",
  IF(50*BF78*1000/3000+BG78&gt;75,"soil limit likely to be exceeded in 50yrs","ok"))))),
IF('Soil results'!F81&gt;7,
  IF(BG78&gt;100,"no application - soil conc. already above limit",
  IF(BH78&gt;100,"application rate too high - soil conc. will exceed limit",
  IF(BG78&gt;100*0.9,"soil conc. is at or above 90% of the limit",
  IF(10*BF78*1000/3000+BG78&gt;100,"soil limit likely to be exceeded in 10yrs",
  IF(50*BF78*1000/3000+BG78&gt;100,"soil limit likely to beexceeded in 50yrs","ok")))))
))))))))</f>
        <v/>
      </c>
      <c r="BK78" s="240" t="str">
        <f ca="1">IF(B78="","",
IF(AND('Field information 2'!$O$5="", 'Field information 2'!$Q$5=""),
   IF('Waste results'!$S$30&lt;&gt;"data missing", Calc!BC76*'Waste results'!$S$30, "data missing"),
IF('Field information 2'!$Q$5="",
   IF(Calc!BD76=0,
     IF('Waste results'!$S$30&lt;&gt;"data missing", Calc!BC76*'Waste results'!$S$30, "data missing"),
   IF(Calc!BC76=0,
     IF('Waste results'!$S$66&lt;&gt;"data missing", Calc!BD76*'Waste results'!$S$66, "data missing"),
   IF(OR('Waste results'!$S$30&lt;&gt;"data missing", 'Waste results'!$S$66&lt;&gt;"data missing"), Calc!BC76*'Waste results'!$S$30+ Calc!BD76*'Waste results'!$S$66, "data missing"))),
IF(AND('Field information 2'!$M$5&lt;&gt;"", 'Field information 2'!$O$5&lt;&gt;"", 'Field information 2'!$Q$5&lt;&gt;""),
   IF(AND(Calc!BD76=0,Calc!BE76=0),
     IF('Waste results'!$S$30&lt;&gt;"data missing", Calc!BC76*'Waste results'!$S$30, "data missing"),
   IF(AND(Calc!BC76=0,Calc!BE76=0),
     IF('Waste results'!$S$66&lt;&gt;"data missing", Calc!BD76*'Waste results'!$S$66, "data missing"),
   IF(AND(Calc!BC76=0,Calc!BD76=0),
     IF('Waste results'!$S$102&lt;&gt;"data missing", Calc!BE76*'Waste results'!$S$102, "data missing"),
   IF(Calc!BE76=0,
     IF(OR('Waste results'!$S$30&lt;&gt;"data missing", 'Waste results'!$S$66&lt;&gt;"data missing"), Calc!BC76*'Waste results'!$S$30+ Calc!BD76*'Waste results'!$S$66, "data missing"),
   IF(Calc!BD76=0,
     IF(OR('Waste results'!$S$30&lt;&gt;"data missing", 'Waste results'!$S$102&lt;&gt;"data missing"), Calc!BC76*'Waste results'!$S$30+ Calc!BE76*'Waste results'!$S$102, "data missing"),
   IF(Calc!BC76=0,
     IF(OR('Waste results'!$S$66&lt;&gt;"data missing", 'Waste results'!$S$102&lt;&gt;"data missing"), Calc!BD76*'Waste results'!$S$66+Calc!BE76*'Waste results'!$S$102, "data missing"),
   IF(OR('Waste results'!$S$30&lt;&gt;"data missing", 'Waste results'!$S$66&lt;&gt;"data missing", 'Waste results'!$S$102&lt;&gt;"data missing"), Calc!BC76*'Waste results'!$S$30+Calc!BD76*'Waste results'!$S$66+ Calc!BE76*'Waste results'!$S$102, "data missing")))))))))))</f>
        <v/>
      </c>
      <c r="BL78" s="241" t="str">
        <f ca="1">IF($B78="","",
IF(ISBLANK('Soil results'!P81),"data missing",'Soil results'!P81))</f>
        <v/>
      </c>
      <c r="BM78" s="241" t="str">
        <f t="shared" ca="1" si="31"/>
        <v/>
      </c>
      <c r="BN78" s="66" t="str">
        <f t="shared" ca="1" si="32"/>
        <v/>
      </c>
      <c r="BP78" s="238" t="str">
        <f ca="1">IF(B78="","",
IF(AND('Field information 2'!$O$5="", 'Field information 2'!$Q$5=""),
   IF('Waste results'!$S$31&lt;&gt;"data missing", Calc!BC76*'Waste results'!$S$31, "data missing"),
IF('Field information 2'!$Q$5="",
   IF(Calc!BD76=0,
     IF('Waste results'!$S$31&lt;&gt;"data missing", Calc!BC76*'Waste results'!$S$31, "data missing"),
   IF(Calc!BC76=0,
     IF('Waste results'!$S$67&lt;&gt;"data missing", Calc!BD76*'Waste results'!$S$67, "data missing"),
   IF(OR('Waste results'!$S$31&lt;&gt;"data missing", 'Waste results'!$S$67&lt;&gt;"data missing"), Calc!BC76*'Waste results'!$S$31+ Calc!BD76*'Waste results'!$S$67, "data missing"))),
IF(AND('Field information 2'!$M$5&lt;&gt;"", 'Field information 2'!$O$5&lt;&gt;"", 'Field information 2'!$Q$5&lt;&gt;""),
   IF(AND(Calc!BD76=0,Calc!BE76=0),
     IF('Waste results'!$S$31&lt;&gt;"data missing", Calc!BC76*'Waste results'!$S$31, "data missing"),
   IF(AND(Calc!BC76=0,Calc!BE76=0),
     IF('Waste results'!$S$67&lt;&gt;"data missing", Calc!BD76*'Waste results'!$S$67, "data missing"),
   IF(AND(Calc!BC76=0,Calc!BD76=0),
     IF('Waste results'!$S$103&lt;&gt;"data missing", Calc!BE76*'Waste results'!$S$103, "data missing"),
   IF(Calc!BE76=0,
     IF(OR('Waste results'!$S$31&lt;&gt;"data missing", 'Waste results'!$S$67&lt;&gt;"data missing"), Calc!BC76*'Waste results'!$S$31+ Calc!BD76*'Waste results'!$S$67, "data missing"),
   IF(Calc!BD76=0,
     IF(OR('Waste results'!$S$31&lt;&gt;"data missing", 'Waste results'!$S$103&lt;&gt;"data missing"), Calc!BC76*'Waste results'!$S$31+ Calc!BE76*'Waste results'!$S$103, "data missing"),
   IF(Calc!BC76=0,
     IF(OR('Waste results'!$S$67&lt;&gt;"data missing", 'Waste results'!$S$103&lt;&gt;"data missing"), Calc!BD76*'Waste results'!$S$67+Calc!BE76*'Waste results'!$S$103, "data missing"),
   IF(OR('Waste results'!$S$31&lt;&gt;"data missing", 'Waste results'!$S$67&lt;&gt;"data missing", 'Waste results'!$S$103&lt;&gt;"data missing"), Calc!BC76*'Waste results'!$S$31+Calc!BD76*'Waste results'!$S$67+ Calc!BE76*'Waste results'!$S$103, "data missing")))))))))))</f>
        <v/>
      </c>
      <c r="BQ78" s="239" t="str">
        <f ca="1">IF($B78="","",
IF(ISBLANK('Soil results'!Q81),"data missing",'Soil results'!Q81))</f>
        <v/>
      </c>
      <c r="BR78" s="239" t="str">
        <f t="shared" ca="1" si="33"/>
        <v/>
      </c>
      <c r="BS78" s="9" t="str">
        <f ca="1">IF(B78="","",
IF(BP78=0,"n/a",
IF(OR(BP78="data missing",BQ78=""),"data missing",
IF(BP78&gt;15,"application rate too high - permissible rate exceeds limit",
IF('Soil results'!F81&lt;=5.5,
  IF(BQ78&gt;200,"no application - soil conc. already above limit",
  IF(BR78&gt;200,"application rate too high - soil conc. will exceed limit",
  IF(BQ78&gt;200*0.9,"soil conc. is at or above 90% of the limit",
  IF(10*BP78*1000/3000+BQ78&gt;200,"soil limit likely to be exceeded in 10yrs",
  IF(50*BP78*1000/3000+BQ78&gt;200,"soil limit likely to be exceeded in 50yrs","ok"))))),
IF('Soil results'!F81&lt;=6,
  IF(BQ78&gt;250,"no application - soil conc. already above limit",
  IF(BR78&gt;250,"application rate too high - soil conc. will exceed limit",
  IF(BQ78&gt;250*0.9,"soil conc. is at or above 90% of the limit",
  IF(10*BP78*1000/3000+BQ78&gt;250,"soil limit likely to be exceeded in 10yrs",
  IF(50*BP78*1000/3000+BQ78&gt;250,"soil limit likely to be exceeded in 50yrs","ok"))))),
IF('Soil results'!F81&lt;=7,
  IF(BQ78&gt;300,"no application - soil conc. already above limit",
  IF(BR78&gt;300,"application rate too high - soil conc. will exceed limit",
  IF(BQ78&gt;300*0.9,"soil conc. is at or above 90% of the limit",
  IF(10*BP78*1000/3000+BQ78&gt;300,"soil limit likey to be exceeded in 10yrs",
  IF(50*BP78*1000/3000+BQ78&gt;300,"soil limit likely to be exceeded in 50yrs","ok"))))),
IF('Soil results'!F81&gt;7,
  IF(BQ78&gt;450,"no application - soil conc. already above limit",
  IF(BR78&gt;450,"application rate too high - soil conc. will exceed limit",
  IF(AW78&gt;450*0.9,"soil conc. is at or above 90% of the limit",
  IF(10*BP78*1000/3000+BQ78&gt;450,"soil limit likely to be exceeded in 10yrs",
  IF(50*BP78*1000/3000+BQ78&gt;450,"soil limit likely to be exceeded in 50yrs","ok")))))
))))))))</f>
        <v/>
      </c>
    </row>
    <row r="79" spans="2:71" s="9" customFormat="1" ht="15" x14ac:dyDescent="0.25">
      <c r="B79" s="236" t="str">
        <f ca="1">'Soil results'!B82</f>
        <v/>
      </c>
      <c r="C79" s="91" t="str">
        <f ca="1">IF(B79="","",
IF(AND('Field information 2'!$O$5="", 'Field information 2'!$Q$5=""),
   IF('Waste results'!$S$12&lt;&gt;"data missing", Calc!BC77*'Waste results'!$S$12, "data missing"),
IF('Field information 2'!$Q$5="",
   IF(Calc!BD77=0,
     IF('Waste results'!$S$12&lt;&gt;"data missing", Calc!BC77*'Waste results'!$S$12, "data missing"),
   IF(Calc!BC77=0,
     IF('Waste results'!$S$48&lt;&gt;"data missing", Calc!BD77*'Waste results'!$S$48, "data missing"),
   IF(OR('Waste results'!$S$12&lt;&gt;"data missing", 'Waste results'!$S$48&lt;&gt;"data missing"), Calc!BC77*'Waste results'!$S$12+ Calc!BD77*'Waste results'!$S$48, "data missing"))),
IF(AND('Field information 2'!$M$5&lt;&gt;"", 'Field information 2'!$O$5&lt;&gt;"", 'Field information 2'!$Q$5&lt;&gt;""),
   IF(AND(Calc!BD77=0,Calc!BE77=0),
     IF('Waste results'!$S$12&lt;&gt;"data missing", Calc!BC77*'Waste results'!$S$12, "data missing"),
   IF(AND(Calc!BC77=0,Calc!BE77=0),
     IF('Waste results'!$S$48&lt;&gt;"data missing", Calc!BD77*'Waste results'!$S$48, "data missing"),
   IF(AND(Calc!BC77=0,Calc!BD77=0),
     IF('Waste results'!$S$84&lt;&gt;"data missing", Calc!BE77*'Waste results'!$S$84, "data missing"),
   IF(Calc!BE77=0,
     IF(OR('Waste results'!$S$12&lt;&gt;"data missing", 'Waste results'!$S$48&lt;&gt;"data missing"), Calc!BC77*'Waste results'!$S$12+ Calc!BD77*'Waste results'!$S$48, "data missing"),
   IF(Calc!BD77=0,
     IF(OR('Waste results'!$S$12&lt;&gt;"data missing", 'Waste results'!$S$84&lt;&gt;"data missing"), Calc!BC77*'Waste results'!$S$12+ Calc!BE77*'Waste results'!$S$84, "data missing"),
   IF(Calc!BC77=0,
     IF(OR('Waste results'!$S$48&lt;&gt;"data missing", 'Waste results'!$S$84&lt;&gt;"data missing"), Calc!BD77*'Waste results'!$S$48+Calc!BE77*'Waste results'!$S$84, "data missing"),
   IF(OR('Waste results'!$S$12&lt;&gt;"data missing", 'Waste results'!$S$48&lt;&gt;"data missing", 'Waste results'!$S$84&lt;&gt;"data missing"), Calc!BC77*'Waste results'!$S$12+Calc!BD77*'Waste results'!$S$48+ Calc!BE77*'Waste results'!$S$84, "data missing")))))))))))</f>
        <v/>
      </c>
      <c r="D79" s="161" t="str">
        <f ca="1">IF(B79="","",
IF(Calc!BG77="","soil texture missing",
IF(OR(Calc!BG77="SL; SZL; ZL",Calc!BG77="SCL; CL; ZCL; SC; ZC; C"),VLOOKUP(Calc!BI77,'Fertiliser recommendations'!$A$4:$C$63,3,FALSE),
IF(Calc!BG77="S; LS",VLOOKUP(Calc!BI77,'Fertiliser recommendations'!$A$4:$C$63,3,FALSE)+VLOOKUP(Calc!BI77,'Fertiliser recommendations'!$A$4:$D$63,4,FALSE),
IF(Calc!BG77="10-25% OM",VLOOKUP(Calc!BI77,'Fertiliser recommendations'!$A$4:$C$63,3,FALSE)+VLOOKUP(Calc!BI77,'Fertiliser recommendations'!$A$4:$E$63,5,FALSE),
IF(Calc!BG77="&gt;25% OM",VLOOKUP(Calc!BI77,'Fertiliser recommendations'!$A$4:$C$63,3,FALSE)+VLOOKUP(Calc!BI77,'Fertiliser recommendations'!$A$4:$F$63,6,FALSE),
""))))))</f>
        <v/>
      </c>
      <c r="E79" s="91" t="str">
        <f t="shared" ca="1" si="17"/>
        <v/>
      </c>
      <c r="F79" s="9" t="str">
        <f ca="1">IF(B79="","",
IF(OR(C79="data missing",D79="soil texture missing"),"data missing",
IF(Calc!BF77=0,"n/a",
IF(C79&lt;0.1*D79,"no benefit",
IF(C79&lt;0.3*D79,"limited benefit",
IF(C79&gt;250,"exceeds limit",
IF(OR(AND(D79=0,C79&gt;75),C79&gt;1.25*D79),"excessive",
IF(D79=0, "no requirement",
"benefit"))))))))</f>
        <v/>
      </c>
      <c r="H79" s="91" t="str">
        <f ca="1">IF(B79="","",
IF(AND('Field information 2'!$O$5="", 'Field information 2'!$Q$5=""),
   IF('Waste results'!$S$17&lt;&gt;"data missing", Calc!BC77*'Waste results'!$S$17, "data missing"),
IF('Field information 2'!$Q$5="",
   IF(Calc!BD77=0,
     IF('Waste results'!$S$17&lt;&gt;"data missing", Calc!BC77*'Waste results'!$S$17, "data missing"),
   IF(Calc!BC77=0,
     IF('Waste results'!$S$53&lt;&gt;"data missing", Calc!BD77*'Waste results'!$S$53, "data missing"),
   IF(OR('Waste results'!$S$17&lt;&gt;"data missing", 'Waste results'!$S$53&lt;&gt;"data missing"), Calc!BC77*'Waste results'!$S$17+ Calc!BD77*'Waste results'!$S$53, "data missing"))),
IF(AND('Field information 2'!$M$5&lt;&gt;"", 'Field information 2'!$O$5&lt;&gt;"", 'Field information 2'!$Q$5&lt;&gt;""),
   IF(AND(Calc!BD77=0,Calc!BE77=0),
     IF('Waste results'!$S$17&lt;&gt;"data missing", Calc!BC77*'Waste results'!$S$17, "data missing"),
   IF(AND(Calc!BC77=0,Calc!BE77=0),
     IF('Waste results'!$S$53&lt;&gt;"data missing", Calc!BD77*'Waste results'!$S$53, "data missing"),
   IF(AND(Calc!BC77=0,Calc!BD77=0),
     IF('Waste results'!$S$89&lt;&gt;"data missing", Calc!BE77*'Waste results'!$S$89, "data missing"),
   IF(Calc!BE77=0,
     IF(OR('Waste results'!$S$17&lt;&gt;"data missing", 'Waste results'!$S$53&lt;&gt;"data missing"), Calc!BC77*'Waste results'!$S$17+ Calc!BD77*'Waste results'!$S$53, "data missing"),
   IF(Calc!BD77=0,
     IF(OR('Waste results'!$S$17&lt;&gt;"data missing", 'Waste results'!$S$89&lt;&gt;"data missing"), Calc!BC77*'Waste results'!$S$17+ Calc!BE77*'Waste results'!$S$89, "data missing"),
   IF(Calc!BC77=0,
     IF(OR('Waste results'!$S$53&lt;&gt;"data missing", 'Waste results'!$S$89&lt;&gt;"data missing"), Calc!BD77*'Waste results'!$S$53+Calc!BE77*'Waste results'!$S$89, "data missing"),
   IF(OR('Waste results'!$S$17&lt;&gt;"data missing", 'Waste results'!$S$53&lt;&gt;"data missing", 'Waste results'!$S$89&lt;&gt;"data missing"), Calc!BC77*'Waste results'!$S$17+Calc!BD77*'Waste results'!$S$53+ Calc!BE77*'Waste results'!$S$89, "data missing")))))))))))</f>
        <v/>
      </c>
      <c r="I79" s="195" t="str">
        <f ca="1">IF(B79="","",
IF(OR(ISBLANK('Soil results'!G82), ISBLANK('Soil results'!G$7)),"data missing",
IF(OR(AND('Soil results'!G$7="Olsen (ADAS)",'Soil results'!G82&lt;16),AND('Soil results'!G$7="modified Morgan (SAC)",'Soil results'!G82&lt;4.5)),50,100)))</f>
        <v/>
      </c>
      <c r="J79" s="49" t="str">
        <f ca="1">IF(B79="","",
IF(OR(ISBLANK('Soil results'!G$7),ISBLANK('Soil results'!G82)),"data missing",
IF(OR(AND('Soil results'!G$7="Olsen (ADAS)",'Soil results'!G82&gt;45),AND('Soil results'!G$7="modified Morgan (SAC)",'Soil results'!G82&gt;30)),0,
IF(OR(AND('Soil results'!G$7="Olsen (ADAS)",'Soil results'!G82&gt;=16,'Soil results'!G82&lt;=20),AND('Soil results'!G$7="modified Morgan (SAC)",'Soil results'!G82&gt;=4.5,'Soil results'!G82&lt;=9.4)),VLOOKUP(Calc!BI77,'Fertiliser recommendations'!$A$4:$I$63,9,FALSE),
IF(OR(AND('Soil results'!G$7="Olsen (ADAS)",'Soil results'!G82&lt;10),AND('Soil results'!G$7="modified Morgan (SAC)",'Soil results'!G82&lt;1.8)),VLOOKUP(Calc!BI77,'Fertiliser recommendations'!$A$4:$I$63,9,FALSE)+VLOOKUP(Calc!BI77,'Fertiliser recommendations'!$A$4:$J$63,10,FALSE),
IF(OR(AND('Soil results'!G$7="Olsen (ADAS)",'Soil results'!G82&lt;16),AND('Soil results'!G$7="modified Morgan (SAC)",'Soil results'!G82&lt;4.5)),VLOOKUP(Calc!BI77,'Fertiliser recommendations'!$A$4:$I$63,9,FALSE)+VLOOKUP(Calc!BI77,'Fertiliser recommendations'!$A$4:$K$63,11,FALSE),
IF(OR(AND('Soil results'!G$7="Olsen (ADAS)",'Soil results'!G82&lt;26),AND('Soil results'!G$7="modified Morgan (SAC)",'Soil results'!G82&lt;13.5)),VLOOKUP(Calc!BI77,'Fertiliser recommendations'!$A$4:$I$63,9,FALSE)+VLOOKUP(Calc!BI77,'Fertiliser recommendations'!$A$4:$L$63,12,FALSE),
IF(OR(AND('Soil results'!G$7="Olsen (ADAS)",'Soil results'!G82&lt;=45),AND('Soil results'!G$7="modified Morgan (SAC)",'Soil results'!G82&lt;=30)),VLOOKUP(Calc!BI77,'Fertiliser recommendations'!$A$4:$I$63,9,FALSE)+VLOOKUP(Calc!BI77,'Fertiliser recommendations'!$A$4:$M$63,13,FALSE),
""))))))))</f>
        <v/>
      </c>
      <c r="K79" s="161" t="str">
        <f t="shared" ca="1" si="18"/>
        <v/>
      </c>
      <c r="L79" s="47" t="str">
        <f ca="1">IF(OR(ISBLANK('Soil results'!G$7),ISBLANK('Soil results'!G82),B79="", H79="data missing"),"",
IF('Soil results'!G$7="Olsen (ADAS)",
IF(((H79*Calc!BM77/2.291-(VLOOKUP(Calc!BI77,'Fertiliser recommendations'!$A$4:$I$63,9,FALSE))/2.291)*10/(400/2.291)+'Soil results'!G82)&lt;10,"0 (VL)",
IF(((H79*Calc!BM77/2.291-(VLOOKUP(Calc!BI77,'Fertiliser recommendations'!$A$4:$I$63,9,FALSE))/2.291)*10/(400/2.291)+'Soil results'!G82)&lt;16,"1 (L)",
IF(((H79*Calc!BM77/2.291-(VLOOKUP(Calc!BI77,'Fertiliser recommendations'!$A$4:$I$63,9,FALSE))/2.291)*10/(400/2.291)+'Soil results'!G82)&lt;21,"2 (M-)",
IF(((H79*Calc!BM77/2.291-(VLOOKUP(Calc!BI77,'Fertiliser recommendations'!$A$4:$I$63,9,FALSE))/2.291)*10/(400/2.291)+'Soil results'!G82)&lt;26,"2 (M+)",
IF(((H79*Calc!BM77/2.291-(VLOOKUP(Calc!BI77,'Fertiliser recommendations'!$A$4:$I$63,9,FALSE))/2.291)*10/(400/2.291)+'Soil results'!G82)&lt;45,"3 (H)","&gt;3 (VH)"))))),
IF('Soil results'!G$7="modified Morgan (SAC)",
IF('Soil results'!G82&gt;=6,
IF(((H79*Calc!BM77/2.291-(VLOOKUP(Calc!BI77,'Fertiliser recommendations'!$A$4:$I$63,9,FALSE))/2.291)*5/(147/2.291)+'Soil results'!G82)&lt;9.5,"2 (M-)",
IF(((H79*Calc!BM77/2.291-(VLOOKUP(Calc!BI77,'Fertiliser recommendations'!$A$4:$I$63,9,FALSE))/2.291)*5/(147/2.291)+'Soil results'!G82)&lt;13.5,"2 (M+)",
IF(((H79*Calc!BM77/2.291-(VLOOKUP(Calc!BI77,'Fertiliser recommendations'!$A$4:$I$63,9,FALSE))/2.291)*5/(147/2.291)+'Soil results'!G82)&lt;30,"3 (H)","4 (VH)"))),
IF(((H79*Calc!BM77/2.291-(VLOOKUP(Calc!BI77,'Fertiliser recommendations'!$A$4:$I$63,9,FALSE))/2.291)*5/(346/2.291)+'Soil results'!G82)&lt;1.8,"0 (VL)",
IF(((H79*Calc!BM77/2.291-(VLOOKUP(Calc!BI77,'Fertiliser recommendations'!$A$4:$I$63,9,FALSE))/2.291)*5/(147/2.291)+'Soil results'!G82)&lt;4.5,"1 (L)","2 (M-)"))))))</f>
        <v/>
      </c>
      <c r="M79" s="9" t="str">
        <f ca="1">IF(B79="","",
IF(OR(H79="data missing",I79="data missing",J79="data missing"),"data missing",
IF(Calc!BF77=0,"n/a",
IF(OR(AND('Soil results'!G$7="Olsen (ADAS)",'Soil results'!G82&gt;45),AND('Soil results'!G$7="modified Morgan (SAC)",'Soil results'!G82&gt;30)),
IF(H79&gt;2,"too high, not acceptable","no requirement"),IF(OR(AND('Soil results'!G$7="Olsen (ADAS)",'Soil results'!G82&gt;25),AND('Soil results'!G$7="modified Morgan (SAC)",'Soil results'!G82&gt;13.4)),
IF(H79*(I79/100)&lt;0.1*J79,"no benefit",
IF(H79*(I79/100)&lt;0.3*J79,"limited benefit",
IF(H79*(I79/100)&lt;1.1*J79,"benefit",
IF(H79*(I79/100)&lt;0.7*VLOOKUP(Calc!BI77,'Fertiliser recommendations'!$A$4:$I$63,9,FALSE),"excessive","too high, not acceptable")))),
IF(OR(AND('Soil results'!G$7="Olsen (ADAS)",'Soil results'!G82&gt;20),AND('Soil results'!G$7="modified Morgan (SAC)",'Soil results'!G82&gt;9.4)),
IF(H79*Calc!BM77*(I79/100)&lt;0.1*J79,"no benefit",
IF(H79*Calc!BM77*(I79/100)&lt;0.3*J79,"limited benefit",
IF(H79*Calc!BM77*(I79/100)&lt;1.1*J79,"benefit",
IF(L79="3 (H)","too high, not acceptable","excessive")))),
IF(OR(AND('Soil results'!G$7="Olsen (ADAS)",'Soil results'!G82&gt;15),AND('Soil results'!G$7="modified Morgan (SAC)",'Soil results'!G82&gt;4.4)),
IF(H79*Calc!BM77*(I79/100)&lt;0.1*VLOOKUP(Calc!BI77,'Fertiliser recommendations'!$A$4:$I$63,9,FALSE),"no benefit",
IF(H79*Calc!BM77*(I79/100)&lt;0.3*VLOOKUP(Calc!BI77,'Fertiliser recommendations'!$A$4:$I$63,9,FALSE),"limited benefit",
IF(H79*Calc!BM77*(I79/100)&lt;1.1*VLOOKUP(Calc!BI77,'Fertiliser recommendations'!$A$4:$I$63,9,FALSE),"benefit",
IF(L79="3 (H)", "too high, not acceptable", "excessive")))),
IF(OR(AND('Soil results'!G$7="Olsen (ADAS)",'Soil results'!G82&lt;=15),AND('Soil results'!G$7="modified Morgan (SAC)",'Soil results'!G82&lt;=4.4)),
IF(H79*Calc!BM77*(I79/100)&lt;0.1*VLOOKUP(Calc!BI77,'Fertiliser recommendations'!$A$4:$I$63,9,FALSE),"no benefit",
IF(H79*Calc!BM77*(I79/100)&lt;0.3*VLOOKUP(Calc!BI77,'Fertiliser recommendations'!$A$4:$I$63,9,FALSE),"limited benefit",
IF(H79*Calc!BM77*(I79/100)&lt;1.1*J79,"benefit","excessive")))))))))))</f>
        <v/>
      </c>
      <c r="O79" s="91" t="str">
        <f ca="1">IF(B79="","",
IF(AND('Field information 2'!$O$5="", 'Field information 2'!$Q$5=""),
   IF('Waste results'!$S$19&lt;&gt;"data missing", Calc!BC77*'Waste results'!$S$19, "data missing"),
IF('Field information 2'!$Q$5="",
   IF(Calc!BD77=0,
     IF('Waste results'!$S$19&lt;&gt;"data missing", Calc!BC77*'Waste results'!$S$19, "data missing"),
   IF(Calc!BC77=0,
     IF('Waste results'!$S$55&lt;&gt;"data missing", Calc!BD77*'Waste results'!$S$55, "data missing"),
   IF(OR('Waste results'!$S$19&lt;&gt;"data missing", 'Waste results'!$S$55&lt;&gt;"data missing"), Calc!BC77*'Waste results'!$S$19+ Calc!BD77*'Waste results'!$S$55, "data missing"))),
IF(AND('Field information 2'!$M$5&lt;&gt;"", 'Field information 2'!$O$5&lt;&gt;"", 'Field information 2'!$Q$5&lt;&gt;""),
   IF(AND(Calc!BD77=0,Calc!BE77=0),
     IF('Waste results'!$S$19&lt;&gt;"data missing", Calc!BC77*'Waste results'!$S$19, "data missing"),
   IF(AND(Calc!BC77=0,Calc!BE77=0),
     IF('Waste results'!$S$55&lt;&gt;"data missing", Calc!BD77*'Waste results'!$S$55, "data missing"),
   IF(AND(Calc!BC77=0,Calc!BD77=0),
     IF('Waste results'!$S$91&lt;&gt;"data missing", Calc!BE77*'Waste results'!$S$91, "data missing"),
   IF(Calc!BE77=0,
     IF(OR('Waste results'!$S$19&lt;&gt;"data missing", 'Waste results'!$S$55&lt;&gt;"data missing"), Calc!BC77*'Waste results'!$S$19+ Calc!BD77*'Waste results'!$S$55, "data missing"),
   IF(Calc!BD77=0,
     IF(OR('Waste results'!$S$19&lt;&gt;"data missing", 'Waste results'!$S$91&lt;&gt;"data missing"), Calc!BC77*'Waste results'!$S$19+ Calc!BE77*'Waste results'!$S$91, "data missing"),
   IF(Calc!BC77=0,
     IF(OR('Waste results'!$S$55&lt;&gt;"data missing", 'Waste results'!$S$91&lt;&gt;"data missing"), Calc!BD77*'Waste results'!$S$55+Calc!BE77*'Waste results'!$S$91, "data missing"),
   IF(OR('Waste results'!$S$19&lt;&gt;"data missing", 'Waste results'!$S$55&lt;&gt;"data missing", 'Waste results'!$S$91&lt;&gt;"data missing"), Calc!BC77*'Waste results'!$S$19+Calc!BD77*'Waste results'!$S$55+ Calc!BE77*'Waste results'!$S$91, "data missing")))))))))))</f>
        <v/>
      </c>
      <c r="P79" s="91" t="str">
        <f ca="1">IF(B79="","",
IF(OR(ISBLANK('Soil results'!H$7),ISBLANK('Soil results'!H82)),"data missing",
IF(OR(AND('Soil results'!H$7="ammonium nitrate (ADAS)",'Soil results'!H82&gt;400),AND('Soil results'!H$7="modified Morgan (SAC)",'Soil results'!H82&gt;400)),0,
IF(OR(AND('Soil results'!H$7="ammonium nitrate (ADAS)",'Soil results'!H82&gt;=121,'Soil results'!H82&lt;=180),AND('Soil results'!H$7="modified Morgan (SAC)",'Soil results'!H82&gt;=76,'Soil results'!H82&lt;=140)),VLOOKUP(Calc!BI77,'Fertiliser recommendations'!$A$4:$Z$63,26,FALSE),
IF(OR(AND('Soil results'!H$7="ammonium nitrate (ADAS)",'Soil results'!H82&lt;61),AND('Soil results'!H$7="modified Morgan (SAC)",'Soil results'!H82&lt;40)),VLOOKUP(Calc!BI77,'Fertiliser recommendations'!$A$4:$Z$63,26,FALSE)+VLOOKUP(Calc!BI77,'Fertiliser recommendations'!$A$4:$AA$63,27,FALSE),
IF(OR(AND('Soil results'!H$7="ammonium nitrate (ADAS)",'Soil results'!H82&lt;121),AND('Soil results'!H$7="modified Morgan (SAC)",'Soil results'!H82&lt;76)),VLOOKUP(Calc!BI77,'Fertiliser recommendations'!$A$4:$Z$63,26,FALSE)+VLOOKUP(Calc!BI77,'Fertiliser recommendations'!$A$4:$AB$63,28,FALSE),
IF(OR(AND('Soil results'!H$7="ammonium nitrate (ADAS)",'Soil results'!H82&lt;241),AND('Soil results'!H$7="modified Morgan (SAC)",'Soil results'!H82&lt;201)),VLOOKUP(Calc!BI77,'Fertiliser recommendations'!$A$4:$Z$63,26,FALSE)+VLOOKUP(Calc!BI77,'Fertiliser recommendations'!$A$4:$AC$63,29,FALSE),
IF(OR(AND('Soil results'!H$7="ammonium nitrate (ADAS)",'Soil results'!H82&lt;=400),AND('Soil results'!H$7="modified Morgan (SAC)",'Soil results'!H82&lt;=400)),VLOOKUP(Calc!BI77,'Fertiliser recommendations'!$A$4:$Z$63,26,FALSE)+VLOOKUP(Calc!BI77,'Fertiliser recommendations'!$A$4:$AD$63,30,FALSE),
"??"))))))))</f>
        <v/>
      </c>
      <c r="Q79" s="91" t="str">
        <f t="shared" ca="1" si="19"/>
        <v/>
      </c>
      <c r="R79" s="9" t="str">
        <f ca="1">IF(B79="","",
IF(OR(O79="data missing",P79="data missing"),"data missing",
IF(Calc!BF77=0,"n/a",
IF(P79=0, "no requirement",
IF(O79&lt;0.1*P79,"no benefit",
IF(O79&lt;0.3*P79,"limited benefit",
IF(O79&gt;1.25*P79,"excessive",
"benefit")))))))</f>
        <v/>
      </c>
      <c r="T79" s="91" t="str">
        <f ca="1">IF(B79="","",
IF(AND('Field information 2'!$O$5="", 'Field information 2'!$Q$5=""),
   IF('Waste results'!$S$21&lt;&gt;"data missing", Calc!BC77*'Waste results'!$S$21, "data missing"),
IF('Field information 2'!$Q$5="",
   IF(Calc!BD77=0,
     IF('Waste results'!$S$21&lt;&gt;"data missing", Calc!BC77*'Waste results'!$S$21, "data missing"),
   IF(Calc!BC77=0,
     IF('Waste results'!$S$57&lt;&gt;"data missing", Calc!BD77*'Waste results'!$S$57, "data missing"),
   IF(OR('Waste results'!$S$21&lt;&gt;"data missing", 'Waste results'!$S$57&lt;&gt;"data missing"), Calc!BC77*'Waste results'!$S$21+ Calc!BD77*'Waste results'!$S$57, "data missing"))),
IF(AND('Field information 2'!$M$5&lt;&gt;"", 'Field information 2'!$O$5&lt;&gt;"", 'Field information 2'!$Q$5&lt;&gt;""),
   IF(AND(Calc!BD77=0,Calc!BE77=0),
     IF('Waste results'!$S$21&lt;&gt;"data missing", Calc!BC77*'Waste results'!$S$21, "data missing"),
   IF(AND(Calc!BC77=0,Calc!BE77=0),
     IF('Waste results'!$S$57&lt;&gt;"data missing", Calc!BD77*'Waste results'!$S$57, "data missing"),
   IF(AND(Calc!BC77=0,Calc!BD77=0),
     IF('Waste results'!$S$93&lt;&gt;"data missing", Calc!BE77*'Waste results'!$S$93, "data missing"),
   IF(Calc!BE77=0,
     IF(OR('Waste results'!$S$21&lt;&gt;"data missing", 'Waste results'!$S$57&lt;&gt;"data missing"), Calc!BC77*'Waste results'!$S$21+ Calc!BD77*'Waste results'!$S$57, "data missing"),
   IF(Calc!BD77=0,
     IF(OR('Waste results'!$S$21&lt;&gt;"data missing", 'Waste results'!$S$93&lt;&gt;"data missing"), Calc!BC77*'Waste results'!$S$21+ Calc!BE77*'Waste results'!$S$93, "data missing"),
   IF(Calc!BC77=0,
     IF(OR('Waste results'!$S$57&lt;&gt;"data missing", 'Waste results'!$S$93&lt;&gt;"data missing"), Calc!BD77*'Waste results'!$S$57+Calc!BE77*'Waste results'!$S$93, "data missing"),
   IF(OR('Waste results'!$S$21&lt;&gt;"data missing", 'Waste results'!$S$57&lt;&gt;"data missing", 'Waste results'!$S$93&lt;&gt;"data missing"), Calc!BC77*'Waste results'!$S$21+Calc!BD77*'Waste results'!$S$57+ Calc!BE77*'Waste results'!$S$93, "data missing")))))))))))</f>
        <v/>
      </c>
      <c r="U79" s="7" t="str">
        <f ca="1">IF(B79="","",
IF(OR(ISBLANK('Soil results'!I$7),ISBLANK('Soil results'!I82)),"data missing",
IF(OR(AND('Soil results'!I$7="ammonium nitrate (ADAS)",'Soil results'!I82&gt;51),AND('Soil results'!I$7="modified Morgan (SAC)",'Soil results'!I82&gt;61)),0,
IF(OR(AND('Soil results'!I$7="ammonium nitrate (ADAS)",'Soil results'!I82&lt;25),AND('Soil results'!I$7="modified Morgan (SAC)",'Soil results'!I82&lt;19)),VLOOKUP(Calc!BI77,'Fertiliser recommendations'!$A$4:$AH$63,34,FALSE),
IF(OR(AND('Soil results'!I$7="ammonium nitrate (ADAS)",'Soil results'!I82&lt;=51),AND('Soil results'!I$7="modified Morgan (SAC)",'Soil results'!I82&lt;=61)),VLOOKUP(Calc!BI77,'Fertiliser recommendations'!$A$4:$AI$63,35,FALSE),
"")))))</f>
        <v/>
      </c>
      <c r="V79" s="91" t="str">
        <f t="shared" ca="1" si="20"/>
        <v/>
      </c>
      <c r="W79" s="9" t="str">
        <f ca="1">IF(B79="","",
IF(OR(T79="data missing",U79="data missing"),"data missing",
IF(Calc!BF77=0,"n/a",
IF(U79=0,"no requirement",
IF(T79&lt;0.1*U79,"no benefit",
IF(T79&lt;0.3*U79,"limited benefit",
IF(OR(T79&gt;1.5*U79,AND(Calc!BJ77="g",T79&gt;100)),"excessive",
"benefit")))))))</f>
        <v/>
      </c>
      <c r="Y79" s="91" t="str">
        <f ca="1">IF(B79="","",
IF(AND('Field information 2'!$O$5="", 'Field information 2'!$Q$5=""),
   IF('Waste results'!$P$23&lt;&gt;"", Calc!BC77*'Waste results'!$P$23, "no data"),
IF('Field information 2'!$Q$5="",
   IF(Calc!BD77=0,
     IF('Waste results'!$P$23&lt;&gt;"", Calc!BC77*'Waste results'!$P$23, "no data"),
   IF(Calc!BC77=0,
     IF('Waste results'!$P$59&lt;&gt;"", Calc!BD77*'Waste results'!$P$59, "no data"),
   IF(OR('Waste results'!$P$23&lt;&gt;"", 'Waste results'!$P$59&lt;&gt;""), Calc!BC77*'Waste results'!$P$23+ Calc!BD77*'Waste results'!$P$59, "no data"))),
IF(AND('Field information 2'!$M$5&lt;&gt;"", 'Field information 2'!$O$5&lt;&gt;"", 'Field information 2'!$Q$5&lt;&gt;""),
   IF(AND(Calc!BD77=0,Calc!BE77=0),
     IF('Waste results'!$P$23&lt;&gt;"", Calc!BC77*'Waste results'!$P$23, "no data"),
   IF(AND(Calc!BC77=0,Calc!BE77=0),
     IF('Waste results'!$P$59&lt;&gt;"", Calc!BD77*'Waste results'!$P$59, "no data"),
   IF(AND(Calc!BC77=0,Calc!BD77=0),
     IF('Waste results'!$P$95&lt;&gt;"", Calc!BE77*'Waste results'!$P$95, "no data"),
   IF(Calc!BE77=0,
     IF(OR('Waste results'!$P$23&lt;&gt;"", 'Waste results'!$P$59&lt;&gt;""), Calc!BC77*'Waste results'!$P$23+ Calc!BD77*'Waste results'!$P$59, "no data"),
   IF(Calc!BD77=0,
     IF(OR('Waste results'!$P$23&lt;&gt;"", 'Waste results'!$P$95&lt;&gt;""), Calc!BC77*'Waste results'!$P$23+ Calc!BE77*'Waste results'!$P$95, "no data"),
   IF(Calc!BC77=0,
     IF(OR('Waste results'!$P$59&lt;&gt;"", 'Waste results'!$P$95&lt;&gt;""), Calc!BD77*'Waste results'!$P$59+Calc!BE77*'Waste results'!$P$95, "no data"),
   IF(OR('Waste results'!$P$23&lt;&gt;"", 'Waste results'!$P$59&lt;&gt;"", 'Waste results'!$P$95&lt;&gt;""), Calc!BC77*'Waste results'!$P$23+Calc!BD77*'Waste results'!$P$59+ Calc!BE77*'Waste results'!$P$95, "no data")))))))))))</f>
        <v/>
      </c>
      <c r="Z79" s="7" t="str">
        <f ca="1">IF(OR(ISBLANK('Soil results'!I$7),ISBLANK('Soil results'!I82),'Soil results'!B82=""),"",
VLOOKUP(Calc!BI77,'Fertiliser recommendations'!$A$4:$AM$63,39,FALSE))</f>
        <v/>
      </c>
      <c r="AA79" s="91" t="str">
        <f t="shared" ca="1" si="21"/>
        <v/>
      </c>
      <c r="AB79" s="9" t="str">
        <f t="shared" ca="1" si="22"/>
        <v/>
      </c>
      <c r="AD79" s="48" t="str">
        <f>IF(ISBLANK('Soil results'!F82),"",'Soil results'!F82)</f>
        <v/>
      </c>
      <c r="AE79" s="49" t="str">
        <f ca="1">IF(B79="","",
IF(AND(Calc!BJ77="g", VLOOKUP(LEFT($B79,LEN($B79)-2),'Field information 2'!$B$12:$P$111,9,FALSE)&lt;&gt;"yes"),
 IF(Calc!BG77="10-25% OM", 5.9, IF(Calc!BG77="&gt;25% OM", 5.5, 6.2)),
IF(OR(Calc!BJ77="a", VLOOKUP(LEFT($B79,LEN($B79)-2),'Field information 2'!$B$12:$P$111,9,FALSE)="yes"),
 IF(Calc!BG77="10-25% OM", 6.4, IF(Calc!BG77="&gt;25% OM", 6, 6.7)), "")))</f>
        <v/>
      </c>
      <c r="AF79" s="91" t="str">
        <f ca="1">IF(B79="","",
IF('Waste results'!$Q$33="","no (significant) liming properties",
IF('Waste results'!Q$33&gt;100,"no (significant) liming properties",
IF(AD79="","",
IF(AD79&gt;=AE79,0,ROUNDDOWN((AE79-AD79)*Calc!BK77*'Waste results'!$Q$33+0.2,0))))))</f>
        <v/>
      </c>
      <c r="AG79" s="9" t="str">
        <f ca="1">IF(B79="","",
IF(T79=0,"n/a",
IF(AD79="","data missing",
IF(AND(AD79&lt;5,AF79="no (significant) liming properties"),"no waste application - pH too low",
IF(AND(AD79&gt;5.1,AF79="no (significant) liming properties",Calc!BH77&gt;25, LEFT(Calc!BI77,4)="graz"),"ok",
IF(AND(AD79&lt;=5.2,AF79="no (significant) liming properties"),"liming highly recommended",
IF(AF79=0,"no waste application - liming not required",
IF(AF79&lt;Calc!BC77,"application rate too high - exceeds liming requirement",
"ok"))))))))</f>
        <v/>
      </c>
      <c r="AI79" s="91" t="str">
        <f ca="1">IF(B79="","",
IF(AND('Field information 2'!$O$5="", 'Field information 2'!$Q$5=""),
   IF('Waste results'!$P$10&lt;&gt;"data missing", Calc!BC77*'Waste results'!$P$10, "data missing"),
IF('Field information 2'!$Q$5="",
   IF(Calc!BD77=0,
     IF('Waste results'!$P$10&lt;&gt;"data missing", Calc!BC77*'Waste results'!$P$10, "data missing"),
   IF(Calc!BC77=0,
     IF('Waste results'!$P$45&lt;&gt;"data missing", Calc!BD77*'Waste results'!$P$45, "data missing"),
   IF(OR('Waste results'!$P$10&lt;&gt;"data missing", 'Waste results'!$P$45&lt;&gt;"data missing"), Calc!BC77*'Waste results'!$P$10+ Calc!BD77*'Waste results'!$P$45, "data missing"))),
IF(AND('Field information 2'!$M$5&lt;&gt;"", 'Field information 2'!$O$5&lt;&gt;"", 'Field information 2'!$Q$5&lt;&gt;""),
   IF(AND(Calc!BD77=0,Calc!BE77=0),
     IF('Waste results'!$P$10&lt;&gt;"data missing", Calc!BC77*'Waste results'!$P$10, "data missing"),
   IF(AND(Calc!BC77=0,Calc!BE77=0),
     IF('Waste results'!$P$45&lt;&gt;"data missing", Calc!BD77*'Waste results'!$P$45, "data missing"),
   IF(AND(Calc!BC77=0,Calc!BD77=0),
     IF('Waste results'!$P$82&lt;&gt;"data missing", Calc!BE77*'Waste results'!$P$82, "data missing"),
   IF(Calc!BE77=0,
     IF(OR('Waste results'!$P$10&lt;&gt;"data missing", 'Waste results'!$P$45&lt;&gt;"data missing"), Calc!BC77*'Waste results'!$P$10+ Calc!BD77*'Waste results'!$P$45, "data missing"),
   IF(Calc!BD77=0,
     IF(OR('Waste results'!$P$10&lt;&gt;"data missing", 'Waste results'!$P$82&lt;&gt;"data missing"), Calc!BC77*'Waste results'!$P$10+ Calc!BE77*'Waste results'!$P$82, "data missing"),
   IF(Calc!BC77=0,
     IF(OR('Waste results'!$P$45&lt;&gt;"data missing", 'Waste results'!$P$82&lt;&gt;"data missing"), Calc!BD77*'Waste results'!$P$45+Calc!BE77*'Waste results'!$P$82, "data missing"),
   IF(OR('Waste results'!$P$10&lt;&gt;"data missing", 'Waste results'!$P$45&lt;&gt;"data missing", 'Waste results'!$P$82&lt;&gt;"data missing"), Calc!BC77*'Waste results'!$P$10+Calc!BD77*'Waste results'!$P$45+ Calc!BE77*'Waste results'!$P$82, "data missing")))))))))))</f>
        <v/>
      </c>
      <c r="AJ79" s="237" t="str">
        <f ca="1">IF(B79="","",
IF(AI79="data missing","data missing",
IF(Calc!BF77=0,"n/a",
IF(AND(Calc!BH77&gt;=8,AI79&lt;500),"no benefit",
IF(OR(AND(Calc!BH77&lt;=4,AI79&gt;=500),AND(Calc!BH77&lt;8,AI79&gt;5000)),"benefit",
"limited benefit")))))</f>
        <v/>
      </c>
      <c r="AL79" s="238" t="str">
        <f ca="1">IF(B79="","",
IF(AND('Field information 2'!$O$5="", 'Field information 2'!$Q$5=""),
   IF('Waste results'!$S$25&lt;&gt;"data missing", Calc!BC77*'Waste results'!$S$25, "data missing"),
IF('Field information 2'!$Q$5="",
   IF(Calc!BD77=0,
     IF('Waste results'!$S$25&lt;&gt;"data missing", Calc!BC77*'Waste results'!$S$25, "data missing"),
   IF(Calc!BC77=0,
     IF('Waste results'!$S$61&lt;&gt;"data missing", Calc!BD77*'Waste results'!$S$61, "data missing"),
   IF(OR('Waste results'!$S$25&lt;&gt;"data missing", 'Waste results'!$S$61&lt;&gt;"data missing"), Calc!BC77*'Waste results'!$S$25+ Calc!BD77*'Waste results'!$S$61, "data missing"))),
IF(AND('Field information 2'!$M$5&lt;&gt;"", 'Field information 2'!$O$5&lt;&gt;"", 'Field information 2'!$Q$5&lt;&gt;""),
   IF(AND(Calc!BD77=0,Calc!BE77=0),
     IF('Waste results'!$S$25&lt;&gt;"data missing", Calc!BC77*'Waste results'!$S$25, "data missing"),
   IF(AND(Calc!BC77=0,Calc!BE77=0),
     IF('Waste results'!$S$61&lt;&gt;"data missing", Calc!BD77*'Waste results'!$S$61, "data missing"),
   IF(AND(Calc!BC77=0,Calc!BD77=0),
     IF('Waste results'!$S$97&lt;&gt;"data missing", Calc!BE77*'Waste results'!$S$97, "data missing"),
   IF(Calc!BE77=0,
     IF(OR('Waste results'!$S$25&lt;&gt;"data missing", 'Waste results'!$S$61&lt;&gt;"data missing"), Calc!BC77*'Waste results'!$S$25+ Calc!BD77*'Waste results'!$S$61, "data missing"),
   IF(Calc!BD77=0,
     IF(OR('Waste results'!$S$25&lt;&gt;"data missing", 'Waste results'!$S$97&lt;&gt;"data missing"), Calc!BC77*'Waste results'!$S$25+ Calc!BE77*'Waste results'!$S$97, "data missing"),
   IF(Calc!BC77=0,
     IF(OR('Waste results'!$S$61&lt;&gt;"data missing", 'Waste results'!$S$97&lt;&gt;"data missing"), Calc!BD77*'Waste results'!$S$61+Calc!BE77*'Waste results'!$S$97, "data missing"),
   IF(OR('Waste results'!$S$25&lt;&gt;"data missing", 'Waste results'!$S$61&lt;&gt;"data missing", 'Waste results'!$S$97&lt;&gt;"data missing"), Calc!BC77*'Waste results'!$S$25+Calc!BD77*'Waste results'!$S$61+ Calc!BE77*'Waste results'!$S$97, "data missing")))))))))))</f>
        <v/>
      </c>
      <c r="AM79" s="239" t="str">
        <f ca="1">IF($B79="","",
IF(ISBLANK('Soil results'!K82),"data missing",'Soil results'!K82))</f>
        <v/>
      </c>
      <c r="AN79" s="239" t="str">
        <f t="shared" ca="1" si="23"/>
        <v/>
      </c>
      <c r="AO79" s="9" t="str">
        <f t="shared" ca="1" si="24"/>
        <v/>
      </c>
      <c r="AQ79" s="240" t="str">
        <f ca="1">IF(B79="","",
IF(AND('Field information 2'!$O$5="", 'Field information 2'!$Q$5=""),
   IF('Waste results'!$S$26&lt;&gt;"data missing", Calc!BC77*'Waste results'!$S$26, "data missing"),
IF('Field information 2'!$Q$5="",
   IF(Calc!BD77=0,
     IF('Waste results'!$S$26&lt;&gt;"data missing", Calc!BC77*'Waste results'!$S$26, "data missing"),
   IF(Calc!BC77=0,
     IF('Waste results'!$S$62&lt;&gt;"data missing", Calc!BD77*'Waste results'!$S$62, "data missing"),
   IF(OR('Waste results'!$S$26&lt;&gt;"data missing", 'Waste results'!$S$62&lt;&gt;"data missing"), Calc!BC77*'Waste results'!$S$26+ Calc!BD77*'Waste results'!$S$62, "data missing"))),
IF(AND('Field information 2'!$M$5&lt;&gt;"", 'Field information 2'!$O$5&lt;&gt;"", 'Field information 2'!$Q$5&lt;&gt;""),
   IF(AND(Calc!BD77=0,Calc!BE77=0),
     IF('Waste results'!$S$26&lt;&gt;"data missing", Calc!BC77*'Waste results'!$S$26, "data missing"),
   IF(AND(Calc!BC77=0,Calc!BE77=0),
     IF('Waste results'!$S$62&lt;&gt;"data missing", Calc!BD77*'Waste results'!$S$62, "data missing"),
   IF(AND(Calc!BC77=0,Calc!BD77=0),
     IF('Waste results'!$S$98&lt;&gt;"data missing", Calc!BE77*'Waste results'!$S$98, "data missing"),
   IF(Calc!BE77=0,
     IF(OR('Waste results'!$S$26&lt;&gt;"data missing", 'Waste results'!$S$62&lt;&gt;"data missing"), Calc!BC77*'Waste results'!$S$26+ Calc!BD77*'Waste results'!$S$62, "data missing"),
   IF(Calc!BD77=0,
     IF(OR('Waste results'!$S$26&lt;&gt;"data missing", 'Waste results'!$S$98&lt;&gt;"data missing"), Calc!BC77*'Waste results'!$S$26+ Calc!BE77*'Waste results'!$S$98, "data missing"),
   IF(Calc!BC77=0,
     IF(OR('Waste results'!$S$62&lt;&gt;"data missing", 'Waste results'!$S$98&lt;&gt;"data missing"), Calc!BD77*'Waste results'!$S$62+Calc!BE77*'Waste results'!$S$98, "data missing"),
   IF(OR('Waste results'!$S$26&lt;&gt;"data missing", 'Waste results'!$S$62&lt;&gt;"data missing", 'Waste results'!$S$98&lt;&gt;"data missing"), Calc!BC77*'Waste results'!$S$26+Calc!BD77*'Waste results'!$S$62+ Calc!BE77*'Waste results'!$S$98, "data missing")))))))))))</f>
        <v/>
      </c>
      <c r="AR79" s="241" t="str">
        <f ca="1">IF($B79="","",
IF(ISBLANK('Soil results'!L82),"data missing",'Soil results'!L82))</f>
        <v/>
      </c>
      <c r="AS79" s="241" t="str">
        <f t="shared" ca="1" si="25"/>
        <v/>
      </c>
      <c r="AT79" s="66" t="str">
        <f t="shared" ca="1" si="26"/>
        <v/>
      </c>
      <c r="AV79" s="238" t="str">
        <f ca="1">IF(B79="","",
IF(AND('Field information 2'!$O$5="", 'Field information 2'!$Q$5=""),
   IF('Waste results'!$S$27&lt;&gt;"data missing", Calc!BC77*'Waste results'!$S$27, "data missing"),
IF('Field information 2'!$Q$5="",
   IF(Calc!BD77=0,
     IF('Waste results'!$S$27&lt;&gt;"data missing", Calc!BC77*'Waste results'!$S$27, "data missing"),
   IF(Calc!BC77=0,
     IF('Waste results'!$S$63&lt;&gt;"data missing", Calc!BD77*'Waste results'!$S$63, "data missing"),
   IF(OR('Waste results'!$S$27&lt;&gt;"data missing", 'Waste results'!$S$63&lt;&gt;"data missing"), Calc!BC77*'Waste results'!$S$27+ Calc!BD77*'Waste results'!$S$63, "data missing"))),
IF(AND('Field information 2'!$M$5&lt;&gt;"", 'Field information 2'!$O$5&lt;&gt;"", 'Field information 2'!$Q$5&lt;&gt;""),
   IF(AND(Calc!BD77=0,Calc!BE77=0),
     IF('Waste results'!$S$27&lt;&gt;"data missing", Calc!BC77*'Waste results'!$S$27, "data missing"),
   IF(AND(Calc!BC77=0,Calc!BE77=0),
     IF('Waste results'!$S$63&lt;&gt;"data missing", Calc!BD77*'Waste results'!$S$63, "data missing"),
   IF(AND(Calc!BC77=0,Calc!BD77=0),
     IF('Waste results'!$S$99&lt;&gt;"data missing", Calc!BE77*'Waste results'!$S$99, "data missing"),
   IF(Calc!BE77=0,
     IF(OR('Waste results'!$S$27&lt;&gt;"data missing", 'Waste results'!$S$63&lt;&gt;"data missing"), Calc!BC77*'Waste results'!$S$27+ Calc!BD77*'Waste results'!$S$63, "data missing"),
   IF(Calc!BD77=0,
     IF(OR('Waste results'!$S$27&lt;&gt;"data missing", 'Waste results'!$S$99&lt;&gt;"data missing"), Calc!BC77*'Waste results'!$S$27+ Calc!BE77*'Waste results'!$S$99, "data missing"),
   IF(Calc!BC77=0,
     IF(OR('Waste results'!$S$63&lt;&gt;"data missing", 'Waste results'!$S$99&lt;&gt;"data missing"), Calc!BD77*'Waste results'!$S$63+Calc!BE77*'Waste results'!$S$99, "data missing"),
   IF(OR('Waste results'!$S$27&lt;&gt;"data missing", 'Waste results'!$S$63&lt;&gt;"data missing", 'Waste results'!$S$99&lt;&gt;"data missing"), Calc!BC77*'Waste results'!$S$27+Calc!BD77*'Waste results'!$S$63+ Calc!BE77*'Waste results'!$S$99, "data missing")))))))))))</f>
        <v/>
      </c>
      <c r="AW79" s="239" t="str">
        <f ca="1">IF($B79="","",
IF(ISBLANK('Soil results'!M82),"data missing",'Soil results'!M82))</f>
        <v/>
      </c>
      <c r="AX79" s="239" t="str">
        <f t="shared" ca="1" si="27"/>
        <v/>
      </c>
      <c r="AY79" s="9" t="str">
        <f ca="1">IF(B79="","",
IF(AV79=0,"n/a",
IF(OR(AV79="data missing",AW79="data missing"),"data missing",
IF(AV79&gt;7.5,"application rate too high - permissible rate exceeds limit",
IF('Soil results'!$F82&lt;=5.5,
  IF(AW79&gt;80,"no application - soil conc. already above limit",
  IF(AX79&gt;80,"application rate too high - soil conc. will exceed limit",
  IF(AW79&gt;80*0.9,"soil conc. is at or above 90% of the limit",
  IF(10*AV79*1000/3000+AW79&gt;80,"soil limit likely to be exceeded in 10yrs",
  IF(50*AV79*1000/3000+AW79&gt;80,"soil limit likely to be exceeded in 50yrs","ok"))))),
IF('Soil results'!$F82&lt;=6,
  IF(AW79&gt;100,"no application - soil conc. already above limit",
  IF(AX79&gt;100,"application rate too high - soil conc. will exceed limit",
  IF(AW79&gt;100*0.9,"soil conc. is at or above 90% of the limit",
  IF(10*AV79*1000/3000+AW79&gt;100,"soil limit likely to be exceeded in 10yrs",
  IF(50*AV79*1000/3000+AW79&gt;100,"soil limit likely to be exceeded in 50yrs","ok"))))),
IF('Soil results'!$F82&lt;=7,
  IF(AW79&gt;135,"no application - soil conc. already above limit",
  IF(AX79&gt;135,"application rate too high - soil conc. will exceed limit",
  IF(AW79&gt;135*0.9,"soil conc. is at or above 90% of the limit",
  IF(10*AV79*1000/3000+AW79&gt;135,"soil limit likely to be exceeded in 10yrs",
  IF(50*AV79*1000/3000+AW79&gt;135,"soil limit likely to be exceeded in 50yrs","ok"))))),
IF('Soil results'!$F82&gt;7,
  IF(AW79&gt;200,"no application - soil conc. already above limit",
  IF(AX79&gt;200,"application too high - soil conc. will exceed limit",
  IF(AW79&gt;200*0.9,"soil conc. is at or above 90% of the limit",
  IF(10*AV79*1000/3000+AW79&gt;200,"soil limit likely to be exceeded in 10yrs",
  IF(50*AV79*1000/3000+AW79&gt;200,"soil limit likely to be exceeded in 50yrs","ok")))))
))))))))</f>
        <v/>
      </c>
      <c r="BA79" s="238" t="str">
        <f ca="1">IF(B79="","",
IF(AND('Field information 2'!$O$5="", 'Field information 2'!$Q$5=""),
   IF('Waste results'!$S$28&lt;&gt;"data missing", Calc!BC77*'Waste results'!$S$28, "data missing"),
IF('Field information 2'!$Q$5="",
   IF(Calc!BD77=0,
     IF('Waste results'!$S$28&lt;&gt;"data missing", Calc!BC77*'Waste results'!$S$28, "data missing"),
   IF(Calc!BC77=0,
     IF('Waste results'!$S$64&lt;&gt;"data missing", Calc!BD77*'Waste results'!$S$64, "data missing"),
   IF(OR('Waste results'!$S$28&lt;&gt;"data missing", 'Waste results'!$S$64&lt;&gt;"data missing"), Calc!BC77*'Waste results'!$S$28+ Calc!BD77*'Waste results'!$S$64, "data missing"))),
IF(AND('Field information 2'!$M$5&lt;&gt;"", 'Field information 2'!$O$5&lt;&gt;"", 'Field information 2'!$Q$5&lt;&gt;""),
   IF(AND(Calc!BD77=0,Calc!BE77=0),
     IF('Waste results'!$S$28&lt;&gt;"data missing", Calc!BC77*'Waste results'!$S$28, "data missing"),
   IF(AND(Calc!BC77=0,Calc!BE77=0),
     IF('Waste results'!$S$64&lt;&gt;"data missing", Calc!BD77*'Waste results'!$S$64, "data missing"),
   IF(AND(Calc!BC77=0,Calc!BD77=0),
     IF('Waste results'!$S$100&lt;&gt;"data missing", Calc!BE77*'Waste results'!$S$100, "data missing"),
   IF(Calc!BE77=0,
     IF(OR('Waste results'!$S$28&lt;&gt;"data missing", 'Waste results'!$S$64&lt;&gt;"data missing"), Calc!BC77*'Waste results'!$S$28+ Calc!BD77*'Waste results'!$S$64, "data missing"),
   IF(Calc!BD77=0,
     IF(OR('Waste results'!$S$28&lt;&gt;"data missing", 'Waste results'!$S$100&lt;&gt;"data missing"), Calc!BC77*'Waste results'!$S$28+ Calc!BE77*'Waste results'!$S$100, "data missing"),
   IF(Calc!BC77=0,
     IF(OR('Waste results'!$S$64&lt;&gt;"data missing", 'Waste results'!$S$100&lt;&gt;"data missing"), Calc!BD77*'Waste results'!$S$64+Calc!BE77*'Waste results'!$S$100, "data missing"),
   IF(OR('Waste results'!$S$28&lt;&gt;"data missing", 'Waste results'!$S$64&lt;&gt;"data missing", 'Waste results'!$S$100&lt;&gt;"data missing"), Calc!BC77*'Waste results'!$S$28+Calc!BD77*'Waste results'!$S$64+ Calc!BE77*'Waste results'!$S$100, "data missing")))))))))))</f>
        <v/>
      </c>
      <c r="BB79" s="239" t="str">
        <f ca="1">IF($B79="","",
IF(ISBLANK('Soil results'!N82),"data missing",'Soil results'!N82))</f>
        <v/>
      </c>
      <c r="BC79" s="239" t="str">
        <f t="shared" ca="1" si="28"/>
        <v/>
      </c>
      <c r="BD79" s="9" t="str">
        <f t="shared" ca="1" si="29"/>
        <v/>
      </c>
      <c r="BF79" s="238" t="str">
        <f ca="1">IF(B79="","",
IF(AND('Field information 2'!$O$5="", 'Field information 2'!$Q$5=""),
   IF('Waste results'!$S$29&lt;&gt;"data missing", Calc!BC77*'Waste results'!$S$29, "data missing"),
IF('Field information 2'!$Q$5="",
   IF(Calc!BD77=0,
     IF('Waste results'!$S$29&lt;&gt;"data missing", Calc!BC77*'Waste results'!$S$29, "data missing"),
   IF(Calc!BC77=0,
     IF('Waste results'!$S$65&lt;&gt;"data missing", Calc!BD77*'Waste results'!$S$65, "data missing"),
   IF(OR('Waste results'!$S$29&lt;&gt;"data missing", 'Waste results'!$S$65&lt;&gt;"data missing"), Calc!BC77*'Waste results'!$S$29+ Calc!BD77*'Waste results'!$S$65, "data missing"))),
IF(AND('Field information 2'!$M$5&lt;&gt;"", 'Field information 2'!$O$5&lt;&gt;"", 'Field information 2'!$Q$5&lt;&gt;""),
   IF(AND(Calc!BD77=0,Calc!BE77=0),
     IF('Waste results'!$S$29&lt;&gt;"data missing", Calc!BC77*'Waste results'!$S$29, "data missing"),
   IF(AND(Calc!BC77=0,Calc!BE77=0),
     IF('Waste results'!$S$65&lt;&gt;"data missing", Calc!BD77*'Waste results'!$S$65, "data missing"),
   IF(AND(Calc!BC77=0,Calc!BD77=0),
     IF('Waste results'!$S$101&lt;&gt;"data missing", Calc!BE77*'Waste results'!$S$101, "data missing"),
   IF(Calc!BE77=0,
     IF(OR('Waste results'!$S$29&lt;&gt;"data missing", 'Waste results'!$S$65&lt;&gt;"data missing"), Calc!BC77*'Waste results'!$S$29+ Calc!BD77*'Waste results'!$S$65, "data missing"),
   IF(Calc!BD77=0,
     IF(OR('Waste results'!$S$29&lt;&gt;"data missing", 'Waste results'!$S$101&lt;&gt;"data missing"), Calc!BC77*'Waste results'!$S$29+ Calc!BE77*'Waste results'!$S$101, "data missing"),
   IF(Calc!BC77=0,
     IF(OR('Waste results'!$S$65&lt;&gt;"data missing", 'Waste results'!$S$101&lt;&gt;"data missing"), Calc!BD77*'Waste results'!$S$65+Calc!BE77*'Waste results'!$S$101, "data missing"),
   IF(OR('Waste results'!$S$29&lt;&gt;"data missing", 'Waste results'!$S$65&lt;&gt;"data missing", 'Waste results'!$S$101&lt;&gt;"data missing"), Calc!BC77*'Waste results'!$S$29+Calc!BD77*'Waste results'!$S$65+ Calc!BE77*'Waste results'!$S$101, "data missing")))))))))))</f>
        <v/>
      </c>
      <c r="BG79" s="239" t="str">
        <f ca="1">IF($B79="","",
IF(ISBLANK('Soil results'!O82),"data missing",'Soil results'!O82))</f>
        <v/>
      </c>
      <c r="BH79" s="239" t="str">
        <f t="shared" ca="1" si="30"/>
        <v/>
      </c>
      <c r="BI79" s="9" t="str">
        <f ca="1">IF(B79="","",
IF(BF79=0,"n/a",
IF(OR(BF79="data missing",BG79="data missing"),"data missing",
IF(BF79&gt;3,"application rate too high - permissible rate exceeds limit",
IF('Soil results'!F82&lt;=5.5,
  IF(BG79&gt;50,"no application - soil conc. already above limit",
  IF(BH79&gt;50,"application rate too high - soil conc. will exceed limit",
  IF(BG79&gt;50*0.9,"soil conc. is at or above 90% of the limit",
  IF(10*BF79*1000/3000+BG79&gt;50,"soil limit likely to be exceeded in 10yrs",
  IF(50*BF79*1000/3000+BG79&gt;50,"soil limit likely to be exceeded in 50yrs","ok"))))),
IF('Soil results'!F82&lt;=6,
  IF(BG79&gt;60,"no application - soil conc. already above limit",
  IF(BH79&gt;60,"application rate too high - soil conc. will exceed limit",
  IF(BG79&gt;60*0.9,"soil conc. is at or above 90% of the limit",
  IF(10*BF79*1000/3000+BG79&gt;60,"soil limit likely to be exceeded in 10yrs",
  IF(50*BF79*1000/3000+BG79&gt;60,"soil limit likely to be exceeded in 50yrs","ok"))))),
IF('Soil results'!F82&lt;=7,
  IF(BG79&gt;75,"no application - soil conc. already above limit",
  IF(BH79&gt;75,"application rate too high - soil conc. will exceed limit",
  IF(BG79&gt;75*0.9,"soil conc. is at or above 90% of the limit",
  IF(10*BF79*1000/3000+BG79&gt;75,"soil limit likely to be exceeded in 10yrs",
  IF(50*BF79*1000/3000+BG79&gt;75,"soil limit likely to be exceeded in 50yrs","ok"))))),
IF('Soil results'!F82&gt;7,
  IF(BG79&gt;100,"no application - soil conc. already above limit",
  IF(BH79&gt;100,"application rate too high - soil conc. will exceed limit",
  IF(BG79&gt;100*0.9,"soil conc. is at or above 90% of the limit",
  IF(10*BF79*1000/3000+BG79&gt;100,"soil limit likely to be exceeded in 10yrs",
  IF(50*BF79*1000/3000+BG79&gt;100,"soil limit likely to beexceeded in 50yrs","ok")))))
))))))))</f>
        <v/>
      </c>
      <c r="BK79" s="240" t="str">
        <f ca="1">IF(B79="","",
IF(AND('Field information 2'!$O$5="", 'Field information 2'!$Q$5=""),
   IF('Waste results'!$S$30&lt;&gt;"data missing", Calc!BC77*'Waste results'!$S$30, "data missing"),
IF('Field information 2'!$Q$5="",
   IF(Calc!BD77=0,
     IF('Waste results'!$S$30&lt;&gt;"data missing", Calc!BC77*'Waste results'!$S$30, "data missing"),
   IF(Calc!BC77=0,
     IF('Waste results'!$S$66&lt;&gt;"data missing", Calc!BD77*'Waste results'!$S$66, "data missing"),
   IF(OR('Waste results'!$S$30&lt;&gt;"data missing", 'Waste results'!$S$66&lt;&gt;"data missing"), Calc!BC77*'Waste results'!$S$30+ Calc!BD77*'Waste results'!$S$66, "data missing"))),
IF(AND('Field information 2'!$M$5&lt;&gt;"", 'Field information 2'!$O$5&lt;&gt;"", 'Field information 2'!$Q$5&lt;&gt;""),
   IF(AND(Calc!BD77=0,Calc!BE77=0),
     IF('Waste results'!$S$30&lt;&gt;"data missing", Calc!BC77*'Waste results'!$S$30, "data missing"),
   IF(AND(Calc!BC77=0,Calc!BE77=0),
     IF('Waste results'!$S$66&lt;&gt;"data missing", Calc!BD77*'Waste results'!$S$66, "data missing"),
   IF(AND(Calc!BC77=0,Calc!BD77=0),
     IF('Waste results'!$S$102&lt;&gt;"data missing", Calc!BE77*'Waste results'!$S$102, "data missing"),
   IF(Calc!BE77=0,
     IF(OR('Waste results'!$S$30&lt;&gt;"data missing", 'Waste results'!$S$66&lt;&gt;"data missing"), Calc!BC77*'Waste results'!$S$30+ Calc!BD77*'Waste results'!$S$66, "data missing"),
   IF(Calc!BD77=0,
     IF(OR('Waste results'!$S$30&lt;&gt;"data missing", 'Waste results'!$S$102&lt;&gt;"data missing"), Calc!BC77*'Waste results'!$S$30+ Calc!BE77*'Waste results'!$S$102, "data missing"),
   IF(Calc!BC77=0,
     IF(OR('Waste results'!$S$66&lt;&gt;"data missing", 'Waste results'!$S$102&lt;&gt;"data missing"), Calc!BD77*'Waste results'!$S$66+Calc!BE77*'Waste results'!$S$102, "data missing"),
   IF(OR('Waste results'!$S$30&lt;&gt;"data missing", 'Waste results'!$S$66&lt;&gt;"data missing", 'Waste results'!$S$102&lt;&gt;"data missing"), Calc!BC77*'Waste results'!$S$30+Calc!BD77*'Waste results'!$S$66+ Calc!BE77*'Waste results'!$S$102, "data missing")))))))))))</f>
        <v/>
      </c>
      <c r="BL79" s="241" t="str">
        <f ca="1">IF($B79="","",
IF(ISBLANK('Soil results'!P82),"data missing",'Soil results'!P82))</f>
        <v/>
      </c>
      <c r="BM79" s="241" t="str">
        <f t="shared" ca="1" si="31"/>
        <v/>
      </c>
      <c r="BN79" s="66" t="str">
        <f t="shared" ca="1" si="32"/>
        <v/>
      </c>
      <c r="BP79" s="238" t="str">
        <f ca="1">IF(B79="","",
IF(AND('Field information 2'!$O$5="", 'Field information 2'!$Q$5=""),
   IF('Waste results'!$S$31&lt;&gt;"data missing", Calc!BC77*'Waste results'!$S$31, "data missing"),
IF('Field information 2'!$Q$5="",
   IF(Calc!BD77=0,
     IF('Waste results'!$S$31&lt;&gt;"data missing", Calc!BC77*'Waste results'!$S$31, "data missing"),
   IF(Calc!BC77=0,
     IF('Waste results'!$S$67&lt;&gt;"data missing", Calc!BD77*'Waste results'!$S$67, "data missing"),
   IF(OR('Waste results'!$S$31&lt;&gt;"data missing", 'Waste results'!$S$67&lt;&gt;"data missing"), Calc!BC77*'Waste results'!$S$31+ Calc!BD77*'Waste results'!$S$67, "data missing"))),
IF(AND('Field information 2'!$M$5&lt;&gt;"", 'Field information 2'!$O$5&lt;&gt;"", 'Field information 2'!$Q$5&lt;&gt;""),
   IF(AND(Calc!BD77=0,Calc!BE77=0),
     IF('Waste results'!$S$31&lt;&gt;"data missing", Calc!BC77*'Waste results'!$S$31, "data missing"),
   IF(AND(Calc!BC77=0,Calc!BE77=0),
     IF('Waste results'!$S$67&lt;&gt;"data missing", Calc!BD77*'Waste results'!$S$67, "data missing"),
   IF(AND(Calc!BC77=0,Calc!BD77=0),
     IF('Waste results'!$S$103&lt;&gt;"data missing", Calc!BE77*'Waste results'!$S$103, "data missing"),
   IF(Calc!BE77=0,
     IF(OR('Waste results'!$S$31&lt;&gt;"data missing", 'Waste results'!$S$67&lt;&gt;"data missing"), Calc!BC77*'Waste results'!$S$31+ Calc!BD77*'Waste results'!$S$67, "data missing"),
   IF(Calc!BD77=0,
     IF(OR('Waste results'!$S$31&lt;&gt;"data missing", 'Waste results'!$S$103&lt;&gt;"data missing"), Calc!BC77*'Waste results'!$S$31+ Calc!BE77*'Waste results'!$S$103, "data missing"),
   IF(Calc!BC77=0,
     IF(OR('Waste results'!$S$67&lt;&gt;"data missing", 'Waste results'!$S$103&lt;&gt;"data missing"), Calc!BD77*'Waste results'!$S$67+Calc!BE77*'Waste results'!$S$103, "data missing"),
   IF(OR('Waste results'!$S$31&lt;&gt;"data missing", 'Waste results'!$S$67&lt;&gt;"data missing", 'Waste results'!$S$103&lt;&gt;"data missing"), Calc!BC77*'Waste results'!$S$31+Calc!BD77*'Waste results'!$S$67+ Calc!BE77*'Waste results'!$S$103, "data missing")))))))))))</f>
        <v/>
      </c>
      <c r="BQ79" s="239" t="str">
        <f ca="1">IF($B79="","",
IF(ISBLANK('Soil results'!Q82),"data missing",'Soil results'!Q82))</f>
        <v/>
      </c>
      <c r="BR79" s="239" t="str">
        <f t="shared" ca="1" si="33"/>
        <v/>
      </c>
      <c r="BS79" s="9" t="str">
        <f ca="1">IF(B79="","",
IF(BP79=0,"n/a",
IF(OR(BP79="data missing",BQ79=""),"data missing",
IF(BP79&gt;15,"application rate too high - permissible rate exceeds limit",
IF('Soil results'!F82&lt;=5.5,
  IF(BQ79&gt;200,"no application - soil conc. already above limit",
  IF(BR79&gt;200,"application rate too high - soil conc. will exceed limit",
  IF(BQ79&gt;200*0.9,"soil conc. is at or above 90% of the limit",
  IF(10*BP79*1000/3000+BQ79&gt;200,"soil limit likely to be exceeded in 10yrs",
  IF(50*BP79*1000/3000+BQ79&gt;200,"soil limit likely to be exceeded in 50yrs","ok"))))),
IF('Soil results'!F82&lt;=6,
  IF(BQ79&gt;250,"no application - soil conc. already above limit",
  IF(BR79&gt;250,"application rate too high - soil conc. will exceed limit",
  IF(BQ79&gt;250*0.9,"soil conc. is at or above 90% of the limit",
  IF(10*BP79*1000/3000+BQ79&gt;250,"soil limit likely to be exceeded in 10yrs",
  IF(50*BP79*1000/3000+BQ79&gt;250,"soil limit likely to be exceeded in 50yrs","ok"))))),
IF('Soil results'!F82&lt;=7,
  IF(BQ79&gt;300,"no application - soil conc. already above limit",
  IF(BR79&gt;300,"application rate too high - soil conc. will exceed limit",
  IF(BQ79&gt;300*0.9,"soil conc. is at or above 90% of the limit",
  IF(10*BP79*1000/3000+BQ79&gt;300,"soil limit likey to be exceeded in 10yrs",
  IF(50*BP79*1000/3000+BQ79&gt;300,"soil limit likely to be exceeded in 50yrs","ok"))))),
IF('Soil results'!F82&gt;7,
  IF(BQ79&gt;450,"no application - soil conc. already above limit",
  IF(BR79&gt;450,"application rate too high - soil conc. will exceed limit",
  IF(AW79&gt;450*0.9,"soil conc. is at or above 90% of the limit",
  IF(10*BP79*1000/3000+BQ79&gt;450,"soil limit likely to be exceeded in 10yrs",
  IF(50*BP79*1000/3000+BQ79&gt;450,"soil limit likely to be exceeded in 50yrs","ok")))))
))))))))</f>
        <v/>
      </c>
    </row>
    <row r="80" spans="2:71" s="9" customFormat="1" ht="15" x14ac:dyDescent="0.25">
      <c r="B80" s="236" t="str">
        <f ca="1">'Soil results'!B83</f>
        <v/>
      </c>
      <c r="C80" s="91" t="str">
        <f ca="1">IF(B80="","",
IF(AND('Field information 2'!$O$5="", 'Field information 2'!$Q$5=""),
   IF('Waste results'!$S$12&lt;&gt;"data missing", Calc!BC78*'Waste results'!$S$12, "data missing"),
IF('Field information 2'!$Q$5="",
   IF(Calc!BD78=0,
     IF('Waste results'!$S$12&lt;&gt;"data missing", Calc!BC78*'Waste results'!$S$12, "data missing"),
   IF(Calc!BC78=0,
     IF('Waste results'!$S$48&lt;&gt;"data missing", Calc!BD78*'Waste results'!$S$48, "data missing"),
   IF(OR('Waste results'!$S$12&lt;&gt;"data missing", 'Waste results'!$S$48&lt;&gt;"data missing"), Calc!BC78*'Waste results'!$S$12+ Calc!BD78*'Waste results'!$S$48, "data missing"))),
IF(AND('Field information 2'!$M$5&lt;&gt;"", 'Field information 2'!$O$5&lt;&gt;"", 'Field information 2'!$Q$5&lt;&gt;""),
   IF(AND(Calc!BD78=0,Calc!BE78=0),
     IF('Waste results'!$S$12&lt;&gt;"data missing", Calc!BC78*'Waste results'!$S$12, "data missing"),
   IF(AND(Calc!BC78=0,Calc!BE78=0),
     IF('Waste results'!$S$48&lt;&gt;"data missing", Calc!BD78*'Waste results'!$S$48, "data missing"),
   IF(AND(Calc!BC78=0,Calc!BD78=0),
     IF('Waste results'!$S$84&lt;&gt;"data missing", Calc!BE78*'Waste results'!$S$84, "data missing"),
   IF(Calc!BE78=0,
     IF(OR('Waste results'!$S$12&lt;&gt;"data missing", 'Waste results'!$S$48&lt;&gt;"data missing"), Calc!BC78*'Waste results'!$S$12+ Calc!BD78*'Waste results'!$S$48, "data missing"),
   IF(Calc!BD78=0,
     IF(OR('Waste results'!$S$12&lt;&gt;"data missing", 'Waste results'!$S$84&lt;&gt;"data missing"), Calc!BC78*'Waste results'!$S$12+ Calc!BE78*'Waste results'!$S$84, "data missing"),
   IF(Calc!BC78=0,
     IF(OR('Waste results'!$S$48&lt;&gt;"data missing", 'Waste results'!$S$84&lt;&gt;"data missing"), Calc!BD78*'Waste results'!$S$48+Calc!BE78*'Waste results'!$S$84, "data missing"),
   IF(OR('Waste results'!$S$12&lt;&gt;"data missing", 'Waste results'!$S$48&lt;&gt;"data missing", 'Waste results'!$S$84&lt;&gt;"data missing"), Calc!BC78*'Waste results'!$S$12+Calc!BD78*'Waste results'!$S$48+ Calc!BE78*'Waste results'!$S$84, "data missing")))))))))))</f>
        <v/>
      </c>
      <c r="D80" s="161" t="str">
        <f ca="1">IF(B80="","",
IF(Calc!BG78="","soil texture missing",
IF(OR(Calc!BG78="SL; SZL; ZL",Calc!BG78="SCL; CL; ZCL; SC; ZC; C"),VLOOKUP(Calc!BI78,'Fertiliser recommendations'!$A$4:$C$63,3,FALSE),
IF(Calc!BG78="S; LS",VLOOKUP(Calc!BI78,'Fertiliser recommendations'!$A$4:$C$63,3,FALSE)+VLOOKUP(Calc!BI78,'Fertiliser recommendations'!$A$4:$D$63,4,FALSE),
IF(Calc!BG78="10-25% OM",VLOOKUP(Calc!BI78,'Fertiliser recommendations'!$A$4:$C$63,3,FALSE)+VLOOKUP(Calc!BI78,'Fertiliser recommendations'!$A$4:$E$63,5,FALSE),
IF(Calc!BG78="&gt;25% OM",VLOOKUP(Calc!BI78,'Fertiliser recommendations'!$A$4:$C$63,3,FALSE)+VLOOKUP(Calc!BI78,'Fertiliser recommendations'!$A$4:$F$63,6,FALSE),
""))))))</f>
        <v/>
      </c>
      <c r="E80" s="91" t="str">
        <f t="shared" ca="1" si="17"/>
        <v/>
      </c>
      <c r="F80" s="9" t="str">
        <f ca="1">IF(B80="","",
IF(OR(C80="data missing",D80="soil texture missing"),"data missing",
IF(Calc!BF78=0,"n/a",
IF(C80&lt;0.1*D80,"no benefit",
IF(C80&lt;0.3*D80,"limited benefit",
IF(C80&gt;250,"exceeds limit",
IF(OR(AND(D80=0,C80&gt;75),C80&gt;1.25*D80),"excessive",
IF(D80=0, "no requirement",
"benefit"))))))))</f>
        <v/>
      </c>
      <c r="H80" s="91" t="str">
        <f ca="1">IF(B80="","",
IF(AND('Field information 2'!$O$5="", 'Field information 2'!$Q$5=""),
   IF('Waste results'!$S$17&lt;&gt;"data missing", Calc!BC78*'Waste results'!$S$17, "data missing"),
IF('Field information 2'!$Q$5="",
   IF(Calc!BD78=0,
     IF('Waste results'!$S$17&lt;&gt;"data missing", Calc!BC78*'Waste results'!$S$17, "data missing"),
   IF(Calc!BC78=0,
     IF('Waste results'!$S$53&lt;&gt;"data missing", Calc!BD78*'Waste results'!$S$53, "data missing"),
   IF(OR('Waste results'!$S$17&lt;&gt;"data missing", 'Waste results'!$S$53&lt;&gt;"data missing"), Calc!BC78*'Waste results'!$S$17+ Calc!BD78*'Waste results'!$S$53, "data missing"))),
IF(AND('Field information 2'!$M$5&lt;&gt;"", 'Field information 2'!$O$5&lt;&gt;"", 'Field information 2'!$Q$5&lt;&gt;""),
   IF(AND(Calc!BD78=0,Calc!BE78=0),
     IF('Waste results'!$S$17&lt;&gt;"data missing", Calc!BC78*'Waste results'!$S$17, "data missing"),
   IF(AND(Calc!BC78=0,Calc!BE78=0),
     IF('Waste results'!$S$53&lt;&gt;"data missing", Calc!BD78*'Waste results'!$S$53, "data missing"),
   IF(AND(Calc!BC78=0,Calc!BD78=0),
     IF('Waste results'!$S$89&lt;&gt;"data missing", Calc!BE78*'Waste results'!$S$89, "data missing"),
   IF(Calc!BE78=0,
     IF(OR('Waste results'!$S$17&lt;&gt;"data missing", 'Waste results'!$S$53&lt;&gt;"data missing"), Calc!BC78*'Waste results'!$S$17+ Calc!BD78*'Waste results'!$S$53, "data missing"),
   IF(Calc!BD78=0,
     IF(OR('Waste results'!$S$17&lt;&gt;"data missing", 'Waste results'!$S$89&lt;&gt;"data missing"), Calc!BC78*'Waste results'!$S$17+ Calc!BE78*'Waste results'!$S$89, "data missing"),
   IF(Calc!BC78=0,
     IF(OR('Waste results'!$S$53&lt;&gt;"data missing", 'Waste results'!$S$89&lt;&gt;"data missing"), Calc!BD78*'Waste results'!$S$53+Calc!BE78*'Waste results'!$S$89, "data missing"),
   IF(OR('Waste results'!$S$17&lt;&gt;"data missing", 'Waste results'!$S$53&lt;&gt;"data missing", 'Waste results'!$S$89&lt;&gt;"data missing"), Calc!BC78*'Waste results'!$S$17+Calc!BD78*'Waste results'!$S$53+ Calc!BE78*'Waste results'!$S$89, "data missing")))))))))))</f>
        <v/>
      </c>
      <c r="I80" s="195" t="str">
        <f ca="1">IF(B80="","",
IF(OR(ISBLANK('Soil results'!G83), ISBLANK('Soil results'!G$7)),"data missing",
IF(OR(AND('Soil results'!G$7="Olsen (ADAS)",'Soil results'!G83&lt;16),AND('Soil results'!G$7="modified Morgan (SAC)",'Soil results'!G83&lt;4.5)),50,100)))</f>
        <v/>
      </c>
      <c r="J80" s="49" t="str">
        <f ca="1">IF(B80="","",
IF(OR(ISBLANK('Soil results'!G$7),ISBLANK('Soil results'!G83)),"data missing",
IF(OR(AND('Soil results'!G$7="Olsen (ADAS)",'Soil results'!G83&gt;45),AND('Soil results'!G$7="modified Morgan (SAC)",'Soil results'!G83&gt;30)),0,
IF(OR(AND('Soil results'!G$7="Olsen (ADAS)",'Soil results'!G83&gt;=16,'Soil results'!G83&lt;=20),AND('Soil results'!G$7="modified Morgan (SAC)",'Soil results'!G83&gt;=4.5,'Soil results'!G83&lt;=9.4)),VLOOKUP(Calc!BI78,'Fertiliser recommendations'!$A$4:$I$63,9,FALSE),
IF(OR(AND('Soil results'!G$7="Olsen (ADAS)",'Soil results'!G83&lt;10),AND('Soil results'!G$7="modified Morgan (SAC)",'Soil results'!G83&lt;1.8)),VLOOKUP(Calc!BI78,'Fertiliser recommendations'!$A$4:$I$63,9,FALSE)+VLOOKUP(Calc!BI78,'Fertiliser recommendations'!$A$4:$J$63,10,FALSE),
IF(OR(AND('Soil results'!G$7="Olsen (ADAS)",'Soil results'!G83&lt;16),AND('Soil results'!G$7="modified Morgan (SAC)",'Soil results'!G83&lt;4.5)),VLOOKUP(Calc!BI78,'Fertiliser recommendations'!$A$4:$I$63,9,FALSE)+VLOOKUP(Calc!BI78,'Fertiliser recommendations'!$A$4:$K$63,11,FALSE),
IF(OR(AND('Soil results'!G$7="Olsen (ADAS)",'Soil results'!G83&lt;26),AND('Soil results'!G$7="modified Morgan (SAC)",'Soil results'!G83&lt;13.5)),VLOOKUP(Calc!BI78,'Fertiliser recommendations'!$A$4:$I$63,9,FALSE)+VLOOKUP(Calc!BI78,'Fertiliser recommendations'!$A$4:$L$63,12,FALSE),
IF(OR(AND('Soil results'!G$7="Olsen (ADAS)",'Soil results'!G83&lt;=45),AND('Soil results'!G$7="modified Morgan (SAC)",'Soil results'!G83&lt;=30)),VLOOKUP(Calc!BI78,'Fertiliser recommendations'!$A$4:$I$63,9,FALSE)+VLOOKUP(Calc!BI78,'Fertiliser recommendations'!$A$4:$M$63,13,FALSE),
""))))))))</f>
        <v/>
      </c>
      <c r="K80" s="161" t="str">
        <f t="shared" ca="1" si="18"/>
        <v/>
      </c>
      <c r="L80" s="47" t="str">
        <f ca="1">IF(OR(ISBLANK('Soil results'!G$7),ISBLANK('Soil results'!G83),B80="", H80="data missing"),"",
IF('Soil results'!G$7="Olsen (ADAS)",
IF(((H80*Calc!BM78/2.291-(VLOOKUP(Calc!BI78,'Fertiliser recommendations'!$A$4:$I$63,9,FALSE))/2.291)*10/(400/2.291)+'Soil results'!G83)&lt;10,"0 (VL)",
IF(((H80*Calc!BM78/2.291-(VLOOKUP(Calc!BI78,'Fertiliser recommendations'!$A$4:$I$63,9,FALSE))/2.291)*10/(400/2.291)+'Soil results'!G83)&lt;16,"1 (L)",
IF(((H80*Calc!BM78/2.291-(VLOOKUP(Calc!BI78,'Fertiliser recommendations'!$A$4:$I$63,9,FALSE))/2.291)*10/(400/2.291)+'Soil results'!G83)&lt;21,"2 (M-)",
IF(((H80*Calc!BM78/2.291-(VLOOKUP(Calc!BI78,'Fertiliser recommendations'!$A$4:$I$63,9,FALSE))/2.291)*10/(400/2.291)+'Soil results'!G83)&lt;26,"2 (M+)",
IF(((H80*Calc!BM78/2.291-(VLOOKUP(Calc!BI78,'Fertiliser recommendations'!$A$4:$I$63,9,FALSE))/2.291)*10/(400/2.291)+'Soil results'!G83)&lt;45,"3 (H)","&gt;3 (VH)"))))),
IF('Soil results'!G$7="modified Morgan (SAC)",
IF('Soil results'!G83&gt;=6,
IF(((H80*Calc!BM78/2.291-(VLOOKUP(Calc!BI78,'Fertiliser recommendations'!$A$4:$I$63,9,FALSE))/2.291)*5/(147/2.291)+'Soil results'!G83)&lt;9.5,"2 (M-)",
IF(((H80*Calc!BM78/2.291-(VLOOKUP(Calc!BI78,'Fertiliser recommendations'!$A$4:$I$63,9,FALSE))/2.291)*5/(147/2.291)+'Soil results'!G83)&lt;13.5,"2 (M+)",
IF(((H80*Calc!BM78/2.291-(VLOOKUP(Calc!BI78,'Fertiliser recommendations'!$A$4:$I$63,9,FALSE))/2.291)*5/(147/2.291)+'Soil results'!G83)&lt;30,"3 (H)","4 (VH)"))),
IF(((H80*Calc!BM78/2.291-(VLOOKUP(Calc!BI78,'Fertiliser recommendations'!$A$4:$I$63,9,FALSE))/2.291)*5/(346/2.291)+'Soil results'!G83)&lt;1.8,"0 (VL)",
IF(((H80*Calc!BM78/2.291-(VLOOKUP(Calc!BI78,'Fertiliser recommendations'!$A$4:$I$63,9,FALSE))/2.291)*5/(147/2.291)+'Soil results'!G83)&lt;4.5,"1 (L)","2 (M-)"))))))</f>
        <v/>
      </c>
      <c r="M80" s="9" t="str">
        <f ca="1">IF(B80="","",
IF(OR(H80="data missing",I80="data missing",J80="data missing"),"data missing",
IF(Calc!BF78=0,"n/a",
IF(OR(AND('Soil results'!G$7="Olsen (ADAS)",'Soil results'!G83&gt;45),AND('Soil results'!G$7="modified Morgan (SAC)",'Soil results'!G83&gt;30)),
IF(H80&gt;2,"too high, not acceptable","no requirement"),IF(OR(AND('Soil results'!G$7="Olsen (ADAS)",'Soil results'!G83&gt;25),AND('Soil results'!G$7="modified Morgan (SAC)",'Soil results'!G83&gt;13.4)),
IF(H80*(I80/100)&lt;0.1*J80,"no benefit",
IF(H80*(I80/100)&lt;0.3*J80,"limited benefit",
IF(H80*(I80/100)&lt;1.1*J80,"benefit",
IF(H80*(I80/100)&lt;0.7*VLOOKUP(Calc!BI78,'Fertiliser recommendations'!$A$4:$I$63,9,FALSE),"excessive","too high, not acceptable")))),
IF(OR(AND('Soil results'!G$7="Olsen (ADAS)",'Soil results'!G83&gt;20),AND('Soil results'!G$7="modified Morgan (SAC)",'Soil results'!G83&gt;9.4)),
IF(H80*Calc!BM78*(I80/100)&lt;0.1*J80,"no benefit",
IF(H80*Calc!BM78*(I80/100)&lt;0.3*J80,"limited benefit",
IF(H80*Calc!BM78*(I80/100)&lt;1.1*J80,"benefit",
IF(L80="3 (H)","too high, not acceptable","excessive")))),
IF(OR(AND('Soil results'!G$7="Olsen (ADAS)",'Soil results'!G83&gt;15),AND('Soil results'!G$7="modified Morgan (SAC)",'Soil results'!G83&gt;4.4)),
IF(H80*Calc!BM78*(I80/100)&lt;0.1*VLOOKUP(Calc!BI78,'Fertiliser recommendations'!$A$4:$I$63,9,FALSE),"no benefit",
IF(H80*Calc!BM78*(I80/100)&lt;0.3*VLOOKUP(Calc!BI78,'Fertiliser recommendations'!$A$4:$I$63,9,FALSE),"limited benefit",
IF(H80*Calc!BM78*(I80/100)&lt;1.1*VLOOKUP(Calc!BI78,'Fertiliser recommendations'!$A$4:$I$63,9,FALSE),"benefit",
IF(L80="3 (H)", "too high, not acceptable", "excessive")))),
IF(OR(AND('Soil results'!G$7="Olsen (ADAS)",'Soil results'!G83&lt;=15),AND('Soil results'!G$7="modified Morgan (SAC)",'Soil results'!G83&lt;=4.4)),
IF(H80*Calc!BM78*(I80/100)&lt;0.1*VLOOKUP(Calc!BI78,'Fertiliser recommendations'!$A$4:$I$63,9,FALSE),"no benefit",
IF(H80*Calc!BM78*(I80/100)&lt;0.3*VLOOKUP(Calc!BI78,'Fertiliser recommendations'!$A$4:$I$63,9,FALSE),"limited benefit",
IF(H80*Calc!BM78*(I80/100)&lt;1.1*J80,"benefit","excessive")))))))))))</f>
        <v/>
      </c>
      <c r="O80" s="91" t="str">
        <f ca="1">IF(B80="","",
IF(AND('Field information 2'!$O$5="", 'Field information 2'!$Q$5=""),
   IF('Waste results'!$S$19&lt;&gt;"data missing", Calc!BC78*'Waste results'!$S$19, "data missing"),
IF('Field information 2'!$Q$5="",
   IF(Calc!BD78=0,
     IF('Waste results'!$S$19&lt;&gt;"data missing", Calc!BC78*'Waste results'!$S$19, "data missing"),
   IF(Calc!BC78=0,
     IF('Waste results'!$S$55&lt;&gt;"data missing", Calc!BD78*'Waste results'!$S$55, "data missing"),
   IF(OR('Waste results'!$S$19&lt;&gt;"data missing", 'Waste results'!$S$55&lt;&gt;"data missing"), Calc!BC78*'Waste results'!$S$19+ Calc!BD78*'Waste results'!$S$55, "data missing"))),
IF(AND('Field information 2'!$M$5&lt;&gt;"", 'Field information 2'!$O$5&lt;&gt;"", 'Field information 2'!$Q$5&lt;&gt;""),
   IF(AND(Calc!BD78=0,Calc!BE78=0),
     IF('Waste results'!$S$19&lt;&gt;"data missing", Calc!BC78*'Waste results'!$S$19, "data missing"),
   IF(AND(Calc!BC78=0,Calc!BE78=0),
     IF('Waste results'!$S$55&lt;&gt;"data missing", Calc!BD78*'Waste results'!$S$55, "data missing"),
   IF(AND(Calc!BC78=0,Calc!BD78=0),
     IF('Waste results'!$S$91&lt;&gt;"data missing", Calc!BE78*'Waste results'!$S$91, "data missing"),
   IF(Calc!BE78=0,
     IF(OR('Waste results'!$S$19&lt;&gt;"data missing", 'Waste results'!$S$55&lt;&gt;"data missing"), Calc!BC78*'Waste results'!$S$19+ Calc!BD78*'Waste results'!$S$55, "data missing"),
   IF(Calc!BD78=0,
     IF(OR('Waste results'!$S$19&lt;&gt;"data missing", 'Waste results'!$S$91&lt;&gt;"data missing"), Calc!BC78*'Waste results'!$S$19+ Calc!BE78*'Waste results'!$S$91, "data missing"),
   IF(Calc!BC78=0,
     IF(OR('Waste results'!$S$55&lt;&gt;"data missing", 'Waste results'!$S$91&lt;&gt;"data missing"), Calc!BD78*'Waste results'!$S$55+Calc!BE78*'Waste results'!$S$91, "data missing"),
   IF(OR('Waste results'!$S$19&lt;&gt;"data missing", 'Waste results'!$S$55&lt;&gt;"data missing", 'Waste results'!$S$91&lt;&gt;"data missing"), Calc!BC78*'Waste results'!$S$19+Calc!BD78*'Waste results'!$S$55+ Calc!BE78*'Waste results'!$S$91, "data missing")))))))))))</f>
        <v/>
      </c>
      <c r="P80" s="91" t="str">
        <f ca="1">IF(B80="","",
IF(OR(ISBLANK('Soil results'!H$7),ISBLANK('Soil results'!H83)),"data missing",
IF(OR(AND('Soil results'!H$7="ammonium nitrate (ADAS)",'Soil results'!H83&gt;400),AND('Soil results'!H$7="modified Morgan (SAC)",'Soil results'!H83&gt;400)),0,
IF(OR(AND('Soil results'!H$7="ammonium nitrate (ADAS)",'Soil results'!H83&gt;=121,'Soil results'!H83&lt;=180),AND('Soil results'!H$7="modified Morgan (SAC)",'Soil results'!H83&gt;=76,'Soil results'!H83&lt;=140)),VLOOKUP(Calc!BI78,'Fertiliser recommendations'!$A$4:$Z$63,26,FALSE),
IF(OR(AND('Soil results'!H$7="ammonium nitrate (ADAS)",'Soil results'!H83&lt;61),AND('Soil results'!H$7="modified Morgan (SAC)",'Soil results'!H83&lt;40)),VLOOKUP(Calc!BI78,'Fertiliser recommendations'!$A$4:$Z$63,26,FALSE)+VLOOKUP(Calc!BI78,'Fertiliser recommendations'!$A$4:$AA$63,27,FALSE),
IF(OR(AND('Soil results'!H$7="ammonium nitrate (ADAS)",'Soil results'!H83&lt;121),AND('Soil results'!H$7="modified Morgan (SAC)",'Soil results'!H83&lt;76)),VLOOKUP(Calc!BI78,'Fertiliser recommendations'!$A$4:$Z$63,26,FALSE)+VLOOKUP(Calc!BI78,'Fertiliser recommendations'!$A$4:$AB$63,28,FALSE),
IF(OR(AND('Soil results'!H$7="ammonium nitrate (ADAS)",'Soil results'!H83&lt;241),AND('Soil results'!H$7="modified Morgan (SAC)",'Soil results'!H83&lt;201)),VLOOKUP(Calc!BI78,'Fertiliser recommendations'!$A$4:$Z$63,26,FALSE)+VLOOKUP(Calc!BI78,'Fertiliser recommendations'!$A$4:$AC$63,29,FALSE),
IF(OR(AND('Soil results'!H$7="ammonium nitrate (ADAS)",'Soil results'!H83&lt;=400),AND('Soil results'!H$7="modified Morgan (SAC)",'Soil results'!H83&lt;=400)),VLOOKUP(Calc!BI78,'Fertiliser recommendations'!$A$4:$Z$63,26,FALSE)+VLOOKUP(Calc!BI78,'Fertiliser recommendations'!$A$4:$AD$63,30,FALSE),
"??"))))))))</f>
        <v/>
      </c>
      <c r="Q80" s="91" t="str">
        <f t="shared" ca="1" si="19"/>
        <v/>
      </c>
      <c r="R80" s="9" t="str">
        <f ca="1">IF(B80="","",
IF(OR(O80="data missing",P80="data missing"),"data missing",
IF(Calc!BF78=0,"n/a",
IF(P80=0, "no requirement",
IF(O80&lt;0.1*P80,"no benefit",
IF(O80&lt;0.3*P80,"limited benefit",
IF(O80&gt;1.25*P80,"excessive",
"benefit")))))))</f>
        <v/>
      </c>
      <c r="T80" s="91" t="str">
        <f ca="1">IF(B80="","",
IF(AND('Field information 2'!$O$5="", 'Field information 2'!$Q$5=""),
   IF('Waste results'!$S$21&lt;&gt;"data missing", Calc!BC78*'Waste results'!$S$21, "data missing"),
IF('Field information 2'!$Q$5="",
   IF(Calc!BD78=0,
     IF('Waste results'!$S$21&lt;&gt;"data missing", Calc!BC78*'Waste results'!$S$21, "data missing"),
   IF(Calc!BC78=0,
     IF('Waste results'!$S$57&lt;&gt;"data missing", Calc!BD78*'Waste results'!$S$57, "data missing"),
   IF(OR('Waste results'!$S$21&lt;&gt;"data missing", 'Waste results'!$S$57&lt;&gt;"data missing"), Calc!BC78*'Waste results'!$S$21+ Calc!BD78*'Waste results'!$S$57, "data missing"))),
IF(AND('Field information 2'!$M$5&lt;&gt;"", 'Field information 2'!$O$5&lt;&gt;"", 'Field information 2'!$Q$5&lt;&gt;""),
   IF(AND(Calc!BD78=0,Calc!BE78=0),
     IF('Waste results'!$S$21&lt;&gt;"data missing", Calc!BC78*'Waste results'!$S$21, "data missing"),
   IF(AND(Calc!BC78=0,Calc!BE78=0),
     IF('Waste results'!$S$57&lt;&gt;"data missing", Calc!BD78*'Waste results'!$S$57, "data missing"),
   IF(AND(Calc!BC78=0,Calc!BD78=0),
     IF('Waste results'!$S$93&lt;&gt;"data missing", Calc!BE78*'Waste results'!$S$93, "data missing"),
   IF(Calc!BE78=0,
     IF(OR('Waste results'!$S$21&lt;&gt;"data missing", 'Waste results'!$S$57&lt;&gt;"data missing"), Calc!BC78*'Waste results'!$S$21+ Calc!BD78*'Waste results'!$S$57, "data missing"),
   IF(Calc!BD78=0,
     IF(OR('Waste results'!$S$21&lt;&gt;"data missing", 'Waste results'!$S$93&lt;&gt;"data missing"), Calc!BC78*'Waste results'!$S$21+ Calc!BE78*'Waste results'!$S$93, "data missing"),
   IF(Calc!BC78=0,
     IF(OR('Waste results'!$S$57&lt;&gt;"data missing", 'Waste results'!$S$93&lt;&gt;"data missing"), Calc!BD78*'Waste results'!$S$57+Calc!BE78*'Waste results'!$S$93, "data missing"),
   IF(OR('Waste results'!$S$21&lt;&gt;"data missing", 'Waste results'!$S$57&lt;&gt;"data missing", 'Waste results'!$S$93&lt;&gt;"data missing"), Calc!BC78*'Waste results'!$S$21+Calc!BD78*'Waste results'!$S$57+ Calc!BE78*'Waste results'!$S$93, "data missing")))))))))))</f>
        <v/>
      </c>
      <c r="U80" s="7" t="str">
        <f ca="1">IF(B80="","",
IF(OR(ISBLANK('Soil results'!I$7),ISBLANK('Soil results'!I83)),"data missing",
IF(OR(AND('Soil results'!I$7="ammonium nitrate (ADAS)",'Soil results'!I83&gt;51),AND('Soil results'!I$7="modified Morgan (SAC)",'Soil results'!I83&gt;61)),0,
IF(OR(AND('Soil results'!I$7="ammonium nitrate (ADAS)",'Soil results'!I83&lt;25),AND('Soil results'!I$7="modified Morgan (SAC)",'Soil results'!I83&lt;19)),VLOOKUP(Calc!BI78,'Fertiliser recommendations'!$A$4:$AH$63,34,FALSE),
IF(OR(AND('Soil results'!I$7="ammonium nitrate (ADAS)",'Soil results'!I83&lt;=51),AND('Soil results'!I$7="modified Morgan (SAC)",'Soil results'!I83&lt;=61)),VLOOKUP(Calc!BI78,'Fertiliser recommendations'!$A$4:$AI$63,35,FALSE),
"")))))</f>
        <v/>
      </c>
      <c r="V80" s="91" t="str">
        <f t="shared" ca="1" si="20"/>
        <v/>
      </c>
      <c r="W80" s="9" t="str">
        <f ca="1">IF(B80="","",
IF(OR(T80="data missing",U80="data missing"),"data missing",
IF(Calc!BF78=0,"n/a",
IF(U80=0,"no requirement",
IF(T80&lt;0.1*U80,"no benefit",
IF(T80&lt;0.3*U80,"limited benefit",
IF(OR(T80&gt;1.5*U80,AND(Calc!BJ78="g",T80&gt;100)),"excessive",
"benefit")))))))</f>
        <v/>
      </c>
      <c r="Y80" s="91" t="str">
        <f ca="1">IF(B80="","",
IF(AND('Field information 2'!$O$5="", 'Field information 2'!$Q$5=""),
   IF('Waste results'!$P$23&lt;&gt;"", Calc!BC78*'Waste results'!$P$23, "no data"),
IF('Field information 2'!$Q$5="",
   IF(Calc!BD78=0,
     IF('Waste results'!$P$23&lt;&gt;"", Calc!BC78*'Waste results'!$P$23, "no data"),
   IF(Calc!BC78=0,
     IF('Waste results'!$P$59&lt;&gt;"", Calc!BD78*'Waste results'!$P$59, "no data"),
   IF(OR('Waste results'!$P$23&lt;&gt;"", 'Waste results'!$P$59&lt;&gt;""), Calc!BC78*'Waste results'!$P$23+ Calc!BD78*'Waste results'!$P$59, "no data"))),
IF(AND('Field information 2'!$M$5&lt;&gt;"", 'Field information 2'!$O$5&lt;&gt;"", 'Field information 2'!$Q$5&lt;&gt;""),
   IF(AND(Calc!BD78=0,Calc!BE78=0),
     IF('Waste results'!$P$23&lt;&gt;"", Calc!BC78*'Waste results'!$P$23, "no data"),
   IF(AND(Calc!BC78=0,Calc!BE78=0),
     IF('Waste results'!$P$59&lt;&gt;"", Calc!BD78*'Waste results'!$P$59, "no data"),
   IF(AND(Calc!BC78=0,Calc!BD78=0),
     IF('Waste results'!$P$95&lt;&gt;"", Calc!BE78*'Waste results'!$P$95, "no data"),
   IF(Calc!BE78=0,
     IF(OR('Waste results'!$P$23&lt;&gt;"", 'Waste results'!$P$59&lt;&gt;""), Calc!BC78*'Waste results'!$P$23+ Calc!BD78*'Waste results'!$P$59, "no data"),
   IF(Calc!BD78=0,
     IF(OR('Waste results'!$P$23&lt;&gt;"", 'Waste results'!$P$95&lt;&gt;""), Calc!BC78*'Waste results'!$P$23+ Calc!BE78*'Waste results'!$P$95, "no data"),
   IF(Calc!BC78=0,
     IF(OR('Waste results'!$P$59&lt;&gt;"", 'Waste results'!$P$95&lt;&gt;""), Calc!BD78*'Waste results'!$P$59+Calc!BE78*'Waste results'!$P$95, "no data"),
   IF(OR('Waste results'!$P$23&lt;&gt;"", 'Waste results'!$P$59&lt;&gt;"", 'Waste results'!$P$95&lt;&gt;""), Calc!BC78*'Waste results'!$P$23+Calc!BD78*'Waste results'!$P$59+ Calc!BE78*'Waste results'!$P$95, "no data")))))))))))</f>
        <v/>
      </c>
      <c r="Z80" s="7" t="str">
        <f ca="1">IF(OR(ISBLANK('Soil results'!I$7),ISBLANK('Soil results'!I83),'Soil results'!B83=""),"",
VLOOKUP(Calc!BI78,'Fertiliser recommendations'!$A$4:$AM$63,39,FALSE))</f>
        <v/>
      </c>
      <c r="AA80" s="91" t="str">
        <f t="shared" ca="1" si="21"/>
        <v/>
      </c>
      <c r="AB80" s="9" t="str">
        <f t="shared" ca="1" si="22"/>
        <v/>
      </c>
      <c r="AD80" s="48" t="str">
        <f>IF(ISBLANK('Soil results'!F83),"",'Soil results'!F83)</f>
        <v/>
      </c>
      <c r="AE80" s="49" t="str">
        <f ca="1">IF(B80="","",
IF(AND(Calc!BJ78="g", VLOOKUP(LEFT($B80,LEN($B80)-2),'Field information 2'!$B$12:$P$111,9,FALSE)&lt;&gt;"yes"),
 IF(Calc!BG78="10-25% OM", 5.9, IF(Calc!BG78="&gt;25% OM", 5.5, 6.2)),
IF(OR(Calc!BJ78="a", VLOOKUP(LEFT($B80,LEN($B80)-2),'Field information 2'!$B$12:$P$111,9,FALSE)="yes"),
 IF(Calc!BG78="10-25% OM", 6.4, IF(Calc!BG78="&gt;25% OM", 6, 6.7)), "")))</f>
        <v/>
      </c>
      <c r="AF80" s="91" t="str">
        <f ca="1">IF(B80="","",
IF('Waste results'!$Q$33="","no (significant) liming properties",
IF('Waste results'!Q$33&gt;100,"no (significant) liming properties",
IF(AD80="","",
IF(AD80&gt;=AE80,0,ROUNDDOWN((AE80-AD80)*Calc!BK78*'Waste results'!$Q$33+0.2,0))))))</f>
        <v/>
      </c>
      <c r="AG80" s="9" t="str">
        <f ca="1">IF(B80="","",
IF(T80=0,"n/a",
IF(AD80="","data missing",
IF(AND(AD80&lt;5,AF80="no (significant) liming properties"),"no waste application - pH too low",
IF(AND(AD80&gt;5.1,AF80="no (significant) liming properties",Calc!BH78&gt;25, LEFT(Calc!BI78,4)="graz"),"ok",
IF(AND(AD80&lt;=5.2,AF80="no (significant) liming properties"),"liming highly recommended",
IF(AF80=0,"no waste application - liming not required",
IF(AF80&lt;Calc!BC78,"application rate too high - exceeds liming requirement",
"ok"))))))))</f>
        <v/>
      </c>
      <c r="AI80" s="91" t="str">
        <f ca="1">IF(B80="","",
IF(AND('Field information 2'!$O$5="", 'Field information 2'!$Q$5=""),
   IF('Waste results'!$P$10&lt;&gt;"data missing", Calc!BC78*'Waste results'!$P$10, "data missing"),
IF('Field information 2'!$Q$5="",
   IF(Calc!BD78=0,
     IF('Waste results'!$P$10&lt;&gt;"data missing", Calc!BC78*'Waste results'!$P$10, "data missing"),
   IF(Calc!BC78=0,
     IF('Waste results'!$P$45&lt;&gt;"data missing", Calc!BD78*'Waste results'!$P$45, "data missing"),
   IF(OR('Waste results'!$P$10&lt;&gt;"data missing", 'Waste results'!$P$45&lt;&gt;"data missing"), Calc!BC78*'Waste results'!$P$10+ Calc!BD78*'Waste results'!$P$45, "data missing"))),
IF(AND('Field information 2'!$M$5&lt;&gt;"", 'Field information 2'!$O$5&lt;&gt;"", 'Field information 2'!$Q$5&lt;&gt;""),
   IF(AND(Calc!BD78=0,Calc!BE78=0),
     IF('Waste results'!$P$10&lt;&gt;"data missing", Calc!BC78*'Waste results'!$P$10, "data missing"),
   IF(AND(Calc!BC78=0,Calc!BE78=0),
     IF('Waste results'!$P$45&lt;&gt;"data missing", Calc!BD78*'Waste results'!$P$45, "data missing"),
   IF(AND(Calc!BC78=0,Calc!BD78=0),
     IF('Waste results'!$P$82&lt;&gt;"data missing", Calc!BE78*'Waste results'!$P$82, "data missing"),
   IF(Calc!BE78=0,
     IF(OR('Waste results'!$P$10&lt;&gt;"data missing", 'Waste results'!$P$45&lt;&gt;"data missing"), Calc!BC78*'Waste results'!$P$10+ Calc!BD78*'Waste results'!$P$45, "data missing"),
   IF(Calc!BD78=0,
     IF(OR('Waste results'!$P$10&lt;&gt;"data missing", 'Waste results'!$P$82&lt;&gt;"data missing"), Calc!BC78*'Waste results'!$P$10+ Calc!BE78*'Waste results'!$P$82, "data missing"),
   IF(Calc!BC78=0,
     IF(OR('Waste results'!$P$45&lt;&gt;"data missing", 'Waste results'!$P$82&lt;&gt;"data missing"), Calc!BD78*'Waste results'!$P$45+Calc!BE78*'Waste results'!$P$82, "data missing"),
   IF(OR('Waste results'!$P$10&lt;&gt;"data missing", 'Waste results'!$P$45&lt;&gt;"data missing", 'Waste results'!$P$82&lt;&gt;"data missing"), Calc!BC78*'Waste results'!$P$10+Calc!BD78*'Waste results'!$P$45+ Calc!BE78*'Waste results'!$P$82, "data missing")))))))))))</f>
        <v/>
      </c>
      <c r="AJ80" s="237" t="str">
        <f ca="1">IF(B80="","",
IF(AI80="data missing","data missing",
IF(Calc!BF78=0,"n/a",
IF(AND(Calc!BH78&gt;=8,AI80&lt;500),"no benefit",
IF(OR(AND(Calc!BH78&lt;=4,AI80&gt;=500),AND(Calc!BH78&lt;8,AI80&gt;5000)),"benefit",
"limited benefit")))))</f>
        <v/>
      </c>
      <c r="AL80" s="238" t="str">
        <f ca="1">IF(B80="","",
IF(AND('Field information 2'!$O$5="", 'Field information 2'!$Q$5=""),
   IF('Waste results'!$S$25&lt;&gt;"data missing", Calc!BC78*'Waste results'!$S$25, "data missing"),
IF('Field information 2'!$Q$5="",
   IF(Calc!BD78=0,
     IF('Waste results'!$S$25&lt;&gt;"data missing", Calc!BC78*'Waste results'!$S$25, "data missing"),
   IF(Calc!BC78=0,
     IF('Waste results'!$S$61&lt;&gt;"data missing", Calc!BD78*'Waste results'!$S$61, "data missing"),
   IF(OR('Waste results'!$S$25&lt;&gt;"data missing", 'Waste results'!$S$61&lt;&gt;"data missing"), Calc!BC78*'Waste results'!$S$25+ Calc!BD78*'Waste results'!$S$61, "data missing"))),
IF(AND('Field information 2'!$M$5&lt;&gt;"", 'Field information 2'!$O$5&lt;&gt;"", 'Field information 2'!$Q$5&lt;&gt;""),
   IF(AND(Calc!BD78=0,Calc!BE78=0),
     IF('Waste results'!$S$25&lt;&gt;"data missing", Calc!BC78*'Waste results'!$S$25, "data missing"),
   IF(AND(Calc!BC78=0,Calc!BE78=0),
     IF('Waste results'!$S$61&lt;&gt;"data missing", Calc!BD78*'Waste results'!$S$61, "data missing"),
   IF(AND(Calc!BC78=0,Calc!BD78=0),
     IF('Waste results'!$S$97&lt;&gt;"data missing", Calc!BE78*'Waste results'!$S$97, "data missing"),
   IF(Calc!BE78=0,
     IF(OR('Waste results'!$S$25&lt;&gt;"data missing", 'Waste results'!$S$61&lt;&gt;"data missing"), Calc!BC78*'Waste results'!$S$25+ Calc!BD78*'Waste results'!$S$61, "data missing"),
   IF(Calc!BD78=0,
     IF(OR('Waste results'!$S$25&lt;&gt;"data missing", 'Waste results'!$S$97&lt;&gt;"data missing"), Calc!BC78*'Waste results'!$S$25+ Calc!BE78*'Waste results'!$S$97, "data missing"),
   IF(Calc!BC78=0,
     IF(OR('Waste results'!$S$61&lt;&gt;"data missing", 'Waste results'!$S$97&lt;&gt;"data missing"), Calc!BD78*'Waste results'!$S$61+Calc!BE78*'Waste results'!$S$97, "data missing"),
   IF(OR('Waste results'!$S$25&lt;&gt;"data missing", 'Waste results'!$S$61&lt;&gt;"data missing", 'Waste results'!$S$97&lt;&gt;"data missing"), Calc!BC78*'Waste results'!$S$25+Calc!BD78*'Waste results'!$S$61+ Calc!BE78*'Waste results'!$S$97, "data missing")))))))))))</f>
        <v/>
      </c>
      <c r="AM80" s="239" t="str">
        <f ca="1">IF($B80="","",
IF(ISBLANK('Soil results'!K83),"data missing",'Soil results'!K83))</f>
        <v/>
      </c>
      <c r="AN80" s="239" t="str">
        <f t="shared" ca="1" si="23"/>
        <v/>
      </c>
      <c r="AO80" s="9" t="str">
        <f t="shared" ca="1" si="24"/>
        <v/>
      </c>
      <c r="AQ80" s="240" t="str">
        <f ca="1">IF(B80="","",
IF(AND('Field information 2'!$O$5="", 'Field information 2'!$Q$5=""),
   IF('Waste results'!$S$26&lt;&gt;"data missing", Calc!BC78*'Waste results'!$S$26, "data missing"),
IF('Field information 2'!$Q$5="",
   IF(Calc!BD78=0,
     IF('Waste results'!$S$26&lt;&gt;"data missing", Calc!BC78*'Waste results'!$S$26, "data missing"),
   IF(Calc!BC78=0,
     IF('Waste results'!$S$62&lt;&gt;"data missing", Calc!BD78*'Waste results'!$S$62, "data missing"),
   IF(OR('Waste results'!$S$26&lt;&gt;"data missing", 'Waste results'!$S$62&lt;&gt;"data missing"), Calc!BC78*'Waste results'!$S$26+ Calc!BD78*'Waste results'!$S$62, "data missing"))),
IF(AND('Field information 2'!$M$5&lt;&gt;"", 'Field information 2'!$O$5&lt;&gt;"", 'Field information 2'!$Q$5&lt;&gt;""),
   IF(AND(Calc!BD78=0,Calc!BE78=0),
     IF('Waste results'!$S$26&lt;&gt;"data missing", Calc!BC78*'Waste results'!$S$26, "data missing"),
   IF(AND(Calc!BC78=0,Calc!BE78=0),
     IF('Waste results'!$S$62&lt;&gt;"data missing", Calc!BD78*'Waste results'!$S$62, "data missing"),
   IF(AND(Calc!BC78=0,Calc!BD78=0),
     IF('Waste results'!$S$98&lt;&gt;"data missing", Calc!BE78*'Waste results'!$S$98, "data missing"),
   IF(Calc!BE78=0,
     IF(OR('Waste results'!$S$26&lt;&gt;"data missing", 'Waste results'!$S$62&lt;&gt;"data missing"), Calc!BC78*'Waste results'!$S$26+ Calc!BD78*'Waste results'!$S$62, "data missing"),
   IF(Calc!BD78=0,
     IF(OR('Waste results'!$S$26&lt;&gt;"data missing", 'Waste results'!$S$98&lt;&gt;"data missing"), Calc!BC78*'Waste results'!$S$26+ Calc!BE78*'Waste results'!$S$98, "data missing"),
   IF(Calc!BC78=0,
     IF(OR('Waste results'!$S$62&lt;&gt;"data missing", 'Waste results'!$S$98&lt;&gt;"data missing"), Calc!BD78*'Waste results'!$S$62+Calc!BE78*'Waste results'!$S$98, "data missing"),
   IF(OR('Waste results'!$S$26&lt;&gt;"data missing", 'Waste results'!$S$62&lt;&gt;"data missing", 'Waste results'!$S$98&lt;&gt;"data missing"), Calc!BC78*'Waste results'!$S$26+Calc!BD78*'Waste results'!$S$62+ Calc!BE78*'Waste results'!$S$98, "data missing")))))))))))</f>
        <v/>
      </c>
      <c r="AR80" s="241" t="str">
        <f ca="1">IF($B80="","",
IF(ISBLANK('Soil results'!L83),"data missing",'Soil results'!L83))</f>
        <v/>
      </c>
      <c r="AS80" s="241" t="str">
        <f t="shared" ca="1" si="25"/>
        <v/>
      </c>
      <c r="AT80" s="66" t="str">
        <f t="shared" ca="1" si="26"/>
        <v/>
      </c>
      <c r="AV80" s="238" t="str">
        <f ca="1">IF(B80="","",
IF(AND('Field information 2'!$O$5="", 'Field information 2'!$Q$5=""),
   IF('Waste results'!$S$27&lt;&gt;"data missing", Calc!BC78*'Waste results'!$S$27, "data missing"),
IF('Field information 2'!$Q$5="",
   IF(Calc!BD78=0,
     IF('Waste results'!$S$27&lt;&gt;"data missing", Calc!BC78*'Waste results'!$S$27, "data missing"),
   IF(Calc!BC78=0,
     IF('Waste results'!$S$63&lt;&gt;"data missing", Calc!BD78*'Waste results'!$S$63, "data missing"),
   IF(OR('Waste results'!$S$27&lt;&gt;"data missing", 'Waste results'!$S$63&lt;&gt;"data missing"), Calc!BC78*'Waste results'!$S$27+ Calc!BD78*'Waste results'!$S$63, "data missing"))),
IF(AND('Field information 2'!$M$5&lt;&gt;"", 'Field information 2'!$O$5&lt;&gt;"", 'Field information 2'!$Q$5&lt;&gt;""),
   IF(AND(Calc!BD78=0,Calc!BE78=0),
     IF('Waste results'!$S$27&lt;&gt;"data missing", Calc!BC78*'Waste results'!$S$27, "data missing"),
   IF(AND(Calc!BC78=0,Calc!BE78=0),
     IF('Waste results'!$S$63&lt;&gt;"data missing", Calc!BD78*'Waste results'!$S$63, "data missing"),
   IF(AND(Calc!BC78=0,Calc!BD78=0),
     IF('Waste results'!$S$99&lt;&gt;"data missing", Calc!BE78*'Waste results'!$S$99, "data missing"),
   IF(Calc!BE78=0,
     IF(OR('Waste results'!$S$27&lt;&gt;"data missing", 'Waste results'!$S$63&lt;&gt;"data missing"), Calc!BC78*'Waste results'!$S$27+ Calc!BD78*'Waste results'!$S$63, "data missing"),
   IF(Calc!BD78=0,
     IF(OR('Waste results'!$S$27&lt;&gt;"data missing", 'Waste results'!$S$99&lt;&gt;"data missing"), Calc!BC78*'Waste results'!$S$27+ Calc!BE78*'Waste results'!$S$99, "data missing"),
   IF(Calc!BC78=0,
     IF(OR('Waste results'!$S$63&lt;&gt;"data missing", 'Waste results'!$S$99&lt;&gt;"data missing"), Calc!BD78*'Waste results'!$S$63+Calc!BE78*'Waste results'!$S$99, "data missing"),
   IF(OR('Waste results'!$S$27&lt;&gt;"data missing", 'Waste results'!$S$63&lt;&gt;"data missing", 'Waste results'!$S$99&lt;&gt;"data missing"), Calc!BC78*'Waste results'!$S$27+Calc!BD78*'Waste results'!$S$63+ Calc!BE78*'Waste results'!$S$99, "data missing")))))))))))</f>
        <v/>
      </c>
      <c r="AW80" s="239" t="str">
        <f ca="1">IF($B80="","",
IF(ISBLANK('Soil results'!M83),"data missing",'Soil results'!M83))</f>
        <v/>
      </c>
      <c r="AX80" s="239" t="str">
        <f t="shared" ca="1" si="27"/>
        <v/>
      </c>
      <c r="AY80" s="9" t="str">
        <f ca="1">IF(B80="","",
IF(AV80=0,"n/a",
IF(OR(AV80="data missing",AW80="data missing"),"data missing",
IF(AV80&gt;7.5,"application rate too high - permissible rate exceeds limit",
IF('Soil results'!$F83&lt;=5.5,
  IF(AW80&gt;80,"no application - soil conc. already above limit",
  IF(AX80&gt;80,"application rate too high - soil conc. will exceed limit",
  IF(AW80&gt;80*0.9,"soil conc. is at or above 90% of the limit",
  IF(10*AV80*1000/3000+AW80&gt;80,"soil limit likely to be exceeded in 10yrs",
  IF(50*AV80*1000/3000+AW80&gt;80,"soil limit likely to be exceeded in 50yrs","ok"))))),
IF('Soil results'!$F83&lt;=6,
  IF(AW80&gt;100,"no application - soil conc. already above limit",
  IF(AX80&gt;100,"application rate too high - soil conc. will exceed limit",
  IF(AW80&gt;100*0.9,"soil conc. is at or above 90% of the limit",
  IF(10*AV80*1000/3000+AW80&gt;100,"soil limit likely to be exceeded in 10yrs",
  IF(50*AV80*1000/3000+AW80&gt;100,"soil limit likely to be exceeded in 50yrs","ok"))))),
IF('Soil results'!$F83&lt;=7,
  IF(AW80&gt;135,"no application - soil conc. already above limit",
  IF(AX80&gt;135,"application rate too high - soil conc. will exceed limit",
  IF(AW80&gt;135*0.9,"soil conc. is at or above 90% of the limit",
  IF(10*AV80*1000/3000+AW80&gt;135,"soil limit likely to be exceeded in 10yrs",
  IF(50*AV80*1000/3000+AW80&gt;135,"soil limit likely to be exceeded in 50yrs","ok"))))),
IF('Soil results'!$F83&gt;7,
  IF(AW80&gt;200,"no application - soil conc. already above limit",
  IF(AX80&gt;200,"application too high - soil conc. will exceed limit",
  IF(AW80&gt;200*0.9,"soil conc. is at or above 90% of the limit",
  IF(10*AV80*1000/3000+AW80&gt;200,"soil limit likely to be exceeded in 10yrs",
  IF(50*AV80*1000/3000+AW80&gt;200,"soil limit likely to be exceeded in 50yrs","ok")))))
))))))))</f>
        <v/>
      </c>
      <c r="BA80" s="238" t="str">
        <f ca="1">IF(B80="","",
IF(AND('Field information 2'!$O$5="", 'Field information 2'!$Q$5=""),
   IF('Waste results'!$S$28&lt;&gt;"data missing", Calc!BC78*'Waste results'!$S$28, "data missing"),
IF('Field information 2'!$Q$5="",
   IF(Calc!BD78=0,
     IF('Waste results'!$S$28&lt;&gt;"data missing", Calc!BC78*'Waste results'!$S$28, "data missing"),
   IF(Calc!BC78=0,
     IF('Waste results'!$S$64&lt;&gt;"data missing", Calc!BD78*'Waste results'!$S$64, "data missing"),
   IF(OR('Waste results'!$S$28&lt;&gt;"data missing", 'Waste results'!$S$64&lt;&gt;"data missing"), Calc!BC78*'Waste results'!$S$28+ Calc!BD78*'Waste results'!$S$64, "data missing"))),
IF(AND('Field information 2'!$M$5&lt;&gt;"", 'Field information 2'!$O$5&lt;&gt;"", 'Field information 2'!$Q$5&lt;&gt;""),
   IF(AND(Calc!BD78=0,Calc!BE78=0),
     IF('Waste results'!$S$28&lt;&gt;"data missing", Calc!BC78*'Waste results'!$S$28, "data missing"),
   IF(AND(Calc!BC78=0,Calc!BE78=0),
     IF('Waste results'!$S$64&lt;&gt;"data missing", Calc!BD78*'Waste results'!$S$64, "data missing"),
   IF(AND(Calc!BC78=0,Calc!BD78=0),
     IF('Waste results'!$S$100&lt;&gt;"data missing", Calc!BE78*'Waste results'!$S$100, "data missing"),
   IF(Calc!BE78=0,
     IF(OR('Waste results'!$S$28&lt;&gt;"data missing", 'Waste results'!$S$64&lt;&gt;"data missing"), Calc!BC78*'Waste results'!$S$28+ Calc!BD78*'Waste results'!$S$64, "data missing"),
   IF(Calc!BD78=0,
     IF(OR('Waste results'!$S$28&lt;&gt;"data missing", 'Waste results'!$S$100&lt;&gt;"data missing"), Calc!BC78*'Waste results'!$S$28+ Calc!BE78*'Waste results'!$S$100, "data missing"),
   IF(Calc!BC78=0,
     IF(OR('Waste results'!$S$64&lt;&gt;"data missing", 'Waste results'!$S$100&lt;&gt;"data missing"), Calc!BD78*'Waste results'!$S$64+Calc!BE78*'Waste results'!$S$100, "data missing"),
   IF(OR('Waste results'!$S$28&lt;&gt;"data missing", 'Waste results'!$S$64&lt;&gt;"data missing", 'Waste results'!$S$100&lt;&gt;"data missing"), Calc!BC78*'Waste results'!$S$28+Calc!BD78*'Waste results'!$S$64+ Calc!BE78*'Waste results'!$S$100, "data missing")))))))))))</f>
        <v/>
      </c>
      <c r="BB80" s="239" t="str">
        <f ca="1">IF($B80="","",
IF(ISBLANK('Soil results'!N83),"data missing",'Soil results'!N83))</f>
        <v/>
      </c>
      <c r="BC80" s="239" t="str">
        <f t="shared" ca="1" si="28"/>
        <v/>
      </c>
      <c r="BD80" s="9" t="str">
        <f t="shared" ca="1" si="29"/>
        <v/>
      </c>
      <c r="BF80" s="238" t="str">
        <f ca="1">IF(B80="","",
IF(AND('Field information 2'!$O$5="", 'Field information 2'!$Q$5=""),
   IF('Waste results'!$S$29&lt;&gt;"data missing", Calc!BC78*'Waste results'!$S$29, "data missing"),
IF('Field information 2'!$Q$5="",
   IF(Calc!BD78=0,
     IF('Waste results'!$S$29&lt;&gt;"data missing", Calc!BC78*'Waste results'!$S$29, "data missing"),
   IF(Calc!BC78=0,
     IF('Waste results'!$S$65&lt;&gt;"data missing", Calc!BD78*'Waste results'!$S$65, "data missing"),
   IF(OR('Waste results'!$S$29&lt;&gt;"data missing", 'Waste results'!$S$65&lt;&gt;"data missing"), Calc!BC78*'Waste results'!$S$29+ Calc!BD78*'Waste results'!$S$65, "data missing"))),
IF(AND('Field information 2'!$M$5&lt;&gt;"", 'Field information 2'!$O$5&lt;&gt;"", 'Field information 2'!$Q$5&lt;&gt;""),
   IF(AND(Calc!BD78=0,Calc!BE78=0),
     IF('Waste results'!$S$29&lt;&gt;"data missing", Calc!BC78*'Waste results'!$S$29, "data missing"),
   IF(AND(Calc!BC78=0,Calc!BE78=0),
     IF('Waste results'!$S$65&lt;&gt;"data missing", Calc!BD78*'Waste results'!$S$65, "data missing"),
   IF(AND(Calc!BC78=0,Calc!BD78=0),
     IF('Waste results'!$S$101&lt;&gt;"data missing", Calc!BE78*'Waste results'!$S$101, "data missing"),
   IF(Calc!BE78=0,
     IF(OR('Waste results'!$S$29&lt;&gt;"data missing", 'Waste results'!$S$65&lt;&gt;"data missing"), Calc!BC78*'Waste results'!$S$29+ Calc!BD78*'Waste results'!$S$65, "data missing"),
   IF(Calc!BD78=0,
     IF(OR('Waste results'!$S$29&lt;&gt;"data missing", 'Waste results'!$S$101&lt;&gt;"data missing"), Calc!BC78*'Waste results'!$S$29+ Calc!BE78*'Waste results'!$S$101, "data missing"),
   IF(Calc!BC78=0,
     IF(OR('Waste results'!$S$65&lt;&gt;"data missing", 'Waste results'!$S$101&lt;&gt;"data missing"), Calc!BD78*'Waste results'!$S$65+Calc!BE78*'Waste results'!$S$101, "data missing"),
   IF(OR('Waste results'!$S$29&lt;&gt;"data missing", 'Waste results'!$S$65&lt;&gt;"data missing", 'Waste results'!$S$101&lt;&gt;"data missing"), Calc!BC78*'Waste results'!$S$29+Calc!BD78*'Waste results'!$S$65+ Calc!BE78*'Waste results'!$S$101, "data missing")))))))))))</f>
        <v/>
      </c>
      <c r="BG80" s="239" t="str">
        <f ca="1">IF($B80="","",
IF(ISBLANK('Soil results'!O83),"data missing",'Soil results'!O83))</f>
        <v/>
      </c>
      <c r="BH80" s="239" t="str">
        <f t="shared" ca="1" si="30"/>
        <v/>
      </c>
      <c r="BI80" s="9" t="str">
        <f ca="1">IF(B80="","",
IF(BF80=0,"n/a",
IF(OR(BF80="data missing",BG80="data missing"),"data missing",
IF(BF80&gt;3,"application rate too high - permissible rate exceeds limit",
IF('Soil results'!F83&lt;=5.5,
  IF(BG80&gt;50,"no application - soil conc. already above limit",
  IF(BH80&gt;50,"application rate too high - soil conc. will exceed limit",
  IF(BG80&gt;50*0.9,"soil conc. is at or above 90% of the limit",
  IF(10*BF80*1000/3000+BG80&gt;50,"soil limit likely to be exceeded in 10yrs",
  IF(50*BF80*1000/3000+BG80&gt;50,"soil limit likely to be exceeded in 50yrs","ok"))))),
IF('Soil results'!F83&lt;=6,
  IF(BG80&gt;60,"no application - soil conc. already above limit",
  IF(BH80&gt;60,"application rate too high - soil conc. will exceed limit",
  IF(BG80&gt;60*0.9,"soil conc. is at or above 90% of the limit",
  IF(10*BF80*1000/3000+BG80&gt;60,"soil limit likely to be exceeded in 10yrs",
  IF(50*BF80*1000/3000+BG80&gt;60,"soil limit likely to be exceeded in 50yrs","ok"))))),
IF('Soil results'!F83&lt;=7,
  IF(BG80&gt;75,"no application - soil conc. already above limit",
  IF(BH80&gt;75,"application rate too high - soil conc. will exceed limit",
  IF(BG80&gt;75*0.9,"soil conc. is at or above 90% of the limit",
  IF(10*BF80*1000/3000+BG80&gt;75,"soil limit likely to be exceeded in 10yrs",
  IF(50*BF80*1000/3000+BG80&gt;75,"soil limit likely to be exceeded in 50yrs","ok"))))),
IF('Soil results'!F83&gt;7,
  IF(BG80&gt;100,"no application - soil conc. already above limit",
  IF(BH80&gt;100,"application rate too high - soil conc. will exceed limit",
  IF(BG80&gt;100*0.9,"soil conc. is at or above 90% of the limit",
  IF(10*BF80*1000/3000+BG80&gt;100,"soil limit likely to be exceeded in 10yrs",
  IF(50*BF80*1000/3000+BG80&gt;100,"soil limit likely to beexceeded in 50yrs","ok")))))
))))))))</f>
        <v/>
      </c>
      <c r="BK80" s="240" t="str">
        <f ca="1">IF(B80="","",
IF(AND('Field information 2'!$O$5="", 'Field information 2'!$Q$5=""),
   IF('Waste results'!$S$30&lt;&gt;"data missing", Calc!BC78*'Waste results'!$S$30, "data missing"),
IF('Field information 2'!$Q$5="",
   IF(Calc!BD78=0,
     IF('Waste results'!$S$30&lt;&gt;"data missing", Calc!BC78*'Waste results'!$S$30, "data missing"),
   IF(Calc!BC78=0,
     IF('Waste results'!$S$66&lt;&gt;"data missing", Calc!BD78*'Waste results'!$S$66, "data missing"),
   IF(OR('Waste results'!$S$30&lt;&gt;"data missing", 'Waste results'!$S$66&lt;&gt;"data missing"), Calc!BC78*'Waste results'!$S$30+ Calc!BD78*'Waste results'!$S$66, "data missing"))),
IF(AND('Field information 2'!$M$5&lt;&gt;"", 'Field information 2'!$O$5&lt;&gt;"", 'Field information 2'!$Q$5&lt;&gt;""),
   IF(AND(Calc!BD78=0,Calc!BE78=0),
     IF('Waste results'!$S$30&lt;&gt;"data missing", Calc!BC78*'Waste results'!$S$30, "data missing"),
   IF(AND(Calc!BC78=0,Calc!BE78=0),
     IF('Waste results'!$S$66&lt;&gt;"data missing", Calc!BD78*'Waste results'!$S$66, "data missing"),
   IF(AND(Calc!BC78=0,Calc!BD78=0),
     IF('Waste results'!$S$102&lt;&gt;"data missing", Calc!BE78*'Waste results'!$S$102, "data missing"),
   IF(Calc!BE78=0,
     IF(OR('Waste results'!$S$30&lt;&gt;"data missing", 'Waste results'!$S$66&lt;&gt;"data missing"), Calc!BC78*'Waste results'!$S$30+ Calc!BD78*'Waste results'!$S$66, "data missing"),
   IF(Calc!BD78=0,
     IF(OR('Waste results'!$S$30&lt;&gt;"data missing", 'Waste results'!$S$102&lt;&gt;"data missing"), Calc!BC78*'Waste results'!$S$30+ Calc!BE78*'Waste results'!$S$102, "data missing"),
   IF(Calc!BC78=0,
     IF(OR('Waste results'!$S$66&lt;&gt;"data missing", 'Waste results'!$S$102&lt;&gt;"data missing"), Calc!BD78*'Waste results'!$S$66+Calc!BE78*'Waste results'!$S$102, "data missing"),
   IF(OR('Waste results'!$S$30&lt;&gt;"data missing", 'Waste results'!$S$66&lt;&gt;"data missing", 'Waste results'!$S$102&lt;&gt;"data missing"), Calc!BC78*'Waste results'!$S$30+Calc!BD78*'Waste results'!$S$66+ Calc!BE78*'Waste results'!$S$102, "data missing")))))))))))</f>
        <v/>
      </c>
      <c r="BL80" s="241" t="str">
        <f ca="1">IF($B80="","",
IF(ISBLANK('Soil results'!P83),"data missing",'Soil results'!P83))</f>
        <v/>
      </c>
      <c r="BM80" s="241" t="str">
        <f t="shared" ca="1" si="31"/>
        <v/>
      </c>
      <c r="BN80" s="66" t="str">
        <f t="shared" ca="1" si="32"/>
        <v/>
      </c>
      <c r="BP80" s="238" t="str">
        <f ca="1">IF(B80="","",
IF(AND('Field information 2'!$O$5="", 'Field information 2'!$Q$5=""),
   IF('Waste results'!$S$31&lt;&gt;"data missing", Calc!BC78*'Waste results'!$S$31, "data missing"),
IF('Field information 2'!$Q$5="",
   IF(Calc!BD78=0,
     IF('Waste results'!$S$31&lt;&gt;"data missing", Calc!BC78*'Waste results'!$S$31, "data missing"),
   IF(Calc!BC78=0,
     IF('Waste results'!$S$67&lt;&gt;"data missing", Calc!BD78*'Waste results'!$S$67, "data missing"),
   IF(OR('Waste results'!$S$31&lt;&gt;"data missing", 'Waste results'!$S$67&lt;&gt;"data missing"), Calc!BC78*'Waste results'!$S$31+ Calc!BD78*'Waste results'!$S$67, "data missing"))),
IF(AND('Field information 2'!$M$5&lt;&gt;"", 'Field information 2'!$O$5&lt;&gt;"", 'Field information 2'!$Q$5&lt;&gt;""),
   IF(AND(Calc!BD78=0,Calc!BE78=0),
     IF('Waste results'!$S$31&lt;&gt;"data missing", Calc!BC78*'Waste results'!$S$31, "data missing"),
   IF(AND(Calc!BC78=0,Calc!BE78=0),
     IF('Waste results'!$S$67&lt;&gt;"data missing", Calc!BD78*'Waste results'!$S$67, "data missing"),
   IF(AND(Calc!BC78=0,Calc!BD78=0),
     IF('Waste results'!$S$103&lt;&gt;"data missing", Calc!BE78*'Waste results'!$S$103, "data missing"),
   IF(Calc!BE78=0,
     IF(OR('Waste results'!$S$31&lt;&gt;"data missing", 'Waste results'!$S$67&lt;&gt;"data missing"), Calc!BC78*'Waste results'!$S$31+ Calc!BD78*'Waste results'!$S$67, "data missing"),
   IF(Calc!BD78=0,
     IF(OR('Waste results'!$S$31&lt;&gt;"data missing", 'Waste results'!$S$103&lt;&gt;"data missing"), Calc!BC78*'Waste results'!$S$31+ Calc!BE78*'Waste results'!$S$103, "data missing"),
   IF(Calc!BC78=0,
     IF(OR('Waste results'!$S$67&lt;&gt;"data missing", 'Waste results'!$S$103&lt;&gt;"data missing"), Calc!BD78*'Waste results'!$S$67+Calc!BE78*'Waste results'!$S$103, "data missing"),
   IF(OR('Waste results'!$S$31&lt;&gt;"data missing", 'Waste results'!$S$67&lt;&gt;"data missing", 'Waste results'!$S$103&lt;&gt;"data missing"), Calc!BC78*'Waste results'!$S$31+Calc!BD78*'Waste results'!$S$67+ Calc!BE78*'Waste results'!$S$103, "data missing")))))))))))</f>
        <v/>
      </c>
      <c r="BQ80" s="239" t="str">
        <f ca="1">IF($B80="","",
IF(ISBLANK('Soil results'!Q83),"data missing",'Soil results'!Q83))</f>
        <v/>
      </c>
      <c r="BR80" s="239" t="str">
        <f t="shared" ca="1" si="33"/>
        <v/>
      </c>
      <c r="BS80" s="9" t="str">
        <f ca="1">IF(B80="","",
IF(BP80=0,"n/a",
IF(OR(BP80="data missing",BQ80=""),"data missing",
IF(BP80&gt;15,"application rate too high - permissible rate exceeds limit",
IF('Soil results'!F83&lt;=5.5,
  IF(BQ80&gt;200,"no application - soil conc. already above limit",
  IF(BR80&gt;200,"application rate too high - soil conc. will exceed limit",
  IF(BQ80&gt;200*0.9,"soil conc. is at or above 90% of the limit",
  IF(10*BP80*1000/3000+BQ80&gt;200,"soil limit likely to be exceeded in 10yrs",
  IF(50*BP80*1000/3000+BQ80&gt;200,"soil limit likely to be exceeded in 50yrs","ok"))))),
IF('Soil results'!F83&lt;=6,
  IF(BQ80&gt;250,"no application - soil conc. already above limit",
  IF(BR80&gt;250,"application rate too high - soil conc. will exceed limit",
  IF(BQ80&gt;250*0.9,"soil conc. is at or above 90% of the limit",
  IF(10*BP80*1000/3000+BQ80&gt;250,"soil limit likely to be exceeded in 10yrs",
  IF(50*BP80*1000/3000+BQ80&gt;250,"soil limit likely to be exceeded in 50yrs","ok"))))),
IF('Soil results'!F83&lt;=7,
  IF(BQ80&gt;300,"no application - soil conc. already above limit",
  IF(BR80&gt;300,"application rate too high - soil conc. will exceed limit",
  IF(BQ80&gt;300*0.9,"soil conc. is at or above 90% of the limit",
  IF(10*BP80*1000/3000+BQ80&gt;300,"soil limit likey to be exceeded in 10yrs",
  IF(50*BP80*1000/3000+BQ80&gt;300,"soil limit likely to be exceeded in 50yrs","ok"))))),
IF('Soil results'!F83&gt;7,
  IF(BQ80&gt;450,"no application - soil conc. already above limit",
  IF(BR80&gt;450,"application rate too high - soil conc. will exceed limit",
  IF(AW80&gt;450*0.9,"soil conc. is at or above 90% of the limit",
  IF(10*BP80*1000/3000+BQ80&gt;450,"soil limit likely to be exceeded in 10yrs",
  IF(50*BP80*1000/3000+BQ80&gt;450,"soil limit likely to be exceeded in 50yrs","ok")))))
))))))))</f>
        <v/>
      </c>
    </row>
    <row r="81" spans="2:71" s="9" customFormat="1" ht="15" x14ac:dyDescent="0.25">
      <c r="B81" s="236" t="str">
        <f ca="1">'Soil results'!B84</f>
        <v/>
      </c>
      <c r="C81" s="91" t="str">
        <f ca="1">IF(B81="","",
IF(AND('Field information 2'!$O$5="", 'Field information 2'!$Q$5=""),
   IF('Waste results'!$S$12&lt;&gt;"data missing", Calc!BC79*'Waste results'!$S$12, "data missing"),
IF('Field information 2'!$Q$5="",
   IF(Calc!BD79=0,
     IF('Waste results'!$S$12&lt;&gt;"data missing", Calc!BC79*'Waste results'!$S$12, "data missing"),
   IF(Calc!BC79=0,
     IF('Waste results'!$S$48&lt;&gt;"data missing", Calc!BD79*'Waste results'!$S$48, "data missing"),
   IF(OR('Waste results'!$S$12&lt;&gt;"data missing", 'Waste results'!$S$48&lt;&gt;"data missing"), Calc!BC79*'Waste results'!$S$12+ Calc!BD79*'Waste results'!$S$48, "data missing"))),
IF(AND('Field information 2'!$M$5&lt;&gt;"", 'Field information 2'!$O$5&lt;&gt;"", 'Field information 2'!$Q$5&lt;&gt;""),
   IF(AND(Calc!BD79=0,Calc!BE79=0),
     IF('Waste results'!$S$12&lt;&gt;"data missing", Calc!BC79*'Waste results'!$S$12, "data missing"),
   IF(AND(Calc!BC79=0,Calc!BE79=0),
     IF('Waste results'!$S$48&lt;&gt;"data missing", Calc!BD79*'Waste results'!$S$48, "data missing"),
   IF(AND(Calc!BC79=0,Calc!BD79=0),
     IF('Waste results'!$S$84&lt;&gt;"data missing", Calc!BE79*'Waste results'!$S$84, "data missing"),
   IF(Calc!BE79=0,
     IF(OR('Waste results'!$S$12&lt;&gt;"data missing", 'Waste results'!$S$48&lt;&gt;"data missing"), Calc!BC79*'Waste results'!$S$12+ Calc!BD79*'Waste results'!$S$48, "data missing"),
   IF(Calc!BD79=0,
     IF(OR('Waste results'!$S$12&lt;&gt;"data missing", 'Waste results'!$S$84&lt;&gt;"data missing"), Calc!BC79*'Waste results'!$S$12+ Calc!BE79*'Waste results'!$S$84, "data missing"),
   IF(Calc!BC79=0,
     IF(OR('Waste results'!$S$48&lt;&gt;"data missing", 'Waste results'!$S$84&lt;&gt;"data missing"), Calc!BD79*'Waste results'!$S$48+Calc!BE79*'Waste results'!$S$84, "data missing"),
   IF(OR('Waste results'!$S$12&lt;&gt;"data missing", 'Waste results'!$S$48&lt;&gt;"data missing", 'Waste results'!$S$84&lt;&gt;"data missing"), Calc!BC79*'Waste results'!$S$12+Calc!BD79*'Waste results'!$S$48+ Calc!BE79*'Waste results'!$S$84, "data missing")))))))))))</f>
        <v/>
      </c>
      <c r="D81" s="161" t="str">
        <f ca="1">IF(B81="","",
IF(Calc!BG79="","soil texture missing",
IF(OR(Calc!BG79="SL; SZL; ZL",Calc!BG79="SCL; CL; ZCL; SC; ZC; C"),VLOOKUP(Calc!BI79,'Fertiliser recommendations'!$A$4:$C$63,3,FALSE),
IF(Calc!BG79="S; LS",VLOOKUP(Calc!BI79,'Fertiliser recommendations'!$A$4:$C$63,3,FALSE)+VLOOKUP(Calc!BI79,'Fertiliser recommendations'!$A$4:$D$63,4,FALSE),
IF(Calc!BG79="10-25% OM",VLOOKUP(Calc!BI79,'Fertiliser recommendations'!$A$4:$C$63,3,FALSE)+VLOOKUP(Calc!BI79,'Fertiliser recommendations'!$A$4:$E$63,5,FALSE),
IF(Calc!BG79="&gt;25% OM",VLOOKUP(Calc!BI79,'Fertiliser recommendations'!$A$4:$C$63,3,FALSE)+VLOOKUP(Calc!BI79,'Fertiliser recommendations'!$A$4:$F$63,6,FALSE),
""))))))</f>
        <v/>
      </c>
      <c r="E81" s="91" t="str">
        <f t="shared" ca="1" si="17"/>
        <v/>
      </c>
      <c r="F81" s="9" t="str">
        <f ca="1">IF(B81="","",
IF(OR(C81="data missing",D81="soil texture missing"),"data missing",
IF(Calc!BF79=0,"n/a",
IF(C81&lt;0.1*D81,"no benefit",
IF(C81&lt;0.3*D81,"limited benefit",
IF(C81&gt;250,"exceeds limit",
IF(OR(AND(D81=0,C81&gt;75),C81&gt;1.25*D81),"excessive",
IF(D81=0, "no requirement",
"benefit"))))))))</f>
        <v/>
      </c>
      <c r="H81" s="91" t="str">
        <f ca="1">IF(B81="","",
IF(AND('Field information 2'!$O$5="", 'Field information 2'!$Q$5=""),
   IF('Waste results'!$S$17&lt;&gt;"data missing", Calc!BC79*'Waste results'!$S$17, "data missing"),
IF('Field information 2'!$Q$5="",
   IF(Calc!BD79=0,
     IF('Waste results'!$S$17&lt;&gt;"data missing", Calc!BC79*'Waste results'!$S$17, "data missing"),
   IF(Calc!BC79=0,
     IF('Waste results'!$S$53&lt;&gt;"data missing", Calc!BD79*'Waste results'!$S$53, "data missing"),
   IF(OR('Waste results'!$S$17&lt;&gt;"data missing", 'Waste results'!$S$53&lt;&gt;"data missing"), Calc!BC79*'Waste results'!$S$17+ Calc!BD79*'Waste results'!$S$53, "data missing"))),
IF(AND('Field information 2'!$M$5&lt;&gt;"", 'Field information 2'!$O$5&lt;&gt;"", 'Field information 2'!$Q$5&lt;&gt;""),
   IF(AND(Calc!BD79=0,Calc!BE79=0),
     IF('Waste results'!$S$17&lt;&gt;"data missing", Calc!BC79*'Waste results'!$S$17, "data missing"),
   IF(AND(Calc!BC79=0,Calc!BE79=0),
     IF('Waste results'!$S$53&lt;&gt;"data missing", Calc!BD79*'Waste results'!$S$53, "data missing"),
   IF(AND(Calc!BC79=0,Calc!BD79=0),
     IF('Waste results'!$S$89&lt;&gt;"data missing", Calc!BE79*'Waste results'!$S$89, "data missing"),
   IF(Calc!BE79=0,
     IF(OR('Waste results'!$S$17&lt;&gt;"data missing", 'Waste results'!$S$53&lt;&gt;"data missing"), Calc!BC79*'Waste results'!$S$17+ Calc!BD79*'Waste results'!$S$53, "data missing"),
   IF(Calc!BD79=0,
     IF(OR('Waste results'!$S$17&lt;&gt;"data missing", 'Waste results'!$S$89&lt;&gt;"data missing"), Calc!BC79*'Waste results'!$S$17+ Calc!BE79*'Waste results'!$S$89, "data missing"),
   IF(Calc!BC79=0,
     IF(OR('Waste results'!$S$53&lt;&gt;"data missing", 'Waste results'!$S$89&lt;&gt;"data missing"), Calc!BD79*'Waste results'!$S$53+Calc!BE79*'Waste results'!$S$89, "data missing"),
   IF(OR('Waste results'!$S$17&lt;&gt;"data missing", 'Waste results'!$S$53&lt;&gt;"data missing", 'Waste results'!$S$89&lt;&gt;"data missing"), Calc!BC79*'Waste results'!$S$17+Calc!BD79*'Waste results'!$S$53+ Calc!BE79*'Waste results'!$S$89, "data missing")))))))))))</f>
        <v/>
      </c>
      <c r="I81" s="195" t="str">
        <f ca="1">IF(B81="","",
IF(OR(ISBLANK('Soil results'!G84), ISBLANK('Soil results'!G$7)),"data missing",
IF(OR(AND('Soil results'!G$7="Olsen (ADAS)",'Soil results'!G84&lt;16),AND('Soil results'!G$7="modified Morgan (SAC)",'Soil results'!G84&lt;4.5)),50,100)))</f>
        <v/>
      </c>
      <c r="J81" s="49" t="str">
        <f ca="1">IF(B81="","",
IF(OR(ISBLANK('Soil results'!G$7),ISBLANK('Soil results'!G84)),"data missing",
IF(OR(AND('Soil results'!G$7="Olsen (ADAS)",'Soil results'!G84&gt;45),AND('Soil results'!G$7="modified Morgan (SAC)",'Soil results'!G84&gt;30)),0,
IF(OR(AND('Soil results'!G$7="Olsen (ADAS)",'Soil results'!G84&gt;=16,'Soil results'!G84&lt;=20),AND('Soil results'!G$7="modified Morgan (SAC)",'Soil results'!G84&gt;=4.5,'Soil results'!G84&lt;=9.4)),VLOOKUP(Calc!BI79,'Fertiliser recommendations'!$A$4:$I$63,9,FALSE),
IF(OR(AND('Soil results'!G$7="Olsen (ADAS)",'Soil results'!G84&lt;10),AND('Soil results'!G$7="modified Morgan (SAC)",'Soil results'!G84&lt;1.8)),VLOOKUP(Calc!BI79,'Fertiliser recommendations'!$A$4:$I$63,9,FALSE)+VLOOKUP(Calc!BI79,'Fertiliser recommendations'!$A$4:$J$63,10,FALSE),
IF(OR(AND('Soil results'!G$7="Olsen (ADAS)",'Soil results'!G84&lt;16),AND('Soil results'!G$7="modified Morgan (SAC)",'Soil results'!G84&lt;4.5)),VLOOKUP(Calc!BI79,'Fertiliser recommendations'!$A$4:$I$63,9,FALSE)+VLOOKUP(Calc!BI79,'Fertiliser recommendations'!$A$4:$K$63,11,FALSE),
IF(OR(AND('Soil results'!G$7="Olsen (ADAS)",'Soil results'!G84&lt;26),AND('Soil results'!G$7="modified Morgan (SAC)",'Soil results'!G84&lt;13.5)),VLOOKUP(Calc!BI79,'Fertiliser recommendations'!$A$4:$I$63,9,FALSE)+VLOOKUP(Calc!BI79,'Fertiliser recommendations'!$A$4:$L$63,12,FALSE),
IF(OR(AND('Soil results'!G$7="Olsen (ADAS)",'Soil results'!G84&lt;=45),AND('Soil results'!G$7="modified Morgan (SAC)",'Soil results'!G84&lt;=30)),VLOOKUP(Calc!BI79,'Fertiliser recommendations'!$A$4:$I$63,9,FALSE)+VLOOKUP(Calc!BI79,'Fertiliser recommendations'!$A$4:$M$63,13,FALSE),
""))))))))</f>
        <v/>
      </c>
      <c r="K81" s="161" t="str">
        <f t="shared" ca="1" si="18"/>
        <v/>
      </c>
      <c r="L81" s="47" t="str">
        <f ca="1">IF(OR(ISBLANK('Soil results'!G$7),ISBLANK('Soil results'!G84),B81="", H81="data missing"),"",
IF('Soil results'!G$7="Olsen (ADAS)",
IF(((H81*Calc!BM79/2.291-(VLOOKUP(Calc!BI79,'Fertiliser recommendations'!$A$4:$I$63,9,FALSE))/2.291)*10/(400/2.291)+'Soil results'!G84)&lt;10,"0 (VL)",
IF(((H81*Calc!BM79/2.291-(VLOOKUP(Calc!BI79,'Fertiliser recommendations'!$A$4:$I$63,9,FALSE))/2.291)*10/(400/2.291)+'Soil results'!G84)&lt;16,"1 (L)",
IF(((H81*Calc!BM79/2.291-(VLOOKUP(Calc!BI79,'Fertiliser recommendations'!$A$4:$I$63,9,FALSE))/2.291)*10/(400/2.291)+'Soil results'!G84)&lt;21,"2 (M-)",
IF(((H81*Calc!BM79/2.291-(VLOOKUP(Calc!BI79,'Fertiliser recommendations'!$A$4:$I$63,9,FALSE))/2.291)*10/(400/2.291)+'Soil results'!G84)&lt;26,"2 (M+)",
IF(((H81*Calc!BM79/2.291-(VLOOKUP(Calc!BI79,'Fertiliser recommendations'!$A$4:$I$63,9,FALSE))/2.291)*10/(400/2.291)+'Soil results'!G84)&lt;45,"3 (H)","&gt;3 (VH)"))))),
IF('Soil results'!G$7="modified Morgan (SAC)",
IF('Soil results'!G84&gt;=6,
IF(((H81*Calc!BM79/2.291-(VLOOKUP(Calc!BI79,'Fertiliser recommendations'!$A$4:$I$63,9,FALSE))/2.291)*5/(147/2.291)+'Soil results'!G84)&lt;9.5,"2 (M-)",
IF(((H81*Calc!BM79/2.291-(VLOOKUP(Calc!BI79,'Fertiliser recommendations'!$A$4:$I$63,9,FALSE))/2.291)*5/(147/2.291)+'Soil results'!G84)&lt;13.5,"2 (M+)",
IF(((H81*Calc!BM79/2.291-(VLOOKUP(Calc!BI79,'Fertiliser recommendations'!$A$4:$I$63,9,FALSE))/2.291)*5/(147/2.291)+'Soil results'!G84)&lt;30,"3 (H)","4 (VH)"))),
IF(((H81*Calc!BM79/2.291-(VLOOKUP(Calc!BI79,'Fertiliser recommendations'!$A$4:$I$63,9,FALSE))/2.291)*5/(346/2.291)+'Soil results'!G84)&lt;1.8,"0 (VL)",
IF(((H81*Calc!BM79/2.291-(VLOOKUP(Calc!BI79,'Fertiliser recommendations'!$A$4:$I$63,9,FALSE))/2.291)*5/(147/2.291)+'Soil results'!G84)&lt;4.5,"1 (L)","2 (M-)"))))))</f>
        <v/>
      </c>
      <c r="M81" s="9" t="str">
        <f ca="1">IF(B81="","",
IF(OR(H81="data missing",I81="data missing",J81="data missing"),"data missing",
IF(Calc!BF79=0,"n/a",
IF(OR(AND('Soil results'!G$7="Olsen (ADAS)",'Soil results'!G84&gt;45),AND('Soil results'!G$7="modified Morgan (SAC)",'Soil results'!G84&gt;30)),
IF(H81&gt;2,"too high, not acceptable","no requirement"),IF(OR(AND('Soil results'!G$7="Olsen (ADAS)",'Soil results'!G84&gt;25),AND('Soil results'!G$7="modified Morgan (SAC)",'Soil results'!G84&gt;13.4)),
IF(H81*(I81/100)&lt;0.1*J81,"no benefit",
IF(H81*(I81/100)&lt;0.3*J81,"limited benefit",
IF(H81*(I81/100)&lt;1.1*J81,"benefit",
IF(H81*(I81/100)&lt;0.7*VLOOKUP(Calc!BI79,'Fertiliser recommendations'!$A$4:$I$63,9,FALSE),"excessive","too high, not acceptable")))),
IF(OR(AND('Soil results'!G$7="Olsen (ADAS)",'Soil results'!G84&gt;20),AND('Soil results'!G$7="modified Morgan (SAC)",'Soil results'!G84&gt;9.4)),
IF(H81*Calc!BM79*(I81/100)&lt;0.1*J81,"no benefit",
IF(H81*Calc!BM79*(I81/100)&lt;0.3*J81,"limited benefit",
IF(H81*Calc!BM79*(I81/100)&lt;1.1*J81,"benefit",
IF(L81="3 (H)","too high, not acceptable","excessive")))),
IF(OR(AND('Soil results'!G$7="Olsen (ADAS)",'Soil results'!G84&gt;15),AND('Soil results'!G$7="modified Morgan (SAC)",'Soil results'!G84&gt;4.4)),
IF(H81*Calc!BM79*(I81/100)&lt;0.1*VLOOKUP(Calc!BI79,'Fertiliser recommendations'!$A$4:$I$63,9,FALSE),"no benefit",
IF(H81*Calc!BM79*(I81/100)&lt;0.3*VLOOKUP(Calc!BI79,'Fertiliser recommendations'!$A$4:$I$63,9,FALSE),"limited benefit",
IF(H81*Calc!BM79*(I81/100)&lt;1.1*VLOOKUP(Calc!BI79,'Fertiliser recommendations'!$A$4:$I$63,9,FALSE),"benefit",
IF(L81="3 (H)", "too high, not acceptable", "excessive")))),
IF(OR(AND('Soil results'!G$7="Olsen (ADAS)",'Soil results'!G84&lt;=15),AND('Soil results'!G$7="modified Morgan (SAC)",'Soil results'!G84&lt;=4.4)),
IF(H81*Calc!BM79*(I81/100)&lt;0.1*VLOOKUP(Calc!BI79,'Fertiliser recommendations'!$A$4:$I$63,9,FALSE),"no benefit",
IF(H81*Calc!BM79*(I81/100)&lt;0.3*VLOOKUP(Calc!BI79,'Fertiliser recommendations'!$A$4:$I$63,9,FALSE),"limited benefit",
IF(H81*Calc!BM79*(I81/100)&lt;1.1*J81,"benefit","excessive")))))))))))</f>
        <v/>
      </c>
      <c r="O81" s="91" t="str">
        <f ca="1">IF(B81="","",
IF(AND('Field information 2'!$O$5="", 'Field information 2'!$Q$5=""),
   IF('Waste results'!$S$19&lt;&gt;"data missing", Calc!BC79*'Waste results'!$S$19, "data missing"),
IF('Field information 2'!$Q$5="",
   IF(Calc!BD79=0,
     IF('Waste results'!$S$19&lt;&gt;"data missing", Calc!BC79*'Waste results'!$S$19, "data missing"),
   IF(Calc!BC79=0,
     IF('Waste results'!$S$55&lt;&gt;"data missing", Calc!BD79*'Waste results'!$S$55, "data missing"),
   IF(OR('Waste results'!$S$19&lt;&gt;"data missing", 'Waste results'!$S$55&lt;&gt;"data missing"), Calc!BC79*'Waste results'!$S$19+ Calc!BD79*'Waste results'!$S$55, "data missing"))),
IF(AND('Field information 2'!$M$5&lt;&gt;"", 'Field information 2'!$O$5&lt;&gt;"", 'Field information 2'!$Q$5&lt;&gt;""),
   IF(AND(Calc!BD79=0,Calc!BE79=0),
     IF('Waste results'!$S$19&lt;&gt;"data missing", Calc!BC79*'Waste results'!$S$19, "data missing"),
   IF(AND(Calc!BC79=0,Calc!BE79=0),
     IF('Waste results'!$S$55&lt;&gt;"data missing", Calc!BD79*'Waste results'!$S$55, "data missing"),
   IF(AND(Calc!BC79=0,Calc!BD79=0),
     IF('Waste results'!$S$91&lt;&gt;"data missing", Calc!BE79*'Waste results'!$S$91, "data missing"),
   IF(Calc!BE79=0,
     IF(OR('Waste results'!$S$19&lt;&gt;"data missing", 'Waste results'!$S$55&lt;&gt;"data missing"), Calc!BC79*'Waste results'!$S$19+ Calc!BD79*'Waste results'!$S$55, "data missing"),
   IF(Calc!BD79=0,
     IF(OR('Waste results'!$S$19&lt;&gt;"data missing", 'Waste results'!$S$91&lt;&gt;"data missing"), Calc!BC79*'Waste results'!$S$19+ Calc!BE79*'Waste results'!$S$91, "data missing"),
   IF(Calc!BC79=0,
     IF(OR('Waste results'!$S$55&lt;&gt;"data missing", 'Waste results'!$S$91&lt;&gt;"data missing"), Calc!BD79*'Waste results'!$S$55+Calc!BE79*'Waste results'!$S$91, "data missing"),
   IF(OR('Waste results'!$S$19&lt;&gt;"data missing", 'Waste results'!$S$55&lt;&gt;"data missing", 'Waste results'!$S$91&lt;&gt;"data missing"), Calc!BC79*'Waste results'!$S$19+Calc!BD79*'Waste results'!$S$55+ Calc!BE79*'Waste results'!$S$91, "data missing")))))))))))</f>
        <v/>
      </c>
      <c r="P81" s="91" t="str">
        <f ca="1">IF(B81="","",
IF(OR(ISBLANK('Soil results'!H$7),ISBLANK('Soil results'!H84)),"data missing",
IF(OR(AND('Soil results'!H$7="ammonium nitrate (ADAS)",'Soil results'!H84&gt;400),AND('Soil results'!H$7="modified Morgan (SAC)",'Soil results'!H84&gt;400)),0,
IF(OR(AND('Soil results'!H$7="ammonium nitrate (ADAS)",'Soil results'!H84&gt;=121,'Soil results'!H84&lt;=180),AND('Soil results'!H$7="modified Morgan (SAC)",'Soil results'!H84&gt;=76,'Soil results'!H84&lt;=140)),VLOOKUP(Calc!BI79,'Fertiliser recommendations'!$A$4:$Z$63,26,FALSE),
IF(OR(AND('Soil results'!H$7="ammonium nitrate (ADAS)",'Soil results'!H84&lt;61),AND('Soil results'!H$7="modified Morgan (SAC)",'Soil results'!H84&lt;40)),VLOOKUP(Calc!BI79,'Fertiliser recommendations'!$A$4:$Z$63,26,FALSE)+VLOOKUP(Calc!BI79,'Fertiliser recommendations'!$A$4:$AA$63,27,FALSE),
IF(OR(AND('Soil results'!H$7="ammonium nitrate (ADAS)",'Soil results'!H84&lt;121),AND('Soil results'!H$7="modified Morgan (SAC)",'Soil results'!H84&lt;76)),VLOOKUP(Calc!BI79,'Fertiliser recommendations'!$A$4:$Z$63,26,FALSE)+VLOOKUP(Calc!BI79,'Fertiliser recommendations'!$A$4:$AB$63,28,FALSE),
IF(OR(AND('Soil results'!H$7="ammonium nitrate (ADAS)",'Soil results'!H84&lt;241),AND('Soil results'!H$7="modified Morgan (SAC)",'Soil results'!H84&lt;201)),VLOOKUP(Calc!BI79,'Fertiliser recommendations'!$A$4:$Z$63,26,FALSE)+VLOOKUP(Calc!BI79,'Fertiliser recommendations'!$A$4:$AC$63,29,FALSE),
IF(OR(AND('Soil results'!H$7="ammonium nitrate (ADAS)",'Soil results'!H84&lt;=400),AND('Soil results'!H$7="modified Morgan (SAC)",'Soil results'!H84&lt;=400)),VLOOKUP(Calc!BI79,'Fertiliser recommendations'!$A$4:$Z$63,26,FALSE)+VLOOKUP(Calc!BI79,'Fertiliser recommendations'!$A$4:$AD$63,30,FALSE),
"??"))))))))</f>
        <v/>
      </c>
      <c r="Q81" s="91" t="str">
        <f t="shared" ca="1" si="19"/>
        <v/>
      </c>
      <c r="R81" s="9" t="str">
        <f ca="1">IF(B81="","",
IF(OR(O81="data missing",P81="data missing"),"data missing",
IF(Calc!BF79=0,"n/a",
IF(P81=0, "no requirement",
IF(O81&lt;0.1*P81,"no benefit",
IF(O81&lt;0.3*P81,"limited benefit",
IF(O81&gt;1.25*P81,"excessive",
"benefit")))))))</f>
        <v/>
      </c>
      <c r="T81" s="91" t="str">
        <f ca="1">IF(B81="","",
IF(AND('Field information 2'!$O$5="", 'Field information 2'!$Q$5=""),
   IF('Waste results'!$S$21&lt;&gt;"data missing", Calc!BC79*'Waste results'!$S$21, "data missing"),
IF('Field information 2'!$Q$5="",
   IF(Calc!BD79=0,
     IF('Waste results'!$S$21&lt;&gt;"data missing", Calc!BC79*'Waste results'!$S$21, "data missing"),
   IF(Calc!BC79=0,
     IF('Waste results'!$S$57&lt;&gt;"data missing", Calc!BD79*'Waste results'!$S$57, "data missing"),
   IF(OR('Waste results'!$S$21&lt;&gt;"data missing", 'Waste results'!$S$57&lt;&gt;"data missing"), Calc!BC79*'Waste results'!$S$21+ Calc!BD79*'Waste results'!$S$57, "data missing"))),
IF(AND('Field information 2'!$M$5&lt;&gt;"", 'Field information 2'!$O$5&lt;&gt;"", 'Field information 2'!$Q$5&lt;&gt;""),
   IF(AND(Calc!BD79=0,Calc!BE79=0),
     IF('Waste results'!$S$21&lt;&gt;"data missing", Calc!BC79*'Waste results'!$S$21, "data missing"),
   IF(AND(Calc!BC79=0,Calc!BE79=0),
     IF('Waste results'!$S$57&lt;&gt;"data missing", Calc!BD79*'Waste results'!$S$57, "data missing"),
   IF(AND(Calc!BC79=0,Calc!BD79=0),
     IF('Waste results'!$S$93&lt;&gt;"data missing", Calc!BE79*'Waste results'!$S$93, "data missing"),
   IF(Calc!BE79=0,
     IF(OR('Waste results'!$S$21&lt;&gt;"data missing", 'Waste results'!$S$57&lt;&gt;"data missing"), Calc!BC79*'Waste results'!$S$21+ Calc!BD79*'Waste results'!$S$57, "data missing"),
   IF(Calc!BD79=0,
     IF(OR('Waste results'!$S$21&lt;&gt;"data missing", 'Waste results'!$S$93&lt;&gt;"data missing"), Calc!BC79*'Waste results'!$S$21+ Calc!BE79*'Waste results'!$S$93, "data missing"),
   IF(Calc!BC79=0,
     IF(OR('Waste results'!$S$57&lt;&gt;"data missing", 'Waste results'!$S$93&lt;&gt;"data missing"), Calc!BD79*'Waste results'!$S$57+Calc!BE79*'Waste results'!$S$93, "data missing"),
   IF(OR('Waste results'!$S$21&lt;&gt;"data missing", 'Waste results'!$S$57&lt;&gt;"data missing", 'Waste results'!$S$93&lt;&gt;"data missing"), Calc!BC79*'Waste results'!$S$21+Calc!BD79*'Waste results'!$S$57+ Calc!BE79*'Waste results'!$S$93, "data missing")))))))))))</f>
        <v/>
      </c>
      <c r="U81" s="7" t="str">
        <f ca="1">IF(B81="","",
IF(OR(ISBLANK('Soil results'!I$7),ISBLANK('Soil results'!I84)),"data missing",
IF(OR(AND('Soil results'!I$7="ammonium nitrate (ADAS)",'Soil results'!I84&gt;51),AND('Soil results'!I$7="modified Morgan (SAC)",'Soil results'!I84&gt;61)),0,
IF(OR(AND('Soil results'!I$7="ammonium nitrate (ADAS)",'Soil results'!I84&lt;25),AND('Soil results'!I$7="modified Morgan (SAC)",'Soil results'!I84&lt;19)),VLOOKUP(Calc!BI79,'Fertiliser recommendations'!$A$4:$AH$63,34,FALSE),
IF(OR(AND('Soil results'!I$7="ammonium nitrate (ADAS)",'Soil results'!I84&lt;=51),AND('Soil results'!I$7="modified Morgan (SAC)",'Soil results'!I84&lt;=61)),VLOOKUP(Calc!BI79,'Fertiliser recommendations'!$A$4:$AI$63,35,FALSE),
"")))))</f>
        <v/>
      </c>
      <c r="V81" s="91" t="str">
        <f t="shared" ca="1" si="20"/>
        <v/>
      </c>
      <c r="W81" s="9" t="str">
        <f ca="1">IF(B81="","",
IF(OR(T81="data missing",U81="data missing"),"data missing",
IF(Calc!BF79=0,"n/a",
IF(U81=0,"no requirement",
IF(T81&lt;0.1*U81,"no benefit",
IF(T81&lt;0.3*U81,"limited benefit",
IF(OR(T81&gt;1.5*U81,AND(Calc!BJ79="g",T81&gt;100)),"excessive",
"benefit")))))))</f>
        <v/>
      </c>
      <c r="Y81" s="91" t="str">
        <f ca="1">IF(B81="","",
IF(AND('Field information 2'!$O$5="", 'Field information 2'!$Q$5=""),
   IF('Waste results'!$P$23&lt;&gt;"", Calc!BC79*'Waste results'!$P$23, "no data"),
IF('Field information 2'!$Q$5="",
   IF(Calc!BD79=0,
     IF('Waste results'!$P$23&lt;&gt;"", Calc!BC79*'Waste results'!$P$23, "no data"),
   IF(Calc!BC79=0,
     IF('Waste results'!$P$59&lt;&gt;"", Calc!BD79*'Waste results'!$P$59, "no data"),
   IF(OR('Waste results'!$P$23&lt;&gt;"", 'Waste results'!$P$59&lt;&gt;""), Calc!BC79*'Waste results'!$P$23+ Calc!BD79*'Waste results'!$P$59, "no data"))),
IF(AND('Field information 2'!$M$5&lt;&gt;"", 'Field information 2'!$O$5&lt;&gt;"", 'Field information 2'!$Q$5&lt;&gt;""),
   IF(AND(Calc!BD79=0,Calc!BE79=0),
     IF('Waste results'!$P$23&lt;&gt;"", Calc!BC79*'Waste results'!$P$23, "no data"),
   IF(AND(Calc!BC79=0,Calc!BE79=0),
     IF('Waste results'!$P$59&lt;&gt;"", Calc!BD79*'Waste results'!$P$59, "no data"),
   IF(AND(Calc!BC79=0,Calc!BD79=0),
     IF('Waste results'!$P$95&lt;&gt;"", Calc!BE79*'Waste results'!$P$95, "no data"),
   IF(Calc!BE79=0,
     IF(OR('Waste results'!$P$23&lt;&gt;"", 'Waste results'!$P$59&lt;&gt;""), Calc!BC79*'Waste results'!$P$23+ Calc!BD79*'Waste results'!$P$59, "no data"),
   IF(Calc!BD79=0,
     IF(OR('Waste results'!$P$23&lt;&gt;"", 'Waste results'!$P$95&lt;&gt;""), Calc!BC79*'Waste results'!$P$23+ Calc!BE79*'Waste results'!$P$95, "no data"),
   IF(Calc!BC79=0,
     IF(OR('Waste results'!$P$59&lt;&gt;"", 'Waste results'!$P$95&lt;&gt;""), Calc!BD79*'Waste results'!$P$59+Calc!BE79*'Waste results'!$P$95, "no data"),
   IF(OR('Waste results'!$P$23&lt;&gt;"", 'Waste results'!$P$59&lt;&gt;"", 'Waste results'!$P$95&lt;&gt;""), Calc!BC79*'Waste results'!$P$23+Calc!BD79*'Waste results'!$P$59+ Calc!BE79*'Waste results'!$P$95, "no data")))))))))))</f>
        <v/>
      </c>
      <c r="Z81" s="7" t="str">
        <f ca="1">IF(OR(ISBLANK('Soil results'!I$7),ISBLANK('Soil results'!I84),'Soil results'!B84=""),"",
VLOOKUP(Calc!BI79,'Fertiliser recommendations'!$A$4:$AM$63,39,FALSE))</f>
        <v/>
      </c>
      <c r="AA81" s="91" t="str">
        <f t="shared" ca="1" si="21"/>
        <v/>
      </c>
      <c r="AB81" s="9" t="str">
        <f t="shared" ca="1" si="22"/>
        <v/>
      </c>
      <c r="AD81" s="48" t="str">
        <f>IF(ISBLANK('Soil results'!F84),"",'Soil results'!F84)</f>
        <v/>
      </c>
      <c r="AE81" s="49" t="str">
        <f ca="1">IF(B81="","",
IF(AND(Calc!BJ79="g", VLOOKUP(LEFT($B81,LEN($B81)-2),'Field information 2'!$B$12:$P$111,9,FALSE)&lt;&gt;"yes"),
 IF(Calc!BG79="10-25% OM", 5.9, IF(Calc!BG79="&gt;25% OM", 5.5, 6.2)),
IF(OR(Calc!BJ79="a", VLOOKUP(LEFT($B81,LEN($B81)-2),'Field information 2'!$B$12:$P$111,9,FALSE)="yes"),
 IF(Calc!BG79="10-25% OM", 6.4, IF(Calc!BG79="&gt;25% OM", 6, 6.7)), "")))</f>
        <v/>
      </c>
      <c r="AF81" s="91" t="str">
        <f ca="1">IF(B81="","",
IF('Waste results'!$Q$33="","no (significant) liming properties",
IF('Waste results'!Q$33&gt;100,"no (significant) liming properties",
IF(AD81="","",
IF(AD81&gt;=AE81,0,ROUNDDOWN((AE81-AD81)*Calc!BK79*'Waste results'!$Q$33+0.2,0))))))</f>
        <v/>
      </c>
      <c r="AG81" s="9" t="str">
        <f ca="1">IF(B81="","",
IF(T81=0,"n/a",
IF(AD81="","data missing",
IF(AND(AD81&lt;5,AF81="no (significant) liming properties"),"no waste application - pH too low",
IF(AND(AD81&gt;5.1,AF81="no (significant) liming properties",Calc!BH79&gt;25, LEFT(Calc!BI79,4)="graz"),"ok",
IF(AND(AD81&lt;=5.2,AF81="no (significant) liming properties"),"liming highly recommended",
IF(AF81=0,"no waste application - liming not required",
IF(AF81&lt;Calc!BC79,"application rate too high - exceeds liming requirement",
"ok"))))))))</f>
        <v/>
      </c>
      <c r="AI81" s="91" t="str">
        <f ca="1">IF(B81="","",
IF(AND('Field information 2'!$O$5="", 'Field information 2'!$Q$5=""),
   IF('Waste results'!$P$10&lt;&gt;"data missing", Calc!BC79*'Waste results'!$P$10, "data missing"),
IF('Field information 2'!$Q$5="",
   IF(Calc!BD79=0,
     IF('Waste results'!$P$10&lt;&gt;"data missing", Calc!BC79*'Waste results'!$P$10, "data missing"),
   IF(Calc!BC79=0,
     IF('Waste results'!$P$45&lt;&gt;"data missing", Calc!BD79*'Waste results'!$P$45, "data missing"),
   IF(OR('Waste results'!$P$10&lt;&gt;"data missing", 'Waste results'!$P$45&lt;&gt;"data missing"), Calc!BC79*'Waste results'!$P$10+ Calc!BD79*'Waste results'!$P$45, "data missing"))),
IF(AND('Field information 2'!$M$5&lt;&gt;"", 'Field information 2'!$O$5&lt;&gt;"", 'Field information 2'!$Q$5&lt;&gt;""),
   IF(AND(Calc!BD79=0,Calc!BE79=0),
     IF('Waste results'!$P$10&lt;&gt;"data missing", Calc!BC79*'Waste results'!$P$10, "data missing"),
   IF(AND(Calc!BC79=0,Calc!BE79=0),
     IF('Waste results'!$P$45&lt;&gt;"data missing", Calc!BD79*'Waste results'!$P$45, "data missing"),
   IF(AND(Calc!BC79=0,Calc!BD79=0),
     IF('Waste results'!$P$82&lt;&gt;"data missing", Calc!BE79*'Waste results'!$P$82, "data missing"),
   IF(Calc!BE79=0,
     IF(OR('Waste results'!$P$10&lt;&gt;"data missing", 'Waste results'!$P$45&lt;&gt;"data missing"), Calc!BC79*'Waste results'!$P$10+ Calc!BD79*'Waste results'!$P$45, "data missing"),
   IF(Calc!BD79=0,
     IF(OR('Waste results'!$P$10&lt;&gt;"data missing", 'Waste results'!$P$82&lt;&gt;"data missing"), Calc!BC79*'Waste results'!$P$10+ Calc!BE79*'Waste results'!$P$82, "data missing"),
   IF(Calc!BC79=0,
     IF(OR('Waste results'!$P$45&lt;&gt;"data missing", 'Waste results'!$P$82&lt;&gt;"data missing"), Calc!BD79*'Waste results'!$P$45+Calc!BE79*'Waste results'!$P$82, "data missing"),
   IF(OR('Waste results'!$P$10&lt;&gt;"data missing", 'Waste results'!$P$45&lt;&gt;"data missing", 'Waste results'!$P$82&lt;&gt;"data missing"), Calc!BC79*'Waste results'!$P$10+Calc!BD79*'Waste results'!$P$45+ Calc!BE79*'Waste results'!$P$82, "data missing")))))))))))</f>
        <v/>
      </c>
      <c r="AJ81" s="237" t="str">
        <f ca="1">IF(B81="","",
IF(AI81="data missing","data missing",
IF(Calc!BF79=0,"n/a",
IF(AND(Calc!BH79&gt;=8,AI81&lt;500),"no benefit",
IF(OR(AND(Calc!BH79&lt;=4,AI81&gt;=500),AND(Calc!BH79&lt;8,AI81&gt;5000)),"benefit",
"limited benefit")))))</f>
        <v/>
      </c>
      <c r="AL81" s="238" t="str">
        <f ca="1">IF(B81="","",
IF(AND('Field information 2'!$O$5="", 'Field information 2'!$Q$5=""),
   IF('Waste results'!$S$25&lt;&gt;"data missing", Calc!BC79*'Waste results'!$S$25, "data missing"),
IF('Field information 2'!$Q$5="",
   IF(Calc!BD79=0,
     IF('Waste results'!$S$25&lt;&gt;"data missing", Calc!BC79*'Waste results'!$S$25, "data missing"),
   IF(Calc!BC79=0,
     IF('Waste results'!$S$61&lt;&gt;"data missing", Calc!BD79*'Waste results'!$S$61, "data missing"),
   IF(OR('Waste results'!$S$25&lt;&gt;"data missing", 'Waste results'!$S$61&lt;&gt;"data missing"), Calc!BC79*'Waste results'!$S$25+ Calc!BD79*'Waste results'!$S$61, "data missing"))),
IF(AND('Field information 2'!$M$5&lt;&gt;"", 'Field information 2'!$O$5&lt;&gt;"", 'Field information 2'!$Q$5&lt;&gt;""),
   IF(AND(Calc!BD79=0,Calc!BE79=0),
     IF('Waste results'!$S$25&lt;&gt;"data missing", Calc!BC79*'Waste results'!$S$25, "data missing"),
   IF(AND(Calc!BC79=0,Calc!BE79=0),
     IF('Waste results'!$S$61&lt;&gt;"data missing", Calc!BD79*'Waste results'!$S$61, "data missing"),
   IF(AND(Calc!BC79=0,Calc!BD79=0),
     IF('Waste results'!$S$97&lt;&gt;"data missing", Calc!BE79*'Waste results'!$S$97, "data missing"),
   IF(Calc!BE79=0,
     IF(OR('Waste results'!$S$25&lt;&gt;"data missing", 'Waste results'!$S$61&lt;&gt;"data missing"), Calc!BC79*'Waste results'!$S$25+ Calc!BD79*'Waste results'!$S$61, "data missing"),
   IF(Calc!BD79=0,
     IF(OR('Waste results'!$S$25&lt;&gt;"data missing", 'Waste results'!$S$97&lt;&gt;"data missing"), Calc!BC79*'Waste results'!$S$25+ Calc!BE79*'Waste results'!$S$97, "data missing"),
   IF(Calc!BC79=0,
     IF(OR('Waste results'!$S$61&lt;&gt;"data missing", 'Waste results'!$S$97&lt;&gt;"data missing"), Calc!BD79*'Waste results'!$S$61+Calc!BE79*'Waste results'!$S$97, "data missing"),
   IF(OR('Waste results'!$S$25&lt;&gt;"data missing", 'Waste results'!$S$61&lt;&gt;"data missing", 'Waste results'!$S$97&lt;&gt;"data missing"), Calc!BC79*'Waste results'!$S$25+Calc!BD79*'Waste results'!$S$61+ Calc!BE79*'Waste results'!$S$97, "data missing")))))))))))</f>
        <v/>
      </c>
      <c r="AM81" s="239" t="str">
        <f ca="1">IF($B81="","",
IF(ISBLANK('Soil results'!K84),"data missing",'Soil results'!K84))</f>
        <v/>
      </c>
      <c r="AN81" s="239" t="str">
        <f t="shared" ca="1" si="23"/>
        <v/>
      </c>
      <c r="AO81" s="9" t="str">
        <f t="shared" ca="1" si="24"/>
        <v/>
      </c>
      <c r="AQ81" s="240" t="str">
        <f ca="1">IF(B81="","",
IF(AND('Field information 2'!$O$5="", 'Field information 2'!$Q$5=""),
   IF('Waste results'!$S$26&lt;&gt;"data missing", Calc!BC79*'Waste results'!$S$26, "data missing"),
IF('Field information 2'!$Q$5="",
   IF(Calc!BD79=0,
     IF('Waste results'!$S$26&lt;&gt;"data missing", Calc!BC79*'Waste results'!$S$26, "data missing"),
   IF(Calc!BC79=0,
     IF('Waste results'!$S$62&lt;&gt;"data missing", Calc!BD79*'Waste results'!$S$62, "data missing"),
   IF(OR('Waste results'!$S$26&lt;&gt;"data missing", 'Waste results'!$S$62&lt;&gt;"data missing"), Calc!BC79*'Waste results'!$S$26+ Calc!BD79*'Waste results'!$S$62, "data missing"))),
IF(AND('Field information 2'!$M$5&lt;&gt;"", 'Field information 2'!$O$5&lt;&gt;"", 'Field information 2'!$Q$5&lt;&gt;""),
   IF(AND(Calc!BD79=0,Calc!BE79=0),
     IF('Waste results'!$S$26&lt;&gt;"data missing", Calc!BC79*'Waste results'!$S$26, "data missing"),
   IF(AND(Calc!BC79=0,Calc!BE79=0),
     IF('Waste results'!$S$62&lt;&gt;"data missing", Calc!BD79*'Waste results'!$S$62, "data missing"),
   IF(AND(Calc!BC79=0,Calc!BD79=0),
     IF('Waste results'!$S$98&lt;&gt;"data missing", Calc!BE79*'Waste results'!$S$98, "data missing"),
   IF(Calc!BE79=0,
     IF(OR('Waste results'!$S$26&lt;&gt;"data missing", 'Waste results'!$S$62&lt;&gt;"data missing"), Calc!BC79*'Waste results'!$S$26+ Calc!BD79*'Waste results'!$S$62, "data missing"),
   IF(Calc!BD79=0,
     IF(OR('Waste results'!$S$26&lt;&gt;"data missing", 'Waste results'!$S$98&lt;&gt;"data missing"), Calc!BC79*'Waste results'!$S$26+ Calc!BE79*'Waste results'!$S$98, "data missing"),
   IF(Calc!BC79=0,
     IF(OR('Waste results'!$S$62&lt;&gt;"data missing", 'Waste results'!$S$98&lt;&gt;"data missing"), Calc!BD79*'Waste results'!$S$62+Calc!BE79*'Waste results'!$S$98, "data missing"),
   IF(OR('Waste results'!$S$26&lt;&gt;"data missing", 'Waste results'!$S$62&lt;&gt;"data missing", 'Waste results'!$S$98&lt;&gt;"data missing"), Calc!BC79*'Waste results'!$S$26+Calc!BD79*'Waste results'!$S$62+ Calc!BE79*'Waste results'!$S$98, "data missing")))))))))))</f>
        <v/>
      </c>
      <c r="AR81" s="241" t="str">
        <f ca="1">IF($B81="","",
IF(ISBLANK('Soil results'!L84),"data missing",'Soil results'!L84))</f>
        <v/>
      </c>
      <c r="AS81" s="241" t="str">
        <f t="shared" ca="1" si="25"/>
        <v/>
      </c>
      <c r="AT81" s="66" t="str">
        <f t="shared" ca="1" si="26"/>
        <v/>
      </c>
      <c r="AV81" s="238" t="str">
        <f ca="1">IF(B81="","",
IF(AND('Field information 2'!$O$5="", 'Field information 2'!$Q$5=""),
   IF('Waste results'!$S$27&lt;&gt;"data missing", Calc!BC79*'Waste results'!$S$27, "data missing"),
IF('Field information 2'!$Q$5="",
   IF(Calc!BD79=0,
     IF('Waste results'!$S$27&lt;&gt;"data missing", Calc!BC79*'Waste results'!$S$27, "data missing"),
   IF(Calc!BC79=0,
     IF('Waste results'!$S$63&lt;&gt;"data missing", Calc!BD79*'Waste results'!$S$63, "data missing"),
   IF(OR('Waste results'!$S$27&lt;&gt;"data missing", 'Waste results'!$S$63&lt;&gt;"data missing"), Calc!BC79*'Waste results'!$S$27+ Calc!BD79*'Waste results'!$S$63, "data missing"))),
IF(AND('Field information 2'!$M$5&lt;&gt;"", 'Field information 2'!$O$5&lt;&gt;"", 'Field information 2'!$Q$5&lt;&gt;""),
   IF(AND(Calc!BD79=0,Calc!BE79=0),
     IF('Waste results'!$S$27&lt;&gt;"data missing", Calc!BC79*'Waste results'!$S$27, "data missing"),
   IF(AND(Calc!BC79=0,Calc!BE79=0),
     IF('Waste results'!$S$63&lt;&gt;"data missing", Calc!BD79*'Waste results'!$S$63, "data missing"),
   IF(AND(Calc!BC79=0,Calc!BD79=0),
     IF('Waste results'!$S$99&lt;&gt;"data missing", Calc!BE79*'Waste results'!$S$99, "data missing"),
   IF(Calc!BE79=0,
     IF(OR('Waste results'!$S$27&lt;&gt;"data missing", 'Waste results'!$S$63&lt;&gt;"data missing"), Calc!BC79*'Waste results'!$S$27+ Calc!BD79*'Waste results'!$S$63, "data missing"),
   IF(Calc!BD79=0,
     IF(OR('Waste results'!$S$27&lt;&gt;"data missing", 'Waste results'!$S$99&lt;&gt;"data missing"), Calc!BC79*'Waste results'!$S$27+ Calc!BE79*'Waste results'!$S$99, "data missing"),
   IF(Calc!BC79=0,
     IF(OR('Waste results'!$S$63&lt;&gt;"data missing", 'Waste results'!$S$99&lt;&gt;"data missing"), Calc!BD79*'Waste results'!$S$63+Calc!BE79*'Waste results'!$S$99, "data missing"),
   IF(OR('Waste results'!$S$27&lt;&gt;"data missing", 'Waste results'!$S$63&lt;&gt;"data missing", 'Waste results'!$S$99&lt;&gt;"data missing"), Calc!BC79*'Waste results'!$S$27+Calc!BD79*'Waste results'!$S$63+ Calc!BE79*'Waste results'!$S$99, "data missing")))))))))))</f>
        <v/>
      </c>
      <c r="AW81" s="239" t="str">
        <f ca="1">IF($B81="","",
IF(ISBLANK('Soil results'!M84),"data missing",'Soil results'!M84))</f>
        <v/>
      </c>
      <c r="AX81" s="239" t="str">
        <f t="shared" ca="1" si="27"/>
        <v/>
      </c>
      <c r="AY81" s="9" t="str">
        <f ca="1">IF(B81="","",
IF(AV81=0,"n/a",
IF(OR(AV81="data missing",AW81="data missing"),"data missing",
IF(AV81&gt;7.5,"application rate too high - permissible rate exceeds limit",
IF('Soil results'!$F84&lt;=5.5,
  IF(AW81&gt;80,"no application - soil conc. already above limit",
  IF(AX81&gt;80,"application rate too high - soil conc. will exceed limit",
  IF(AW81&gt;80*0.9,"soil conc. is at or above 90% of the limit",
  IF(10*AV81*1000/3000+AW81&gt;80,"soil limit likely to be exceeded in 10yrs",
  IF(50*AV81*1000/3000+AW81&gt;80,"soil limit likely to be exceeded in 50yrs","ok"))))),
IF('Soil results'!$F84&lt;=6,
  IF(AW81&gt;100,"no application - soil conc. already above limit",
  IF(AX81&gt;100,"application rate too high - soil conc. will exceed limit",
  IF(AW81&gt;100*0.9,"soil conc. is at or above 90% of the limit",
  IF(10*AV81*1000/3000+AW81&gt;100,"soil limit likely to be exceeded in 10yrs",
  IF(50*AV81*1000/3000+AW81&gt;100,"soil limit likely to be exceeded in 50yrs","ok"))))),
IF('Soil results'!$F84&lt;=7,
  IF(AW81&gt;135,"no application - soil conc. already above limit",
  IF(AX81&gt;135,"application rate too high - soil conc. will exceed limit",
  IF(AW81&gt;135*0.9,"soil conc. is at or above 90% of the limit",
  IF(10*AV81*1000/3000+AW81&gt;135,"soil limit likely to be exceeded in 10yrs",
  IF(50*AV81*1000/3000+AW81&gt;135,"soil limit likely to be exceeded in 50yrs","ok"))))),
IF('Soil results'!$F84&gt;7,
  IF(AW81&gt;200,"no application - soil conc. already above limit",
  IF(AX81&gt;200,"application too high - soil conc. will exceed limit",
  IF(AW81&gt;200*0.9,"soil conc. is at or above 90% of the limit",
  IF(10*AV81*1000/3000+AW81&gt;200,"soil limit likely to be exceeded in 10yrs",
  IF(50*AV81*1000/3000+AW81&gt;200,"soil limit likely to be exceeded in 50yrs","ok")))))
))))))))</f>
        <v/>
      </c>
      <c r="BA81" s="238" t="str">
        <f ca="1">IF(B81="","",
IF(AND('Field information 2'!$O$5="", 'Field information 2'!$Q$5=""),
   IF('Waste results'!$S$28&lt;&gt;"data missing", Calc!BC79*'Waste results'!$S$28, "data missing"),
IF('Field information 2'!$Q$5="",
   IF(Calc!BD79=0,
     IF('Waste results'!$S$28&lt;&gt;"data missing", Calc!BC79*'Waste results'!$S$28, "data missing"),
   IF(Calc!BC79=0,
     IF('Waste results'!$S$64&lt;&gt;"data missing", Calc!BD79*'Waste results'!$S$64, "data missing"),
   IF(OR('Waste results'!$S$28&lt;&gt;"data missing", 'Waste results'!$S$64&lt;&gt;"data missing"), Calc!BC79*'Waste results'!$S$28+ Calc!BD79*'Waste results'!$S$64, "data missing"))),
IF(AND('Field information 2'!$M$5&lt;&gt;"", 'Field information 2'!$O$5&lt;&gt;"", 'Field information 2'!$Q$5&lt;&gt;""),
   IF(AND(Calc!BD79=0,Calc!BE79=0),
     IF('Waste results'!$S$28&lt;&gt;"data missing", Calc!BC79*'Waste results'!$S$28, "data missing"),
   IF(AND(Calc!BC79=0,Calc!BE79=0),
     IF('Waste results'!$S$64&lt;&gt;"data missing", Calc!BD79*'Waste results'!$S$64, "data missing"),
   IF(AND(Calc!BC79=0,Calc!BD79=0),
     IF('Waste results'!$S$100&lt;&gt;"data missing", Calc!BE79*'Waste results'!$S$100, "data missing"),
   IF(Calc!BE79=0,
     IF(OR('Waste results'!$S$28&lt;&gt;"data missing", 'Waste results'!$S$64&lt;&gt;"data missing"), Calc!BC79*'Waste results'!$S$28+ Calc!BD79*'Waste results'!$S$64, "data missing"),
   IF(Calc!BD79=0,
     IF(OR('Waste results'!$S$28&lt;&gt;"data missing", 'Waste results'!$S$100&lt;&gt;"data missing"), Calc!BC79*'Waste results'!$S$28+ Calc!BE79*'Waste results'!$S$100, "data missing"),
   IF(Calc!BC79=0,
     IF(OR('Waste results'!$S$64&lt;&gt;"data missing", 'Waste results'!$S$100&lt;&gt;"data missing"), Calc!BD79*'Waste results'!$S$64+Calc!BE79*'Waste results'!$S$100, "data missing"),
   IF(OR('Waste results'!$S$28&lt;&gt;"data missing", 'Waste results'!$S$64&lt;&gt;"data missing", 'Waste results'!$S$100&lt;&gt;"data missing"), Calc!BC79*'Waste results'!$S$28+Calc!BD79*'Waste results'!$S$64+ Calc!BE79*'Waste results'!$S$100, "data missing")))))))))))</f>
        <v/>
      </c>
      <c r="BB81" s="239" t="str">
        <f ca="1">IF($B81="","",
IF(ISBLANK('Soil results'!N84),"data missing",'Soil results'!N84))</f>
        <v/>
      </c>
      <c r="BC81" s="239" t="str">
        <f t="shared" ca="1" si="28"/>
        <v/>
      </c>
      <c r="BD81" s="9" t="str">
        <f t="shared" ca="1" si="29"/>
        <v/>
      </c>
      <c r="BF81" s="238" t="str">
        <f ca="1">IF(B81="","",
IF(AND('Field information 2'!$O$5="", 'Field information 2'!$Q$5=""),
   IF('Waste results'!$S$29&lt;&gt;"data missing", Calc!BC79*'Waste results'!$S$29, "data missing"),
IF('Field information 2'!$Q$5="",
   IF(Calc!BD79=0,
     IF('Waste results'!$S$29&lt;&gt;"data missing", Calc!BC79*'Waste results'!$S$29, "data missing"),
   IF(Calc!BC79=0,
     IF('Waste results'!$S$65&lt;&gt;"data missing", Calc!BD79*'Waste results'!$S$65, "data missing"),
   IF(OR('Waste results'!$S$29&lt;&gt;"data missing", 'Waste results'!$S$65&lt;&gt;"data missing"), Calc!BC79*'Waste results'!$S$29+ Calc!BD79*'Waste results'!$S$65, "data missing"))),
IF(AND('Field information 2'!$M$5&lt;&gt;"", 'Field information 2'!$O$5&lt;&gt;"", 'Field information 2'!$Q$5&lt;&gt;""),
   IF(AND(Calc!BD79=0,Calc!BE79=0),
     IF('Waste results'!$S$29&lt;&gt;"data missing", Calc!BC79*'Waste results'!$S$29, "data missing"),
   IF(AND(Calc!BC79=0,Calc!BE79=0),
     IF('Waste results'!$S$65&lt;&gt;"data missing", Calc!BD79*'Waste results'!$S$65, "data missing"),
   IF(AND(Calc!BC79=0,Calc!BD79=0),
     IF('Waste results'!$S$101&lt;&gt;"data missing", Calc!BE79*'Waste results'!$S$101, "data missing"),
   IF(Calc!BE79=0,
     IF(OR('Waste results'!$S$29&lt;&gt;"data missing", 'Waste results'!$S$65&lt;&gt;"data missing"), Calc!BC79*'Waste results'!$S$29+ Calc!BD79*'Waste results'!$S$65, "data missing"),
   IF(Calc!BD79=0,
     IF(OR('Waste results'!$S$29&lt;&gt;"data missing", 'Waste results'!$S$101&lt;&gt;"data missing"), Calc!BC79*'Waste results'!$S$29+ Calc!BE79*'Waste results'!$S$101, "data missing"),
   IF(Calc!BC79=0,
     IF(OR('Waste results'!$S$65&lt;&gt;"data missing", 'Waste results'!$S$101&lt;&gt;"data missing"), Calc!BD79*'Waste results'!$S$65+Calc!BE79*'Waste results'!$S$101, "data missing"),
   IF(OR('Waste results'!$S$29&lt;&gt;"data missing", 'Waste results'!$S$65&lt;&gt;"data missing", 'Waste results'!$S$101&lt;&gt;"data missing"), Calc!BC79*'Waste results'!$S$29+Calc!BD79*'Waste results'!$S$65+ Calc!BE79*'Waste results'!$S$101, "data missing")))))))))))</f>
        <v/>
      </c>
      <c r="BG81" s="239" t="str">
        <f ca="1">IF($B81="","",
IF(ISBLANK('Soil results'!O84),"data missing",'Soil results'!O84))</f>
        <v/>
      </c>
      <c r="BH81" s="239" t="str">
        <f t="shared" ca="1" si="30"/>
        <v/>
      </c>
      <c r="BI81" s="9" t="str">
        <f ca="1">IF(B81="","",
IF(BF81=0,"n/a",
IF(OR(BF81="data missing",BG81="data missing"),"data missing",
IF(BF81&gt;3,"application rate too high - permissible rate exceeds limit",
IF('Soil results'!F84&lt;=5.5,
  IF(BG81&gt;50,"no application - soil conc. already above limit",
  IF(BH81&gt;50,"application rate too high - soil conc. will exceed limit",
  IF(BG81&gt;50*0.9,"soil conc. is at or above 90% of the limit",
  IF(10*BF81*1000/3000+BG81&gt;50,"soil limit likely to be exceeded in 10yrs",
  IF(50*BF81*1000/3000+BG81&gt;50,"soil limit likely to be exceeded in 50yrs","ok"))))),
IF('Soil results'!F84&lt;=6,
  IF(BG81&gt;60,"no application - soil conc. already above limit",
  IF(BH81&gt;60,"application rate too high - soil conc. will exceed limit",
  IF(BG81&gt;60*0.9,"soil conc. is at or above 90% of the limit",
  IF(10*BF81*1000/3000+BG81&gt;60,"soil limit likely to be exceeded in 10yrs",
  IF(50*BF81*1000/3000+BG81&gt;60,"soil limit likely to be exceeded in 50yrs","ok"))))),
IF('Soil results'!F84&lt;=7,
  IF(BG81&gt;75,"no application - soil conc. already above limit",
  IF(BH81&gt;75,"application rate too high - soil conc. will exceed limit",
  IF(BG81&gt;75*0.9,"soil conc. is at or above 90% of the limit",
  IF(10*BF81*1000/3000+BG81&gt;75,"soil limit likely to be exceeded in 10yrs",
  IF(50*BF81*1000/3000+BG81&gt;75,"soil limit likely to be exceeded in 50yrs","ok"))))),
IF('Soil results'!F84&gt;7,
  IF(BG81&gt;100,"no application - soil conc. already above limit",
  IF(BH81&gt;100,"application rate too high - soil conc. will exceed limit",
  IF(BG81&gt;100*0.9,"soil conc. is at or above 90% of the limit",
  IF(10*BF81*1000/3000+BG81&gt;100,"soil limit likely to be exceeded in 10yrs",
  IF(50*BF81*1000/3000+BG81&gt;100,"soil limit likely to beexceeded in 50yrs","ok")))))
))))))))</f>
        <v/>
      </c>
      <c r="BK81" s="240" t="str">
        <f ca="1">IF(B81="","",
IF(AND('Field information 2'!$O$5="", 'Field information 2'!$Q$5=""),
   IF('Waste results'!$S$30&lt;&gt;"data missing", Calc!BC79*'Waste results'!$S$30, "data missing"),
IF('Field information 2'!$Q$5="",
   IF(Calc!BD79=0,
     IF('Waste results'!$S$30&lt;&gt;"data missing", Calc!BC79*'Waste results'!$S$30, "data missing"),
   IF(Calc!BC79=0,
     IF('Waste results'!$S$66&lt;&gt;"data missing", Calc!BD79*'Waste results'!$S$66, "data missing"),
   IF(OR('Waste results'!$S$30&lt;&gt;"data missing", 'Waste results'!$S$66&lt;&gt;"data missing"), Calc!BC79*'Waste results'!$S$30+ Calc!BD79*'Waste results'!$S$66, "data missing"))),
IF(AND('Field information 2'!$M$5&lt;&gt;"", 'Field information 2'!$O$5&lt;&gt;"", 'Field information 2'!$Q$5&lt;&gt;""),
   IF(AND(Calc!BD79=0,Calc!BE79=0),
     IF('Waste results'!$S$30&lt;&gt;"data missing", Calc!BC79*'Waste results'!$S$30, "data missing"),
   IF(AND(Calc!BC79=0,Calc!BE79=0),
     IF('Waste results'!$S$66&lt;&gt;"data missing", Calc!BD79*'Waste results'!$S$66, "data missing"),
   IF(AND(Calc!BC79=0,Calc!BD79=0),
     IF('Waste results'!$S$102&lt;&gt;"data missing", Calc!BE79*'Waste results'!$S$102, "data missing"),
   IF(Calc!BE79=0,
     IF(OR('Waste results'!$S$30&lt;&gt;"data missing", 'Waste results'!$S$66&lt;&gt;"data missing"), Calc!BC79*'Waste results'!$S$30+ Calc!BD79*'Waste results'!$S$66, "data missing"),
   IF(Calc!BD79=0,
     IF(OR('Waste results'!$S$30&lt;&gt;"data missing", 'Waste results'!$S$102&lt;&gt;"data missing"), Calc!BC79*'Waste results'!$S$30+ Calc!BE79*'Waste results'!$S$102, "data missing"),
   IF(Calc!BC79=0,
     IF(OR('Waste results'!$S$66&lt;&gt;"data missing", 'Waste results'!$S$102&lt;&gt;"data missing"), Calc!BD79*'Waste results'!$S$66+Calc!BE79*'Waste results'!$S$102, "data missing"),
   IF(OR('Waste results'!$S$30&lt;&gt;"data missing", 'Waste results'!$S$66&lt;&gt;"data missing", 'Waste results'!$S$102&lt;&gt;"data missing"), Calc!BC79*'Waste results'!$S$30+Calc!BD79*'Waste results'!$S$66+ Calc!BE79*'Waste results'!$S$102, "data missing")))))))))))</f>
        <v/>
      </c>
      <c r="BL81" s="241" t="str">
        <f ca="1">IF($B81="","",
IF(ISBLANK('Soil results'!P84),"data missing",'Soil results'!P84))</f>
        <v/>
      </c>
      <c r="BM81" s="241" t="str">
        <f t="shared" ca="1" si="31"/>
        <v/>
      </c>
      <c r="BN81" s="66" t="str">
        <f t="shared" ca="1" si="32"/>
        <v/>
      </c>
      <c r="BP81" s="238" t="str">
        <f ca="1">IF(B81="","",
IF(AND('Field information 2'!$O$5="", 'Field information 2'!$Q$5=""),
   IF('Waste results'!$S$31&lt;&gt;"data missing", Calc!BC79*'Waste results'!$S$31, "data missing"),
IF('Field information 2'!$Q$5="",
   IF(Calc!BD79=0,
     IF('Waste results'!$S$31&lt;&gt;"data missing", Calc!BC79*'Waste results'!$S$31, "data missing"),
   IF(Calc!BC79=0,
     IF('Waste results'!$S$67&lt;&gt;"data missing", Calc!BD79*'Waste results'!$S$67, "data missing"),
   IF(OR('Waste results'!$S$31&lt;&gt;"data missing", 'Waste results'!$S$67&lt;&gt;"data missing"), Calc!BC79*'Waste results'!$S$31+ Calc!BD79*'Waste results'!$S$67, "data missing"))),
IF(AND('Field information 2'!$M$5&lt;&gt;"", 'Field information 2'!$O$5&lt;&gt;"", 'Field information 2'!$Q$5&lt;&gt;""),
   IF(AND(Calc!BD79=0,Calc!BE79=0),
     IF('Waste results'!$S$31&lt;&gt;"data missing", Calc!BC79*'Waste results'!$S$31, "data missing"),
   IF(AND(Calc!BC79=0,Calc!BE79=0),
     IF('Waste results'!$S$67&lt;&gt;"data missing", Calc!BD79*'Waste results'!$S$67, "data missing"),
   IF(AND(Calc!BC79=0,Calc!BD79=0),
     IF('Waste results'!$S$103&lt;&gt;"data missing", Calc!BE79*'Waste results'!$S$103, "data missing"),
   IF(Calc!BE79=0,
     IF(OR('Waste results'!$S$31&lt;&gt;"data missing", 'Waste results'!$S$67&lt;&gt;"data missing"), Calc!BC79*'Waste results'!$S$31+ Calc!BD79*'Waste results'!$S$67, "data missing"),
   IF(Calc!BD79=0,
     IF(OR('Waste results'!$S$31&lt;&gt;"data missing", 'Waste results'!$S$103&lt;&gt;"data missing"), Calc!BC79*'Waste results'!$S$31+ Calc!BE79*'Waste results'!$S$103, "data missing"),
   IF(Calc!BC79=0,
     IF(OR('Waste results'!$S$67&lt;&gt;"data missing", 'Waste results'!$S$103&lt;&gt;"data missing"), Calc!BD79*'Waste results'!$S$67+Calc!BE79*'Waste results'!$S$103, "data missing"),
   IF(OR('Waste results'!$S$31&lt;&gt;"data missing", 'Waste results'!$S$67&lt;&gt;"data missing", 'Waste results'!$S$103&lt;&gt;"data missing"), Calc!BC79*'Waste results'!$S$31+Calc!BD79*'Waste results'!$S$67+ Calc!BE79*'Waste results'!$S$103, "data missing")))))))))))</f>
        <v/>
      </c>
      <c r="BQ81" s="239" t="str">
        <f ca="1">IF($B81="","",
IF(ISBLANK('Soil results'!Q84),"data missing",'Soil results'!Q84))</f>
        <v/>
      </c>
      <c r="BR81" s="239" t="str">
        <f t="shared" ca="1" si="33"/>
        <v/>
      </c>
      <c r="BS81" s="9" t="str">
        <f ca="1">IF(B81="","",
IF(BP81=0,"n/a",
IF(OR(BP81="data missing",BQ81=""),"data missing",
IF(BP81&gt;15,"application rate too high - permissible rate exceeds limit",
IF('Soil results'!F84&lt;=5.5,
  IF(BQ81&gt;200,"no application - soil conc. already above limit",
  IF(BR81&gt;200,"application rate too high - soil conc. will exceed limit",
  IF(BQ81&gt;200*0.9,"soil conc. is at or above 90% of the limit",
  IF(10*BP81*1000/3000+BQ81&gt;200,"soil limit likely to be exceeded in 10yrs",
  IF(50*BP81*1000/3000+BQ81&gt;200,"soil limit likely to be exceeded in 50yrs","ok"))))),
IF('Soil results'!F84&lt;=6,
  IF(BQ81&gt;250,"no application - soil conc. already above limit",
  IF(BR81&gt;250,"application rate too high - soil conc. will exceed limit",
  IF(BQ81&gt;250*0.9,"soil conc. is at or above 90% of the limit",
  IF(10*BP81*1000/3000+BQ81&gt;250,"soil limit likely to be exceeded in 10yrs",
  IF(50*BP81*1000/3000+BQ81&gt;250,"soil limit likely to be exceeded in 50yrs","ok"))))),
IF('Soil results'!F84&lt;=7,
  IF(BQ81&gt;300,"no application - soil conc. already above limit",
  IF(BR81&gt;300,"application rate too high - soil conc. will exceed limit",
  IF(BQ81&gt;300*0.9,"soil conc. is at or above 90% of the limit",
  IF(10*BP81*1000/3000+BQ81&gt;300,"soil limit likey to be exceeded in 10yrs",
  IF(50*BP81*1000/3000+BQ81&gt;300,"soil limit likely to be exceeded in 50yrs","ok"))))),
IF('Soil results'!F84&gt;7,
  IF(BQ81&gt;450,"no application - soil conc. already above limit",
  IF(BR81&gt;450,"application rate too high - soil conc. will exceed limit",
  IF(AW81&gt;450*0.9,"soil conc. is at or above 90% of the limit",
  IF(10*BP81*1000/3000+BQ81&gt;450,"soil limit likely to be exceeded in 10yrs",
  IF(50*BP81*1000/3000+BQ81&gt;450,"soil limit likely to be exceeded in 50yrs","ok")))))
))))))))</f>
        <v/>
      </c>
    </row>
    <row r="82" spans="2:71" s="9" customFormat="1" ht="15" x14ac:dyDescent="0.25">
      <c r="B82" s="236" t="str">
        <f ca="1">'Soil results'!B85</f>
        <v/>
      </c>
      <c r="C82" s="91" t="str">
        <f ca="1">IF(B82="","",
IF(AND('Field information 2'!$O$5="", 'Field information 2'!$Q$5=""),
   IF('Waste results'!$S$12&lt;&gt;"data missing", Calc!BC80*'Waste results'!$S$12, "data missing"),
IF('Field information 2'!$Q$5="",
   IF(Calc!BD80=0,
     IF('Waste results'!$S$12&lt;&gt;"data missing", Calc!BC80*'Waste results'!$S$12, "data missing"),
   IF(Calc!BC80=0,
     IF('Waste results'!$S$48&lt;&gt;"data missing", Calc!BD80*'Waste results'!$S$48, "data missing"),
   IF(OR('Waste results'!$S$12&lt;&gt;"data missing", 'Waste results'!$S$48&lt;&gt;"data missing"), Calc!BC80*'Waste results'!$S$12+ Calc!BD80*'Waste results'!$S$48, "data missing"))),
IF(AND('Field information 2'!$M$5&lt;&gt;"", 'Field information 2'!$O$5&lt;&gt;"", 'Field information 2'!$Q$5&lt;&gt;""),
   IF(AND(Calc!BD80=0,Calc!BE80=0),
     IF('Waste results'!$S$12&lt;&gt;"data missing", Calc!BC80*'Waste results'!$S$12, "data missing"),
   IF(AND(Calc!BC80=0,Calc!BE80=0),
     IF('Waste results'!$S$48&lt;&gt;"data missing", Calc!BD80*'Waste results'!$S$48, "data missing"),
   IF(AND(Calc!BC80=0,Calc!BD80=0),
     IF('Waste results'!$S$84&lt;&gt;"data missing", Calc!BE80*'Waste results'!$S$84, "data missing"),
   IF(Calc!BE80=0,
     IF(OR('Waste results'!$S$12&lt;&gt;"data missing", 'Waste results'!$S$48&lt;&gt;"data missing"), Calc!BC80*'Waste results'!$S$12+ Calc!BD80*'Waste results'!$S$48, "data missing"),
   IF(Calc!BD80=0,
     IF(OR('Waste results'!$S$12&lt;&gt;"data missing", 'Waste results'!$S$84&lt;&gt;"data missing"), Calc!BC80*'Waste results'!$S$12+ Calc!BE80*'Waste results'!$S$84, "data missing"),
   IF(Calc!BC80=0,
     IF(OR('Waste results'!$S$48&lt;&gt;"data missing", 'Waste results'!$S$84&lt;&gt;"data missing"), Calc!BD80*'Waste results'!$S$48+Calc!BE80*'Waste results'!$S$84, "data missing"),
   IF(OR('Waste results'!$S$12&lt;&gt;"data missing", 'Waste results'!$S$48&lt;&gt;"data missing", 'Waste results'!$S$84&lt;&gt;"data missing"), Calc!BC80*'Waste results'!$S$12+Calc!BD80*'Waste results'!$S$48+ Calc!BE80*'Waste results'!$S$84, "data missing")))))))))))</f>
        <v/>
      </c>
      <c r="D82" s="161" t="str">
        <f ca="1">IF(B82="","",
IF(Calc!BG80="","soil texture missing",
IF(OR(Calc!BG80="SL; SZL; ZL",Calc!BG80="SCL; CL; ZCL; SC; ZC; C"),VLOOKUP(Calc!BI80,'Fertiliser recommendations'!$A$4:$C$63,3,FALSE),
IF(Calc!BG80="S; LS",VLOOKUP(Calc!BI80,'Fertiliser recommendations'!$A$4:$C$63,3,FALSE)+VLOOKUP(Calc!BI80,'Fertiliser recommendations'!$A$4:$D$63,4,FALSE),
IF(Calc!BG80="10-25% OM",VLOOKUP(Calc!BI80,'Fertiliser recommendations'!$A$4:$C$63,3,FALSE)+VLOOKUP(Calc!BI80,'Fertiliser recommendations'!$A$4:$E$63,5,FALSE),
IF(Calc!BG80="&gt;25% OM",VLOOKUP(Calc!BI80,'Fertiliser recommendations'!$A$4:$C$63,3,FALSE)+VLOOKUP(Calc!BI80,'Fertiliser recommendations'!$A$4:$F$63,6,FALSE),
""))))))</f>
        <v/>
      </c>
      <c r="E82" s="91" t="str">
        <f t="shared" ca="1" si="17"/>
        <v/>
      </c>
      <c r="F82" s="9" t="str">
        <f ca="1">IF(B82="","",
IF(OR(C82="data missing",D82="soil texture missing"),"data missing",
IF(Calc!BF80=0,"n/a",
IF(C82&lt;0.1*D82,"no benefit",
IF(C82&lt;0.3*D82,"limited benefit",
IF(C82&gt;250,"exceeds limit",
IF(OR(AND(D82=0,C82&gt;75),C82&gt;1.25*D82),"excessive",
IF(D82=0, "no requirement",
"benefit"))))))))</f>
        <v/>
      </c>
      <c r="H82" s="91" t="str">
        <f ca="1">IF(B82="","",
IF(AND('Field information 2'!$O$5="", 'Field information 2'!$Q$5=""),
   IF('Waste results'!$S$17&lt;&gt;"data missing", Calc!BC80*'Waste results'!$S$17, "data missing"),
IF('Field information 2'!$Q$5="",
   IF(Calc!BD80=0,
     IF('Waste results'!$S$17&lt;&gt;"data missing", Calc!BC80*'Waste results'!$S$17, "data missing"),
   IF(Calc!BC80=0,
     IF('Waste results'!$S$53&lt;&gt;"data missing", Calc!BD80*'Waste results'!$S$53, "data missing"),
   IF(OR('Waste results'!$S$17&lt;&gt;"data missing", 'Waste results'!$S$53&lt;&gt;"data missing"), Calc!BC80*'Waste results'!$S$17+ Calc!BD80*'Waste results'!$S$53, "data missing"))),
IF(AND('Field information 2'!$M$5&lt;&gt;"", 'Field information 2'!$O$5&lt;&gt;"", 'Field information 2'!$Q$5&lt;&gt;""),
   IF(AND(Calc!BD80=0,Calc!BE80=0),
     IF('Waste results'!$S$17&lt;&gt;"data missing", Calc!BC80*'Waste results'!$S$17, "data missing"),
   IF(AND(Calc!BC80=0,Calc!BE80=0),
     IF('Waste results'!$S$53&lt;&gt;"data missing", Calc!BD80*'Waste results'!$S$53, "data missing"),
   IF(AND(Calc!BC80=0,Calc!BD80=0),
     IF('Waste results'!$S$89&lt;&gt;"data missing", Calc!BE80*'Waste results'!$S$89, "data missing"),
   IF(Calc!BE80=0,
     IF(OR('Waste results'!$S$17&lt;&gt;"data missing", 'Waste results'!$S$53&lt;&gt;"data missing"), Calc!BC80*'Waste results'!$S$17+ Calc!BD80*'Waste results'!$S$53, "data missing"),
   IF(Calc!BD80=0,
     IF(OR('Waste results'!$S$17&lt;&gt;"data missing", 'Waste results'!$S$89&lt;&gt;"data missing"), Calc!BC80*'Waste results'!$S$17+ Calc!BE80*'Waste results'!$S$89, "data missing"),
   IF(Calc!BC80=0,
     IF(OR('Waste results'!$S$53&lt;&gt;"data missing", 'Waste results'!$S$89&lt;&gt;"data missing"), Calc!BD80*'Waste results'!$S$53+Calc!BE80*'Waste results'!$S$89, "data missing"),
   IF(OR('Waste results'!$S$17&lt;&gt;"data missing", 'Waste results'!$S$53&lt;&gt;"data missing", 'Waste results'!$S$89&lt;&gt;"data missing"), Calc!BC80*'Waste results'!$S$17+Calc!BD80*'Waste results'!$S$53+ Calc!BE80*'Waste results'!$S$89, "data missing")))))))))))</f>
        <v/>
      </c>
      <c r="I82" s="195" t="str">
        <f ca="1">IF(B82="","",
IF(OR(ISBLANK('Soil results'!G85), ISBLANK('Soil results'!G$7)),"data missing",
IF(OR(AND('Soil results'!G$7="Olsen (ADAS)",'Soil results'!G85&lt;16),AND('Soil results'!G$7="modified Morgan (SAC)",'Soil results'!G85&lt;4.5)),50,100)))</f>
        <v/>
      </c>
      <c r="J82" s="49" t="str">
        <f ca="1">IF(B82="","",
IF(OR(ISBLANK('Soil results'!G$7),ISBLANK('Soil results'!G85)),"data missing",
IF(OR(AND('Soil results'!G$7="Olsen (ADAS)",'Soil results'!G85&gt;45),AND('Soil results'!G$7="modified Morgan (SAC)",'Soil results'!G85&gt;30)),0,
IF(OR(AND('Soil results'!G$7="Olsen (ADAS)",'Soil results'!G85&gt;=16,'Soil results'!G85&lt;=20),AND('Soil results'!G$7="modified Morgan (SAC)",'Soil results'!G85&gt;=4.5,'Soil results'!G85&lt;=9.4)),VLOOKUP(Calc!BI80,'Fertiliser recommendations'!$A$4:$I$63,9,FALSE),
IF(OR(AND('Soil results'!G$7="Olsen (ADAS)",'Soil results'!G85&lt;10),AND('Soil results'!G$7="modified Morgan (SAC)",'Soil results'!G85&lt;1.8)),VLOOKUP(Calc!BI80,'Fertiliser recommendations'!$A$4:$I$63,9,FALSE)+VLOOKUP(Calc!BI80,'Fertiliser recommendations'!$A$4:$J$63,10,FALSE),
IF(OR(AND('Soil results'!G$7="Olsen (ADAS)",'Soil results'!G85&lt;16),AND('Soil results'!G$7="modified Morgan (SAC)",'Soil results'!G85&lt;4.5)),VLOOKUP(Calc!BI80,'Fertiliser recommendations'!$A$4:$I$63,9,FALSE)+VLOOKUP(Calc!BI80,'Fertiliser recommendations'!$A$4:$K$63,11,FALSE),
IF(OR(AND('Soil results'!G$7="Olsen (ADAS)",'Soil results'!G85&lt;26),AND('Soil results'!G$7="modified Morgan (SAC)",'Soil results'!G85&lt;13.5)),VLOOKUP(Calc!BI80,'Fertiliser recommendations'!$A$4:$I$63,9,FALSE)+VLOOKUP(Calc!BI80,'Fertiliser recommendations'!$A$4:$L$63,12,FALSE),
IF(OR(AND('Soil results'!G$7="Olsen (ADAS)",'Soil results'!G85&lt;=45),AND('Soil results'!G$7="modified Morgan (SAC)",'Soil results'!G85&lt;=30)),VLOOKUP(Calc!BI80,'Fertiliser recommendations'!$A$4:$I$63,9,FALSE)+VLOOKUP(Calc!BI80,'Fertiliser recommendations'!$A$4:$M$63,13,FALSE),
""))))))))</f>
        <v/>
      </c>
      <c r="K82" s="161" t="str">
        <f t="shared" ca="1" si="18"/>
        <v/>
      </c>
      <c r="L82" s="47" t="str">
        <f ca="1">IF(OR(ISBLANK('Soil results'!G$7),ISBLANK('Soil results'!G85),B82="", H82="data missing"),"",
IF('Soil results'!G$7="Olsen (ADAS)",
IF(((H82*Calc!BM80/2.291-(VLOOKUP(Calc!BI80,'Fertiliser recommendations'!$A$4:$I$63,9,FALSE))/2.291)*10/(400/2.291)+'Soil results'!G85)&lt;10,"0 (VL)",
IF(((H82*Calc!BM80/2.291-(VLOOKUP(Calc!BI80,'Fertiliser recommendations'!$A$4:$I$63,9,FALSE))/2.291)*10/(400/2.291)+'Soil results'!G85)&lt;16,"1 (L)",
IF(((H82*Calc!BM80/2.291-(VLOOKUP(Calc!BI80,'Fertiliser recommendations'!$A$4:$I$63,9,FALSE))/2.291)*10/(400/2.291)+'Soil results'!G85)&lt;21,"2 (M-)",
IF(((H82*Calc!BM80/2.291-(VLOOKUP(Calc!BI80,'Fertiliser recommendations'!$A$4:$I$63,9,FALSE))/2.291)*10/(400/2.291)+'Soil results'!G85)&lt;26,"2 (M+)",
IF(((H82*Calc!BM80/2.291-(VLOOKUP(Calc!BI80,'Fertiliser recommendations'!$A$4:$I$63,9,FALSE))/2.291)*10/(400/2.291)+'Soil results'!G85)&lt;45,"3 (H)","&gt;3 (VH)"))))),
IF('Soil results'!G$7="modified Morgan (SAC)",
IF('Soil results'!G85&gt;=6,
IF(((H82*Calc!BM80/2.291-(VLOOKUP(Calc!BI80,'Fertiliser recommendations'!$A$4:$I$63,9,FALSE))/2.291)*5/(147/2.291)+'Soil results'!G85)&lt;9.5,"2 (M-)",
IF(((H82*Calc!BM80/2.291-(VLOOKUP(Calc!BI80,'Fertiliser recommendations'!$A$4:$I$63,9,FALSE))/2.291)*5/(147/2.291)+'Soil results'!G85)&lt;13.5,"2 (M+)",
IF(((H82*Calc!BM80/2.291-(VLOOKUP(Calc!BI80,'Fertiliser recommendations'!$A$4:$I$63,9,FALSE))/2.291)*5/(147/2.291)+'Soil results'!G85)&lt;30,"3 (H)","4 (VH)"))),
IF(((H82*Calc!BM80/2.291-(VLOOKUP(Calc!BI80,'Fertiliser recommendations'!$A$4:$I$63,9,FALSE))/2.291)*5/(346/2.291)+'Soil results'!G85)&lt;1.8,"0 (VL)",
IF(((H82*Calc!BM80/2.291-(VLOOKUP(Calc!BI80,'Fertiliser recommendations'!$A$4:$I$63,9,FALSE))/2.291)*5/(147/2.291)+'Soil results'!G85)&lt;4.5,"1 (L)","2 (M-)"))))))</f>
        <v/>
      </c>
      <c r="M82" s="9" t="str">
        <f ca="1">IF(B82="","",
IF(OR(H82="data missing",I82="data missing",J82="data missing"),"data missing",
IF(Calc!BF80=0,"n/a",
IF(OR(AND('Soil results'!G$7="Olsen (ADAS)",'Soil results'!G85&gt;45),AND('Soil results'!G$7="modified Morgan (SAC)",'Soil results'!G85&gt;30)),
IF(H82&gt;2,"too high, not acceptable","no requirement"),IF(OR(AND('Soil results'!G$7="Olsen (ADAS)",'Soil results'!G85&gt;25),AND('Soil results'!G$7="modified Morgan (SAC)",'Soil results'!G85&gt;13.4)),
IF(H82*(I82/100)&lt;0.1*J82,"no benefit",
IF(H82*(I82/100)&lt;0.3*J82,"limited benefit",
IF(H82*(I82/100)&lt;1.1*J82,"benefit",
IF(H82*(I82/100)&lt;0.7*VLOOKUP(Calc!BI80,'Fertiliser recommendations'!$A$4:$I$63,9,FALSE),"excessive","too high, not acceptable")))),
IF(OR(AND('Soil results'!G$7="Olsen (ADAS)",'Soil results'!G85&gt;20),AND('Soil results'!G$7="modified Morgan (SAC)",'Soil results'!G85&gt;9.4)),
IF(H82*Calc!BM80*(I82/100)&lt;0.1*J82,"no benefit",
IF(H82*Calc!BM80*(I82/100)&lt;0.3*J82,"limited benefit",
IF(H82*Calc!BM80*(I82/100)&lt;1.1*J82,"benefit",
IF(L82="3 (H)","too high, not acceptable","excessive")))),
IF(OR(AND('Soil results'!G$7="Olsen (ADAS)",'Soil results'!G85&gt;15),AND('Soil results'!G$7="modified Morgan (SAC)",'Soil results'!G85&gt;4.4)),
IF(H82*Calc!BM80*(I82/100)&lt;0.1*VLOOKUP(Calc!BI80,'Fertiliser recommendations'!$A$4:$I$63,9,FALSE),"no benefit",
IF(H82*Calc!BM80*(I82/100)&lt;0.3*VLOOKUP(Calc!BI80,'Fertiliser recommendations'!$A$4:$I$63,9,FALSE),"limited benefit",
IF(H82*Calc!BM80*(I82/100)&lt;1.1*VLOOKUP(Calc!BI80,'Fertiliser recommendations'!$A$4:$I$63,9,FALSE),"benefit",
IF(L82="3 (H)", "too high, not acceptable", "excessive")))),
IF(OR(AND('Soil results'!G$7="Olsen (ADAS)",'Soil results'!G85&lt;=15),AND('Soil results'!G$7="modified Morgan (SAC)",'Soil results'!G85&lt;=4.4)),
IF(H82*Calc!BM80*(I82/100)&lt;0.1*VLOOKUP(Calc!BI80,'Fertiliser recommendations'!$A$4:$I$63,9,FALSE),"no benefit",
IF(H82*Calc!BM80*(I82/100)&lt;0.3*VLOOKUP(Calc!BI80,'Fertiliser recommendations'!$A$4:$I$63,9,FALSE),"limited benefit",
IF(H82*Calc!BM80*(I82/100)&lt;1.1*J82,"benefit","excessive")))))))))))</f>
        <v/>
      </c>
      <c r="O82" s="91" t="str">
        <f ca="1">IF(B82="","",
IF(AND('Field information 2'!$O$5="", 'Field information 2'!$Q$5=""),
   IF('Waste results'!$S$19&lt;&gt;"data missing", Calc!BC80*'Waste results'!$S$19, "data missing"),
IF('Field information 2'!$Q$5="",
   IF(Calc!BD80=0,
     IF('Waste results'!$S$19&lt;&gt;"data missing", Calc!BC80*'Waste results'!$S$19, "data missing"),
   IF(Calc!BC80=0,
     IF('Waste results'!$S$55&lt;&gt;"data missing", Calc!BD80*'Waste results'!$S$55, "data missing"),
   IF(OR('Waste results'!$S$19&lt;&gt;"data missing", 'Waste results'!$S$55&lt;&gt;"data missing"), Calc!BC80*'Waste results'!$S$19+ Calc!BD80*'Waste results'!$S$55, "data missing"))),
IF(AND('Field information 2'!$M$5&lt;&gt;"", 'Field information 2'!$O$5&lt;&gt;"", 'Field information 2'!$Q$5&lt;&gt;""),
   IF(AND(Calc!BD80=0,Calc!BE80=0),
     IF('Waste results'!$S$19&lt;&gt;"data missing", Calc!BC80*'Waste results'!$S$19, "data missing"),
   IF(AND(Calc!BC80=0,Calc!BE80=0),
     IF('Waste results'!$S$55&lt;&gt;"data missing", Calc!BD80*'Waste results'!$S$55, "data missing"),
   IF(AND(Calc!BC80=0,Calc!BD80=0),
     IF('Waste results'!$S$91&lt;&gt;"data missing", Calc!BE80*'Waste results'!$S$91, "data missing"),
   IF(Calc!BE80=0,
     IF(OR('Waste results'!$S$19&lt;&gt;"data missing", 'Waste results'!$S$55&lt;&gt;"data missing"), Calc!BC80*'Waste results'!$S$19+ Calc!BD80*'Waste results'!$S$55, "data missing"),
   IF(Calc!BD80=0,
     IF(OR('Waste results'!$S$19&lt;&gt;"data missing", 'Waste results'!$S$91&lt;&gt;"data missing"), Calc!BC80*'Waste results'!$S$19+ Calc!BE80*'Waste results'!$S$91, "data missing"),
   IF(Calc!BC80=0,
     IF(OR('Waste results'!$S$55&lt;&gt;"data missing", 'Waste results'!$S$91&lt;&gt;"data missing"), Calc!BD80*'Waste results'!$S$55+Calc!BE80*'Waste results'!$S$91, "data missing"),
   IF(OR('Waste results'!$S$19&lt;&gt;"data missing", 'Waste results'!$S$55&lt;&gt;"data missing", 'Waste results'!$S$91&lt;&gt;"data missing"), Calc!BC80*'Waste results'!$S$19+Calc!BD80*'Waste results'!$S$55+ Calc!BE80*'Waste results'!$S$91, "data missing")))))))))))</f>
        <v/>
      </c>
      <c r="P82" s="91" t="str">
        <f ca="1">IF(B82="","",
IF(OR(ISBLANK('Soil results'!H$7),ISBLANK('Soil results'!H85)),"data missing",
IF(OR(AND('Soil results'!H$7="ammonium nitrate (ADAS)",'Soil results'!H85&gt;400),AND('Soil results'!H$7="modified Morgan (SAC)",'Soil results'!H85&gt;400)),0,
IF(OR(AND('Soil results'!H$7="ammonium nitrate (ADAS)",'Soil results'!H85&gt;=121,'Soil results'!H85&lt;=180),AND('Soil results'!H$7="modified Morgan (SAC)",'Soil results'!H85&gt;=76,'Soil results'!H85&lt;=140)),VLOOKUP(Calc!BI80,'Fertiliser recommendations'!$A$4:$Z$63,26,FALSE),
IF(OR(AND('Soil results'!H$7="ammonium nitrate (ADAS)",'Soil results'!H85&lt;61),AND('Soil results'!H$7="modified Morgan (SAC)",'Soil results'!H85&lt;40)),VLOOKUP(Calc!BI80,'Fertiliser recommendations'!$A$4:$Z$63,26,FALSE)+VLOOKUP(Calc!BI80,'Fertiliser recommendations'!$A$4:$AA$63,27,FALSE),
IF(OR(AND('Soil results'!H$7="ammonium nitrate (ADAS)",'Soil results'!H85&lt;121),AND('Soil results'!H$7="modified Morgan (SAC)",'Soil results'!H85&lt;76)),VLOOKUP(Calc!BI80,'Fertiliser recommendations'!$A$4:$Z$63,26,FALSE)+VLOOKUP(Calc!BI80,'Fertiliser recommendations'!$A$4:$AB$63,28,FALSE),
IF(OR(AND('Soil results'!H$7="ammonium nitrate (ADAS)",'Soil results'!H85&lt;241),AND('Soil results'!H$7="modified Morgan (SAC)",'Soil results'!H85&lt;201)),VLOOKUP(Calc!BI80,'Fertiliser recommendations'!$A$4:$Z$63,26,FALSE)+VLOOKUP(Calc!BI80,'Fertiliser recommendations'!$A$4:$AC$63,29,FALSE),
IF(OR(AND('Soil results'!H$7="ammonium nitrate (ADAS)",'Soil results'!H85&lt;=400),AND('Soil results'!H$7="modified Morgan (SAC)",'Soil results'!H85&lt;=400)),VLOOKUP(Calc!BI80,'Fertiliser recommendations'!$A$4:$Z$63,26,FALSE)+VLOOKUP(Calc!BI80,'Fertiliser recommendations'!$A$4:$AD$63,30,FALSE),
"??"))))))))</f>
        <v/>
      </c>
      <c r="Q82" s="91" t="str">
        <f t="shared" ca="1" si="19"/>
        <v/>
      </c>
      <c r="R82" s="9" t="str">
        <f ca="1">IF(B82="","",
IF(OR(O82="data missing",P82="data missing"),"data missing",
IF(Calc!BF80=0,"n/a",
IF(P82=0, "no requirement",
IF(O82&lt;0.1*P82,"no benefit",
IF(O82&lt;0.3*P82,"limited benefit",
IF(O82&gt;1.25*P82,"excessive",
"benefit")))))))</f>
        <v/>
      </c>
      <c r="T82" s="91" t="str">
        <f ca="1">IF(B82="","",
IF(AND('Field information 2'!$O$5="", 'Field information 2'!$Q$5=""),
   IF('Waste results'!$S$21&lt;&gt;"data missing", Calc!BC80*'Waste results'!$S$21, "data missing"),
IF('Field information 2'!$Q$5="",
   IF(Calc!BD80=0,
     IF('Waste results'!$S$21&lt;&gt;"data missing", Calc!BC80*'Waste results'!$S$21, "data missing"),
   IF(Calc!BC80=0,
     IF('Waste results'!$S$57&lt;&gt;"data missing", Calc!BD80*'Waste results'!$S$57, "data missing"),
   IF(OR('Waste results'!$S$21&lt;&gt;"data missing", 'Waste results'!$S$57&lt;&gt;"data missing"), Calc!BC80*'Waste results'!$S$21+ Calc!BD80*'Waste results'!$S$57, "data missing"))),
IF(AND('Field information 2'!$M$5&lt;&gt;"", 'Field information 2'!$O$5&lt;&gt;"", 'Field information 2'!$Q$5&lt;&gt;""),
   IF(AND(Calc!BD80=0,Calc!BE80=0),
     IF('Waste results'!$S$21&lt;&gt;"data missing", Calc!BC80*'Waste results'!$S$21, "data missing"),
   IF(AND(Calc!BC80=0,Calc!BE80=0),
     IF('Waste results'!$S$57&lt;&gt;"data missing", Calc!BD80*'Waste results'!$S$57, "data missing"),
   IF(AND(Calc!BC80=0,Calc!BD80=0),
     IF('Waste results'!$S$93&lt;&gt;"data missing", Calc!BE80*'Waste results'!$S$93, "data missing"),
   IF(Calc!BE80=0,
     IF(OR('Waste results'!$S$21&lt;&gt;"data missing", 'Waste results'!$S$57&lt;&gt;"data missing"), Calc!BC80*'Waste results'!$S$21+ Calc!BD80*'Waste results'!$S$57, "data missing"),
   IF(Calc!BD80=0,
     IF(OR('Waste results'!$S$21&lt;&gt;"data missing", 'Waste results'!$S$93&lt;&gt;"data missing"), Calc!BC80*'Waste results'!$S$21+ Calc!BE80*'Waste results'!$S$93, "data missing"),
   IF(Calc!BC80=0,
     IF(OR('Waste results'!$S$57&lt;&gt;"data missing", 'Waste results'!$S$93&lt;&gt;"data missing"), Calc!BD80*'Waste results'!$S$57+Calc!BE80*'Waste results'!$S$93, "data missing"),
   IF(OR('Waste results'!$S$21&lt;&gt;"data missing", 'Waste results'!$S$57&lt;&gt;"data missing", 'Waste results'!$S$93&lt;&gt;"data missing"), Calc!BC80*'Waste results'!$S$21+Calc!BD80*'Waste results'!$S$57+ Calc!BE80*'Waste results'!$S$93, "data missing")))))))))))</f>
        <v/>
      </c>
      <c r="U82" s="7" t="str">
        <f ca="1">IF(B82="","",
IF(OR(ISBLANK('Soil results'!I$7),ISBLANK('Soil results'!I85)),"data missing",
IF(OR(AND('Soil results'!I$7="ammonium nitrate (ADAS)",'Soil results'!I85&gt;51),AND('Soil results'!I$7="modified Morgan (SAC)",'Soil results'!I85&gt;61)),0,
IF(OR(AND('Soil results'!I$7="ammonium nitrate (ADAS)",'Soil results'!I85&lt;25),AND('Soil results'!I$7="modified Morgan (SAC)",'Soil results'!I85&lt;19)),VLOOKUP(Calc!BI80,'Fertiliser recommendations'!$A$4:$AH$63,34,FALSE),
IF(OR(AND('Soil results'!I$7="ammonium nitrate (ADAS)",'Soil results'!I85&lt;=51),AND('Soil results'!I$7="modified Morgan (SAC)",'Soil results'!I85&lt;=61)),VLOOKUP(Calc!BI80,'Fertiliser recommendations'!$A$4:$AI$63,35,FALSE),
"")))))</f>
        <v/>
      </c>
      <c r="V82" s="91" t="str">
        <f t="shared" ca="1" si="20"/>
        <v/>
      </c>
      <c r="W82" s="9" t="str">
        <f ca="1">IF(B82="","",
IF(OR(T82="data missing",U82="data missing"),"data missing",
IF(Calc!BF80=0,"n/a",
IF(U82=0,"no requirement",
IF(T82&lt;0.1*U82,"no benefit",
IF(T82&lt;0.3*U82,"limited benefit",
IF(OR(T82&gt;1.5*U82,AND(Calc!BJ80="g",T82&gt;100)),"excessive",
"benefit")))))))</f>
        <v/>
      </c>
      <c r="Y82" s="91" t="str">
        <f ca="1">IF(B82="","",
IF(AND('Field information 2'!$O$5="", 'Field information 2'!$Q$5=""),
   IF('Waste results'!$P$23&lt;&gt;"", Calc!BC80*'Waste results'!$P$23, "no data"),
IF('Field information 2'!$Q$5="",
   IF(Calc!BD80=0,
     IF('Waste results'!$P$23&lt;&gt;"", Calc!BC80*'Waste results'!$P$23, "no data"),
   IF(Calc!BC80=0,
     IF('Waste results'!$P$59&lt;&gt;"", Calc!BD80*'Waste results'!$P$59, "no data"),
   IF(OR('Waste results'!$P$23&lt;&gt;"", 'Waste results'!$P$59&lt;&gt;""), Calc!BC80*'Waste results'!$P$23+ Calc!BD80*'Waste results'!$P$59, "no data"))),
IF(AND('Field information 2'!$M$5&lt;&gt;"", 'Field information 2'!$O$5&lt;&gt;"", 'Field information 2'!$Q$5&lt;&gt;""),
   IF(AND(Calc!BD80=0,Calc!BE80=0),
     IF('Waste results'!$P$23&lt;&gt;"", Calc!BC80*'Waste results'!$P$23, "no data"),
   IF(AND(Calc!BC80=0,Calc!BE80=0),
     IF('Waste results'!$P$59&lt;&gt;"", Calc!BD80*'Waste results'!$P$59, "no data"),
   IF(AND(Calc!BC80=0,Calc!BD80=0),
     IF('Waste results'!$P$95&lt;&gt;"", Calc!BE80*'Waste results'!$P$95, "no data"),
   IF(Calc!BE80=0,
     IF(OR('Waste results'!$P$23&lt;&gt;"", 'Waste results'!$P$59&lt;&gt;""), Calc!BC80*'Waste results'!$P$23+ Calc!BD80*'Waste results'!$P$59, "no data"),
   IF(Calc!BD80=0,
     IF(OR('Waste results'!$P$23&lt;&gt;"", 'Waste results'!$P$95&lt;&gt;""), Calc!BC80*'Waste results'!$P$23+ Calc!BE80*'Waste results'!$P$95, "no data"),
   IF(Calc!BC80=0,
     IF(OR('Waste results'!$P$59&lt;&gt;"", 'Waste results'!$P$95&lt;&gt;""), Calc!BD80*'Waste results'!$P$59+Calc!BE80*'Waste results'!$P$95, "no data"),
   IF(OR('Waste results'!$P$23&lt;&gt;"", 'Waste results'!$P$59&lt;&gt;"", 'Waste results'!$P$95&lt;&gt;""), Calc!BC80*'Waste results'!$P$23+Calc!BD80*'Waste results'!$P$59+ Calc!BE80*'Waste results'!$P$95, "no data")))))))))))</f>
        <v/>
      </c>
      <c r="Z82" s="7" t="str">
        <f ca="1">IF(OR(ISBLANK('Soil results'!I$7),ISBLANK('Soil results'!I85),'Soil results'!B85=""),"",
VLOOKUP(Calc!BI80,'Fertiliser recommendations'!$A$4:$AM$63,39,FALSE))</f>
        <v/>
      </c>
      <c r="AA82" s="91" t="str">
        <f t="shared" ca="1" si="21"/>
        <v/>
      </c>
      <c r="AB82" s="9" t="str">
        <f t="shared" ca="1" si="22"/>
        <v/>
      </c>
      <c r="AD82" s="48" t="str">
        <f>IF(ISBLANK('Soil results'!F85),"",'Soil results'!F85)</f>
        <v/>
      </c>
      <c r="AE82" s="49" t="str">
        <f ca="1">IF(B82="","",
IF(AND(Calc!BJ80="g", VLOOKUP(LEFT($B82,LEN($B82)-2),'Field information 2'!$B$12:$P$111,9,FALSE)&lt;&gt;"yes"),
 IF(Calc!BG80="10-25% OM", 5.9, IF(Calc!BG80="&gt;25% OM", 5.5, 6.2)),
IF(OR(Calc!BJ80="a", VLOOKUP(LEFT($B82,LEN($B82)-2),'Field information 2'!$B$12:$P$111,9,FALSE)="yes"),
 IF(Calc!BG80="10-25% OM", 6.4, IF(Calc!BG80="&gt;25% OM", 6, 6.7)), "")))</f>
        <v/>
      </c>
      <c r="AF82" s="91" t="str">
        <f ca="1">IF(B82="","",
IF('Waste results'!$Q$33="","no (significant) liming properties",
IF('Waste results'!Q$33&gt;100,"no (significant) liming properties",
IF(AD82="","",
IF(AD82&gt;=AE82,0,ROUNDDOWN((AE82-AD82)*Calc!BK80*'Waste results'!$Q$33+0.2,0))))))</f>
        <v/>
      </c>
      <c r="AG82" s="9" t="str">
        <f ca="1">IF(B82="","",
IF(T82=0,"n/a",
IF(AD82="","data missing",
IF(AND(AD82&lt;5,AF82="no (significant) liming properties"),"no waste application - pH too low",
IF(AND(AD82&gt;5.1,AF82="no (significant) liming properties",Calc!BH80&gt;25, LEFT(Calc!BI80,4)="graz"),"ok",
IF(AND(AD82&lt;=5.2,AF82="no (significant) liming properties"),"liming highly recommended",
IF(AF82=0,"no waste application - liming not required",
IF(AF82&lt;Calc!BC80,"application rate too high - exceeds liming requirement",
"ok"))))))))</f>
        <v/>
      </c>
      <c r="AI82" s="91" t="str">
        <f ca="1">IF(B82="","",
IF(AND('Field information 2'!$O$5="", 'Field information 2'!$Q$5=""),
   IF('Waste results'!$P$10&lt;&gt;"data missing", Calc!BC80*'Waste results'!$P$10, "data missing"),
IF('Field information 2'!$Q$5="",
   IF(Calc!BD80=0,
     IF('Waste results'!$P$10&lt;&gt;"data missing", Calc!BC80*'Waste results'!$P$10, "data missing"),
   IF(Calc!BC80=0,
     IF('Waste results'!$P$45&lt;&gt;"data missing", Calc!BD80*'Waste results'!$P$45, "data missing"),
   IF(OR('Waste results'!$P$10&lt;&gt;"data missing", 'Waste results'!$P$45&lt;&gt;"data missing"), Calc!BC80*'Waste results'!$P$10+ Calc!BD80*'Waste results'!$P$45, "data missing"))),
IF(AND('Field information 2'!$M$5&lt;&gt;"", 'Field information 2'!$O$5&lt;&gt;"", 'Field information 2'!$Q$5&lt;&gt;""),
   IF(AND(Calc!BD80=0,Calc!BE80=0),
     IF('Waste results'!$P$10&lt;&gt;"data missing", Calc!BC80*'Waste results'!$P$10, "data missing"),
   IF(AND(Calc!BC80=0,Calc!BE80=0),
     IF('Waste results'!$P$45&lt;&gt;"data missing", Calc!BD80*'Waste results'!$P$45, "data missing"),
   IF(AND(Calc!BC80=0,Calc!BD80=0),
     IF('Waste results'!$P$82&lt;&gt;"data missing", Calc!BE80*'Waste results'!$P$82, "data missing"),
   IF(Calc!BE80=0,
     IF(OR('Waste results'!$P$10&lt;&gt;"data missing", 'Waste results'!$P$45&lt;&gt;"data missing"), Calc!BC80*'Waste results'!$P$10+ Calc!BD80*'Waste results'!$P$45, "data missing"),
   IF(Calc!BD80=0,
     IF(OR('Waste results'!$P$10&lt;&gt;"data missing", 'Waste results'!$P$82&lt;&gt;"data missing"), Calc!BC80*'Waste results'!$P$10+ Calc!BE80*'Waste results'!$P$82, "data missing"),
   IF(Calc!BC80=0,
     IF(OR('Waste results'!$P$45&lt;&gt;"data missing", 'Waste results'!$P$82&lt;&gt;"data missing"), Calc!BD80*'Waste results'!$P$45+Calc!BE80*'Waste results'!$P$82, "data missing"),
   IF(OR('Waste results'!$P$10&lt;&gt;"data missing", 'Waste results'!$P$45&lt;&gt;"data missing", 'Waste results'!$P$82&lt;&gt;"data missing"), Calc!BC80*'Waste results'!$P$10+Calc!BD80*'Waste results'!$P$45+ Calc!BE80*'Waste results'!$P$82, "data missing")))))))))))</f>
        <v/>
      </c>
      <c r="AJ82" s="237" t="str">
        <f ca="1">IF(B82="","",
IF(AI82="data missing","data missing",
IF(Calc!BF80=0,"n/a",
IF(AND(Calc!BH80&gt;=8,AI82&lt;500),"no benefit",
IF(OR(AND(Calc!BH80&lt;=4,AI82&gt;=500),AND(Calc!BH80&lt;8,AI82&gt;5000)),"benefit",
"limited benefit")))))</f>
        <v/>
      </c>
      <c r="AL82" s="238" t="str">
        <f ca="1">IF(B82="","",
IF(AND('Field information 2'!$O$5="", 'Field information 2'!$Q$5=""),
   IF('Waste results'!$S$25&lt;&gt;"data missing", Calc!BC80*'Waste results'!$S$25, "data missing"),
IF('Field information 2'!$Q$5="",
   IF(Calc!BD80=0,
     IF('Waste results'!$S$25&lt;&gt;"data missing", Calc!BC80*'Waste results'!$S$25, "data missing"),
   IF(Calc!BC80=0,
     IF('Waste results'!$S$61&lt;&gt;"data missing", Calc!BD80*'Waste results'!$S$61, "data missing"),
   IF(OR('Waste results'!$S$25&lt;&gt;"data missing", 'Waste results'!$S$61&lt;&gt;"data missing"), Calc!BC80*'Waste results'!$S$25+ Calc!BD80*'Waste results'!$S$61, "data missing"))),
IF(AND('Field information 2'!$M$5&lt;&gt;"", 'Field information 2'!$O$5&lt;&gt;"", 'Field information 2'!$Q$5&lt;&gt;""),
   IF(AND(Calc!BD80=0,Calc!BE80=0),
     IF('Waste results'!$S$25&lt;&gt;"data missing", Calc!BC80*'Waste results'!$S$25, "data missing"),
   IF(AND(Calc!BC80=0,Calc!BE80=0),
     IF('Waste results'!$S$61&lt;&gt;"data missing", Calc!BD80*'Waste results'!$S$61, "data missing"),
   IF(AND(Calc!BC80=0,Calc!BD80=0),
     IF('Waste results'!$S$97&lt;&gt;"data missing", Calc!BE80*'Waste results'!$S$97, "data missing"),
   IF(Calc!BE80=0,
     IF(OR('Waste results'!$S$25&lt;&gt;"data missing", 'Waste results'!$S$61&lt;&gt;"data missing"), Calc!BC80*'Waste results'!$S$25+ Calc!BD80*'Waste results'!$S$61, "data missing"),
   IF(Calc!BD80=0,
     IF(OR('Waste results'!$S$25&lt;&gt;"data missing", 'Waste results'!$S$97&lt;&gt;"data missing"), Calc!BC80*'Waste results'!$S$25+ Calc!BE80*'Waste results'!$S$97, "data missing"),
   IF(Calc!BC80=0,
     IF(OR('Waste results'!$S$61&lt;&gt;"data missing", 'Waste results'!$S$97&lt;&gt;"data missing"), Calc!BD80*'Waste results'!$S$61+Calc!BE80*'Waste results'!$S$97, "data missing"),
   IF(OR('Waste results'!$S$25&lt;&gt;"data missing", 'Waste results'!$S$61&lt;&gt;"data missing", 'Waste results'!$S$97&lt;&gt;"data missing"), Calc!BC80*'Waste results'!$S$25+Calc!BD80*'Waste results'!$S$61+ Calc!BE80*'Waste results'!$S$97, "data missing")))))))))))</f>
        <v/>
      </c>
      <c r="AM82" s="239" t="str">
        <f ca="1">IF($B82="","",
IF(ISBLANK('Soil results'!K85),"data missing",'Soil results'!K85))</f>
        <v/>
      </c>
      <c r="AN82" s="239" t="str">
        <f t="shared" ca="1" si="23"/>
        <v/>
      </c>
      <c r="AO82" s="9" t="str">
        <f t="shared" ca="1" si="24"/>
        <v/>
      </c>
      <c r="AQ82" s="240" t="str">
        <f ca="1">IF(B82="","",
IF(AND('Field information 2'!$O$5="", 'Field information 2'!$Q$5=""),
   IF('Waste results'!$S$26&lt;&gt;"data missing", Calc!BC80*'Waste results'!$S$26, "data missing"),
IF('Field information 2'!$Q$5="",
   IF(Calc!BD80=0,
     IF('Waste results'!$S$26&lt;&gt;"data missing", Calc!BC80*'Waste results'!$S$26, "data missing"),
   IF(Calc!BC80=0,
     IF('Waste results'!$S$62&lt;&gt;"data missing", Calc!BD80*'Waste results'!$S$62, "data missing"),
   IF(OR('Waste results'!$S$26&lt;&gt;"data missing", 'Waste results'!$S$62&lt;&gt;"data missing"), Calc!BC80*'Waste results'!$S$26+ Calc!BD80*'Waste results'!$S$62, "data missing"))),
IF(AND('Field information 2'!$M$5&lt;&gt;"", 'Field information 2'!$O$5&lt;&gt;"", 'Field information 2'!$Q$5&lt;&gt;""),
   IF(AND(Calc!BD80=0,Calc!BE80=0),
     IF('Waste results'!$S$26&lt;&gt;"data missing", Calc!BC80*'Waste results'!$S$26, "data missing"),
   IF(AND(Calc!BC80=0,Calc!BE80=0),
     IF('Waste results'!$S$62&lt;&gt;"data missing", Calc!BD80*'Waste results'!$S$62, "data missing"),
   IF(AND(Calc!BC80=0,Calc!BD80=0),
     IF('Waste results'!$S$98&lt;&gt;"data missing", Calc!BE80*'Waste results'!$S$98, "data missing"),
   IF(Calc!BE80=0,
     IF(OR('Waste results'!$S$26&lt;&gt;"data missing", 'Waste results'!$S$62&lt;&gt;"data missing"), Calc!BC80*'Waste results'!$S$26+ Calc!BD80*'Waste results'!$S$62, "data missing"),
   IF(Calc!BD80=0,
     IF(OR('Waste results'!$S$26&lt;&gt;"data missing", 'Waste results'!$S$98&lt;&gt;"data missing"), Calc!BC80*'Waste results'!$S$26+ Calc!BE80*'Waste results'!$S$98, "data missing"),
   IF(Calc!BC80=0,
     IF(OR('Waste results'!$S$62&lt;&gt;"data missing", 'Waste results'!$S$98&lt;&gt;"data missing"), Calc!BD80*'Waste results'!$S$62+Calc!BE80*'Waste results'!$S$98, "data missing"),
   IF(OR('Waste results'!$S$26&lt;&gt;"data missing", 'Waste results'!$S$62&lt;&gt;"data missing", 'Waste results'!$S$98&lt;&gt;"data missing"), Calc!BC80*'Waste results'!$S$26+Calc!BD80*'Waste results'!$S$62+ Calc!BE80*'Waste results'!$S$98, "data missing")))))))))))</f>
        <v/>
      </c>
      <c r="AR82" s="241" t="str">
        <f ca="1">IF($B82="","",
IF(ISBLANK('Soil results'!L85),"data missing",'Soil results'!L85))</f>
        <v/>
      </c>
      <c r="AS82" s="241" t="str">
        <f t="shared" ca="1" si="25"/>
        <v/>
      </c>
      <c r="AT82" s="66" t="str">
        <f t="shared" ca="1" si="26"/>
        <v/>
      </c>
      <c r="AV82" s="238" t="str">
        <f ca="1">IF(B82="","",
IF(AND('Field information 2'!$O$5="", 'Field information 2'!$Q$5=""),
   IF('Waste results'!$S$27&lt;&gt;"data missing", Calc!BC80*'Waste results'!$S$27, "data missing"),
IF('Field information 2'!$Q$5="",
   IF(Calc!BD80=0,
     IF('Waste results'!$S$27&lt;&gt;"data missing", Calc!BC80*'Waste results'!$S$27, "data missing"),
   IF(Calc!BC80=0,
     IF('Waste results'!$S$63&lt;&gt;"data missing", Calc!BD80*'Waste results'!$S$63, "data missing"),
   IF(OR('Waste results'!$S$27&lt;&gt;"data missing", 'Waste results'!$S$63&lt;&gt;"data missing"), Calc!BC80*'Waste results'!$S$27+ Calc!BD80*'Waste results'!$S$63, "data missing"))),
IF(AND('Field information 2'!$M$5&lt;&gt;"", 'Field information 2'!$O$5&lt;&gt;"", 'Field information 2'!$Q$5&lt;&gt;""),
   IF(AND(Calc!BD80=0,Calc!BE80=0),
     IF('Waste results'!$S$27&lt;&gt;"data missing", Calc!BC80*'Waste results'!$S$27, "data missing"),
   IF(AND(Calc!BC80=0,Calc!BE80=0),
     IF('Waste results'!$S$63&lt;&gt;"data missing", Calc!BD80*'Waste results'!$S$63, "data missing"),
   IF(AND(Calc!BC80=0,Calc!BD80=0),
     IF('Waste results'!$S$99&lt;&gt;"data missing", Calc!BE80*'Waste results'!$S$99, "data missing"),
   IF(Calc!BE80=0,
     IF(OR('Waste results'!$S$27&lt;&gt;"data missing", 'Waste results'!$S$63&lt;&gt;"data missing"), Calc!BC80*'Waste results'!$S$27+ Calc!BD80*'Waste results'!$S$63, "data missing"),
   IF(Calc!BD80=0,
     IF(OR('Waste results'!$S$27&lt;&gt;"data missing", 'Waste results'!$S$99&lt;&gt;"data missing"), Calc!BC80*'Waste results'!$S$27+ Calc!BE80*'Waste results'!$S$99, "data missing"),
   IF(Calc!BC80=0,
     IF(OR('Waste results'!$S$63&lt;&gt;"data missing", 'Waste results'!$S$99&lt;&gt;"data missing"), Calc!BD80*'Waste results'!$S$63+Calc!BE80*'Waste results'!$S$99, "data missing"),
   IF(OR('Waste results'!$S$27&lt;&gt;"data missing", 'Waste results'!$S$63&lt;&gt;"data missing", 'Waste results'!$S$99&lt;&gt;"data missing"), Calc!BC80*'Waste results'!$S$27+Calc!BD80*'Waste results'!$S$63+ Calc!BE80*'Waste results'!$S$99, "data missing")))))))))))</f>
        <v/>
      </c>
      <c r="AW82" s="239" t="str">
        <f ca="1">IF($B82="","",
IF(ISBLANK('Soil results'!M85),"data missing",'Soil results'!M85))</f>
        <v/>
      </c>
      <c r="AX82" s="239" t="str">
        <f t="shared" ca="1" si="27"/>
        <v/>
      </c>
      <c r="AY82" s="9" t="str">
        <f ca="1">IF(B82="","",
IF(AV82=0,"n/a",
IF(OR(AV82="data missing",AW82="data missing"),"data missing",
IF(AV82&gt;7.5,"application rate too high - permissible rate exceeds limit",
IF('Soil results'!$F85&lt;=5.5,
  IF(AW82&gt;80,"no application - soil conc. already above limit",
  IF(AX82&gt;80,"application rate too high - soil conc. will exceed limit",
  IF(AW82&gt;80*0.9,"soil conc. is at or above 90% of the limit",
  IF(10*AV82*1000/3000+AW82&gt;80,"soil limit likely to be exceeded in 10yrs",
  IF(50*AV82*1000/3000+AW82&gt;80,"soil limit likely to be exceeded in 50yrs","ok"))))),
IF('Soil results'!$F85&lt;=6,
  IF(AW82&gt;100,"no application - soil conc. already above limit",
  IF(AX82&gt;100,"application rate too high - soil conc. will exceed limit",
  IF(AW82&gt;100*0.9,"soil conc. is at or above 90% of the limit",
  IF(10*AV82*1000/3000+AW82&gt;100,"soil limit likely to be exceeded in 10yrs",
  IF(50*AV82*1000/3000+AW82&gt;100,"soil limit likely to be exceeded in 50yrs","ok"))))),
IF('Soil results'!$F85&lt;=7,
  IF(AW82&gt;135,"no application - soil conc. already above limit",
  IF(AX82&gt;135,"application rate too high - soil conc. will exceed limit",
  IF(AW82&gt;135*0.9,"soil conc. is at or above 90% of the limit",
  IF(10*AV82*1000/3000+AW82&gt;135,"soil limit likely to be exceeded in 10yrs",
  IF(50*AV82*1000/3000+AW82&gt;135,"soil limit likely to be exceeded in 50yrs","ok"))))),
IF('Soil results'!$F85&gt;7,
  IF(AW82&gt;200,"no application - soil conc. already above limit",
  IF(AX82&gt;200,"application too high - soil conc. will exceed limit",
  IF(AW82&gt;200*0.9,"soil conc. is at or above 90% of the limit",
  IF(10*AV82*1000/3000+AW82&gt;200,"soil limit likely to be exceeded in 10yrs",
  IF(50*AV82*1000/3000+AW82&gt;200,"soil limit likely to be exceeded in 50yrs","ok")))))
))))))))</f>
        <v/>
      </c>
      <c r="BA82" s="238" t="str">
        <f ca="1">IF(B82="","",
IF(AND('Field information 2'!$O$5="", 'Field information 2'!$Q$5=""),
   IF('Waste results'!$S$28&lt;&gt;"data missing", Calc!BC80*'Waste results'!$S$28, "data missing"),
IF('Field information 2'!$Q$5="",
   IF(Calc!BD80=0,
     IF('Waste results'!$S$28&lt;&gt;"data missing", Calc!BC80*'Waste results'!$S$28, "data missing"),
   IF(Calc!BC80=0,
     IF('Waste results'!$S$64&lt;&gt;"data missing", Calc!BD80*'Waste results'!$S$64, "data missing"),
   IF(OR('Waste results'!$S$28&lt;&gt;"data missing", 'Waste results'!$S$64&lt;&gt;"data missing"), Calc!BC80*'Waste results'!$S$28+ Calc!BD80*'Waste results'!$S$64, "data missing"))),
IF(AND('Field information 2'!$M$5&lt;&gt;"", 'Field information 2'!$O$5&lt;&gt;"", 'Field information 2'!$Q$5&lt;&gt;""),
   IF(AND(Calc!BD80=0,Calc!BE80=0),
     IF('Waste results'!$S$28&lt;&gt;"data missing", Calc!BC80*'Waste results'!$S$28, "data missing"),
   IF(AND(Calc!BC80=0,Calc!BE80=0),
     IF('Waste results'!$S$64&lt;&gt;"data missing", Calc!BD80*'Waste results'!$S$64, "data missing"),
   IF(AND(Calc!BC80=0,Calc!BD80=0),
     IF('Waste results'!$S$100&lt;&gt;"data missing", Calc!BE80*'Waste results'!$S$100, "data missing"),
   IF(Calc!BE80=0,
     IF(OR('Waste results'!$S$28&lt;&gt;"data missing", 'Waste results'!$S$64&lt;&gt;"data missing"), Calc!BC80*'Waste results'!$S$28+ Calc!BD80*'Waste results'!$S$64, "data missing"),
   IF(Calc!BD80=0,
     IF(OR('Waste results'!$S$28&lt;&gt;"data missing", 'Waste results'!$S$100&lt;&gt;"data missing"), Calc!BC80*'Waste results'!$S$28+ Calc!BE80*'Waste results'!$S$100, "data missing"),
   IF(Calc!BC80=0,
     IF(OR('Waste results'!$S$64&lt;&gt;"data missing", 'Waste results'!$S$100&lt;&gt;"data missing"), Calc!BD80*'Waste results'!$S$64+Calc!BE80*'Waste results'!$S$100, "data missing"),
   IF(OR('Waste results'!$S$28&lt;&gt;"data missing", 'Waste results'!$S$64&lt;&gt;"data missing", 'Waste results'!$S$100&lt;&gt;"data missing"), Calc!BC80*'Waste results'!$S$28+Calc!BD80*'Waste results'!$S$64+ Calc!BE80*'Waste results'!$S$100, "data missing")))))))))))</f>
        <v/>
      </c>
      <c r="BB82" s="239" t="str">
        <f ca="1">IF($B82="","",
IF(ISBLANK('Soil results'!N85),"data missing",'Soil results'!N85))</f>
        <v/>
      </c>
      <c r="BC82" s="239" t="str">
        <f t="shared" ca="1" si="28"/>
        <v/>
      </c>
      <c r="BD82" s="9" t="str">
        <f t="shared" ca="1" si="29"/>
        <v/>
      </c>
      <c r="BF82" s="238" t="str">
        <f ca="1">IF(B82="","",
IF(AND('Field information 2'!$O$5="", 'Field information 2'!$Q$5=""),
   IF('Waste results'!$S$29&lt;&gt;"data missing", Calc!BC80*'Waste results'!$S$29, "data missing"),
IF('Field information 2'!$Q$5="",
   IF(Calc!BD80=0,
     IF('Waste results'!$S$29&lt;&gt;"data missing", Calc!BC80*'Waste results'!$S$29, "data missing"),
   IF(Calc!BC80=0,
     IF('Waste results'!$S$65&lt;&gt;"data missing", Calc!BD80*'Waste results'!$S$65, "data missing"),
   IF(OR('Waste results'!$S$29&lt;&gt;"data missing", 'Waste results'!$S$65&lt;&gt;"data missing"), Calc!BC80*'Waste results'!$S$29+ Calc!BD80*'Waste results'!$S$65, "data missing"))),
IF(AND('Field information 2'!$M$5&lt;&gt;"", 'Field information 2'!$O$5&lt;&gt;"", 'Field information 2'!$Q$5&lt;&gt;""),
   IF(AND(Calc!BD80=0,Calc!BE80=0),
     IF('Waste results'!$S$29&lt;&gt;"data missing", Calc!BC80*'Waste results'!$S$29, "data missing"),
   IF(AND(Calc!BC80=0,Calc!BE80=0),
     IF('Waste results'!$S$65&lt;&gt;"data missing", Calc!BD80*'Waste results'!$S$65, "data missing"),
   IF(AND(Calc!BC80=0,Calc!BD80=0),
     IF('Waste results'!$S$101&lt;&gt;"data missing", Calc!BE80*'Waste results'!$S$101, "data missing"),
   IF(Calc!BE80=0,
     IF(OR('Waste results'!$S$29&lt;&gt;"data missing", 'Waste results'!$S$65&lt;&gt;"data missing"), Calc!BC80*'Waste results'!$S$29+ Calc!BD80*'Waste results'!$S$65, "data missing"),
   IF(Calc!BD80=0,
     IF(OR('Waste results'!$S$29&lt;&gt;"data missing", 'Waste results'!$S$101&lt;&gt;"data missing"), Calc!BC80*'Waste results'!$S$29+ Calc!BE80*'Waste results'!$S$101, "data missing"),
   IF(Calc!BC80=0,
     IF(OR('Waste results'!$S$65&lt;&gt;"data missing", 'Waste results'!$S$101&lt;&gt;"data missing"), Calc!BD80*'Waste results'!$S$65+Calc!BE80*'Waste results'!$S$101, "data missing"),
   IF(OR('Waste results'!$S$29&lt;&gt;"data missing", 'Waste results'!$S$65&lt;&gt;"data missing", 'Waste results'!$S$101&lt;&gt;"data missing"), Calc!BC80*'Waste results'!$S$29+Calc!BD80*'Waste results'!$S$65+ Calc!BE80*'Waste results'!$S$101, "data missing")))))))))))</f>
        <v/>
      </c>
      <c r="BG82" s="239" t="str">
        <f ca="1">IF($B82="","",
IF(ISBLANK('Soil results'!O85),"data missing",'Soil results'!O85))</f>
        <v/>
      </c>
      <c r="BH82" s="239" t="str">
        <f t="shared" ca="1" si="30"/>
        <v/>
      </c>
      <c r="BI82" s="9" t="str">
        <f ca="1">IF(B82="","",
IF(BF82=0,"n/a",
IF(OR(BF82="data missing",BG82="data missing"),"data missing",
IF(BF82&gt;3,"application rate too high - permissible rate exceeds limit",
IF('Soil results'!F85&lt;=5.5,
  IF(BG82&gt;50,"no application - soil conc. already above limit",
  IF(BH82&gt;50,"application rate too high - soil conc. will exceed limit",
  IF(BG82&gt;50*0.9,"soil conc. is at or above 90% of the limit",
  IF(10*BF82*1000/3000+BG82&gt;50,"soil limit likely to be exceeded in 10yrs",
  IF(50*BF82*1000/3000+BG82&gt;50,"soil limit likely to be exceeded in 50yrs","ok"))))),
IF('Soil results'!F85&lt;=6,
  IF(BG82&gt;60,"no application - soil conc. already above limit",
  IF(BH82&gt;60,"application rate too high - soil conc. will exceed limit",
  IF(BG82&gt;60*0.9,"soil conc. is at or above 90% of the limit",
  IF(10*BF82*1000/3000+BG82&gt;60,"soil limit likely to be exceeded in 10yrs",
  IF(50*BF82*1000/3000+BG82&gt;60,"soil limit likely to be exceeded in 50yrs","ok"))))),
IF('Soil results'!F85&lt;=7,
  IF(BG82&gt;75,"no application - soil conc. already above limit",
  IF(BH82&gt;75,"application rate too high - soil conc. will exceed limit",
  IF(BG82&gt;75*0.9,"soil conc. is at or above 90% of the limit",
  IF(10*BF82*1000/3000+BG82&gt;75,"soil limit likely to be exceeded in 10yrs",
  IF(50*BF82*1000/3000+BG82&gt;75,"soil limit likely to be exceeded in 50yrs","ok"))))),
IF('Soil results'!F85&gt;7,
  IF(BG82&gt;100,"no application - soil conc. already above limit",
  IF(BH82&gt;100,"application rate too high - soil conc. will exceed limit",
  IF(BG82&gt;100*0.9,"soil conc. is at or above 90% of the limit",
  IF(10*BF82*1000/3000+BG82&gt;100,"soil limit likely to be exceeded in 10yrs",
  IF(50*BF82*1000/3000+BG82&gt;100,"soil limit likely to beexceeded in 50yrs","ok")))))
))))))))</f>
        <v/>
      </c>
      <c r="BK82" s="240" t="str">
        <f ca="1">IF(B82="","",
IF(AND('Field information 2'!$O$5="", 'Field information 2'!$Q$5=""),
   IF('Waste results'!$S$30&lt;&gt;"data missing", Calc!BC80*'Waste results'!$S$30, "data missing"),
IF('Field information 2'!$Q$5="",
   IF(Calc!BD80=0,
     IF('Waste results'!$S$30&lt;&gt;"data missing", Calc!BC80*'Waste results'!$S$30, "data missing"),
   IF(Calc!BC80=0,
     IF('Waste results'!$S$66&lt;&gt;"data missing", Calc!BD80*'Waste results'!$S$66, "data missing"),
   IF(OR('Waste results'!$S$30&lt;&gt;"data missing", 'Waste results'!$S$66&lt;&gt;"data missing"), Calc!BC80*'Waste results'!$S$30+ Calc!BD80*'Waste results'!$S$66, "data missing"))),
IF(AND('Field information 2'!$M$5&lt;&gt;"", 'Field information 2'!$O$5&lt;&gt;"", 'Field information 2'!$Q$5&lt;&gt;""),
   IF(AND(Calc!BD80=0,Calc!BE80=0),
     IF('Waste results'!$S$30&lt;&gt;"data missing", Calc!BC80*'Waste results'!$S$30, "data missing"),
   IF(AND(Calc!BC80=0,Calc!BE80=0),
     IF('Waste results'!$S$66&lt;&gt;"data missing", Calc!BD80*'Waste results'!$S$66, "data missing"),
   IF(AND(Calc!BC80=0,Calc!BD80=0),
     IF('Waste results'!$S$102&lt;&gt;"data missing", Calc!BE80*'Waste results'!$S$102, "data missing"),
   IF(Calc!BE80=0,
     IF(OR('Waste results'!$S$30&lt;&gt;"data missing", 'Waste results'!$S$66&lt;&gt;"data missing"), Calc!BC80*'Waste results'!$S$30+ Calc!BD80*'Waste results'!$S$66, "data missing"),
   IF(Calc!BD80=0,
     IF(OR('Waste results'!$S$30&lt;&gt;"data missing", 'Waste results'!$S$102&lt;&gt;"data missing"), Calc!BC80*'Waste results'!$S$30+ Calc!BE80*'Waste results'!$S$102, "data missing"),
   IF(Calc!BC80=0,
     IF(OR('Waste results'!$S$66&lt;&gt;"data missing", 'Waste results'!$S$102&lt;&gt;"data missing"), Calc!BD80*'Waste results'!$S$66+Calc!BE80*'Waste results'!$S$102, "data missing"),
   IF(OR('Waste results'!$S$30&lt;&gt;"data missing", 'Waste results'!$S$66&lt;&gt;"data missing", 'Waste results'!$S$102&lt;&gt;"data missing"), Calc!BC80*'Waste results'!$S$30+Calc!BD80*'Waste results'!$S$66+ Calc!BE80*'Waste results'!$S$102, "data missing")))))))))))</f>
        <v/>
      </c>
      <c r="BL82" s="241" t="str">
        <f ca="1">IF($B82="","",
IF(ISBLANK('Soil results'!P85),"data missing",'Soil results'!P85))</f>
        <v/>
      </c>
      <c r="BM82" s="241" t="str">
        <f t="shared" ca="1" si="31"/>
        <v/>
      </c>
      <c r="BN82" s="66" t="str">
        <f t="shared" ca="1" si="32"/>
        <v/>
      </c>
      <c r="BP82" s="238" t="str">
        <f ca="1">IF(B82="","",
IF(AND('Field information 2'!$O$5="", 'Field information 2'!$Q$5=""),
   IF('Waste results'!$S$31&lt;&gt;"data missing", Calc!BC80*'Waste results'!$S$31, "data missing"),
IF('Field information 2'!$Q$5="",
   IF(Calc!BD80=0,
     IF('Waste results'!$S$31&lt;&gt;"data missing", Calc!BC80*'Waste results'!$S$31, "data missing"),
   IF(Calc!BC80=0,
     IF('Waste results'!$S$67&lt;&gt;"data missing", Calc!BD80*'Waste results'!$S$67, "data missing"),
   IF(OR('Waste results'!$S$31&lt;&gt;"data missing", 'Waste results'!$S$67&lt;&gt;"data missing"), Calc!BC80*'Waste results'!$S$31+ Calc!BD80*'Waste results'!$S$67, "data missing"))),
IF(AND('Field information 2'!$M$5&lt;&gt;"", 'Field information 2'!$O$5&lt;&gt;"", 'Field information 2'!$Q$5&lt;&gt;""),
   IF(AND(Calc!BD80=0,Calc!BE80=0),
     IF('Waste results'!$S$31&lt;&gt;"data missing", Calc!BC80*'Waste results'!$S$31, "data missing"),
   IF(AND(Calc!BC80=0,Calc!BE80=0),
     IF('Waste results'!$S$67&lt;&gt;"data missing", Calc!BD80*'Waste results'!$S$67, "data missing"),
   IF(AND(Calc!BC80=0,Calc!BD80=0),
     IF('Waste results'!$S$103&lt;&gt;"data missing", Calc!BE80*'Waste results'!$S$103, "data missing"),
   IF(Calc!BE80=0,
     IF(OR('Waste results'!$S$31&lt;&gt;"data missing", 'Waste results'!$S$67&lt;&gt;"data missing"), Calc!BC80*'Waste results'!$S$31+ Calc!BD80*'Waste results'!$S$67, "data missing"),
   IF(Calc!BD80=0,
     IF(OR('Waste results'!$S$31&lt;&gt;"data missing", 'Waste results'!$S$103&lt;&gt;"data missing"), Calc!BC80*'Waste results'!$S$31+ Calc!BE80*'Waste results'!$S$103, "data missing"),
   IF(Calc!BC80=0,
     IF(OR('Waste results'!$S$67&lt;&gt;"data missing", 'Waste results'!$S$103&lt;&gt;"data missing"), Calc!BD80*'Waste results'!$S$67+Calc!BE80*'Waste results'!$S$103, "data missing"),
   IF(OR('Waste results'!$S$31&lt;&gt;"data missing", 'Waste results'!$S$67&lt;&gt;"data missing", 'Waste results'!$S$103&lt;&gt;"data missing"), Calc!BC80*'Waste results'!$S$31+Calc!BD80*'Waste results'!$S$67+ Calc!BE80*'Waste results'!$S$103, "data missing")))))))))))</f>
        <v/>
      </c>
      <c r="BQ82" s="239" t="str">
        <f ca="1">IF($B82="","",
IF(ISBLANK('Soil results'!Q85),"data missing",'Soil results'!Q85))</f>
        <v/>
      </c>
      <c r="BR82" s="239" t="str">
        <f t="shared" ca="1" si="33"/>
        <v/>
      </c>
      <c r="BS82" s="9" t="str">
        <f ca="1">IF(B82="","",
IF(BP82=0,"n/a",
IF(OR(BP82="data missing",BQ82=""),"data missing",
IF(BP82&gt;15,"application rate too high - permissible rate exceeds limit",
IF('Soil results'!F85&lt;=5.5,
  IF(BQ82&gt;200,"no application - soil conc. already above limit",
  IF(BR82&gt;200,"application rate too high - soil conc. will exceed limit",
  IF(BQ82&gt;200*0.9,"soil conc. is at or above 90% of the limit",
  IF(10*BP82*1000/3000+BQ82&gt;200,"soil limit likely to be exceeded in 10yrs",
  IF(50*BP82*1000/3000+BQ82&gt;200,"soil limit likely to be exceeded in 50yrs","ok"))))),
IF('Soil results'!F85&lt;=6,
  IF(BQ82&gt;250,"no application - soil conc. already above limit",
  IF(BR82&gt;250,"application rate too high - soil conc. will exceed limit",
  IF(BQ82&gt;250*0.9,"soil conc. is at or above 90% of the limit",
  IF(10*BP82*1000/3000+BQ82&gt;250,"soil limit likely to be exceeded in 10yrs",
  IF(50*BP82*1000/3000+BQ82&gt;250,"soil limit likely to be exceeded in 50yrs","ok"))))),
IF('Soil results'!F85&lt;=7,
  IF(BQ82&gt;300,"no application - soil conc. already above limit",
  IF(BR82&gt;300,"application rate too high - soil conc. will exceed limit",
  IF(BQ82&gt;300*0.9,"soil conc. is at or above 90% of the limit",
  IF(10*BP82*1000/3000+BQ82&gt;300,"soil limit likey to be exceeded in 10yrs",
  IF(50*BP82*1000/3000+BQ82&gt;300,"soil limit likely to be exceeded in 50yrs","ok"))))),
IF('Soil results'!F85&gt;7,
  IF(BQ82&gt;450,"no application - soil conc. already above limit",
  IF(BR82&gt;450,"application rate too high - soil conc. will exceed limit",
  IF(AW82&gt;450*0.9,"soil conc. is at or above 90% of the limit",
  IF(10*BP82*1000/3000+BQ82&gt;450,"soil limit likely to be exceeded in 10yrs",
  IF(50*BP82*1000/3000+BQ82&gt;450,"soil limit likely to be exceeded in 50yrs","ok")))))
))))))))</f>
        <v/>
      </c>
    </row>
    <row r="83" spans="2:71" s="9" customFormat="1" ht="15" x14ac:dyDescent="0.25">
      <c r="B83" s="236" t="str">
        <f ca="1">'Soil results'!B86</f>
        <v/>
      </c>
      <c r="C83" s="91" t="str">
        <f ca="1">IF(B83="","",
IF(AND('Field information 2'!$O$5="", 'Field information 2'!$Q$5=""),
   IF('Waste results'!$S$12&lt;&gt;"data missing", Calc!BC81*'Waste results'!$S$12, "data missing"),
IF('Field information 2'!$Q$5="",
   IF(Calc!BD81=0,
     IF('Waste results'!$S$12&lt;&gt;"data missing", Calc!BC81*'Waste results'!$S$12, "data missing"),
   IF(Calc!BC81=0,
     IF('Waste results'!$S$48&lt;&gt;"data missing", Calc!BD81*'Waste results'!$S$48, "data missing"),
   IF(OR('Waste results'!$S$12&lt;&gt;"data missing", 'Waste results'!$S$48&lt;&gt;"data missing"), Calc!BC81*'Waste results'!$S$12+ Calc!BD81*'Waste results'!$S$48, "data missing"))),
IF(AND('Field information 2'!$M$5&lt;&gt;"", 'Field information 2'!$O$5&lt;&gt;"", 'Field information 2'!$Q$5&lt;&gt;""),
   IF(AND(Calc!BD81=0,Calc!BE81=0),
     IF('Waste results'!$S$12&lt;&gt;"data missing", Calc!BC81*'Waste results'!$S$12, "data missing"),
   IF(AND(Calc!BC81=0,Calc!BE81=0),
     IF('Waste results'!$S$48&lt;&gt;"data missing", Calc!BD81*'Waste results'!$S$48, "data missing"),
   IF(AND(Calc!BC81=0,Calc!BD81=0),
     IF('Waste results'!$S$84&lt;&gt;"data missing", Calc!BE81*'Waste results'!$S$84, "data missing"),
   IF(Calc!BE81=0,
     IF(OR('Waste results'!$S$12&lt;&gt;"data missing", 'Waste results'!$S$48&lt;&gt;"data missing"), Calc!BC81*'Waste results'!$S$12+ Calc!BD81*'Waste results'!$S$48, "data missing"),
   IF(Calc!BD81=0,
     IF(OR('Waste results'!$S$12&lt;&gt;"data missing", 'Waste results'!$S$84&lt;&gt;"data missing"), Calc!BC81*'Waste results'!$S$12+ Calc!BE81*'Waste results'!$S$84, "data missing"),
   IF(Calc!BC81=0,
     IF(OR('Waste results'!$S$48&lt;&gt;"data missing", 'Waste results'!$S$84&lt;&gt;"data missing"), Calc!BD81*'Waste results'!$S$48+Calc!BE81*'Waste results'!$S$84, "data missing"),
   IF(OR('Waste results'!$S$12&lt;&gt;"data missing", 'Waste results'!$S$48&lt;&gt;"data missing", 'Waste results'!$S$84&lt;&gt;"data missing"), Calc!BC81*'Waste results'!$S$12+Calc!BD81*'Waste results'!$S$48+ Calc!BE81*'Waste results'!$S$84, "data missing")))))))))))</f>
        <v/>
      </c>
      <c r="D83" s="161" t="str">
        <f ca="1">IF(B83="","",
IF(Calc!BG81="","soil texture missing",
IF(OR(Calc!BG81="SL; SZL; ZL",Calc!BG81="SCL; CL; ZCL; SC; ZC; C"),VLOOKUP(Calc!BI81,'Fertiliser recommendations'!$A$4:$C$63,3,FALSE),
IF(Calc!BG81="S; LS",VLOOKUP(Calc!BI81,'Fertiliser recommendations'!$A$4:$C$63,3,FALSE)+VLOOKUP(Calc!BI81,'Fertiliser recommendations'!$A$4:$D$63,4,FALSE),
IF(Calc!BG81="10-25% OM",VLOOKUP(Calc!BI81,'Fertiliser recommendations'!$A$4:$C$63,3,FALSE)+VLOOKUP(Calc!BI81,'Fertiliser recommendations'!$A$4:$E$63,5,FALSE),
IF(Calc!BG81="&gt;25% OM",VLOOKUP(Calc!BI81,'Fertiliser recommendations'!$A$4:$C$63,3,FALSE)+VLOOKUP(Calc!BI81,'Fertiliser recommendations'!$A$4:$F$63,6,FALSE),
""))))))</f>
        <v/>
      </c>
      <c r="E83" s="91" t="str">
        <f t="shared" ca="1" si="17"/>
        <v/>
      </c>
      <c r="F83" s="9" t="str">
        <f ca="1">IF(B83="","",
IF(OR(C83="data missing",D83="soil texture missing"),"data missing",
IF(Calc!BF81=0,"n/a",
IF(C83&lt;0.1*D83,"no benefit",
IF(C83&lt;0.3*D83,"limited benefit",
IF(C83&gt;250,"exceeds limit",
IF(OR(AND(D83=0,C83&gt;75),C83&gt;1.25*D83),"excessive",
IF(D83=0, "no requirement",
"benefit"))))))))</f>
        <v/>
      </c>
      <c r="H83" s="91" t="str">
        <f ca="1">IF(B83="","",
IF(AND('Field information 2'!$O$5="", 'Field information 2'!$Q$5=""),
   IF('Waste results'!$S$17&lt;&gt;"data missing", Calc!BC81*'Waste results'!$S$17, "data missing"),
IF('Field information 2'!$Q$5="",
   IF(Calc!BD81=0,
     IF('Waste results'!$S$17&lt;&gt;"data missing", Calc!BC81*'Waste results'!$S$17, "data missing"),
   IF(Calc!BC81=0,
     IF('Waste results'!$S$53&lt;&gt;"data missing", Calc!BD81*'Waste results'!$S$53, "data missing"),
   IF(OR('Waste results'!$S$17&lt;&gt;"data missing", 'Waste results'!$S$53&lt;&gt;"data missing"), Calc!BC81*'Waste results'!$S$17+ Calc!BD81*'Waste results'!$S$53, "data missing"))),
IF(AND('Field information 2'!$M$5&lt;&gt;"", 'Field information 2'!$O$5&lt;&gt;"", 'Field information 2'!$Q$5&lt;&gt;""),
   IF(AND(Calc!BD81=0,Calc!BE81=0),
     IF('Waste results'!$S$17&lt;&gt;"data missing", Calc!BC81*'Waste results'!$S$17, "data missing"),
   IF(AND(Calc!BC81=0,Calc!BE81=0),
     IF('Waste results'!$S$53&lt;&gt;"data missing", Calc!BD81*'Waste results'!$S$53, "data missing"),
   IF(AND(Calc!BC81=0,Calc!BD81=0),
     IF('Waste results'!$S$89&lt;&gt;"data missing", Calc!BE81*'Waste results'!$S$89, "data missing"),
   IF(Calc!BE81=0,
     IF(OR('Waste results'!$S$17&lt;&gt;"data missing", 'Waste results'!$S$53&lt;&gt;"data missing"), Calc!BC81*'Waste results'!$S$17+ Calc!BD81*'Waste results'!$S$53, "data missing"),
   IF(Calc!BD81=0,
     IF(OR('Waste results'!$S$17&lt;&gt;"data missing", 'Waste results'!$S$89&lt;&gt;"data missing"), Calc!BC81*'Waste results'!$S$17+ Calc!BE81*'Waste results'!$S$89, "data missing"),
   IF(Calc!BC81=0,
     IF(OR('Waste results'!$S$53&lt;&gt;"data missing", 'Waste results'!$S$89&lt;&gt;"data missing"), Calc!BD81*'Waste results'!$S$53+Calc!BE81*'Waste results'!$S$89, "data missing"),
   IF(OR('Waste results'!$S$17&lt;&gt;"data missing", 'Waste results'!$S$53&lt;&gt;"data missing", 'Waste results'!$S$89&lt;&gt;"data missing"), Calc!BC81*'Waste results'!$S$17+Calc!BD81*'Waste results'!$S$53+ Calc!BE81*'Waste results'!$S$89, "data missing")))))))))))</f>
        <v/>
      </c>
      <c r="I83" s="195" t="str">
        <f ca="1">IF(B83="","",
IF(OR(ISBLANK('Soil results'!G86), ISBLANK('Soil results'!G$7)),"data missing",
IF(OR(AND('Soil results'!G$7="Olsen (ADAS)",'Soil results'!G86&lt;16),AND('Soil results'!G$7="modified Morgan (SAC)",'Soil results'!G86&lt;4.5)),50,100)))</f>
        <v/>
      </c>
      <c r="J83" s="49" t="str">
        <f ca="1">IF(B83="","",
IF(OR(ISBLANK('Soil results'!G$7),ISBLANK('Soil results'!G86)),"data missing",
IF(OR(AND('Soil results'!G$7="Olsen (ADAS)",'Soil results'!G86&gt;45),AND('Soil results'!G$7="modified Morgan (SAC)",'Soil results'!G86&gt;30)),0,
IF(OR(AND('Soil results'!G$7="Olsen (ADAS)",'Soil results'!G86&gt;=16,'Soil results'!G86&lt;=20),AND('Soil results'!G$7="modified Morgan (SAC)",'Soil results'!G86&gt;=4.5,'Soil results'!G86&lt;=9.4)),VLOOKUP(Calc!BI81,'Fertiliser recommendations'!$A$4:$I$63,9,FALSE),
IF(OR(AND('Soil results'!G$7="Olsen (ADAS)",'Soil results'!G86&lt;10),AND('Soil results'!G$7="modified Morgan (SAC)",'Soil results'!G86&lt;1.8)),VLOOKUP(Calc!BI81,'Fertiliser recommendations'!$A$4:$I$63,9,FALSE)+VLOOKUP(Calc!BI81,'Fertiliser recommendations'!$A$4:$J$63,10,FALSE),
IF(OR(AND('Soil results'!G$7="Olsen (ADAS)",'Soil results'!G86&lt;16),AND('Soil results'!G$7="modified Morgan (SAC)",'Soil results'!G86&lt;4.5)),VLOOKUP(Calc!BI81,'Fertiliser recommendations'!$A$4:$I$63,9,FALSE)+VLOOKUP(Calc!BI81,'Fertiliser recommendations'!$A$4:$K$63,11,FALSE),
IF(OR(AND('Soil results'!G$7="Olsen (ADAS)",'Soil results'!G86&lt;26),AND('Soil results'!G$7="modified Morgan (SAC)",'Soil results'!G86&lt;13.5)),VLOOKUP(Calc!BI81,'Fertiliser recommendations'!$A$4:$I$63,9,FALSE)+VLOOKUP(Calc!BI81,'Fertiliser recommendations'!$A$4:$L$63,12,FALSE),
IF(OR(AND('Soil results'!G$7="Olsen (ADAS)",'Soil results'!G86&lt;=45),AND('Soil results'!G$7="modified Morgan (SAC)",'Soil results'!G86&lt;=30)),VLOOKUP(Calc!BI81,'Fertiliser recommendations'!$A$4:$I$63,9,FALSE)+VLOOKUP(Calc!BI81,'Fertiliser recommendations'!$A$4:$M$63,13,FALSE),
""))))))))</f>
        <v/>
      </c>
      <c r="K83" s="161" t="str">
        <f t="shared" ca="1" si="18"/>
        <v/>
      </c>
      <c r="L83" s="47" t="str">
        <f ca="1">IF(OR(ISBLANK('Soil results'!G$7),ISBLANK('Soil results'!G86),B83="", H83="data missing"),"",
IF('Soil results'!G$7="Olsen (ADAS)",
IF(((H83*Calc!BM81/2.291-(VLOOKUP(Calc!BI81,'Fertiliser recommendations'!$A$4:$I$63,9,FALSE))/2.291)*10/(400/2.291)+'Soil results'!G86)&lt;10,"0 (VL)",
IF(((H83*Calc!BM81/2.291-(VLOOKUP(Calc!BI81,'Fertiliser recommendations'!$A$4:$I$63,9,FALSE))/2.291)*10/(400/2.291)+'Soil results'!G86)&lt;16,"1 (L)",
IF(((H83*Calc!BM81/2.291-(VLOOKUP(Calc!BI81,'Fertiliser recommendations'!$A$4:$I$63,9,FALSE))/2.291)*10/(400/2.291)+'Soil results'!G86)&lt;21,"2 (M-)",
IF(((H83*Calc!BM81/2.291-(VLOOKUP(Calc!BI81,'Fertiliser recommendations'!$A$4:$I$63,9,FALSE))/2.291)*10/(400/2.291)+'Soil results'!G86)&lt;26,"2 (M+)",
IF(((H83*Calc!BM81/2.291-(VLOOKUP(Calc!BI81,'Fertiliser recommendations'!$A$4:$I$63,9,FALSE))/2.291)*10/(400/2.291)+'Soil results'!G86)&lt;45,"3 (H)","&gt;3 (VH)"))))),
IF('Soil results'!G$7="modified Morgan (SAC)",
IF('Soil results'!G86&gt;=6,
IF(((H83*Calc!BM81/2.291-(VLOOKUP(Calc!BI81,'Fertiliser recommendations'!$A$4:$I$63,9,FALSE))/2.291)*5/(147/2.291)+'Soil results'!G86)&lt;9.5,"2 (M-)",
IF(((H83*Calc!BM81/2.291-(VLOOKUP(Calc!BI81,'Fertiliser recommendations'!$A$4:$I$63,9,FALSE))/2.291)*5/(147/2.291)+'Soil results'!G86)&lt;13.5,"2 (M+)",
IF(((H83*Calc!BM81/2.291-(VLOOKUP(Calc!BI81,'Fertiliser recommendations'!$A$4:$I$63,9,FALSE))/2.291)*5/(147/2.291)+'Soil results'!G86)&lt;30,"3 (H)","4 (VH)"))),
IF(((H83*Calc!BM81/2.291-(VLOOKUP(Calc!BI81,'Fertiliser recommendations'!$A$4:$I$63,9,FALSE))/2.291)*5/(346/2.291)+'Soil results'!G86)&lt;1.8,"0 (VL)",
IF(((H83*Calc!BM81/2.291-(VLOOKUP(Calc!BI81,'Fertiliser recommendations'!$A$4:$I$63,9,FALSE))/2.291)*5/(147/2.291)+'Soil results'!G86)&lt;4.5,"1 (L)","2 (M-)"))))))</f>
        <v/>
      </c>
      <c r="M83" s="9" t="str">
        <f ca="1">IF(B83="","",
IF(OR(H83="data missing",I83="data missing",J83="data missing"),"data missing",
IF(Calc!BF81=0,"n/a",
IF(OR(AND('Soil results'!G$7="Olsen (ADAS)",'Soil results'!G86&gt;45),AND('Soil results'!G$7="modified Morgan (SAC)",'Soil results'!G86&gt;30)),
IF(H83&gt;2,"too high, not acceptable","no requirement"),IF(OR(AND('Soil results'!G$7="Olsen (ADAS)",'Soil results'!G86&gt;25),AND('Soil results'!G$7="modified Morgan (SAC)",'Soil results'!G86&gt;13.4)),
IF(H83*(I83/100)&lt;0.1*J83,"no benefit",
IF(H83*(I83/100)&lt;0.3*J83,"limited benefit",
IF(H83*(I83/100)&lt;1.1*J83,"benefit",
IF(H83*(I83/100)&lt;0.7*VLOOKUP(Calc!BI81,'Fertiliser recommendations'!$A$4:$I$63,9,FALSE),"excessive","too high, not acceptable")))),
IF(OR(AND('Soil results'!G$7="Olsen (ADAS)",'Soil results'!G86&gt;20),AND('Soil results'!G$7="modified Morgan (SAC)",'Soil results'!G86&gt;9.4)),
IF(H83*Calc!BM81*(I83/100)&lt;0.1*J83,"no benefit",
IF(H83*Calc!BM81*(I83/100)&lt;0.3*J83,"limited benefit",
IF(H83*Calc!BM81*(I83/100)&lt;1.1*J83,"benefit",
IF(L83="3 (H)","too high, not acceptable","excessive")))),
IF(OR(AND('Soil results'!G$7="Olsen (ADAS)",'Soil results'!G86&gt;15),AND('Soil results'!G$7="modified Morgan (SAC)",'Soil results'!G86&gt;4.4)),
IF(H83*Calc!BM81*(I83/100)&lt;0.1*VLOOKUP(Calc!BI81,'Fertiliser recommendations'!$A$4:$I$63,9,FALSE),"no benefit",
IF(H83*Calc!BM81*(I83/100)&lt;0.3*VLOOKUP(Calc!BI81,'Fertiliser recommendations'!$A$4:$I$63,9,FALSE),"limited benefit",
IF(H83*Calc!BM81*(I83/100)&lt;1.1*VLOOKUP(Calc!BI81,'Fertiliser recommendations'!$A$4:$I$63,9,FALSE),"benefit",
IF(L83="3 (H)", "too high, not acceptable", "excessive")))),
IF(OR(AND('Soil results'!G$7="Olsen (ADAS)",'Soil results'!G86&lt;=15),AND('Soil results'!G$7="modified Morgan (SAC)",'Soil results'!G86&lt;=4.4)),
IF(H83*Calc!BM81*(I83/100)&lt;0.1*VLOOKUP(Calc!BI81,'Fertiliser recommendations'!$A$4:$I$63,9,FALSE),"no benefit",
IF(H83*Calc!BM81*(I83/100)&lt;0.3*VLOOKUP(Calc!BI81,'Fertiliser recommendations'!$A$4:$I$63,9,FALSE),"limited benefit",
IF(H83*Calc!BM81*(I83/100)&lt;1.1*J83,"benefit","excessive")))))))))))</f>
        <v/>
      </c>
      <c r="O83" s="91" t="str">
        <f ca="1">IF(B83="","",
IF(AND('Field information 2'!$O$5="", 'Field information 2'!$Q$5=""),
   IF('Waste results'!$S$19&lt;&gt;"data missing", Calc!BC81*'Waste results'!$S$19, "data missing"),
IF('Field information 2'!$Q$5="",
   IF(Calc!BD81=0,
     IF('Waste results'!$S$19&lt;&gt;"data missing", Calc!BC81*'Waste results'!$S$19, "data missing"),
   IF(Calc!BC81=0,
     IF('Waste results'!$S$55&lt;&gt;"data missing", Calc!BD81*'Waste results'!$S$55, "data missing"),
   IF(OR('Waste results'!$S$19&lt;&gt;"data missing", 'Waste results'!$S$55&lt;&gt;"data missing"), Calc!BC81*'Waste results'!$S$19+ Calc!BD81*'Waste results'!$S$55, "data missing"))),
IF(AND('Field information 2'!$M$5&lt;&gt;"", 'Field information 2'!$O$5&lt;&gt;"", 'Field information 2'!$Q$5&lt;&gt;""),
   IF(AND(Calc!BD81=0,Calc!BE81=0),
     IF('Waste results'!$S$19&lt;&gt;"data missing", Calc!BC81*'Waste results'!$S$19, "data missing"),
   IF(AND(Calc!BC81=0,Calc!BE81=0),
     IF('Waste results'!$S$55&lt;&gt;"data missing", Calc!BD81*'Waste results'!$S$55, "data missing"),
   IF(AND(Calc!BC81=0,Calc!BD81=0),
     IF('Waste results'!$S$91&lt;&gt;"data missing", Calc!BE81*'Waste results'!$S$91, "data missing"),
   IF(Calc!BE81=0,
     IF(OR('Waste results'!$S$19&lt;&gt;"data missing", 'Waste results'!$S$55&lt;&gt;"data missing"), Calc!BC81*'Waste results'!$S$19+ Calc!BD81*'Waste results'!$S$55, "data missing"),
   IF(Calc!BD81=0,
     IF(OR('Waste results'!$S$19&lt;&gt;"data missing", 'Waste results'!$S$91&lt;&gt;"data missing"), Calc!BC81*'Waste results'!$S$19+ Calc!BE81*'Waste results'!$S$91, "data missing"),
   IF(Calc!BC81=0,
     IF(OR('Waste results'!$S$55&lt;&gt;"data missing", 'Waste results'!$S$91&lt;&gt;"data missing"), Calc!BD81*'Waste results'!$S$55+Calc!BE81*'Waste results'!$S$91, "data missing"),
   IF(OR('Waste results'!$S$19&lt;&gt;"data missing", 'Waste results'!$S$55&lt;&gt;"data missing", 'Waste results'!$S$91&lt;&gt;"data missing"), Calc!BC81*'Waste results'!$S$19+Calc!BD81*'Waste results'!$S$55+ Calc!BE81*'Waste results'!$S$91, "data missing")))))))))))</f>
        <v/>
      </c>
      <c r="P83" s="91" t="str">
        <f ca="1">IF(B83="","",
IF(OR(ISBLANK('Soil results'!H$7),ISBLANK('Soil results'!H86)),"data missing",
IF(OR(AND('Soil results'!H$7="ammonium nitrate (ADAS)",'Soil results'!H86&gt;400),AND('Soil results'!H$7="modified Morgan (SAC)",'Soil results'!H86&gt;400)),0,
IF(OR(AND('Soil results'!H$7="ammonium nitrate (ADAS)",'Soil results'!H86&gt;=121,'Soil results'!H86&lt;=180),AND('Soil results'!H$7="modified Morgan (SAC)",'Soil results'!H86&gt;=76,'Soil results'!H86&lt;=140)),VLOOKUP(Calc!BI81,'Fertiliser recommendations'!$A$4:$Z$63,26,FALSE),
IF(OR(AND('Soil results'!H$7="ammonium nitrate (ADAS)",'Soil results'!H86&lt;61),AND('Soil results'!H$7="modified Morgan (SAC)",'Soil results'!H86&lt;40)),VLOOKUP(Calc!BI81,'Fertiliser recommendations'!$A$4:$Z$63,26,FALSE)+VLOOKUP(Calc!BI81,'Fertiliser recommendations'!$A$4:$AA$63,27,FALSE),
IF(OR(AND('Soil results'!H$7="ammonium nitrate (ADAS)",'Soil results'!H86&lt;121),AND('Soil results'!H$7="modified Morgan (SAC)",'Soil results'!H86&lt;76)),VLOOKUP(Calc!BI81,'Fertiliser recommendations'!$A$4:$Z$63,26,FALSE)+VLOOKUP(Calc!BI81,'Fertiliser recommendations'!$A$4:$AB$63,28,FALSE),
IF(OR(AND('Soil results'!H$7="ammonium nitrate (ADAS)",'Soil results'!H86&lt;241),AND('Soil results'!H$7="modified Morgan (SAC)",'Soil results'!H86&lt;201)),VLOOKUP(Calc!BI81,'Fertiliser recommendations'!$A$4:$Z$63,26,FALSE)+VLOOKUP(Calc!BI81,'Fertiliser recommendations'!$A$4:$AC$63,29,FALSE),
IF(OR(AND('Soil results'!H$7="ammonium nitrate (ADAS)",'Soil results'!H86&lt;=400),AND('Soil results'!H$7="modified Morgan (SAC)",'Soil results'!H86&lt;=400)),VLOOKUP(Calc!BI81,'Fertiliser recommendations'!$A$4:$Z$63,26,FALSE)+VLOOKUP(Calc!BI81,'Fertiliser recommendations'!$A$4:$AD$63,30,FALSE),
"??"))))))))</f>
        <v/>
      </c>
      <c r="Q83" s="91" t="str">
        <f t="shared" ca="1" si="19"/>
        <v/>
      </c>
      <c r="R83" s="9" t="str">
        <f ca="1">IF(B83="","",
IF(OR(O83="data missing",P83="data missing"),"data missing",
IF(Calc!BF81=0,"n/a",
IF(P83=0, "no requirement",
IF(O83&lt;0.1*P83,"no benefit",
IF(O83&lt;0.3*P83,"limited benefit",
IF(O83&gt;1.25*P83,"excessive",
"benefit")))))))</f>
        <v/>
      </c>
      <c r="T83" s="91" t="str">
        <f ca="1">IF(B83="","",
IF(AND('Field information 2'!$O$5="", 'Field information 2'!$Q$5=""),
   IF('Waste results'!$S$21&lt;&gt;"data missing", Calc!BC81*'Waste results'!$S$21, "data missing"),
IF('Field information 2'!$Q$5="",
   IF(Calc!BD81=0,
     IF('Waste results'!$S$21&lt;&gt;"data missing", Calc!BC81*'Waste results'!$S$21, "data missing"),
   IF(Calc!BC81=0,
     IF('Waste results'!$S$57&lt;&gt;"data missing", Calc!BD81*'Waste results'!$S$57, "data missing"),
   IF(OR('Waste results'!$S$21&lt;&gt;"data missing", 'Waste results'!$S$57&lt;&gt;"data missing"), Calc!BC81*'Waste results'!$S$21+ Calc!BD81*'Waste results'!$S$57, "data missing"))),
IF(AND('Field information 2'!$M$5&lt;&gt;"", 'Field information 2'!$O$5&lt;&gt;"", 'Field information 2'!$Q$5&lt;&gt;""),
   IF(AND(Calc!BD81=0,Calc!BE81=0),
     IF('Waste results'!$S$21&lt;&gt;"data missing", Calc!BC81*'Waste results'!$S$21, "data missing"),
   IF(AND(Calc!BC81=0,Calc!BE81=0),
     IF('Waste results'!$S$57&lt;&gt;"data missing", Calc!BD81*'Waste results'!$S$57, "data missing"),
   IF(AND(Calc!BC81=0,Calc!BD81=0),
     IF('Waste results'!$S$93&lt;&gt;"data missing", Calc!BE81*'Waste results'!$S$93, "data missing"),
   IF(Calc!BE81=0,
     IF(OR('Waste results'!$S$21&lt;&gt;"data missing", 'Waste results'!$S$57&lt;&gt;"data missing"), Calc!BC81*'Waste results'!$S$21+ Calc!BD81*'Waste results'!$S$57, "data missing"),
   IF(Calc!BD81=0,
     IF(OR('Waste results'!$S$21&lt;&gt;"data missing", 'Waste results'!$S$93&lt;&gt;"data missing"), Calc!BC81*'Waste results'!$S$21+ Calc!BE81*'Waste results'!$S$93, "data missing"),
   IF(Calc!BC81=0,
     IF(OR('Waste results'!$S$57&lt;&gt;"data missing", 'Waste results'!$S$93&lt;&gt;"data missing"), Calc!BD81*'Waste results'!$S$57+Calc!BE81*'Waste results'!$S$93, "data missing"),
   IF(OR('Waste results'!$S$21&lt;&gt;"data missing", 'Waste results'!$S$57&lt;&gt;"data missing", 'Waste results'!$S$93&lt;&gt;"data missing"), Calc!BC81*'Waste results'!$S$21+Calc!BD81*'Waste results'!$S$57+ Calc!BE81*'Waste results'!$S$93, "data missing")))))))))))</f>
        <v/>
      </c>
      <c r="U83" s="7" t="str">
        <f ca="1">IF(B83="","",
IF(OR(ISBLANK('Soil results'!I$7),ISBLANK('Soil results'!I86)),"data missing",
IF(OR(AND('Soil results'!I$7="ammonium nitrate (ADAS)",'Soil results'!I86&gt;51),AND('Soil results'!I$7="modified Morgan (SAC)",'Soil results'!I86&gt;61)),0,
IF(OR(AND('Soil results'!I$7="ammonium nitrate (ADAS)",'Soil results'!I86&lt;25),AND('Soil results'!I$7="modified Morgan (SAC)",'Soil results'!I86&lt;19)),VLOOKUP(Calc!BI81,'Fertiliser recommendations'!$A$4:$AH$63,34,FALSE),
IF(OR(AND('Soil results'!I$7="ammonium nitrate (ADAS)",'Soil results'!I86&lt;=51),AND('Soil results'!I$7="modified Morgan (SAC)",'Soil results'!I86&lt;=61)),VLOOKUP(Calc!BI81,'Fertiliser recommendations'!$A$4:$AI$63,35,FALSE),
"")))))</f>
        <v/>
      </c>
      <c r="V83" s="91" t="str">
        <f t="shared" ca="1" si="20"/>
        <v/>
      </c>
      <c r="W83" s="9" t="str">
        <f ca="1">IF(B83="","",
IF(OR(T83="data missing",U83="data missing"),"data missing",
IF(Calc!BF81=0,"n/a",
IF(U83=0,"no requirement",
IF(T83&lt;0.1*U83,"no benefit",
IF(T83&lt;0.3*U83,"limited benefit",
IF(OR(T83&gt;1.5*U83,AND(Calc!BJ81="g",T83&gt;100)),"excessive",
"benefit")))))))</f>
        <v/>
      </c>
      <c r="Y83" s="91" t="str">
        <f ca="1">IF(B83="","",
IF(AND('Field information 2'!$O$5="", 'Field information 2'!$Q$5=""),
   IF('Waste results'!$P$23&lt;&gt;"", Calc!BC81*'Waste results'!$P$23, "no data"),
IF('Field information 2'!$Q$5="",
   IF(Calc!BD81=0,
     IF('Waste results'!$P$23&lt;&gt;"", Calc!BC81*'Waste results'!$P$23, "no data"),
   IF(Calc!BC81=0,
     IF('Waste results'!$P$59&lt;&gt;"", Calc!BD81*'Waste results'!$P$59, "no data"),
   IF(OR('Waste results'!$P$23&lt;&gt;"", 'Waste results'!$P$59&lt;&gt;""), Calc!BC81*'Waste results'!$P$23+ Calc!BD81*'Waste results'!$P$59, "no data"))),
IF(AND('Field information 2'!$M$5&lt;&gt;"", 'Field information 2'!$O$5&lt;&gt;"", 'Field information 2'!$Q$5&lt;&gt;""),
   IF(AND(Calc!BD81=0,Calc!BE81=0),
     IF('Waste results'!$P$23&lt;&gt;"", Calc!BC81*'Waste results'!$P$23, "no data"),
   IF(AND(Calc!BC81=0,Calc!BE81=0),
     IF('Waste results'!$P$59&lt;&gt;"", Calc!BD81*'Waste results'!$P$59, "no data"),
   IF(AND(Calc!BC81=0,Calc!BD81=0),
     IF('Waste results'!$P$95&lt;&gt;"", Calc!BE81*'Waste results'!$P$95, "no data"),
   IF(Calc!BE81=0,
     IF(OR('Waste results'!$P$23&lt;&gt;"", 'Waste results'!$P$59&lt;&gt;""), Calc!BC81*'Waste results'!$P$23+ Calc!BD81*'Waste results'!$P$59, "no data"),
   IF(Calc!BD81=0,
     IF(OR('Waste results'!$P$23&lt;&gt;"", 'Waste results'!$P$95&lt;&gt;""), Calc!BC81*'Waste results'!$P$23+ Calc!BE81*'Waste results'!$P$95, "no data"),
   IF(Calc!BC81=0,
     IF(OR('Waste results'!$P$59&lt;&gt;"", 'Waste results'!$P$95&lt;&gt;""), Calc!BD81*'Waste results'!$P$59+Calc!BE81*'Waste results'!$P$95, "no data"),
   IF(OR('Waste results'!$P$23&lt;&gt;"", 'Waste results'!$P$59&lt;&gt;"", 'Waste results'!$P$95&lt;&gt;""), Calc!BC81*'Waste results'!$P$23+Calc!BD81*'Waste results'!$P$59+ Calc!BE81*'Waste results'!$P$95, "no data")))))))))))</f>
        <v/>
      </c>
      <c r="Z83" s="7" t="str">
        <f ca="1">IF(OR(ISBLANK('Soil results'!I$7),ISBLANK('Soil results'!I86),'Soil results'!B86=""),"",
VLOOKUP(Calc!BI81,'Fertiliser recommendations'!$A$4:$AM$63,39,FALSE))</f>
        <v/>
      </c>
      <c r="AA83" s="91" t="str">
        <f t="shared" ca="1" si="21"/>
        <v/>
      </c>
      <c r="AB83" s="9" t="str">
        <f t="shared" ca="1" si="22"/>
        <v/>
      </c>
      <c r="AD83" s="48" t="str">
        <f>IF(ISBLANK('Soil results'!F86),"",'Soil results'!F86)</f>
        <v/>
      </c>
      <c r="AE83" s="49" t="str">
        <f ca="1">IF(B83="","",
IF(AND(Calc!BJ81="g", VLOOKUP(LEFT($B83,LEN($B83)-2),'Field information 2'!$B$12:$P$111,9,FALSE)&lt;&gt;"yes"),
 IF(Calc!BG81="10-25% OM", 5.9, IF(Calc!BG81="&gt;25% OM", 5.5, 6.2)),
IF(OR(Calc!BJ81="a", VLOOKUP(LEFT($B83,LEN($B83)-2),'Field information 2'!$B$12:$P$111,9,FALSE)="yes"),
 IF(Calc!BG81="10-25% OM", 6.4, IF(Calc!BG81="&gt;25% OM", 6, 6.7)), "")))</f>
        <v/>
      </c>
      <c r="AF83" s="91" t="str">
        <f ca="1">IF(B83="","",
IF('Waste results'!$Q$33="","no (significant) liming properties",
IF('Waste results'!Q$33&gt;100,"no (significant) liming properties",
IF(AD83="","",
IF(AD83&gt;=AE83,0,ROUNDDOWN((AE83-AD83)*Calc!BK81*'Waste results'!$Q$33+0.2,0))))))</f>
        <v/>
      </c>
      <c r="AG83" s="9" t="str">
        <f ca="1">IF(B83="","",
IF(T83=0,"n/a",
IF(AD83="","data missing",
IF(AND(AD83&lt;5,AF83="no (significant) liming properties"),"no waste application - pH too low",
IF(AND(AD83&gt;5.1,AF83="no (significant) liming properties",Calc!BH81&gt;25, LEFT(Calc!BI81,4)="graz"),"ok",
IF(AND(AD83&lt;=5.2,AF83="no (significant) liming properties"),"liming highly recommended",
IF(AF83=0,"no waste application - liming not required",
IF(AF83&lt;Calc!BC81,"application rate too high - exceeds liming requirement",
"ok"))))))))</f>
        <v/>
      </c>
      <c r="AI83" s="91" t="str">
        <f ca="1">IF(B83="","",
IF(AND('Field information 2'!$O$5="", 'Field information 2'!$Q$5=""),
   IF('Waste results'!$P$10&lt;&gt;"data missing", Calc!BC81*'Waste results'!$P$10, "data missing"),
IF('Field information 2'!$Q$5="",
   IF(Calc!BD81=0,
     IF('Waste results'!$P$10&lt;&gt;"data missing", Calc!BC81*'Waste results'!$P$10, "data missing"),
   IF(Calc!BC81=0,
     IF('Waste results'!$P$45&lt;&gt;"data missing", Calc!BD81*'Waste results'!$P$45, "data missing"),
   IF(OR('Waste results'!$P$10&lt;&gt;"data missing", 'Waste results'!$P$45&lt;&gt;"data missing"), Calc!BC81*'Waste results'!$P$10+ Calc!BD81*'Waste results'!$P$45, "data missing"))),
IF(AND('Field information 2'!$M$5&lt;&gt;"", 'Field information 2'!$O$5&lt;&gt;"", 'Field information 2'!$Q$5&lt;&gt;""),
   IF(AND(Calc!BD81=0,Calc!BE81=0),
     IF('Waste results'!$P$10&lt;&gt;"data missing", Calc!BC81*'Waste results'!$P$10, "data missing"),
   IF(AND(Calc!BC81=0,Calc!BE81=0),
     IF('Waste results'!$P$45&lt;&gt;"data missing", Calc!BD81*'Waste results'!$P$45, "data missing"),
   IF(AND(Calc!BC81=0,Calc!BD81=0),
     IF('Waste results'!$P$82&lt;&gt;"data missing", Calc!BE81*'Waste results'!$P$82, "data missing"),
   IF(Calc!BE81=0,
     IF(OR('Waste results'!$P$10&lt;&gt;"data missing", 'Waste results'!$P$45&lt;&gt;"data missing"), Calc!BC81*'Waste results'!$P$10+ Calc!BD81*'Waste results'!$P$45, "data missing"),
   IF(Calc!BD81=0,
     IF(OR('Waste results'!$P$10&lt;&gt;"data missing", 'Waste results'!$P$82&lt;&gt;"data missing"), Calc!BC81*'Waste results'!$P$10+ Calc!BE81*'Waste results'!$P$82, "data missing"),
   IF(Calc!BC81=0,
     IF(OR('Waste results'!$P$45&lt;&gt;"data missing", 'Waste results'!$P$82&lt;&gt;"data missing"), Calc!BD81*'Waste results'!$P$45+Calc!BE81*'Waste results'!$P$82, "data missing"),
   IF(OR('Waste results'!$P$10&lt;&gt;"data missing", 'Waste results'!$P$45&lt;&gt;"data missing", 'Waste results'!$P$82&lt;&gt;"data missing"), Calc!BC81*'Waste results'!$P$10+Calc!BD81*'Waste results'!$P$45+ Calc!BE81*'Waste results'!$P$82, "data missing")))))))))))</f>
        <v/>
      </c>
      <c r="AJ83" s="237" t="str">
        <f ca="1">IF(B83="","",
IF(AI83="data missing","data missing",
IF(Calc!BF81=0,"n/a",
IF(AND(Calc!BH81&gt;=8,AI83&lt;500),"no benefit",
IF(OR(AND(Calc!BH81&lt;=4,AI83&gt;=500),AND(Calc!BH81&lt;8,AI83&gt;5000)),"benefit",
"limited benefit")))))</f>
        <v/>
      </c>
      <c r="AL83" s="238" t="str">
        <f ca="1">IF(B83="","",
IF(AND('Field information 2'!$O$5="", 'Field information 2'!$Q$5=""),
   IF('Waste results'!$S$25&lt;&gt;"data missing", Calc!BC81*'Waste results'!$S$25, "data missing"),
IF('Field information 2'!$Q$5="",
   IF(Calc!BD81=0,
     IF('Waste results'!$S$25&lt;&gt;"data missing", Calc!BC81*'Waste results'!$S$25, "data missing"),
   IF(Calc!BC81=0,
     IF('Waste results'!$S$61&lt;&gt;"data missing", Calc!BD81*'Waste results'!$S$61, "data missing"),
   IF(OR('Waste results'!$S$25&lt;&gt;"data missing", 'Waste results'!$S$61&lt;&gt;"data missing"), Calc!BC81*'Waste results'!$S$25+ Calc!BD81*'Waste results'!$S$61, "data missing"))),
IF(AND('Field information 2'!$M$5&lt;&gt;"", 'Field information 2'!$O$5&lt;&gt;"", 'Field information 2'!$Q$5&lt;&gt;""),
   IF(AND(Calc!BD81=0,Calc!BE81=0),
     IF('Waste results'!$S$25&lt;&gt;"data missing", Calc!BC81*'Waste results'!$S$25, "data missing"),
   IF(AND(Calc!BC81=0,Calc!BE81=0),
     IF('Waste results'!$S$61&lt;&gt;"data missing", Calc!BD81*'Waste results'!$S$61, "data missing"),
   IF(AND(Calc!BC81=0,Calc!BD81=0),
     IF('Waste results'!$S$97&lt;&gt;"data missing", Calc!BE81*'Waste results'!$S$97, "data missing"),
   IF(Calc!BE81=0,
     IF(OR('Waste results'!$S$25&lt;&gt;"data missing", 'Waste results'!$S$61&lt;&gt;"data missing"), Calc!BC81*'Waste results'!$S$25+ Calc!BD81*'Waste results'!$S$61, "data missing"),
   IF(Calc!BD81=0,
     IF(OR('Waste results'!$S$25&lt;&gt;"data missing", 'Waste results'!$S$97&lt;&gt;"data missing"), Calc!BC81*'Waste results'!$S$25+ Calc!BE81*'Waste results'!$S$97, "data missing"),
   IF(Calc!BC81=0,
     IF(OR('Waste results'!$S$61&lt;&gt;"data missing", 'Waste results'!$S$97&lt;&gt;"data missing"), Calc!BD81*'Waste results'!$S$61+Calc!BE81*'Waste results'!$S$97, "data missing"),
   IF(OR('Waste results'!$S$25&lt;&gt;"data missing", 'Waste results'!$S$61&lt;&gt;"data missing", 'Waste results'!$S$97&lt;&gt;"data missing"), Calc!BC81*'Waste results'!$S$25+Calc!BD81*'Waste results'!$S$61+ Calc!BE81*'Waste results'!$S$97, "data missing")))))))))))</f>
        <v/>
      </c>
      <c r="AM83" s="239" t="str">
        <f ca="1">IF($B83="","",
IF(ISBLANK('Soil results'!K86),"data missing",'Soil results'!K86))</f>
        <v/>
      </c>
      <c r="AN83" s="239" t="str">
        <f t="shared" ca="1" si="23"/>
        <v/>
      </c>
      <c r="AO83" s="9" t="str">
        <f t="shared" ca="1" si="24"/>
        <v/>
      </c>
      <c r="AQ83" s="240" t="str">
        <f ca="1">IF(B83="","",
IF(AND('Field information 2'!$O$5="", 'Field information 2'!$Q$5=""),
   IF('Waste results'!$S$26&lt;&gt;"data missing", Calc!BC81*'Waste results'!$S$26, "data missing"),
IF('Field information 2'!$Q$5="",
   IF(Calc!BD81=0,
     IF('Waste results'!$S$26&lt;&gt;"data missing", Calc!BC81*'Waste results'!$S$26, "data missing"),
   IF(Calc!BC81=0,
     IF('Waste results'!$S$62&lt;&gt;"data missing", Calc!BD81*'Waste results'!$S$62, "data missing"),
   IF(OR('Waste results'!$S$26&lt;&gt;"data missing", 'Waste results'!$S$62&lt;&gt;"data missing"), Calc!BC81*'Waste results'!$S$26+ Calc!BD81*'Waste results'!$S$62, "data missing"))),
IF(AND('Field information 2'!$M$5&lt;&gt;"", 'Field information 2'!$O$5&lt;&gt;"", 'Field information 2'!$Q$5&lt;&gt;""),
   IF(AND(Calc!BD81=0,Calc!BE81=0),
     IF('Waste results'!$S$26&lt;&gt;"data missing", Calc!BC81*'Waste results'!$S$26, "data missing"),
   IF(AND(Calc!BC81=0,Calc!BE81=0),
     IF('Waste results'!$S$62&lt;&gt;"data missing", Calc!BD81*'Waste results'!$S$62, "data missing"),
   IF(AND(Calc!BC81=0,Calc!BD81=0),
     IF('Waste results'!$S$98&lt;&gt;"data missing", Calc!BE81*'Waste results'!$S$98, "data missing"),
   IF(Calc!BE81=0,
     IF(OR('Waste results'!$S$26&lt;&gt;"data missing", 'Waste results'!$S$62&lt;&gt;"data missing"), Calc!BC81*'Waste results'!$S$26+ Calc!BD81*'Waste results'!$S$62, "data missing"),
   IF(Calc!BD81=0,
     IF(OR('Waste results'!$S$26&lt;&gt;"data missing", 'Waste results'!$S$98&lt;&gt;"data missing"), Calc!BC81*'Waste results'!$S$26+ Calc!BE81*'Waste results'!$S$98, "data missing"),
   IF(Calc!BC81=0,
     IF(OR('Waste results'!$S$62&lt;&gt;"data missing", 'Waste results'!$S$98&lt;&gt;"data missing"), Calc!BD81*'Waste results'!$S$62+Calc!BE81*'Waste results'!$S$98, "data missing"),
   IF(OR('Waste results'!$S$26&lt;&gt;"data missing", 'Waste results'!$S$62&lt;&gt;"data missing", 'Waste results'!$S$98&lt;&gt;"data missing"), Calc!BC81*'Waste results'!$S$26+Calc!BD81*'Waste results'!$S$62+ Calc!BE81*'Waste results'!$S$98, "data missing")))))))))))</f>
        <v/>
      </c>
      <c r="AR83" s="241" t="str">
        <f ca="1">IF($B83="","",
IF(ISBLANK('Soil results'!L86),"data missing",'Soil results'!L86))</f>
        <v/>
      </c>
      <c r="AS83" s="241" t="str">
        <f t="shared" ca="1" si="25"/>
        <v/>
      </c>
      <c r="AT83" s="66" t="str">
        <f t="shared" ca="1" si="26"/>
        <v/>
      </c>
      <c r="AV83" s="238" t="str">
        <f ca="1">IF(B83="","",
IF(AND('Field information 2'!$O$5="", 'Field information 2'!$Q$5=""),
   IF('Waste results'!$S$27&lt;&gt;"data missing", Calc!BC81*'Waste results'!$S$27, "data missing"),
IF('Field information 2'!$Q$5="",
   IF(Calc!BD81=0,
     IF('Waste results'!$S$27&lt;&gt;"data missing", Calc!BC81*'Waste results'!$S$27, "data missing"),
   IF(Calc!BC81=0,
     IF('Waste results'!$S$63&lt;&gt;"data missing", Calc!BD81*'Waste results'!$S$63, "data missing"),
   IF(OR('Waste results'!$S$27&lt;&gt;"data missing", 'Waste results'!$S$63&lt;&gt;"data missing"), Calc!BC81*'Waste results'!$S$27+ Calc!BD81*'Waste results'!$S$63, "data missing"))),
IF(AND('Field information 2'!$M$5&lt;&gt;"", 'Field information 2'!$O$5&lt;&gt;"", 'Field information 2'!$Q$5&lt;&gt;""),
   IF(AND(Calc!BD81=0,Calc!BE81=0),
     IF('Waste results'!$S$27&lt;&gt;"data missing", Calc!BC81*'Waste results'!$S$27, "data missing"),
   IF(AND(Calc!BC81=0,Calc!BE81=0),
     IF('Waste results'!$S$63&lt;&gt;"data missing", Calc!BD81*'Waste results'!$S$63, "data missing"),
   IF(AND(Calc!BC81=0,Calc!BD81=0),
     IF('Waste results'!$S$99&lt;&gt;"data missing", Calc!BE81*'Waste results'!$S$99, "data missing"),
   IF(Calc!BE81=0,
     IF(OR('Waste results'!$S$27&lt;&gt;"data missing", 'Waste results'!$S$63&lt;&gt;"data missing"), Calc!BC81*'Waste results'!$S$27+ Calc!BD81*'Waste results'!$S$63, "data missing"),
   IF(Calc!BD81=0,
     IF(OR('Waste results'!$S$27&lt;&gt;"data missing", 'Waste results'!$S$99&lt;&gt;"data missing"), Calc!BC81*'Waste results'!$S$27+ Calc!BE81*'Waste results'!$S$99, "data missing"),
   IF(Calc!BC81=0,
     IF(OR('Waste results'!$S$63&lt;&gt;"data missing", 'Waste results'!$S$99&lt;&gt;"data missing"), Calc!BD81*'Waste results'!$S$63+Calc!BE81*'Waste results'!$S$99, "data missing"),
   IF(OR('Waste results'!$S$27&lt;&gt;"data missing", 'Waste results'!$S$63&lt;&gt;"data missing", 'Waste results'!$S$99&lt;&gt;"data missing"), Calc!BC81*'Waste results'!$S$27+Calc!BD81*'Waste results'!$S$63+ Calc!BE81*'Waste results'!$S$99, "data missing")))))))))))</f>
        <v/>
      </c>
      <c r="AW83" s="239" t="str">
        <f ca="1">IF($B83="","",
IF(ISBLANK('Soil results'!M86),"data missing",'Soil results'!M86))</f>
        <v/>
      </c>
      <c r="AX83" s="239" t="str">
        <f t="shared" ca="1" si="27"/>
        <v/>
      </c>
      <c r="AY83" s="9" t="str">
        <f ca="1">IF(B83="","",
IF(AV83=0,"n/a",
IF(OR(AV83="data missing",AW83="data missing"),"data missing",
IF(AV83&gt;7.5,"application rate too high - permissible rate exceeds limit",
IF('Soil results'!$F86&lt;=5.5,
  IF(AW83&gt;80,"no application - soil conc. already above limit",
  IF(AX83&gt;80,"application rate too high - soil conc. will exceed limit",
  IF(AW83&gt;80*0.9,"soil conc. is at or above 90% of the limit",
  IF(10*AV83*1000/3000+AW83&gt;80,"soil limit likely to be exceeded in 10yrs",
  IF(50*AV83*1000/3000+AW83&gt;80,"soil limit likely to be exceeded in 50yrs","ok"))))),
IF('Soil results'!$F86&lt;=6,
  IF(AW83&gt;100,"no application - soil conc. already above limit",
  IF(AX83&gt;100,"application rate too high - soil conc. will exceed limit",
  IF(AW83&gt;100*0.9,"soil conc. is at or above 90% of the limit",
  IF(10*AV83*1000/3000+AW83&gt;100,"soil limit likely to be exceeded in 10yrs",
  IF(50*AV83*1000/3000+AW83&gt;100,"soil limit likely to be exceeded in 50yrs","ok"))))),
IF('Soil results'!$F86&lt;=7,
  IF(AW83&gt;135,"no application - soil conc. already above limit",
  IF(AX83&gt;135,"application rate too high - soil conc. will exceed limit",
  IF(AW83&gt;135*0.9,"soil conc. is at or above 90% of the limit",
  IF(10*AV83*1000/3000+AW83&gt;135,"soil limit likely to be exceeded in 10yrs",
  IF(50*AV83*1000/3000+AW83&gt;135,"soil limit likely to be exceeded in 50yrs","ok"))))),
IF('Soil results'!$F86&gt;7,
  IF(AW83&gt;200,"no application - soil conc. already above limit",
  IF(AX83&gt;200,"application too high - soil conc. will exceed limit",
  IF(AW83&gt;200*0.9,"soil conc. is at or above 90% of the limit",
  IF(10*AV83*1000/3000+AW83&gt;200,"soil limit likely to be exceeded in 10yrs",
  IF(50*AV83*1000/3000+AW83&gt;200,"soil limit likely to be exceeded in 50yrs","ok")))))
))))))))</f>
        <v/>
      </c>
      <c r="BA83" s="238" t="str">
        <f ca="1">IF(B83="","",
IF(AND('Field information 2'!$O$5="", 'Field information 2'!$Q$5=""),
   IF('Waste results'!$S$28&lt;&gt;"data missing", Calc!BC81*'Waste results'!$S$28, "data missing"),
IF('Field information 2'!$Q$5="",
   IF(Calc!BD81=0,
     IF('Waste results'!$S$28&lt;&gt;"data missing", Calc!BC81*'Waste results'!$S$28, "data missing"),
   IF(Calc!BC81=0,
     IF('Waste results'!$S$64&lt;&gt;"data missing", Calc!BD81*'Waste results'!$S$64, "data missing"),
   IF(OR('Waste results'!$S$28&lt;&gt;"data missing", 'Waste results'!$S$64&lt;&gt;"data missing"), Calc!BC81*'Waste results'!$S$28+ Calc!BD81*'Waste results'!$S$64, "data missing"))),
IF(AND('Field information 2'!$M$5&lt;&gt;"", 'Field information 2'!$O$5&lt;&gt;"", 'Field information 2'!$Q$5&lt;&gt;""),
   IF(AND(Calc!BD81=0,Calc!BE81=0),
     IF('Waste results'!$S$28&lt;&gt;"data missing", Calc!BC81*'Waste results'!$S$28, "data missing"),
   IF(AND(Calc!BC81=0,Calc!BE81=0),
     IF('Waste results'!$S$64&lt;&gt;"data missing", Calc!BD81*'Waste results'!$S$64, "data missing"),
   IF(AND(Calc!BC81=0,Calc!BD81=0),
     IF('Waste results'!$S$100&lt;&gt;"data missing", Calc!BE81*'Waste results'!$S$100, "data missing"),
   IF(Calc!BE81=0,
     IF(OR('Waste results'!$S$28&lt;&gt;"data missing", 'Waste results'!$S$64&lt;&gt;"data missing"), Calc!BC81*'Waste results'!$S$28+ Calc!BD81*'Waste results'!$S$64, "data missing"),
   IF(Calc!BD81=0,
     IF(OR('Waste results'!$S$28&lt;&gt;"data missing", 'Waste results'!$S$100&lt;&gt;"data missing"), Calc!BC81*'Waste results'!$S$28+ Calc!BE81*'Waste results'!$S$100, "data missing"),
   IF(Calc!BC81=0,
     IF(OR('Waste results'!$S$64&lt;&gt;"data missing", 'Waste results'!$S$100&lt;&gt;"data missing"), Calc!BD81*'Waste results'!$S$64+Calc!BE81*'Waste results'!$S$100, "data missing"),
   IF(OR('Waste results'!$S$28&lt;&gt;"data missing", 'Waste results'!$S$64&lt;&gt;"data missing", 'Waste results'!$S$100&lt;&gt;"data missing"), Calc!BC81*'Waste results'!$S$28+Calc!BD81*'Waste results'!$S$64+ Calc!BE81*'Waste results'!$S$100, "data missing")))))))))))</f>
        <v/>
      </c>
      <c r="BB83" s="239" t="str">
        <f ca="1">IF($B83="","",
IF(ISBLANK('Soil results'!N86),"data missing",'Soil results'!N86))</f>
        <v/>
      </c>
      <c r="BC83" s="239" t="str">
        <f t="shared" ca="1" si="28"/>
        <v/>
      </c>
      <c r="BD83" s="9" t="str">
        <f t="shared" ca="1" si="29"/>
        <v/>
      </c>
      <c r="BF83" s="238" t="str">
        <f ca="1">IF(B83="","",
IF(AND('Field information 2'!$O$5="", 'Field information 2'!$Q$5=""),
   IF('Waste results'!$S$29&lt;&gt;"data missing", Calc!BC81*'Waste results'!$S$29, "data missing"),
IF('Field information 2'!$Q$5="",
   IF(Calc!BD81=0,
     IF('Waste results'!$S$29&lt;&gt;"data missing", Calc!BC81*'Waste results'!$S$29, "data missing"),
   IF(Calc!BC81=0,
     IF('Waste results'!$S$65&lt;&gt;"data missing", Calc!BD81*'Waste results'!$S$65, "data missing"),
   IF(OR('Waste results'!$S$29&lt;&gt;"data missing", 'Waste results'!$S$65&lt;&gt;"data missing"), Calc!BC81*'Waste results'!$S$29+ Calc!BD81*'Waste results'!$S$65, "data missing"))),
IF(AND('Field information 2'!$M$5&lt;&gt;"", 'Field information 2'!$O$5&lt;&gt;"", 'Field information 2'!$Q$5&lt;&gt;""),
   IF(AND(Calc!BD81=0,Calc!BE81=0),
     IF('Waste results'!$S$29&lt;&gt;"data missing", Calc!BC81*'Waste results'!$S$29, "data missing"),
   IF(AND(Calc!BC81=0,Calc!BE81=0),
     IF('Waste results'!$S$65&lt;&gt;"data missing", Calc!BD81*'Waste results'!$S$65, "data missing"),
   IF(AND(Calc!BC81=0,Calc!BD81=0),
     IF('Waste results'!$S$101&lt;&gt;"data missing", Calc!BE81*'Waste results'!$S$101, "data missing"),
   IF(Calc!BE81=0,
     IF(OR('Waste results'!$S$29&lt;&gt;"data missing", 'Waste results'!$S$65&lt;&gt;"data missing"), Calc!BC81*'Waste results'!$S$29+ Calc!BD81*'Waste results'!$S$65, "data missing"),
   IF(Calc!BD81=0,
     IF(OR('Waste results'!$S$29&lt;&gt;"data missing", 'Waste results'!$S$101&lt;&gt;"data missing"), Calc!BC81*'Waste results'!$S$29+ Calc!BE81*'Waste results'!$S$101, "data missing"),
   IF(Calc!BC81=0,
     IF(OR('Waste results'!$S$65&lt;&gt;"data missing", 'Waste results'!$S$101&lt;&gt;"data missing"), Calc!BD81*'Waste results'!$S$65+Calc!BE81*'Waste results'!$S$101, "data missing"),
   IF(OR('Waste results'!$S$29&lt;&gt;"data missing", 'Waste results'!$S$65&lt;&gt;"data missing", 'Waste results'!$S$101&lt;&gt;"data missing"), Calc!BC81*'Waste results'!$S$29+Calc!BD81*'Waste results'!$S$65+ Calc!BE81*'Waste results'!$S$101, "data missing")))))))))))</f>
        <v/>
      </c>
      <c r="BG83" s="239" t="str">
        <f ca="1">IF($B83="","",
IF(ISBLANK('Soil results'!O86),"data missing",'Soil results'!O86))</f>
        <v/>
      </c>
      <c r="BH83" s="239" t="str">
        <f t="shared" ca="1" si="30"/>
        <v/>
      </c>
      <c r="BI83" s="9" t="str">
        <f ca="1">IF(B83="","",
IF(BF83=0,"n/a",
IF(OR(BF83="data missing",BG83="data missing"),"data missing",
IF(BF83&gt;3,"application rate too high - permissible rate exceeds limit",
IF('Soil results'!F86&lt;=5.5,
  IF(BG83&gt;50,"no application - soil conc. already above limit",
  IF(BH83&gt;50,"application rate too high - soil conc. will exceed limit",
  IF(BG83&gt;50*0.9,"soil conc. is at or above 90% of the limit",
  IF(10*BF83*1000/3000+BG83&gt;50,"soil limit likely to be exceeded in 10yrs",
  IF(50*BF83*1000/3000+BG83&gt;50,"soil limit likely to be exceeded in 50yrs","ok"))))),
IF('Soil results'!F86&lt;=6,
  IF(BG83&gt;60,"no application - soil conc. already above limit",
  IF(BH83&gt;60,"application rate too high - soil conc. will exceed limit",
  IF(BG83&gt;60*0.9,"soil conc. is at or above 90% of the limit",
  IF(10*BF83*1000/3000+BG83&gt;60,"soil limit likely to be exceeded in 10yrs",
  IF(50*BF83*1000/3000+BG83&gt;60,"soil limit likely to be exceeded in 50yrs","ok"))))),
IF('Soil results'!F86&lt;=7,
  IF(BG83&gt;75,"no application - soil conc. already above limit",
  IF(BH83&gt;75,"application rate too high - soil conc. will exceed limit",
  IF(BG83&gt;75*0.9,"soil conc. is at or above 90% of the limit",
  IF(10*BF83*1000/3000+BG83&gt;75,"soil limit likely to be exceeded in 10yrs",
  IF(50*BF83*1000/3000+BG83&gt;75,"soil limit likely to be exceeded in 50yrs","ok"))))),
IF('Soil results'!F86&gt;7,
  IF(BG83&gt;100,"no application - soil conc. already above limit",
  IF(BH83&gt;100,"application rate too high - soil conc. will exceed limit",
  IF(BG83&gt;100*0.9,"soil conc. is at or above 90% of the limit",
  IF(10*BF83*1000/3000+BG83&gt;100,"soil limit likely to be exceeded in 10yrs",
  IF(50*BF83*1000/3000+BG83&gt;100,"soil limit likely to beexceeded in 50yrs","ok")))))
))))))))</f>
        <v/>
      </c>
      <c r="BK83" s="240" t="str">
        <f ca="1">IF(B83="","",
IF(AND('Field information 2'!$O$5="", 'Field information 2'!$Q$5=""),
   IF('Waste results'!$S$30&lt;&gt;"data missing", Calc!BC81*'Waste results'!$S$30, "data missing"),
IF('Field information 2'!$Q$5="",
   IF(Calc!BD81=0,
     IF('Waste results'!$S$30&lt;&gt;"data missing", Calc!BC81*'Waste results'!$S$30, "data missing"),
   IF(Calc!BC81=0,
     IF('Waste results'!$S$66&lt;&gt;"data missing", Calc!BD81*'Waste results'!$S$66, "data missing"),
   IF(OR('Waste results'!$S$30&lt;&gt;"data missing", 'Waste results'!$S$66&lt;&gt;"data missing"), Calc!BC81*'Waste results'!$S$30+ Calc!BD81*'Waste results'!$S$66, "data missing"))),
IF(AND('Field information 2'!$M$5&lt;&gt;"", 'Field information 2'!$O$5&lt;&gt;"", 'Field information 2'!$Q$5&lt;&gt;""),
   IF(AND(Calc!BD81=0,Calc!BE81=0),
     IF('Waste results'!$S$30&lt;&gt;"data missing", Calc!BC81*'Waste results'!$S$30, "data missing"),
   IF(AND(Calc!BC81=0,Calc!BE81=0),
     IF('Waste results'!$S$66&lt;&gt;"data missing", Calc!BD81*'Waste results'!$S$66, "data missing"),
   IF(AND(Calc!BC81=0,Calc!BD81=0),
     IF('Waste results'!$S$102&lt;&gt;"data missing", Calc!BE81*'Waste results'!$S$102, "data missing"),
   IF(Calc!BE81=0,
     IF(OR('Waste results'!$S$30&lt;&gt;"data missing", 'Waste results'!$S$66&lt;&gt;"data missing"), Calc!BC81*'Waste results'!$S$30+ Calc!BD81*'Waste results'!$S$66, "data missing"),
   IF(Calc!BD81=0,
     IF(OR('Waste results'!$S$30&lt;&gt;"data missing", 'Waste results'!$S$102&lt;&gt;"data missing"), Calc!BC81*'Waste results'!$S$30+ Calc!BE81*'Waste results'!$S$102, "data missing"),
   IF(Calc!BC81=0,
     IF(OR('Waste results'!$S$66&lt;&gt;"data missing", 'Waste results'!$S$102&lt;&gt;"data missing"), Calc!BD81*'Waste results'!$S$66+Calc!BE81*'Waste results'!$S$102, "data missing"),
   IF(OR('Waste results'!$S$30&lt;&gt;"data missing", 'Waste results'!$S$66&lt;&gt;"data missing", 'Waste results'!$S$102&lt;&gt;"data missing"), Calc!BC81*'Waste results'!$S$30+Calc!BD81*'Waste results'!$S$66+ Calc!BE81*'Waste results'!$S$102, "data missing")))))))))))</f>
        <v/>
      </c>
      <c r="BL83" s="241" t="str">
        <f ca="1">IF($B83="","",
IF(ISBLANK('Soil results'!P86),"data missing",'Soil results'!P86))</f>
        <v/>
      </c>
      <c r="BM83" s="241" t="str">
        <f t="shared" ca="1" si="31"/>
        <v/>
      </c>
      <c r="BN83" s="66" t="str">
        <f t="shared" ca="1" si="32"/>
        <v/>
      </c>
      <c r="BP83" s="238" t="str">
        <f ca="1">IF(B83="","",
IF(AND('Field information 2'!$O$5="", 'Field information 2'!$Q$5=""),
   IF('Waste results'!$S$31&lt;&gt;"data missing", Calc!BC81*'Waste results'!$S$31, "data missing"),
IF('Field information 2'!$Q$5="",
   IF(Calc!BD81=0,
     IF('Waste results'!$S$31&lt;&gt;"data missing", Calc!BC81*'Waste results'!$S$31, "data missing"),
   IF(Calc!BC81=0,
     IF('Waste results'!$S$67&lt;&gt;"data missing", Calc!BD81*'Waste results'!$S$67, "data missing"),
   IF(OR('Waste results'!$S$31&lt;&gt;"data missing", 'Waste results'!$S$67&lt;&gt;"data missing"), Calc!BC81*'Waste results'!$S$31+ Calc!BD81*'Waste results'!$S$67, "data missing"))),
IF(AND('Field information 2'!$M$5&lt;&gt;"", 'Field information 2'!$O$5&lt;&gt;"", 'Field information 2'!$Q$5&lt;&gt;""),
   IF(AND(Calc!BD81=0,Calc!BE81=0),
     IF('Waste results'!$S$31&lt;&gt;"data missing", Calc!BC81*'Waste results'!$S$31, "data missing"),
   IF(AND(Calc!BC81=0,Calc!BE81=0),
     IF('Waste results'!$S$67&lt;&gt;"data missing", Calc!BD81*'Waste results'!$S$67, "data missing"),
   IF(AND(Calc!BC81=0,Calc!BD81=0),
     IF('Waste results'!$S$103&lt;&gt;"data missing", Calc!BE81*'Waste results'!$S$103, "data missing"),
   IF(Calc!BE81=0,
     IF(OR('Waste results'!$S$31&lt;&gt;"data missing", 'Waste results'!$S$67&lt;&gt;"data missing"), Calc!BC81*'Waste results'!$S$31+ Calc!BD81*'Waste results'!$S$67, "data missing"),
   IF(Calc!BD81=0,
     IF(OR('Waste results'!$S$31&lt;&gt;"data missing", 'Waste results'!$S$103&lt;&gt;"data missing"), Calc!BC81*'Waste results'!$S$31+ Calc!BE81*'Waste results'!$S$103, "data missing"),
   IF(Calc!BC81=0,
     IF(OR('Waste results'!$S$67&lt;&gt;"data missing", 'Waste results'!$S$103&lt;&gt;"data missing"), Calc!BD81*'Waste results'!$S$67+Calc!BE81*'Waste results'!$S$103, "data missing"),
   IF(OR('Waste results'!$S$31&lt;&gt;"data missing", 'Waste results'!$S$67&lt;&gt;"data missing", 'Waste results'!$S$103&lt;&gt;"data missing"), Calc!BC81*'Waste results'!$S$31+Calc!BD81*'Waste results'!$S$67+ Calc!BE81*'Waste results'!$S$103, "data missing")))))))))))</f>
        <v/>
      </c>
      <c r="BQ83" s="239" t="str">
        <f ca="1">IF($B83="","",
IF(ISBLANK('Soil results'!Q86),"data missing",'Soil results'!Q86))</f>
        <v/>
      </c>
      <c r="BR83" s="239" t="str">
        <f t="shared" ca="1" si="33"/>
        <v/>
      </c>
      <c r="BS83" s="9" t="str">
        <f ca="1">IF(B83="","",
IF(BP83=0,"n/a",
IF(OR(BP83="data missing",BQ83=""),"data missing",
IF(BP83&gt;15,"application rate too high - permissible rate exceeds limit",
IF('Soil results'!F86&lt;=5.5,
  IF(BQ83&gt;200,"no application - soil conc. already above limit",
  IF(BR83&gt;200,"application rate too high - soil conc. will exceed limit",
  IF(BQ83&gt;200*0.9,"soil conc. is at or above 90% of the limit",
  IF(10*BP83*1000/3000+BQ83&gt;200,"soil limit likely to be exceeded in 10yrs",
  IF(50*BP83*1000/3000+BQ83&gt;200,"soil limit likely to be exceeded in 50yrs","ok"))))),
IF('Soil results'!F86&lt;=6,
  IF(BQ83&gt;250,"no application - soil conc. already above limit",
  IF(BR83&gt;250,"application rate too high - soil conc. will exceed limit",
  IF(BQ83&gt;250*0.9,"soil conc. is at or above 90% of the limit",
  IF(10*BP83*1000/3000+BQ83&gt;250,"soil limit likely to be exceeded in 10yrs",
  IF(50*BP83*1000/3000+BQ83&gt;250,"soil limit likely to be exceeded in 50yrs","ok"))))),
IF('Soil results'!F86&lt;=7,
  IF(BQ83&gt;300,"no application - soil conc. already above limit",
  IF(BR83&gt;300,"application rate too high - soil conc. will exceed limit",
  IF(BQ83&gt;300*0.9,"soil conc. is at or above 90% of the limit",
  IF(10*BP83*1000/3000+BQ83&gt;300,"soil limit likey to be exceeded in 10yrs",
  IF(50*BP83*1000/3000+BQ83&gt;300,"soil limit likely to be exceeded in 50yrs","ok"))))),
IF('Soil results'!F86&gt;7,
  IF(BQ83&gt;450,"no application - soil conc. already above limit",
  IF(BR83&gt;450,"application rate too high - soil conc. will exceed limit",
  IF(AW83&gt;450*0.9,"soil conc. is at or above 90% of the limit",
  IF(10*BP83*1000/3000+BQ83&gt;450,"soil limit likely to be exceeded in 10yrs",
  IF(50*BP83*1000/3000+BQ83&gt;450,"soil limit likely to be exceeded in 50yrs","ok")))))
))))))))</f>
        <v/>
      </c>
    </row>
    <row r="84" spans="2:71" s="9" customFormat="1" ht="15" x14ac:dyDescent="0.25">
      <c r="B84" s="236" t="str">
        <f ca="1">'Soil results'!B87</f>
        <v/>
      </c>
      <c r="C84" s="91" t="str">
        <f ca="1">IF(B84="","",
IF(AND('Field information 2'!$O$5="", 'Field information 2'!$Q$5=""),
   IF('Waste results'!$S$12&lt;&gt;"data missing", Calc!BC82*'Waste results'!$S$12, "data missing"),
IF('Field information 2'!$Q$5="",
   IF(Calc!BD82=0,
     IF('Waste results'!$S$12&lt;&gt;"data missing", Calc!BC82*'Waste results'!$S$12, "data missing"),
   IF(Calc!BC82=0,
     IF('Waste results'!$S$48&lt;&gt;"data missing", Calc!BD82*'Waste results'!$S$48, "data missing"),
   IF(OR('Waste results'!$S$12&lt;&gt;"data missing", 'Waste results'!$S$48&lt;&gt;"data missing"), Calc!BC82*'Waste results'!$S$12+ Calc!BD82*'Waste results'!$S$48, "data missing"))),
IF(AND('Field information 2'!$M$5&lt;&gt;"", 'Field information 2'!$O$5&lt;&gt;"", 'Field information 2'!$Q$5&lt;&gt;""),
   IF(AND(Calc!BD82=0,Calc!BE82=0),
     IF('Waste results'!$S$12&lt;&gt;"data missing", Calc!BC82*'Waste results'!$S$12, "data missing"),
   IF(AND(Calc!BC82=0,Calc!BE82=0),
     IF('Waste results'!$S$48&lt;&gt;"data missing", Calc!BD82*'Waste results'!$S$48, "data missing"),
   IF(AND(Calc!BC82=0,Calc!BD82=0),
     IF('Waste results'!$S$84&lt;&gt;"data missing", Calc!BE82*'Waste results'!$S$84, "data missing"),
   IF(Calc!BE82=0,
     IF(OR('Waste results'!$S$12&lt;&gt;"data missing", 'Waste results'!$S$48&lt;&gt;"data missing"), Calc!BC82*'Waste results'!$S$12+ Calc!BD82*'Waste results'!$S$48, "data missing"),
   IF(Calc!BD82=0,
     IF(OR('Waste results'!$S$12&lt;&gt;"data missing", 'Waste results'!$S$84&lt;&gt;"data missing"), Calc!BC82*'Waste results'!$S$12+ Calc!BE82*'Waste results'!$S$84, "data missing"),
   IF(Calc!BC82=0,
     IF(OR('Waste results'!$S$48&lt;&gt;"data missing", 'Waste results'!$S$84&lt;&gt;"data missing"), Calc!BD82*'Waste results'!$S$48+Calc!BE82*'Waste results'!$S$84, "data missing"),
   IF(OR('Waste results'!$S$12&lt;&gt;"data missing", 'Waste results'!$S$48&lt;&gt;"data missing", 'Waste results'!$S$84&lt;&gt;"data missing"), Calc!BC82*'Waste results'!$S$12+Calc!BD82*'Waste results'!$S$48+ Calc!BE82*'Waste results'!$S$84, "data missing")))))))))))</f>
        <v/>
      </c>
      <c r="D84" s="161" t="str">
        <f ca="1">IF(B84="","",
IF(Calc!BG82="","soil texture missing",
IF(OR(Calc!BG82="SL; SZL; ZL",Calc!BG82="SCL; CL; ZCL; SC; ZC; C"),VLOOKUP(Calc!BI82,'Fertiliser recommendations'!$A$4:$C$63,3,FALSE),
IF(Calc!BG82="S; LS",VLOOKUP(Calc!BI82,'Fertiliser recommendations'!$A$4:$C$63,3,FALSE)+VLOOKUP(Calc!BI82,'Fertiliser recommendations'!$A$4:$D$63,4,FALSE),
IF(Calc!BG82="10-25% OM",VLOOKUP(Calc!BI82,'Fertiliser recommendations'!$A$4:$C$63,3,FALSE)+VLOOKUP(Calc!BI82,'Fertiliser recommendations'!$A$4:$E$63,5,FALSE),
IF(Calc!BG82="&gt;25% OM",VLOOKUP(Calc!BI82,'Fertiliser recommendations'!$A$4:$C$63,3,FALSE)+VLOOKUP(Calc!BI82,'Fertiliser recommendations'!$A$4:$F$63,6,FALSE),
""))))))</f>
        <v/>
      </c>
      <c r="E84" s="91" t="str">
        <f t="shared" ca="1" si="17"/>
        <v/>
      </c>
      <c r="F84" s="9" t="str">
        <f ca="1">IF(B84="","",
IF(OR(C84="data missing",D84="soil texture missing"),"data missing",
IF(Calc!BF82=0,"n/a",
IF(C84&lt;0.1*D84,"no benefit",
IF(C84&lt;0.3*D84,"limited benefit",
IF(C84&gt;250,"exceeds limit",
IF(OR(AND(D84=0,C84&gt;75),C84&gt;1.25*D84),"excessive",
IF(D84=0, "no requirement",
"benefit"))))))))</f>
        <v/>
      </c>
      <c r="H84" s="91" t="str">
        <f ca="1">IF(B84="","",
IF(AND('Field information 2'!$O$5="", 'Field information 2'!$Q$5=""),
   IF('Waste results'!$S$17&lt;&gt;"data missing", Calc!BC82*'Waste results'!$S$17, "data missing"),
IF('Field information 2'!$Q$5="",
   IF(Calc!BD82=0,
     IF('Waste results'!$S$17&lt;&gt;"data missing", Calc!BC82*'Waste results'!$S$17, "data missing"),
   IF(Calc!BC82=0,
     IF('Waste results'!$S$53&lt;&gt;"data missing", Calc!BD82*'Waste results'!$S$53, "data missing"),
   IF(OR('Waste results'!$S$17&lt;&gt;"data missing", 'Waste results'!$S$53&lt;&gt;"data missing"), Calc!BC82*'Waste results'!$S$17+ Calc!BD82*'Waste results'!$S$53, "data missing"))),
IF(AND('Field information 2'!$M$5&lt;&gt;"", 'Field information 2'!$O$5&lt;&gt;"", 'Field information 2'!$Q$5&lt;&gt;""),
   IF(AND(Calc!BD82=0,Calc!BE82=0),
     IF('Waste results'!$S$17&lt;&gt;"data missing", Calc!BC82*'Waste results'!$S$17, "data missing"),
   IF(AND(Calc!BC82=0,Calc!BE82=0),
     IF('Waste results'!$S$53&lt;&gt;"data missing", Calc!BD82*'Waste results'!$S$53, "data missing"),
   IF(AND(Calc!BC82=0,Calc!BD82=0),
     IF('Waste results'!$S$89&lt;&gt;"data missing", Calc!BE82*'Waste results'!$S$89, "data missing"),
   IF(Calc!BE82=0,
     IF(OR('Waste results'!$S$17&lt;&gt;"data missing", 'Waste results'!$S$53&lt;&gt;"data missing"), Calc!BC82*'Waste results'!$S$17+ Calc!BD82*'Waste results'!$S$53, "data missing"),
   IF(Calc!BD82=0,
     IF(OR('Waste results'!$S$17&lt;&gt;"data missing", 'Waste results'!$S$89&lt;&gt;"data missing"), Calc!BC82*'Waste results'!$S$17+ Calc!BE82*'Waste results'!$S$89, "data missing"),
   IF(Calc!BC82=0,
     IF(OR('Waste results'!$S$53&lt;&gt;"data missing", 'Waste results'!$S$89&lt;&gt;"data missing"), Calc!BD82*'Waste results'!$S$53+Calc!BE82*'Waste results'!$S$89, "data missing"),
   IF(OR('Waste results'!$S$17&lt;&gt;"data missing", 'Waste results'!$S$53&lt;&gt;"data missing", 'Waste results'!$S$89&lt;&gt;"data missing"), Calc!BC82*'Waste results'!$S$17+Calc!BD82*'Waste results'!$S$53+ Calc!BE82*'Waste results'!$S$89, "data missing")))))))))))</f>
        <v/>
      </c>
      <c r="I84" s="195" t="str">
        <f ca="1">IF(B84="","",
IF(OR(ISBLANK('Soil results'!G87), ISBLANK('Soil results'!G$7)),"data missing",
IF(OR(AND('Soil results'!G$7="Olsen (ADAS)",'Soil results'!G87&lt;16),AND('Soil results'!G$7="modified Morgan (SAC)",'Soil results'!G87&lt;4.5)),50,100)))</f>
        <v/>
      </c>
      <c r="J84" s="49" t="str">
        <f ca="1">IF(B84="","",
IF(OR(ISBLANK('Soil results'!G$7),ISBLANK('Soil results'!G87)),"data missing",
IF(OR(AND('Soil results'!G$7="Olsen (ADAS)",'Soil results'!G87&gt;45),AND('Soil results'!G$7="modified Morgan (SAC)",'Soil results'!G87&gt;30)),0,
IF(OR(AND('Soil results'!G$7="Olsen (ADAS)",'Soil results'!G87&gt;=16,'Soil results'!G87&lt;=20),AND('Soil results'!G$7="modified Morgan (SAC)",'Soil results'!G87&gt;=4.5,'Soil results'!G87&lt;=9.4)),VLOOKUP(Calc!BI82,'Fertiliser recommendations'!$A$4:$I$63,9,FALSE),
IF(OR(AND('Soil results'!G$7="Olsen (ADAS)",'Soil results'!G87&lt;10),AND('Soil results'!G$7="modified Morgan (SAC)",'Soil results'!G87&lt;1.8)),VLOOKUP(Calc!BI82,'Fertiliser recommendations'!$A$4:$I$63,9,FALSE)+VLOOKUP(Calc!BI82,'Fertiliser recommendations'!$A$4:$J$63,10,FALSE),
IF(OR(AND('Soil results'!G$7="Olsen (ADAS)",'Soil results'!G87&lt;16),AND('Soil results'!G$7="modified Morgan (SAC)",'Soil results'!G87&lt;4.5)),VLOOKUP(Calc!BI82,'Fertiliser recommendations'!$A$4:$I$63,9,FALSE)+VLOOKUP(Calc!BI82,'Fertiliser recommendations'!$A$4:$K$63,11,FALSE),
IF(OR(AND('Soil results'!G$7="Olsen (ADAS)",'Soil results'!G87&lt;26),AND('Soil results'!G$7="modified Morgan (SAC)",'Soil results'!G87&lt;13.5)),VLOOKUP(Calc!BI82,'Fertiliser recommendations'!$A$4:$I$63,9,FALSE)+VLOOKUP(Calc!BI82,'Fertiliser recommendations'!$A$4:$L$63,12,FALSE),
IF(OR(AND('Soil results'!G$7="Olsen (ADAS)",'Soil results'!G87&lt;=45),AND('Soil results'!G$7="modified Morgan (SAC)",'Soil results'!G87&lt;=30)),VLOOKUP(Calc!BI82,'Fertiliser recommendations'!$A$4:$I$63,9,FALSE)+VLOOKUP(Calc!BI82,'Fertiliser recommendations'!$A$4:$M$63,13,FALSE),
""))))))))</f>
        <v/>
      </c>
      <c r="K84" s="161" t="str">
        <f t="shared" ca="1" si="18"/>
        <v/>
      </c>
      <c r="L84" s="47" t="str">
        <f ca="1">IF(OR(ISBLANK('Soil results'!G$7),ISBLANK('Soil results'!G87),B84="", H84="data missing"),"",
IF('Soil results'!G$7="Olsen (ADAS)",
IF(((H84*Calc!BM82/2.291-(VLOOKUP(Calc!BI82,'Fertiliser recommendations'!$A$4:$I$63,9,FALSE))/2.291)*10/(400/2.291)+'Soil results'!G87)&lt;10,"0 (VL)",
IF(((H84*Calc!BM82/2.291-(VLOOKUP(Calc!BI82,'Fertiliser recommendations'!$A$4:$I$63,9,FALSE))/2.291)*10/(400/2.291)+'Soil results'!G87)&lt;16,"1 (L)",
IF(((H84*Calc!BM82/2.291-(VLOOKUP(Calc!BI82,'Fertiliser recommendations'!$A$4:$I$63,9,FALSE))/2.291)*10/(400/2.291)+'Soil results'!G87)&lt;21,"2 (M-)",
IF(((H84*Calc!BM82/2.291-(VLOOKUP(Calc!BI82,'Fertiliser recommendations'!$A$4:$I$63,9,FALSE))/2.291)*10/(400/2.291)+'Soil results'!G87)&lt;26,"2 (M+)",
IF(((H84*Calc!BM82/2.291-(VLOOKUP(Calc!BI82,'Fertiliser recommendations'!$A$4:$I$63,9,FALSE))/2.291)*10/(400/2.291)+'Soil results'!G87)&lt;45,"3 (H)","&gt;3 (VH)"))))),
IF('Soil results'!G$7="modified Morgan (SAC)",
IF('Soil results'!G87&gt;=6,
IF(((H84*Calc!BM82/2.291-(VLOOKUP(Calc!BI82,'Fertiliser recommendations'!$A$4:$I$63,9,FALSE))/2.291)*5/(147/2.291)+'Soil results'!G87)&lt;9.5,"2 (M-)",
IF(((H84*Calc!BM82/2.291-(VLOOKUP(Calc!BI82,'Fertiliser recommendations'!$A$4:$I$63,9,FALSE))/2.291)*5/(147/2.291)+'Soil results'!G87)&lt;13.5,"2 (M+)",
IF(((H84*Calc!BM82/2.291-(VLOOKUP(Calc!BI82,'Fertiliser recommendations'!$A$4:$I$63,9,FALSE))/2.291)*5/(147/2.291)+'Soil results'!G87)&lt;30,"3 (H)","4 (VH)"))),
IF(((H84*Calc!BM82/2.291-(VLOOKUP(Calc!BI82,'Fertiliser recommendations'!$A$4:$I$63,9,FALSE))/2.291)*5/(346/2.291)+'Soil results'!G87)&lt;1.8,"0 (VL)",
IF(((H84*Calc!BM82/2.291-(VLOOKUP(Calc!BI82,'Fertiliser recommendations'!$A$4:$I$63,9,FALSE))/2.291)*5/(147/2.291)+'Soil results'!G87)&lt;4.5,"1 (L)","2 (M-)"))))))</f>
        <v/>
      </c>
      <c r="M84" s="9" t="str">
        <f ca="1">IF(B84="","",
IF(OR(H84="data missing",I84="data missing",J84="data missing"),"data missing",
IF(Calc!BF82=0,"n/a",
IF(OR(AND('Soil results'!G$7="Olsen (ADAS)",'Soil results'!G87&gt;45),AND('Soil results'!G$7="modified Morgan (SAC)",'Soil results'!G87&gt;30)),
IF(H84&gt;2,"too high, not acceptable","no requirement"),IF(OR(AND('Soil results'!G$7="Olsen (ADAS)",'Soil results'!G87&gt;25),AND('Soil results'!G$7="modified Morgan (SAC)",'Soil results'!G87&gt;13.4)),
IF(H84*(I84/100)&lt;0.1*J84,"no benefit",
IF(H84*(I84/100)&lt;0.3*J84,"limited benefit",
IF(H84*(I84/100)&lt;1.1*J84,"benefit",
IF(H84*(I84/100)&lt;0.7*VLOOKUP(Calc!BI82,'Fertiliser recommendations'!$A$4:$I$63,9,FALSE),"excessive","too high, not acceptable")))),
IF(OR(AND('Soil results'!G$7="Olsen (ADAS)",'Soil results'!G87&gt;20),AND('Soil results'!G$7="modified Morgan (SAC)",'Soil results'!G87&gt;9.4)),
IF(H84*Calc!BM82*(I84/100)&lt;0.1*J84,"no benefit",
IF(H84*Calc!BM82*(I84/100)&lt;0.3*J84,"limited benefit",
IF(H84*Calc!BM82*(I84/100)&lt;1.1*J84,"benefit",
IF(L84="3 (H)","too high, not acceptable","excessive")))),
IF(OR(AND('Soil results'!G$7="Olsen (ADAS)",'Soil results'!G87&gt;15),AND('Soil results'!G$7="modified Morgan (SAC)",'Soil results'!G87&gt;4.4)),
IF(H84*Calc!BM82*(I84/100)&lt;0.1*VLOOKUP(Calc!BI82,'Fertiliser recommendations'!$A$4:$I$63,9,FALSE),"no benefit",
IF(H84*Calc!BM82*(I84/100)&lt;0.3*VLOOKUP(Calc!BI82,'Fertiliser recommendations'!$A$4:$I$63,9,FALSE),"limited benefit",
IF(H84*Calc!BM82*(I84/100)&lt;1.1*VLOOKUP(Calc!BI82,'Fertiliser recommendations'!$A$4:$I$63,9,FALSE),"benefit",
IF(L84="3 (H)", "too high, not acceptable", "excessive")))),
IF(OR(AND('Soil results'!G$7="Olsen (ADAS)",'Soil results'!G87&lt;=15),AND('Soil results'!G$7="modified Morgan (SAC)",'Soil results'!G87&lt;=4.4)),
IF(H84*Calc!BM82*(I84/100)&lt;0.1*VLOOKUP(Calc!BI82,'Fertiliser recommendations'!$A$4:$I$63,9,FALSE),"no benefit",
IF(H84*Calc!BM82*(I84/100)&lt;0.3*VLOOKUP(Calc!BI82,'Fertiliser recommendations'!$A$4:$I$63,9,FALSE),"limited benefit",
IF(H84*Calc!BM82*(I84/100)&lt;1.1*J84,"benefit","excessive")))))))))))</f>
        <v/>
      </c>
      <c r="O84" s="91" t="str">
        <f ca="1">IF(B84="","",
IF(AND('Field information 2'!$O$5="", 'Field information 2'!$Q$5=""),
   IF('Waste results'!$S$19&lt;&gt;"data missing", Calc!BC82*'Waste results'!$S$19, "data missing"),
IF('Field information 2'!$Q$5="",
   IF(Calc!BD82=0,
     IF('Waste results'!$S$19&lt;&gt;"data missing", Calc!BC82*'Waste results'!$S$19, "data missing"),
   IF(Calc!BC82=0,
     IF('Waste results'!$S$55&lt;&gt;"data missing", Calc!BD82*'Waste results'!$S$55, "data missing"),
   IF(OR('Waste results'!$S$19&lt;&gt;"data missing", 'Waste results'!$S$55&lt;&gt;"data missing"), Calc!BC82*'Waste results'!$S$19+ Calc!BD82*'Waste results'!$S$55, "data missing"))),
IF(AND('Field information 2'!$M$5&lt;&gt;"", 'Field information 2'!$O$5&lt;&gt;"", 'Field information 2'!$Q$5&lt;&gt;""),
   IF(AND(Calc!BD82=0,Calc!BE82=0),
     IF('Waste results'!$S$19&lt;&gt;"data missing", Calc!BC82*'Waste results'!$S$19, "data missing"),
   IF(AND(Calc!BC82=0,Calc!BE82=0),
     IF('Waste results'!$S$55&lt;&gt;"data missing", Calc!BD82*'Waste results'!$S$55, "data missing"),
   IF(AND(Calc!BC82=0,Calc!BD82=0),
     IF('Waste results'!$S$91&lt;&gt;"data missing", Calc!BE82*'Waste results'!$S$91, "data missing"),
   IF(Calc!BE82=0,
     IF(OR('Waste results'!$S$19&lt;&gt;"data missing", 'Waste results'!$S$55&lt;&gt;"data missing"), Calc!BC82*'Waste results'!$S$19+ Calc!BD82*'Waste results'!$S$55, "data missing"),
   IF(Calc!BD82=0,
     IF(OR('Waste results'!$S$19&lt;&gt;"data missing", 'Waste results'!$S$91&lt;&gt;"data missing"), Calc!BC82*'Waste results'!$S$19+ Calc!BE82*'Waste results'!$S$91, "data missing"),
   IF(Calc!BC82=0,
     IF(OR('Waste results'!$S$55&lt;&gt;"data missing", 'Waste results'!$S$91&lt;&gt;"data missing"), Calc!BD82*'Waste results'!$S$55+Calc!BE82*'Waste results'!$S$91, "data missing"),
   IF(OR('Waste results'!$S$19&lt;&gt;"data missing", 'Waste results'!$S$55&lt;&gt;"data missing", 'Waste results'!$S$91&lt;&gt;"data missing"), Calc!BC82*'Waste results'!$S$19+Calc!BD82*'Waste results'!$S$55+ Calc!BE82*'Waste results'!$S$91, "data missing")))))))))))</f>
        <v/>
      </c>
      <c r="P84" s="91" t="str">
        <f ca="1">IF(B84="","",
IF(OR(ISBLANK('Soil results'!H$7),ISBLANK('Soil results'!H87)),"data missing",
IF(OR(AND('Soil results'!H$7="ammonium nitrate (ADAS)",'Soil results'!H87&gt;400),AND('Soil results'!H$7="modified Morgan (SAC)",'Soil results'!H87&gt;400)),0,
IF(OR(AND('Soil results'!H$7="ammonium nitrate (ADAS)",'Soil results'!H87&gt;=121,'Soil results'!H87&lt;=180),AND('Soil results'!H$7="modified Morgan (SAC)",'Soil results'!H87&gt;=76,'Soil results'!H87&lt;=140)),VLOOKUP(Calc!BI82,'Fertiliser recommendations'!$A$4:$Z$63,26,FALSE),
IF(OR(AND('Soil results'!H$7="ammonium nitrate (ADAS)",'Soil results'!H87&lt;61),AND('Soil results'!H$7="modified Morgan (SAC)",'Soil results'!H87&lt;40)),VLOOKUP(Calc!BI82,'Fertiliser recommendations'!$A$4:$Z$63,26,FALSE)+VLOOKUP(Calc!BI82,'Fertiliser recommendations'!$A$4:$AA$63,27,FALSE),
IF(OR(AND('Soil results'!H$7="ammonium nitrate (ADAS)",'Soil results'!H87&lt;121),AND('Soil results'!H$7="modified Morgan (SAC)",'Soil results'!H87&lt;76)),VLOOKUP(Calc!BI82,'Fertiliser recommendations'!$A$4:$Z$63,26,FALSE)+VLOOKUP(Calc!BI82,'Fertiliser recommendations'!$A$4:$AB$63,28,FALSE),
IF(OR(AND('Soil results'!H$7="ammonium nitrate (ADAS)",'Soil results'!H87&lt;241),AND('Soil results'!H$7="modified Morgan (SAC)",'Soil results'!H87&lt;201)),VLOOKUP(Calc!BI82,'Fertiliser recommendations'!$A$4:$Z$63,26,FALSE)+VLOOKUP(Calc!BI82,'Fertiliser recommendations'!$A$4:$AC$63,29,FALSE),
IF(OR(AND('Soil results'!H$7="ammonium nitrate (ADAS)",'Soil results'!H87&lt;=400),AND('Soil results'!H$7="modified Morgan (SAC)",'Soil results'!H87&lt;=400)),VLOOKUP(Calc!BI82,'Fertiliser recommendations'!$A$4:$Z$63,26,FALSE)+VLOOKUP(Calc!BI82,'Fertiliser recommendations'!$A$4:$AD$63,30,FALSE),
"??"))))))))</f>
        <v/>
      </c>
      <c r="Q84" s="91" t="str">
        <f t="shared" ca="1" si="19"/>
        <v/>
      </c>
      <c r="R84" s="9" t="str">
        <f ca="1">IF(B84="","",
IF(OR(O84="data missing",P84="data missing"),"data missing",
IF(Calc!BF82=0,"n/a",
IF(P84=0, "no requirement",
IF(O84&lt;0.1*P84,"no benefit",
IF(O84&lt;0.3*P84,"limited benefit",
IF(O84&gt;1.25*P84,"excessive",
"benefit")))))))</f>
        <v/>
      </c>
      <c r="T84" s="91" t="str">
        <f ca="1">IF(B84="","",
IF(AND('Field information 2'!$O$5="", 'Field information 2'!$Q$5=""),
   IF('Waste results'!$S$21&lt;&gt;"data missing", Calc!BC82*'Waste results'!$S$21, "data missing"),
IF('Field information 2'!$Q$5="",
   IF(Calc!BD82=0,
     IF('Waste results'!$S$21&lt;&gt;"data missing", Calc!BC82*'Waste results'!$S$21, "data missing"),
   IF(Calc!BC82=0,
     IF('Waste results'!$S$57&lt;&gt;"data missing", Calc!BD82*'Waste results'!$S$57, "data missing"),
   IF(OR('Waste results'!$S$21&lt;&gt;"data missing", 'Waste results'!$S$57&lt;&gt;"data missing"), Calc!BC82*'Waste results'!$S$21+ Calc!BD82*'Waste results'!$S$57, "data missing"))),
IF(AND('Field information 2'!$M$5&lt;&gt;"", 'Field information 2'!$O$5&lt;&gt;"", 'Field information 2'!$Q$5&lt;&gt;""),
   IF(AND(Calc!BD82=0,Calc!BE82=0),
     IF('Waste results'!$S$21&lt;&gt;"data missing", Calc!BC82*'Waste results'!$S$21, "data missing"),
   IF(AND(Calc!BC82=0,Calc!BE82=0),
     IF('Waste results'!$S$57&lt;&gt;"data missing", Calc!BD82*'Waste results'!$S$57, "data missing"),
   IF(AND(Calc!BC82=0,Calc!BD82=0),
     IF('Waste results'!$S$93&lt;&gt;"data missing", Calc!BE82*'Waste results'!$S$93, "data missing"),
   IF(Calc!BE82=0,
     IF(OR('Waste results'!$S$21&lt;&gt;"data missing", 'Waste results'!$S$57&lt;&gt;"data missing"), Calc!BC82*'Waste results'!$S$21+ Calc!BD82*'Waste results'!$S$57, "data missing"),
   IF(Calc!BD82=0,
     IF(OR('Waste results'!$S$21&lt;&gt;"data missing", 'Waste results'!$S$93&lt;&gt;"data missing"), Calc!BC82*'Waste results'!$S$21+ Calc!BE82*'Waste results'!$S$93, "data missing"),
   IF(Calc!BC82=0,
     IF(OR('Waste results'!$S$57&lt;&gt;"data missing", 'Waste results'!$S$93&lt;&gt;"data missing"), Calc!BD82*'Waste results'!$S$57+Calc!BE82*'Waste results'!$S$93, "data missing"),
   IF(OR('Waste results'!$S$21&lt;&gt;"data missing", 'Waste results'!$S$57&lt;&gt;"data missing", 'Waste results'!$S$93&lt;&gt;"data missing"), Calc!BC82*'Waste results'!$S$21+Calc!BD82*'Waste results'!$S$57+ Calc!BE82*'Waste results'!$S$93, "data missing")))))))))))</f>
        <v/>
      </c>
      <c r="U84" s="7" t="str">
        <f ca="1">IF(B84="","",
IF(OR(ISBLANK('Soil results'!I$7),ISBLANK('Soil results'!I87)),"data missing",
IF(OR(AND('Soil results'!I$7="ammonium nitrate (ADAS)",'Soil results'!I87&gt;51),AND('Soil results'!I$7="modified Morgan (SAC)",'Soil results'!I87&gt;61)),0,
IF(OR(AND('Soil results'!I$7="ammonium nitrate (ADAS)",'Soil results'!I87&lt;25),AND('Soil results'!I$7="modified Morgan (SAC)",'Soil results'!I87&lt;19)),VLOOKUP(Calc!BI82,'Fertiliser recommendations'!$A$4:$AH$63,34,FALSE),
IF(OR(AND('Soil results'!I$7="ammonium nitrate (ADAS)",'Soil results'!I87&lt;=51),AND('Soil results'!I$7="modified Morgan (SAC)",'Soil results'!I87&lt;=61)),VLOOKUP(Calc!BI82,'Fertiliser recommendations'!$A$4:$AI$63,35,FALSE),
"")))))</f>
        <v/>
      </c>
      <c r="V84" s="91" t="str">
        <f t="shared" ca="1" si="20"/>
        <v/>
      </c>
      <c r="W84" s="9" t="str">
        <f ca="1">IF(B84="","",
IF(OR(T84="data missing",U84="data missing"),"data missing",
IF(Calc!BF82=0,"n/a",
IF(U84=0,"no requirement",
IF(T84&lt;0.1*U84,"no benefit",
IF(T84&lt;0.3*U84,"limited benefit",
IF(OR(T84&gt;1.5*U84,AND(Calc!BJ82="g",T84&gt;100)),"excessive",
"benefit")))))))</f>
        <v/>
      </c>
      <c r="Y84" s="91" t="str">
        <f ca="1">IF(B84="","",
IF(AND('Field information 2'!$O$5="", 'Field information 2'!$Q$5=""),
   IF('Waste results'!$P$23&lt;&gt;"", Calc!BC82*'Waste results'!$P$23, "no data"),
IF('Field information 2'!$Q$5="",
   IF(Calc!BD82=0,
     IF('Waste results'!$P$23&lt;&gt;"", Calc!BC82*'Waste results'!$P$23, "no data"),
   IF(Calc!BC82=0,
     IF('Waste results'!$P$59&lt;&gt;"", Calc!BD82*'Waste results'!$P$59, "no data"),
   IF(OR('Waste results'!$P$23&lt;&gt;"", 'Waste results'!$P$59&lt;&gt;""), Calc!BC82*'Waste results'!$P$23+ Calc!BD82*'Waste results'!$P$59, "no data"))),
IF(AND('Field information 2'!$M$5&lt;&gt;"", 'Field information 2'!$O$5&lt;&gt;"", 'Field information 2'!$Q$5&lt;&gt;""),
   IF(AND(Calc!BD82=0,Calc!BE82=0),
     IF('Waste results'!$P$23&lt;&gt;"", Calc!BC82*'Waste results'!$P$23, "no data"),
   IF(AND(Calc!BC82=0,Calc!BE82=0),
     IF('Waste results'!$P$59&lt;&gt;"", Calc!BD82*'Waste results'!$P$59, "no data"),
   IF(AND(Calc!BC82=0,Calc!BD82=0),
     IF('Waste results'!$P$95&lt;&gt;"", Calc!BE82*'Waste results'!$P$95, "no data"),
   IF(Calc!BE82=0,
     IF(OR('Waste results'!$P$23&lt;&gt;"", 'Waste results'!$P$59&lt;&gt;""), Calc!BC82*'Waste results'!$P$23+ Calc!BD82*'Waste results'!$P$59, "no data"),
   IF(Calc!BD82=0,
     IF(OR('Waste results'!$P$23&lt;&gt;"", 'Waste results'!$P$95&lt;&gt;""), Calc!BC82*'Waste results'!$P$23+ Calc!BE82*'Waste results'!$P$95, "no data"),
   IF(Calc!BC82=0,
     IF(OR('Waste results'!$P$59&lt;&gt;"", 'Waste results'!$P$95&lt;&gt;""), Calc!BD82*'Waste results'!$P$59+Calc!BE82*'Waste results'!$P$95, "no data"),
   IF(OR('Waste results'!$P$23&lt;&gt;"", 'Waste results'!$P$59&lt;&gt;"", 'Waste results'!$P$95&lt;&gt;""), Calc!BC82*'Waste results'!$P$23+Calc!BD82*'Waste results'!$P$59+ Calc!BE82*'Waste results'!$P$95, "no data")))))))))))</f>
        <v/>
      </c>
      <c r="Z84" s="7" t="str">
        <f ca="1">IF(OR(ISBLANK('Soil results'!I$7),ISBLANK('Soil results'!I87),'Soil results'!B87=""),"",
VLOOKUP(Calc!BI82,'Fertiliser recommendations'!$A$4:$AM$63,39,FALSE))</f>
        <v/>
      </c>
      <c r="AA84" s="91" t="str">
        <f t="shared" ca="1" si="21"/>
        <v/>
      </c>
      <c r="AB84" s="9" t="str">
        <f t="shared" ca="1" si="22"/>
        <v/>
      </c>
      <c r="AD84" s="48" t="str">
        <f>IF(ISBLANK('Soil results'!F87),"",'Soil results'!F87)</f>
        <v/>
      </c>
      <c r="AE84" s="49" t="str">
        <f ca="1">IF(B84="","",
IF(AND(Calc!BJ82="g", VLOOKUP(LEFT($B84,LEN($B84)-2),'Field information 2'!$B$12:$P$111,9,FALSE)&lt;&gt;"yes"),
 IF(Calc!BG82="10-25% OM", 5.9, IF(Calc!BG82="&gt;25% OM", 5.5, 6.2)),
IF(OR(Calc!BJ82="a", VLOOKUP(LEFT($B84,LEN($B84)-2),'Field information 2'!$B$12:$P$111,9,FALSE)="yes"),
 IF(Calc!BG82="10-25% OM", 6.4, IF(Calc!BG82="&gt;25% OM", 6, 6.7)), "")))</f>
        <v/>
      </c>
      <c r="AF84" s="91" t="str">
        <f ca="1">IF(B84="","",
IF('Waste results'!$Q$33="","no (significant) liming properties",
IF('Waste results'!Q$33&gt;100,"no (significant) liming properties",
IF(AD84="","",
IF(AD84&gt;=AE84,0,ROUNDDOWN((AE84-AD84)*Calc!BK82*'Waste results'!$Q$33+0.2,0))))))</f>
        <v/>
      </c>
      <c r="AG84" s="9" t="str">
        <f ca="1">IF(B84="","",
IF(T84=0,"n/a",
IF(AD84="","data missing",
IF(AND(AD84&lt;5,AF84="no (significant) liming properties"),"no waste application - pH too low",
IF(AND(AD84&gt;5.1,AF84="no (significant) liming properties",Calc!BH82&gt;25, LEFT(Calc!BI82,4)="graz"),"ok",
IF(AND(AD84&lt;=5.2,AF84="no (significant) liming properties"),"liming highly recommended",
IF(AF84=0,"no waste application - liming not required",
IF(AF84&lt;Calc!BC82,"application rate too high - exceeds liming requirement",
"ok"))))))))</f>
        <v/>
      </c>
      <c r="AI84" s="91" t="str">
        <f ca="1">IF(B84="","",
IF(AND('Field information 2'!$O$5="", 'Field information 2'!$Q$5=""),
   IF('Waste results'!$P$10&lt;&gt;"data missing", Calc!BC82*'Waste results'!$P$10, "data missing"),
IF('Field information 2'!$Q$5="",
   IF(Calc!BD82=0,
     IF('Waste results'!$P$10&lt;&gt;"data missing", Calc!BC82*'Waste results'!$P$10, "data missing"),
   IF(Calc!BC82=0,
     IF('Waste results'!$P$45&lt;&gt;"data missing", Calc!BD82*'Waste results'!$P$45, "data missing"),
   IF(OR('Waste results'!$P$10&lt;&gt;"data missing", 'Waste results'!$P$45&lt;&gt;"data missing"), Calc!BC82*'Waste results'!$P$10+ Calc!BD82*'Waste results'!$P$45, "data missing"))),
IF(AND('Field information 2'!$M$5&lt;&gt;"", 'Field information 2'!$O$5&lt;&gt;"", 'Field information 2'!$Q$5&lt;&gt;""),
   IF(AND(Calc!BD82=0,Calc!BE82=0),
     IF('Waste results'!$P$10&lt;&gt;"data missing", Calc!BC82*'Waste results'!$P$10, "data missing"),
   IF(AND(Calc!BC82=0,Calc!BE82=0),
     IF('Waste results'!$P$45&lt;&gt;"data missing", Calc!BD82*'Waste results'!$P$45, "data missing"),
   IF(AND(Calc!BC82=0,Calc!BD82=0),
     IF('Waste results'!$P$82&lt;&gt;"data missing", Calc!BE82*'Waste results'!$P$82, "data missing"),
   IF(Calc!BE82=0,
     IF(OR('Waste results'!$P$10&lt;&gt;"data missing", 'Waste results'!$P$45&lt;&gt;"data missing"), Calc!BC82*'Waste results'!$P$10+ Calc!BD82*'Waste results'!$P$45, "data missing"),
   IF(Calc!BD82=0,
     IF(OR('Waste results'!$P$10&lt;&gt;"data missing", 'Waste results'!$P$82&lt;&gt;"data missing"), Calc!BC82*'Waste results'!$P$10+ Calc!BE82*'Waste results'!$P$82, "data missing"),
   IF(Calc!BC82=0,
     IF(OR('Waste results'!$P$45&lt;&gt;"data missing", 'Waste results'!$P$82&lt;&gt;"data missing"), Calc!BD82*'Waste results'!$P$45+Calc!BE82*'Waste results'!$P$82, "data missing"),
   IF(OR('Waste results'!$P$10&lt;&gt;"data missing", 'Waste results'!$P$45&lt;&gt;"data missing", 'Waste results'!$P$82&lt;&gt;"data missing"), Calc!BC82*'Waste results'!$P$10+Calc!BD82*'Waste results'!$P$45+ Calc!BE82*'Waste results'!$P$82, "data missing")))))))))))</f>
        <v/>
      </c>
      <c r="AJ84" s="237" t="str">
        <f ca="1">IF(B84="","",
IF(AI84="data missing","data missing",
IF(Calc!BF82=0,"n/a",
IF(AND(Calc!BH82&gt;=8,AI84&lt;500),"no benefit",
IF(OR(AND(Calc!BH82&lt;=4,AI84&gt;=500),AND(Calc!BH82&lt;8,AI84&gt;5000)),"benefit",
"limited benefit")))))</f>
        <v/>
      </c>
      <c r="AL84" s="238" t="str">
        <f ca="1">IF(B84="","",
IF(AND('Field information 2'!$O$5="", 'Field information 2'!$Q$5=""),
   IF('Waste results'!$S$25&lt;&gt;"data missing", Calc!BC82*'Waste results'!$S$25, "data missing"),
IF('Field information 2'!$Q$5="",
   IF(Calc!BD82=0,
     IF('Waste results'!$S$25&lt;&gt;"data missing", Calc!BC82*'Waste results'!$S$25, "data missing"),
   IF(Calc!BC82=0,
     IF('Waste results'!$S$61&lt;&gt;"data missing", Calc!BD82*'Waste results'!$S$61, "data missing"),
   IF(OR('Waste results'!$S$25&lt;&gt;"data missing", 'Waste results'!$S$61&lt;&gt;"data missing"), Calc!BC82*'Waste results'!$S$25+ Calc!BD82*'Waste results'!$S$61, "data missing"))),
IF(AND('Field information 2'!$M$5&lt;&gt;"", 'Field information 2'!$O$5&lt;&gt;"", 'Field information 2'!$Q$5&lt;&gt;""),
   IF(AND(Calc!BD82=0,Calc!BE82=0),
     IF('Waste results'!$S$25&lt;&gt;"data missing", Calc!BC82*'Waste results'!$S$25, "data missing"),
   IF(AND(Calc!BC82=0,Calc!BE82=0),
     IF('Waste results'!$S$61&lt;&gt;"data missing", Calc!BD82*'Waste results'!$S$61, "data missing"),
   IF(AND(Calc!BC82=0,Calc!BD82=0),
     IF('Waste results'!$S$97&lt;&gt;"data missing", Calc!BE82*'Waste results'!$S$97, "data missing"),
   IF(Calc!BE82=0,
     IF(OR('Waste results'!$S$25&lt;&gt;"data missing", 'Waste results'!$S$61&lt;&gt;"data missing"), Calc!BC82*'Waste results'!$S$25+ Calc!BD82*'Waste results'!$S$61, "data missing"),
   IF(Calc!BD82=0,
     IF(OR('Waste results'!$S$25&lt;&gt;"data missing", 'Waste results'!$S$97&lt;&gt;"data missing"), Calc!BC82*'Waste results'!$S$25+ Calc!BE82*'Waste results'!$S$97, "data missing"),
   IF(Calc!BC82=0,
     IF(OR('Waste results'!$S$61&lt;&gt;"data missing", 'Waste results'!$S$97&lt;&gt;"data missing"), Calc!BD82*'Waste results'!$S$61+Calc!BE82*'Waste results'!$S$97, "data missing"),
   IF(OR('Waste results'!$S$25&lt;&gt;"data missing", 'Waste results'!$S$61&lt;&gt;"data missing", 'Waste results'!$S$97&lt;&gt;"data missing"), Calc!BC82*'Waste results'!$S$25+Calc!BD82*'Waste results'!$S$61+ Calc!BE82*'Waste results'!$S$97, "data missing")))))))))))</f>
        <v/>
      </c>
      <c r="AM84" s="239" t="str">
        <f ca="1">IF($B84="","",
IF(ISBLANK('Soil results'!K87),"data missing",'Soil results'!K87))</f>
        <v/>
      </c>
      <c r="AN84" s="239" t="str">
        <f t="shared" ca="1" si="23"/>
        <v/>
      </c>
      <c r="AO84" s="9" t="str">
        <f t="shared" ca="1" si="24"/>
        <v/>
      </c>
      <c r="AQ84" s="240" t="str">
        <f ca="1">IF(B84="","",
IF(AND('Field information 2'!$O$5="", 'Field information 2'!$Q$5=""),
   IF('Waste results'!$S$26&lt;&gt;"data missing", Calc!BC82*'Waste results'!$S$26, "data missing"),
IF('Field information 2'!$Q$5="",
   IF(Calc!BD82=0,
     IF('Waste results'!$S$26&lt;&gt;"data missing", Calc!BC82*'Waste results'!$S$26, "data missing"),
   IF(Calc!BC82=0,
     IF('Waste results'!$S$62&lt;&gt;"data missing", Calc!BD82*'Waste results'!$S$62, "data missing"),
   IF(OR('Waste results'!$S$26&lt;&gt;"data missing", 'Waste results'!$S$62&lt;&gt;"data missing"), Calc!BC82*'Waste results'!$S$26+ Calc!BD82*'Waste results'!$S$62, "data missing"))),
IF(AND('Field information 2'!$M$5&lt;&gt;"", 'Field information 2'!$O$5&lt;&gt;"", 'Field information 2'!$Q$5&lt;&gt;""),
   IF(AND(Calc!BD82=0,Calc!BE82=0),
     IF('Waste results'!$S$26&lt;&gt;"data missing", Calc!BC82*'Waste results'!$S$26, "data missing"),
   IF(AND(Calc!BC82=0,Calc!BE82=0),
     IF('Waste results'!$S$62&lt;&gt;"data missing", Calc!BD82*'Waste results'!$S$62, "data missing"),
   IF(AND(Calc!BC82=0,Calc!BD82=0),
     IF('Waste results'!$S$98&lt;&gt;"data missing", Calc!BE82*'Waste results'!$S$98, "data missing"),
   IF(Calc!BE82=0,
     IF(OR('Waste results'!$S$26&lt;&gt;"data missing", 'Waste results'!$S$62&lt;&gt;"data missing"), Calc!BC82*'Waste results'!$S$26+ Calc!BD82*'Waste results'!$S$62, "data missing"),
   IF(Calc!BD82=0,
     IF(OR('Waste results'!$S$26&lt;&gt;"data missing", 'Waste results'!$S$98&lt;&gt;"data missing"), Calc!BC82*'Waste results'!$S$26+ Calc!BE82*'Waste results'!$S$98, "data missing"),
   IF(Calc!BC82=0,
     IF(OR('Waste results'!$S$62&lt;&gt;"data missing", 'Waste results'!$S$98&lt;&gt;"data missing"), Calc!BD82*'Waste results'!$S$62+Calc!BE82*'Waste results'!$S$98, "data missing"),
   IF(OR('Waste results'!$S$26&lt;&gt;"data missing", 'Waste results'!$S$62&lt;&gt;"data missing", 'Waste results'!$S$98&lt;&gt;"data missing"), Calc!BC82*'Waste results'!$S$26+Calc!BD82*'Waste results'!$S$62+ Calc!BE82*'Waste results'!$S$98, "data missing")))))))))))</f>
        <v/>
      </c>
      <c r="AR84" s="241" t="str">
        <f ca="1">IF($B84="","",
IF(ISBLANK('Soil results'!L87),"data missing",'Soil results'!L87))</f>
        <v/>
      </c>
      <c r="AS84" s="241" t="str">
        <f t="shared" ca="1" si="25"/>
        <v/>
      </c>
      <c r="AT84" s="66" t="str">
        <f t="shared" ca="1" si="26"/>
        <v/>
      </c>
      <c r="AV84" s="238" t="str">
        <f ca="1">IF(B84="","",
IF(AND('Field information 2'!$O$5="", 'Field information 2'!$Q$5=""),
   IF('Waste results'!$S$27&lt;&gt;"data missing", Calc!BC82*'Waste results'!$S$27, "data missing"),
IF('Field information 2'!$Q$5="",
   IF(Calc!BD82=0,
     IF('Waste results'!$S$27&lt;&gt;"data missing", Calc!BC82*'Waste results'!$S$27, "data missing"),
   IF(Calc!BC82=0,
     IF('Waste results'!$S$63&lt;&gt;"data missing", Calc!BD82*'Waste results'!$S$63, "data missing"),
   IF(OR('Waste results'!$S$27&lt;&gt;"data missing", 'Waste results'!$S$63&lt;&gt;"data missing"), Calc!BC82*'Waste results'!$S$27+ Calc!BD82*'Waste results'!$S$63, "data missing"))),
IF(AND('Field information 2'!$M$5&lt;&gt;"", 'Field information 2'!$O$5&lt;&gt;"", 'Field information 2'!$Q$5&lt;&gt;""),
   IF(AND(Calc!BD82=0,Calc!BE82=0),
     IF('Waste results'!$S$27&lt;&gt;"data missing", Calc!BC82*'Waste results'!$S$27, "data missing"),
   IF(AND(Calc!BC82=0,Calc!BE82=0),
     IF('Waste results'!$S$63&lt;&gt;"data missing", Calc!BD82*'Waste results'!$S$63, "data missing"),
   IF(AND(Calc!BC82=0,Calc!BD82=0),
     IF('Waste results'!$S$99&lt;&gt;"data missing", Calc!BE82*'Waste results'!$S$99, "data missing"),
   IF(Calc!BE82=0,
     IF(OR('Waste results'!$S$27&lt;&gt;"data missing", 'Waste results'!$S$63&lt;&gt;"data missing"), Calc!BC82*'Waste results'!$S$27+ Calc!BD82*'Waste results'!$S$63, "data missing"),
   IF(Calc!BD82=0,
     IF(OR('Waste results'!$S$27&lt;&gt;"data missing", 'Waste results'!$S$99&lt;&gt;"data missing"), Calc!BC82*'Waste results'!$S$27+ Calc!BE82*'Waste results'!$S$99, "data missing"),
   IF(Calc!BC82=0,
     IF(OR('Waste results'!$S$63&lt;&gt;"data missing", 'Waste results'!$S$99&lt;&gt;"data missing"), Calc!BD82*'Waste results'!$S$63+Calc!BE82*'Waste results'!$S$99, "data missing"),
   IF(OR('Waste results'!$S$27&lt;&gt;"data missing", 'Waste results'!$S$63&lt;&gt;"data missing", 'Waste results'!$S$99&lt;&gt;"data missing"), Calc!BC82*'Waste results'!$S$27+Calc!BD82*'Waste results'!$S$63+ Calc!BE82*'Waste results'!$S$99, "data missing")))))))))))</f>
        <v/>
      </c>
      <c r="AW84" s="239" t="str">
        <f ca="1">IF($B84="","",
IF(ISBLANK('Soil results'!M87),"data missing",'Soil results'!M87))</f>
        <v/>
      </c>
      <c r="AX84" s="239" t="str">
        <f t="shared" ca="1" si="27"/>
        <v/>
      </c>
      <c r="AY84" s="9" t="str">
        <f ca="1">IF(B84="","",
IF(AV84=0,"n/a",
IF(OR(AV84="data missing",AW84="data missing"),"data missing",
IF(AV84&gt;7.5,"application rate too high - permissible rate exceeds limit",
IF('Soil results'!$F87&lt;=5.5,
  IF(AW84&gt;80,"no application - soil conc. already above limit",
  IF(AX84&gt;80,"application rate too high - soil conc. will exceed limit",
  IF(AW84&gt;80*0.9,"soil conc. is at or above 90% of the limit",
  IF(10*AV84*1000/3000+AW84&gt;80,"soil limit likely to be exceeded in 10yrs",
  IF(50*AV84*1000/3000+AW84&gt;80,"soil limit likely to be exceeded in 50yrs","ok"))))),
IF('Soil results'!$F87&lt;=6,
  IF(AW84&gt;100,"no application - soil conc. already above limit",
  IF(AX84&gt;100,"application rate too high - soil conc. will exceed limit",
  IF(AW84&gt;100*0.9,"soil conc. is at or above 90% of the limit",
  IF(10*AV84*1000/3000+AW84&gt;100,"soil limit likely to be exceeded in 10yrs",
  IF(50*AV84*1000/3000+AW84&gt;100,"soil limit likely to be exceeded in 50yrs","ok"))))),
IF('Soil results'!$F87&lt;=7,
  IF(AW84&gt;135,"no application - soil conc. already above limit",
  IF(AX84&gt;135,"application rate too high - soil conc. will exceed limit",
  IF(AW84&gt;135*0.9,"soil conc. is at or above 90% of the limit",
  IF(10*AV84*1000/3000+AW84&gt;135,"soil limit likely to be exceeded in 10yrs",
  IF(50*AV84*1000/3000+AW84&gt;135,"soil limit likely to be exceeded in 50yrs","ok"))))),
IF('Soil results'!$F87&gt;7,
  IF(AW84&gt;200,"no application - soil conc. already above limit",
  IF(AX84&gt;200,"application too high - soil conc. will exceed limit",
  IF(AW84&gt;200*0.9,"soil conc. is at or above 90% of the limit",
  IF(10*AV84*1000/3000+AW84&gt;200,"soil limit likely to be exceeded in 10yrs",
  IF(50*AV84*1000/3000+AW84&gt;200,"soil limit likely to be exceeded in 50yrs","ok")))))
))))))))</f>
        <v/>
      </c>
      <c r="BA84" s="238" t="str">
        <f ca="1">IF(B84="","",
IF(AND('Field information 2'!$O$5="", 'Field information 2'!$Q$5=""),
   IF('Waste results'!$S$28&lt;&gt;"data missing", Calc!BC82*'Waste results'!$S$28, "data missing"),
IF('Field information 2'!$Q$5="",
   IF(Calc!BD82=0,
     IF('Waste results'!$S$28&lt;&gt;"data missing", Calc!BC82*'Waste results'!$S$28, "data missing"),
   IF(Calc!BC82=0,
     IF('Waste results'!$S$64&lt;&gt;"data missing", Calc!BD82*'Waste results'!$S$64, "data missing"),
   IF(OR('Waste results'!$S$28&lt;&gt;"data missing", 'Waste results'!$S$64&lt;&gt;"data missing"), Calc!BC82*'Waste results'!$S$28+ Calc!BD82*'Waste results'!$S$64, "data missing"))),
IF(AND('Field information 2'!$M$5&lt;&gt;"", 'Field information 2'!$O$5&lt;&gt;"", 'Field information 2'!$Q$5&lt;&gt;""),
   IF(AND(Calc!BD82=0,Calc!BE82=0),
     IF('Waste results'!$S$28&lt;&gt;"data missing", Calc!BC82*'Waste results'!$S$28, "data missing"),
   IF(AND(Calc!BC82=0,Calc!BE82=0),
     IF('Waste results'!$S$64&lt;&gt;"data missing", Calc!BD82*'Waste results'!$S$64, "data missing"),
   IF(AND(Calc!BC82=0,Calc!BD82=0),
     IF('Waste results'!$S$100&lt;&gt;"data missing", Calc!BE82*'Waste results'!$S$100, "data missing"),
   IF(Calc!BE82=0,
     IF(OR('Waste results'!$S$28&lt;&gt;"data missing", 'Waste results'!$S$64&lt;&gt;"data missing"), Calc!BC82*'Waste results'!$S$28+ Calc!BD82*'Waste results'!$S$64, "data missing"),
   IF(Calc!BD82=0,
     IF(OR('Waste results'!$S$28&lt;&gt;"data missing", 'Waste results'!$S$100&lt;&gt;"data missing"), Calc!BC82*'Waste results'!$S$28+ Calc!BE82*'Waste results'!$S$100, "data missing"),
   IF(Calc!BC82=0,
     IF(OR('Waste results'!$S$64&lt;&gt;"data missing", 'Waste results'!$S$100&lt;&gt;"data missing"), Calc!BD82*'Waste results'!$S$64+Calc!BE82*'Waste results'!$S$100, "data missing"),
   IF(OR('Waste results'!$S$28&lt;&gt;"data missing", 'Waste results'!$S$64&lt;&gt;"data missing", 'Waste results'!$S$100&lt;&gt;"data missing"), Calc!BC82*'Waste results'!$S$28+Calc!BD82*'Waste results'!$S$64+ Calc!BE82*'Waste results'!$S$100, "data missing")))))))))))</f>
        <v/>
      </c>
      <c r="BB84" s="239" t="str">
        <f ca="1">IF($B84="","",
IF(ISBLANK('Soil results'!N87),"data missing",'Soil results'!N87))</f>
        <v/>
      </c>
      <c r="BC84" s="239" t="str">
        <f t="shared" ca="1" si="28"/>
        <v/>
      </c>
      <c r="BD84" s="9" t="str">
        <f t="shared" ca="1" si="29"/>
        <v/>
      </c>
      <c r="BF84" s="238" t="str">
        <f ca="1">IF(B84="","",
IF(AND('Field information 2'!$O$5="", 'Field information 2'!$Q$5=""),
   IF('Waste results'!$S$29&lt;&gt;"data missing", Calc!BC82*'Waste results'!$S$29, "data missing"),
IF('Field information 2'!$Q$5="",
   IF(Calc!BD82=0,
     IF('Waste results'!$S$29&lt;&gt;"data missing", Calc!BC82*'Waste results'!$S$29, "data missing"),
   IF(Calc!BC82=0,
     IF('Waste results'!$S$65&lt;&gt;"data missing", Calc!BD82*'Waste results'!$S$65, "data missing"),
   IF(OR('Waste results'!$S$29&lt;&gt;"data missing", 'Waste results'!$S$65&lt;&gt;"data missing"), Calc!BC82*'Waste results'!$S$29+ Calc!BD82*'Waste results'!$S$65, "data missing"))),
IF(AND('Field information 2'!$M$5&lt;&gt;"", 'Field information 2'!$O$5&lt;&gt;"", 'Field information 2'!$Q$5&lt;&gt;""),
   IF(AND(Calc!BD82=0,Calc!BE82=0),
     IF('Waste results'!$S$29&lt;&gt;"data missing", Calc!BC82*'Waste results'!$S$29, "data missing"),
   IF(AND(Calc!BC82=0,Calc!BE82=0),
     IF('Waste results'!$S$65&lt;&gt;"data missing", Calc!BD82*'Waste results'!$S$65, "data missing"),
   IF(AND(Calc!BC82=0,Calc!BD82=0),
     IF('Waste results'!$S$101&lt;&gt;"data missing", Calc!BE82*'Waste results'!$S$101, "data missing"),
   IF(Calc!BE82=0,
     IF(OR('Waste results'!$S$29&lt;&gt;"data missing", 'Waste results'!$S$65&lt;&gt;"data missing"), Calc!BC82*'Waste results'!$S$29+ Calc!BD82*'Waste results'!$S$65, "data missing"),
   IF(Calc!BD82=0,
     IF(OR('Waste results'!$S$29&lt;&gt;"data missing", 'Waste results'!$S$101&lt;&gt;"data missing"), Calc!BC82*'Waste results'!$S$29+ Calc!BE82*'Waste results'!$S$101, "data missing"),
   IF(Calc!BC82=0,
     IF(OR('Waste results'!$S$65&lt;&gt;"data missing", 'Waste results'!$S$101&lt;&gt;"data missing"), Calc!BD82*'Waste results'!$S$65+Calc!BE82*'Waste results'!$S$101, "data missing"),
   IF(OR('Waste results'!$S$29&lt;&gt;"data missing", 'Waste results'!$S$65&lt;&gt;"data missing", 'Waste results'!$S$101&lt;&gt;"data missing"), Calc!BC82*'Waste results'!$S$29+Calc!BD82*'Waste results'!$S$65+ Calc!BE82*'Waste results'!$S$101, "data missing")))))))))))</f>
        <v/>
      </c>
      <c r="BG84" s="239" t="str">
        <f ca="1">IF($B84="","",
IF(ISBLANK('Soil results'!O87),"data missing",'Soil results'!O87))</f>
        <v/>
      </c>
      <c r="BH84" s="239" t="str">
        <f t="shared" ca="1" si="30"/>
        <v/>
      </c>
      <c r="BI84" s="9" t="str">
        <f ca="1">IF(B84="","",
IF(BF84=0,"n/a",
IF(OR(BF84="data missing",BG84="data missing"),"data missing",
IF(BF84&gt;3,"application rate too high - permissible rate exceeds limit",
IF('Soil results'!F87&lt;=5.5,
  IF(BG84&gt;50,"no application - soil conc. already above limit",
  IF(BH84&gt;50,"application rate too high - soil conc. will exceed limit",
  IF(BG84&gt;50*0.9,"soil conc. is at or above 90% of the limit",
  IF(10*BF84*1000/3000+BG84&gt;50,"soil limit likely to be exceeded in 10yrs",
  IF(50*BF84*1000/3000+BG84&gt;50,"soil limit likely to be exceeded in 50yrs","ok"))))),
IF('Soil results'!F87&lt;=6,
  IF(BG84&gt;60,"no application - soil conc. already above limit",
  IF(BH84&gt;60,"application rate too high - soil conc. will exceed limit",
  IF(BG84&gt;60*0.9,"soil conc. is at or above 90% of the limit",
  IF(10*BF84*1000/3000+BG84&gt;60,"soil limit likely to be exceeded in 10yrs",
  IF(50*BF84*1000/3000+BG84&gt;60,"soil limit likely to be exceeded in 50yrs","ok"))))),
IF('Soil results'!F87&lt;=7,
  IF(BG84&gt;75,"no application - soil conc. already above limit",
  IF(BH84&gt;75,"application rate too high - soil conc. will exceed limit",
  IF(BG84&gt;75*0.9,"soil conc. is at or above 90% of the limit",
  IF(10*BF84*1000/3000+BG84&gt;75,"soil limit likely to be exceeded in 10yrs",
  IF(50*BF84*1000/3000+BG84&gt;75,"soil limit likely to be exceeded in 50yrs","ok"))))),
IF('Soil results'!F87&gt;7,
  IF(BG84&gt;100,"no application - soil conc. already above limit",
  IF(BH84&gt;100,"application rate too high - soil conc. will exceed limit",
  IF(BG84&gt;100*0.9,"soil conc. is at or above 90% of the limit",
  IF(10*BF84*1000/3000+BG84&gt;100,"soil limit likely to be exceeded in 10yrs",
  IF(50*BF84*1000/3000+BG84&gt;100,"soil limit likely to beexceeded in 50yrs","ok")))))
))))))))</f>
        <v/>
      </c>
      <c r="BK84" s="240" t="str">
        <f ca="1">IF(B84="","",
IF(AND('Field information 2'!$O$5="", 'Field information 2'!$Q$5=""),
   IF('Waste results'!$S$30&lt;&gt;"data missing", Calc!BC82*'Waste results'!$S$30, "data missing"),
IF('Field information 2'!$Q$5="",
   IF(Calc!BD82=0,
     IF('Waste results'!$S$30&lt;&gt;"data missing", Calc!BC82*'Waste results'!$S$30, "data missing"),
   IF(Calc!BC82=0,
     IF('Waste results'!$S$66&lt;&gt;"data missing", Calc!BD82*'Waste results'!$S$66, "data missing"),
   IF(OR('Waste results'!$S$30&lt;&gt;"data missing", 'Waste results'!$S$66&lt;&gt;"data missing"), Calc!BC82*'Waste results'!$S$30+ Calc!BD82*'Waste results'!$S$66, "data missing"))),
IF(AND('Field information 2'!$M$5&lt;&gt;"", 'Field information 2'!$O$5&lt;&gt;"", 'Field information 2'!$Q$5&lt;&gt;""),
   IF(AND(Calc!BD82=0,Calc!BE82=0),
     IF('Waste results'!$S$30&lt;&gt;"data missing", Calc!BC82*'Waste results'!$S$30, "data missing"),
   IF(AND(Calc!BC82=0,Calc!BE82=0),
     IF('Waste results'!$S$66&lt;&gt;"data missing", Calc!BD82*'Waste results'!$S$66, "data missing"),
   IF(AND(Calc!BC82=0,Calc!BD82=0),
     IF('Waste results'!$S$102&lt;&gt;"data missing", Calc!BE82*'Waste results'!$S$102, "data missing"),
   IF(Calc!BE82=0,
     IF(OR('Waste results'!$S$30&lt;&gt;"data missing", 'Waste results'!$S$66&lt;&gt;"data missing"), Calc!BC82*'Waste results'!$S$30+ Calc!BD82*'Waste results'!$S$66, "data missing"),
   IF(Calc!BD82=0,
     IF(OR('Waste results'!$S$30&lt;&gt;"data missing", 'Waste results'!$S$102&lt;&gt;"data missing"), Calc!BC82*'Waste results'!$S$30+ Calc!BE82*'Waste results'!$S$102, "data missing"),
   IF(Calc!BC82=0,
     IF(OR('Waste results'!$S$66&lt;&gt;"data missing", 'Waste results'!$S$102&lt;&gt;"data missing"), Calc!BD82*'Waste results'!$S$66+Calc!BE82*'Waste results'!$S$102, "data missing"),
   IF(OR('Waste results'!$S$30&lt;&gt;"data missing", 'Waste results'!$S$66&lt;&gt;"data missing", 'Waste results'!$S$102&lt;&gt;"data missing"), Calc!BC82*'Waste results'!$S$30+Calc!BD82*'Waste results'!$S$66+ Calc!BE82*'Waste results'!$S$102, "data missing")))))))))))</f>
        <v/>
      </c>
      <c r="BL84" s="241" t="str">
        <f ca="1">IF($B84="","",
IF(ISBLANK('Soil results'!P87),"data missing",'Soil results'!P87))</f>
        <v/>
      </c>
      <c r="BM84" s="241" t="str">
        <f t="shared" ca="1" si="31"/>
        <v/>
      </c>
      <c r="BN84" s="66" t="str">
        <f t="shared" ca="1" si="32"/>
        <v/>
      </c>
      <c r="BP84" s="238" t="str">
        <f ca="1">IF(B84="","",
IF(AND('Field information 2'!$O$5="", 'Field information 2'!$Q$5=""),
   IF('Waste results'!$S$31&lt;&gt;"data missing", Calc!BC82*'Waste results'!$S$31, "data missing"),
IF('Field information 2'!$Q$5="",
   IF(Calc!BD82=0,
     IF('Waste results'!$S$31&lt;&gt;"data missing", Calc!BC82*'Waste results'!$S$31, "data missing"),
   IF(Calc!BC82=0,
     IF('Waste results'!$S$67&lt;&gt;"data missing", Calc!BD82*'Waste results'!$S$67, "data missing"),
   IF(OR('Waste results'!$S$31&lt;&gt;"data missing", 'Waste results'!$S$67&lt;&gt;"data missing"), Calc!BC82*'Waste results'!$S$31+ Calc!BD82*'Waste results'!$S$67, "data missing"))),
IF(AND('Field information 2'!$M$5&lt;&gt;"", 'Field information 2'!$O$5&lt;&gt;"", 'Field information 2'!$Q$5&lt;&gt;""),
   IF(AND(Calc!BD82=0,Calc!BE82=0),
     IF('Waste results'!$S$31&lt;&gt;"data missing", Calc!BC82*'Waste results'!$S$31, "data missing"),
   IF(AND(Calc!BC82=0,Calc!BE82=0),
     IF('Waste results'!$S$67&lt;&gt;"data missing", Calc!BD82*'Waste results'!$S$67, "data missing"),
   IF(AND(Calc!BC82=0,Calc!BD82=0),
     IF('Waste results'!$S$103&lt;&gt;"data missing", Calc!BE82*'Waste results'!$S$103, "data missing"),
   IF(Calc!BE82=0,
     IF(OR('Waste results'!$S$31&lt;&gt;"data missing", 'Waste results'!$S$67&lt;&gt;"data missing"), Calc!BC82*'Waste results'!$S$31+ Calc!BD82*'Waste results'!$S$67, "data missing"),
   IF(Calc!BD82=0,
     IF(OR('Waste results'!$S$31&lt;&gt;"data missing", 'Waste results'!$S$103&lt;&gt;"data missing"), Calc!BC82*'Waste results'!$S$31+ Calc!BE82*'Waste results'!$S$103, "data missing"),
   IF(Calc!BC82=0,
     IF(OR('Waste results'!$S$67&lt;&gt;"data missing", 'Waste results'!$S$103&lt;&gt;"data missing"), Calc!BD82*'Waste results'!$S$67+Calc!BE82*'Waste results'!$S$103, "data missing"),
   IF(OR('Waste results'!$S$31&lt;&gt;"data missing", 'Waste results'!$S$67&lt;&gt;"data missing", 'Waste results'!$S$103&lt;&gt;"data missing"), Calc!BC82*'Waste results'!$S$31+Calc!BD82*'Waste results'!$S$67+ Calc!BE82*'Waste results'!$S$103, "data missing")))))))))))</f>
        <v/>
      </c>
      <c r="BQ84" s="239" t="str">
        <f ca="1">IF($B84="","",
IF(ISBLANK('Soil results'!Q87),"data missing",'Soil results'!Q87))</f>
        <v/>
      </c>
      <c r="BR84" s="239" t="str">
        <f t="shared" ca="1" si="33"/>
        <v/>
      </c>
      <c r="BS84" s="9" t="str">
        <f ca="1">IF(B84="","",
IF(BP84=0,"n/a",
IF(OR(BP84="data missing",BQ84=""),"data missing",
IF(BP84&gt;15,"application rate too high - permissible rate exceeds limit",
IF('Soil results'!F87&lt;=5.5,
  IF(BQ84&gt;200,"no application - soil conc. already above limit",
  IF(BR84&gt;200,"application rate too high - soil conc. will exceed limit",
  IF(BQ84&gt;200*0.9,"soil conc. is at or above 90% of the limit",
  IF(10*BP84*1000/3000+BQ84&gt;200,"soil limit likely to be exceeded in 10yrs",
  IF(50*BP84*1000/3000+BQ84&gt;200,"soil limit likely to be exceeded in 50yrs","ok"))))),
IF('Soil results'!F87&lt;=6,
  IF(BQ84&gt;250,"no application - soil conc. already above limit",
  IF(BR84&gt;250,"application rate too high - soil conc. will exceed limit",
  IF(BQ84&gt;250*0.9,"soil conc. is at or above 90% of the limit",
  IF(10*BP84*1000/3000+BQ84&gt;250,"soil limit likely to be exceeded in 10yrs",
  IF(50*BP84*1000/3000+BQ84&gt;250,"soil limit likely to be exceeded in 50yrs","ok"))))),
IF('Soil results'!F87&lt;=7,
  IF(BQ84&gt;300,"no application - soil conc. already above limit",
  IF(BR84&gt;300,"application rate too high - soil conc. will exceed limit",
  IF(BQ84&gt;300*0.9,"soil conc. is at or above 90% of the limit",
  IF(10*BP84*1000/3000+BQ84&gt;300,"soil limit likey to be exceeded in 10yrs",
  IF(50*BP84*1000/3000+BQ84&gt;300,"soil limit likely to be exceeded in 50yrs","ok"))))),
IF('Soil results'!F87&gt;7,
  IF(BQ84&gt;450,"no application - soil conc. already above limit",
  IF(BR84&gt;450,"application rate too high - soil conc. will exceed limit",
  IF(AW84&gt;450*0.9,"soil conc. is at or above 90% of the limit",
  IF(10*BP84*1000/3000+BQ84&gt;450,"soil limit likely to be exceeded in 10yrs",
  IF(50*BP84*1000/3000+BQ84&gt;450,"soil limit likely to be exceeded in 50yrs","ok")))))
))))))))</f>
        <v/>
      </c>
    </row>
    <row r="85" spans="2:71" s="9" customFormat="1" ht="15" x14ac:dyDescent="0.25">
      <c r="B85" s="236" t="str">
        <f ca="1">'Soil results'!B88</f>
        <v/>
      </c>
      <c r="C85" s="91" t="str">
        <f ca="1">IF(B85="","",
IF(AND('Field information 2'!$O$5="", 'Field information 2'!$Q$5=""),
   IF('Waste results'!$S$12&lt;&gt;"data missing", Calc!BC83*'Waste results'!$S$12, "data missing"),
IF('Field information 2'!$Q$5="",
   IF(Calc!BD83=0,
     IF('Waste results'!$S$12&lt;&gt;"data missing", Calc!BC83*'Waste results'!$S$12, "data missing"),
   IF(Calc!BC83=0,
     IF('Waste results'!$S$48&lt;&gt;"data missing", Calc!BD83*'Waste results'!$S$48, "data missing"),
   IF(OR('Waste results'!$S$12&lt;&gt;"data missing", 'Waste results'!$S$48&lt;&gt;"data missing"), Calc!BC83*'Waste results'!$S$12+ Calc!BD83*'Waste results'!$S$48, "data missing"))),
IF(AND('Field information 2'!$M$5&lt;&gt;"", 'Field information 2'!$O$5&lt;&gt;"", 'Field information 2'!$Q$5&lt;&gt;""),
   IF(AND(Calc!BD83=0,Calc!BE83=0),
     IF('Waste results'!$S$12&lt;&gt;"data missing", Calc!BC83*'Waste results'!$S$12, "data missing"),
   IF(AND(Calc!BC83=0,Calc!BE83=0),
     IF('Waste results'!$S$48&lt;&gt;"data missing", Calc!BD83*'Waste results'!$S$48, "data missing"),
   IF(AND(Calc!BC83=0,Calc!BD83=0),
     IF('Waste results'!$S$84&lt;&gt;"data missing", Calc!BE83*'Waste results'!$S$84, "data missing"),
   IF(Calc!BE83=0,
     IF(OR('Waste results'!$S$12&lt;&gt;"data missing", 'Waste results'!$S$48&lt;&gt;"data missing"), Calc!BC83*'Waste results'!$S$12+ Calc!BD83*'Waste results'!$S$48, "data missing"),
   IF(Calc!BD83=0,
     IF(OR('Waste results'!$S$12&lt;&gt;"data missing", 'Waste results'!$S$84&lt;&gt;"data missing"), Calc!BC83*'Waste results'!$S$12+ Calc!BE83*'Waste results'!$S$84, "data missing"),
   IF(Calc!BC83=0,
     IF(OR('Waste results'!$S$48&lt;&gt;"data missing", 'Waste results'!$S$84&lt;&gt;"data missing"), Calc!BD83*'Waste results'!$S$48+Calc!BE83*'Waste results'!$S$84, "data missing"),
   IF(OR('Waste results'!$S$12&lt;&gt;"data missing", 'Waste results'!$S$48&lt;&gt;"data missing", 'Waste results'!$S$84&lt;&gt;"data missing"), Calc!BC83*'Waste results'!$S$12+Calc!BD83*'Waste results'!$S$48+ Calc!BE83*'Waste results'!$S$84, "data missing")))))))))))</f>
        <v/>
      </c>
      <c r="D85" s="161" t="str">
        <f ca="1">IF(B85="","",
IF(Calc!BG83="","soil texture missing",
IF(OR(Calc!BG83="SL; SZL; ZL",Calc!BG83="SCL; CL; ZCL; SC; ZC; C"),VLOOKUP(Calc!BI83,'Fertiliser recommendations'!$A$4:$C$63,3,FALSE),
IF(Calc!BG83="S; LS",VLOOKUP(Calc!BI83,'Fertiliser recommendations'!$A$4:$C$63,3,FALSE)+VLOOKUP(Calc!BI83,'Fertiliser recommendations'!$A$4:$D$63,4,FALSE),
IF(Calc!BG83="10-25% OM",VLOOKUP(Calc!BI83,'Fertiliser recommendations'!$A$4:$C$63,3,FALSE)+VLOOKUP(Calc!BI83,'Fertiliser recommendations'!$A$4:$E$63,5,FALSE),
IF(Calc!BG83="&gt;25% OM",VLOOKUP(Calc!BI83,'Fertiliser recommendations'!$A$4:$C$63,3,FALSE)+VLOOKUP(Calc!BI83,'Fertiliser recommendations'!$A$4:$F$63,6,FALSE),
""))))))</f>
        <v/>
      </c>
      <c r="E85" s="91" t="str">
        <f t="shared" ca="1" si="17"/>
        <v/>
      </c>
      <c r="F85" s="9" t="str">
        <f ca="1">IF(B85="","",
IF(OR(C85="data missing",D85="soil texture missing"),"data missing",
IF(Calc!BF83=0,"n/a",
IF(C85&lt;0.1*D85,"no benefit",
IF(C85&lt;0.3*D85,"limited benefit",
IF(C85&gt;250,"exceeds limit",
IF(OR(AND(D85=0,C85&gt;75),C85&gt;1.25*D85),"excessive",
IF(D85=0, "no requirement",
"benefit"))))))))</f>
        <v/>
      </c>
      <c r="H85" s="91" t="str">
        <f ca="1">IF(B85="","",
IF(AND('Field information 2'!$O$5="", 'Field information 2'!$Q$5=""),
   IF('Waste results'!$S$17&lt;&gt;"data missing", Calc!BC83*'Waste results'!$S$17, "data missing"),
IF('Field information 2'!$Q$5="",
   IF(Calc!BD83=0,
     IF('Waste results'!$S$17&lt;&gt;"data missing", Calc!BC83*'Waste results'!$S$17, "data missing"),
   IF(Calc!BC83=0,
     IF('Waste results'!$S$53&lt;&gt;"data missing", Calc!BD83*'Waste results'!$S$53, "data missing"),
   IF(OR('Waste results'!$S$17&lt;&gt;"data missing", 'Waste results'!$S$53&lt;&gt;"data missing"), Calc!BC83*'Waste results'!$S$17+ Calc!BD83*'Waste results'!$S$53, "data missing"))),
IF(AND('Field information 2'!$M$5&lt;&gt;"", 'Field information 2'!$O$5&lt;&gt;"", 'Field information 2'!$Q$5&lt;&gt;""),
   IF(AND(Calc!BD83=0,Calc!BE83=0),
     IF('Waste results'!$S$17&lt;&gt;"data missing", Calc!BC83*'Waste results'!$S$17, "data missing"),
   IF(AND(Calc!BC83=0,Calc!BE83=0),
     IF('Waste results'!$S$53&lt;&gt;"data missing", Calc!BD83*'Waste results'!$S$53, "data missing"),
   IF(AND(Calc!BC83=0,Calc!BD83=0),
     IF('Waste results'!$S$89&lt;&gt;"data missing", Calc!BE83*'Waste results'!$S$89, "data missing"),
   IF(Calc!BE83=0,
     IF(OR('Waste results'!$S$17&lt;&gt;"data missing", 'Waste results'!$S$53&lt;&gt;"data missing"), Calc!BC83*'Waste results'!$S$17+ Calc!BD83*'Waste results'!$S$53, "data missing"),
   IF(Calc!BD83=0,
     IF(OR('Waste results'!$S$17&lt;&gt;"data missing", 'Waste results'!$S$89&lt;&gt;"data missing"), Calc!BC83*'Waste results'!$S$17+ Calc!BE83*'Waste results'!$S$89, "data missing"),
   IF(Calc!BC83=0,
     IF(OR('Waste results'!$S$53&lt;&gt;"data missing", 'Waste results'!$S$89&lt;&gt;"data missing"), Calc!BD83*'Waste results'!$S$53+Calc!BE83*'Waste results'!$S$89, "data missing"),
   IF(OR('Waste results'!$S$17&lt;&gt;"data missing", 'Waste results'!$S$53&lt;&gt;"data missing", 'Waste results'!$S$89&lt;&gt;"data missing"), Calc!BC83*'Waste results'!$S$17+Calc!BD83*'Waste results'!$S$53+ Calc!BE83*'Waste results'!$S$89, "data missing")))))))))))</f>
        <v/>
      </c>
      <c r="I85" s="195" t="str">
        <f ca="1">IF(B85="","",
IF(OR(ISBLANK('Soil results'!G88), ISBLANK('Soil results'!G$7)),"data missing",
IF(OR(AND('Soil results'!G$7="Olsen (ADAS)",'Soil results'!G88&lt;16),AND('Soil results'!G$7="modified Morgan (SAC)",'Soil results'!G88&lt;4.5)),50,100)))</f>
        <v/>
      </c>
      <c r="J85" s="49" t="str">
        <f ca="1">IF(B85="","",
IF(OR(ISBLANK('Soil results'!G$7),ISBLANK('Soil results'!G88)),"data missing",
IF(OR(AND('Soil results'!G$7="Olsen (ADAS)",'Soil results'!G88&gt;45),AND('Soil results'!G$7="modified Morgan (SAC)",'Soil results'!G88&gt;30)),0,
IF(OR(AND('Soil results'!G$7="Olsen (ADAS)",'Soil results'!G88&gt;=16,'Soil results'!G88&lt;=20),AND('Soil results'!G$7="modified Morgan (SAC)",'Soil results'!G88&gt;=4.5,'Soil results'!G88&lt;=9.4)),VLOOKUP(Calc!BI83,'Fertiliser recommendations'!$A$4:$I$63,9,FALSE),
IF(OR(AND('Soil results'!G$7="Olsen (ADAS)",'Soil results'!G88&lt;10),AND('Soil results'!G$7="modified Morgan (SAC)",'Soil results'!G88&lt;1.8)),VLOOKUP(Calc!BI83,'Fertiliser recommendations'!$A$4:$I$63,9,FALSE)+VLOOKUP(Calc!BI83,'Fertiliser recommendations'!$A$4:$J$63,10,FALSE),
IF(OR(AND('Soil results'!G$7="Olsen (ADAS)",'Soil results'!G88&lt;16),AND('Soil results'!G$7="modified Morgan (SAC)",'Soil results'!G88&lt;4.5)),VLOOKUP(Calc!BI83,'Fertiliser recommendations'!$A$4:$I$63,9,FALSE)+VLOOKUP(Calc!BI83,'Fertiliser recommendations'!$A$4:$K$63,11,FALSE),
IF(OR(AND('Soil results'!G$7="Olsen (ADAS)",'Soil results'!G88&lt;26),AND('Soil results'!G$7="modified Morgan (SAC)",'Soil results'!G88&lt;13.5)),VLOOKUP(Calc!BI83,'Fertiliser recommendations'!$A$4:$I$63,9,FALSE)+VLOOKUP(Calc!BI83,'Fertiliser recommendations'!$A$4:$L$63,12,FALSE),
IF(OR(AND('Soil results'!G$7="Olsen (ADAS)",'Soil results'!G88&lt;=45),AND('Soil results'!G$7="modified Morgan (SAC)",'Soil results'!G88&lt;=30)),VLOOKUP(Calc!BI83,'Fertiliser recommendations'!$A$4:$I$63,9,FALSE)+VLOOKUP(Calc!BI83,'Fertiliser recommendations'!$A$4:$M$63,13,FALSE),
""))))))))</f>
        <v/>
      </c>
      <c r="K85" s="161" t="str">
        <f t="shared" ca="1" si="18"/>
        <v/>
      </c>
      <c r="L85" s="47" t="str">
        <f ca="1">IF(OR(ISBLANK('Soil results'!G$7),ISBLANK('Soil results'!G88),B85="", H85="data missing"),"",
IF('Soil results'!G$7="Olsen (ADAS)",
IF(((H85*Calc!BM83/2.291-(VLOOKUP(Calc!BI83,'Fertiliser recommendations'!$A$4:$I$63,9,FALSE))/2.291)*10/(400/2.291)+'Soil results'!G88)&lt;10,"0 (VL)",
IF(((H85*Calc!BM83/2.291-(VLOOKUP(Calc!BI83,'Fertiliser recommendations'!$A$4:$I$63,9,FALSE))/2.291)*10/(400/2.291)+'Soil results'!G88)&lt;16,"1 (L)",
IF(((H85*Calc!BM83/2.291-(VLOOKUP(Calc!BI83,'Fertiliser recommendations'!$A$4:$I$63,9,FALSE))/2.291)*10/(400/2.291)+'Soil results'!G88)&lt;21,"2 (M-)",
IF(((H85*Calc!BM83/2.291-(VLOOKUP(Calc!BI83,'Fertiliser recommendations'!$A$4:$I$63,9,FALSE))/2.291)*10/(400/2.291)+'Soil results'!G88)&lt;26,"2 (M+)",
IF(((H85*Calc!BM83/2.291-(VLOOKUP(Calc!BI83,'Fertiliser recommendations'!$A$4:$I$63,9,FALSE))/2.291)*10/(400/2.291)+'Soil results'!G88)&lt;45,"3 (H)","&gt;3 (VH)"))))),
IF('Soil results'!G$7="modified Morgan (SAC)",
IF('Soil results'!G88&gt;=6,
IF(((H85*Calc!BM83/2.291-(VLOOKUP(Calc!BI83,'Fertiliser recommendations'!$A$4:$I$63,9,FALSE))/2.291)*5/(147/2.291)+'Soil results'!G88)&lt;9.5,"2 (M-)",
IF(((H85*Calc!BM83/2.291-(VLOOKUP(Calc!BI83,'Fertiliser recommendations'!$A$4:$I$63,9,FALSE))/2.291)*5/(147/2.291)+'Soil results'!G88)&lt;13.5,"2 (M+)",
IF(((H85*Calc!BM83/2.291-(VLOOKUP(Calc!BI83,'Fertiliser recommendations'!$A$4:$I$63,9,FALSE))/2.291)*5/(147/2.291)+'Soil results'!G88)&lt;30,"3 (H)","4 (VH)"))),
IF(((H85*Calc!BM83/2.291-(VLOOKUP(Calc!BI83,'Fertiliser recommendations'!$A$4:$I$63,9,FALSE))/2.291)*5/(346/2.291)+'Soil results'!G88)&lt;1.8,"0 (VL)",
IF(((H85*Calc!BM83/2.291-(VLOOKUP(Calc!BI83,'Fertiliser recommendations'!$A$4:$I$63,9,FALSE))/2.291)*5/(147/2.291)+'Soil results'!G88)&lt;4.5,"1 (L)","2 (M-)"))))))</f>
        <v/>
      </c>
      <c r="M85" s="9" t="str">
        <f ca="1">IF(B85="","",
IF(OR(H85="data missing",I85="data missing",J85="data missing"),"data missing",
IF(Calc!BF83=0,"n/a",
IF(OR(AND('Soil results'!G$7="Olsen (ADAS)",'Soil results'!G88&gt;45),AND('Soil results'!G$7="modified Morgan (SAC)",'Soil results'!G88&gt;30)),
IF(H85&gt;2,"too high, not acceptable","no requirement"),IF(OR(AND('Soil results'!G$7="Olsen (ADAS)",'Soil results'!G88&gt;25),AND('Soil results'!G$7="modified Morgan (SAC)",'Soil results'!G88&gt;13.4)),
IF(H85*(I85/100)&lt;0.1*J85,"no benefit",
IF(H85*(I85/100)&lt;0.3*J85,"limited benefit",
IF(H85*(I85/100)&lt;1.1*J85,"benefit",
IF(H85*(I85/100)&lt;0.7*VLOOKUP(Calc!BI83,'Fertiliser recommendations'!$A$4:$I$63,9,FALSE),"excessive","too high, not acceptable")))),
IF(OR(AND('Soil results'!G$7="Olsen (ADAS)",'Soil results'!G88&gt;20),AND('Soil results'!G$7="modified Morgan (SAC)",'Soil results'!G88&gt;9.4)),
IF(H85*Calc!BM83*(I85/100)&lt;0.1*J85,"no benefit",
IF(H85*Calc!BM83*(I85/100)&lt;0.3*J85,"limited benefit",
IF(H85*Calc!BM83*(I85/100)&lt;1.1*J85,"benefit",
IF(L85="3 (H)","too high, not acceptable","excessive")))),
IF(OR(AND('Soil results'!G$7="Olsen (ADAS)",'Soil results'!G88&gt;15),AND('Soil results'!G$7="modified Morgan (SAC)",'Soil results'!G88&gt;4.4)),
IF(H85*Calc!BM83*(I85/100)&lt;0.1*VLOOKUP(Calc!BI83,'Fertiliser recommendations'!$A$4:$I$63,9,FALSE),"no benefit",
IF(H85*Calc!BM83*(I85/100)&lt;0.3*VLOOKUP(Calc!BI83,'Fertiliser recommendations'!$A$4:$I$63,9,FALSE),"limited benefit",
IF(H85*Calc!BM83*(I85/100)&lt;1.1*VLOOKUP(Calc!BI83,'Fertiliser recommendations'!$A$4:$I$63,9,FALSE),"benefit",
IF(L85="3 (H)", "too high, not acceptable", "excessive")))),
IF(OR(AND('Soil results'!G$7="Olsen (ADAS)",'Soil results'!G88&lt;=15),AND('Soil results'!G$7="modified Morgan (SAC)",'Soil results'!G88&lt;=4.4)),
IF(H85*Calc!BM83*(I85/100)&lt;0.1*VLOOKUP(Calc!BI83,'Fertiliser recommendations'!$A$4:$I$63,9,FALSE),"no benefit",
IF(H85*Calc!BM83*(I85/100)&lt;0.3*VLOOKUP(Calc!BI83,'Fertiliser recommendations'!$A$4:$I$63,9,FALSE),"limited benefit",
IF(H85*Calc!BM83*(I85/100)&lt;1.1*J85,"benefit","excessive")))))))))))</f>
        <v/>
      </c>
      <c r="O85" s="91" t="str">
        <f ca="1">IF(B85="","",
IF(AND('Field information 2'!$O$5="", 'Field information 2'!$Q$5=""),
   IF('Waste results'!$S$19&lt;&gt;"data missing", Calc!BC83*'Waste results'!$S$19, "data missing"),
IF('Field information 2'!$Q$5="",
   IF(Calc!BD83=0,
     IF('Waste results'!$S$19&lt;&gt;"data missing", Calc!BC83*'Waste results'!$S$19, "data missing"),
   IF(Calc!BC83=0,
     IF('Waste results'!$S$55&lt;&gt;"data missing", Calc!BD83*'Waste results'!$S$55, "data missing"),
   IF(OR('Waste results'!$S$19&lt;&gt;"data missing", 'Waste results'!$S$55&lt;&gt;"data missing"), Calc!BC83*'Waste results'!$S$19+ Calc!BD83*'Waste results'!$S$55, "data missing"))),
IF(AND('Field information 2'!$M$5&lt;&gt;"", 'Field information 2'!$O$5&lt;&gt;"", 'Field information 2'!$Q$5&lt;&gt;""),
   IF(AND(Calc!BD83=0,Calc!BE83=0),
     IF('Waste results'!$S$19&lt;&gt;"data missing", Calc!BC83*'Waste results'!$S$19, "data missing"),
   IF(AND(Calc!BC83=0,Calc!BE83=0),
     IF('Waste results'!$S$55&lt;&gt;"data missing", Calc!BD83*'Waste results'!$S$55, "data missing"),
   IF(AND(Calc!BC83=0,Calc!BD83=0),
     IF('Waste results'!$S$91&lt;&gt;"data missing", Calc!BE83*'Waste results'!$S$91, "data missing"),
   IF(Calc!BE83=0,
     IF(OR('Waste results'!$S$19&lt;&gt;"data missing", 'Waste results'!$S$55&lt;&gt;"data missing"), Calc!BC83*'Waste results'!$S$19+ Calc!BD83*'Waste results'!$S$55, "data missing"),
   IF(Calc!BD83=0,
     IF(OR('Waste results'!$S$19&lt;&gt;"data missing", 'Waste results'!$S$91&lt;&gt;"data missing"), Calc!BC83*'Waste results'!$S$19+ Calc!BE83*'Waste results'!$S$91, "data missing"),
   IF(Calc!BC83=0,
     IF(OR('Waste results'!$S$55&lt;&gt;"data missing", 'Waste results'!$S$91&lt;&gt;"data missing"), Calc!BD83*'Waste results'!$S$55+Calc!BE83*'Waste results'!$S$91, "data missing"),
   IF(OR('Waste results'!$S$19&lt;&gt;"data missing", 'Waste results'!$S$55&lt;&gt;"data missing", 'Waste results'!$S$91&lt;&gt;"data missing"), Calc!BC83*'Waste results'!$S$19+Calc!BD83*'Waste results'!$S$55+ Calc!BE83*'Waste results'!$S$91, "data missing")))))))))))</f>
        <v/>
      </c>
      <c r="P85" s="91" t="str">
        <f ca="1">IF(B85="","",
IF(OR(ISBLANK('Soil results'!H$7),ISBLANK('Soil results'!H88)),"data missing",
IF(OR(AND('Soil results'!H$7="ammonium nitrate (ADAS)",'Soil results'!H88&gt;400),AND('Soil results'!H$7="modified Morgan (SAC)",'Soil results'!H88&gt;400)),0,
IF(OR(AND('Soil results'!H$7="ammonium nitrate (ADAS)",'Soil results'!H88&gt;=121,'Soil results'!H88&lt;=180),AND('Soil results'!H$7="modified Morgan (SAC)",'Soil results'!H88&gt;=76,'Soil results'!H88&lt;=140)),VLOOKUP(Calc!BI83,'Fertiliser recommendations'!$A$4:$Z$63,26,FALSE),
IF(OR(AND('Soil results'!H$7="ammonium nitrate (ADAS)",'Soil results'!H88&lt;61),AND('Soil results'!H$7="modified Morgan (SAC)",'Soil results'!H88&lt;40)),VLOOKUP(Calc!BI83,'Fertiliser recommendations'!$A$4:$Z$63,26,FALSE)+VLOOKUP(Calc!BI83,'Fertiliser recommendations'!$A$4:$AA$63,27,FALSE),
IF(OR(AND('Soil results'!H$7="ammonium nitrate (ADAS)",'Soil results'!H88&lt;121),AND('Soil results'!H$7="modified Morgan (SAC)",'Soil results'!H88&lt;76)),VLOOKUP(Calc!BI83,'Fertiliser recommendations'!$A$4:$Z$63,26,FALSE)+VLOOKUP(Calc!BI83,'Fertiliser recommendations'!$A$4:$AB$63,28,FALSE),
IF(OR(AND('Soil results'!H$7="ammonium nitrate (ADAS)",'Soil results'!H88&lt;241),AND('Soil results'!H$7="modified Morgan (SAC)",'Soil results'!H88&lt;201)),VLOOKUP(Calc!BI83,'Fertiliser recommendations'!$A$4:$Z$63,26,FALSE)+VLOOKUP(Calc!BI83,'Fertiliser recommendations'!$A$4:$AC$63,29,FALSE),
IF(OR(AND('Soil results'!H$7="ammonium nitrate (ADAS)",'Soil results'!H88&lt;=400),AND('Soil results'!H$7="modified Morgan (SAC)",'Soil results'!H88&lt;=400)),VLOOKUP(Calc!BI83,'Fertiliser recommendations'!$A$4:$Z$63,26,FALSE)+VLOOKUP(Calc!BI83,'Fertiliser recommendations'!$A$4:$AD$63,30,FALSE),
"??"))))))))</f>
        <v/>
      </c>
      <c r="Q85" s="91" t="str">
        <f t="shared" ca="1" si="19"/>
        <v/>
      </c>
      <c r="R85" s="9" t="str">
        <f ca="1">IF(B85="","",
IF(OR(O85="data missing",P85="data missing"),"data missing",
IF(Calc!BF83=0,"n/a",
IF(P85=0, "no requirement",
IF(O85&lt;0.1*P85,"no benefit",
IF(O85&lt;0.3*P85,"limited benefit",
IF(O85&gt;1.25*P85,"excessive",
"benefit")))))))</f>
        <v/>
      </c>
      <c r="T85" s="91" t="str">
        <f ca="1">IF(B85="","",
IF(AND('Field information 2'!$O$5="", 'Field information 2'!$Q$5=""),
   IF('Waste results'!$S$21&lt;&gt;"data missing", Calc!BC83*'Waste results'!$S$21, "data missing"),
IF('Field information 2'!$Q$5="",
   IF(Calc!BD83=0,
     IF('Waste results'!$S$21&lt;&gt;"data missing", Calc!BC83*'Waste results'!$S$21, "data missing"),
   IF(Calc!BC83=0,
     IF('Waste results'!$S$57&lt;&gt;"data missing", Calc!BD83*'Waste results'!$S$57, "data missing"),
   IF(OR('Waste results'!$S$21&lt;&gt;"data missing", 'Waste results'!$S$57&lt;&gt;"data missing"), Calc!BC83*'Waste results'!$S$21+ Calc!BD83*'Waste results'!$S$57, "data missing"))),
IF(AND('Field information 2'!$M$5&lt;&gt;"", 'Field information 2'!$O$5&lt;&gt;"", 'Field information 2'!$Q$5&lt;&gt;""),
   IF(AND(Calc!BD83=0,Calc!BE83=0),
     IF('Waste results'!$S$21&lt;&gt;"data missing", Calc!BC83*'Waste results'!$S$21, "data missing"),
   IF(AND(Calc!BC83=0,Calc!BE83=0),
     IF('Waste results'!$S$57&lt;&gt;"data missing", Calc!BD83*'Waste results'!$S$57, "data missing"),
   IF(AND(Calc!BC83=0,Calc!BD83=0),
     IF('Waste results'!$S$93&lt;&gt;"data missing", Calc!BE83*'Waste results'!$S$93, "data missing"),
   IF(Calc!BE83=0,
     IF(OR('Waste results'!$S$21&lt;&gt;"data missing", 'Waste results'!$S$57&lt;&gt;"data missing"), Calc!BC83*'Waste results'!$S$21+ Calc!BD83*'Waste results'!$S$57, "data missing"),
   IF(Calc!BD83=0,
     IF(OR('Waste results'!$S$21&lt;&gt;"data missing", 'Waste results'!$S$93&lt;&gt;"data missing"), Calc!BC83*'Waste results'!$S$21+ Calc!BE83*'Waste results'!$S$93, "data missing"),
   IF(Calc!BC83=0,
     IF(OR('Waste results'!$S$57&lt;&gt;"data missing", 'Waste results'!$S$93&lt;&gt;"data missing"), Calc!BD83*'Waste results'!$S$57+Calc!BE83*'Waste results'!$S$93, "data missing"),
   IF(OR('Waste results'!$S$21&lt;&gt;"data missing", 'Waste results'!$S$57&lt;&gt;"data missing", 'Waste results'!$S$93&lt;&gt;"data missing"), Calc!BC83*'Waste results'!$S$21+Calc!BD83*'Waste results'!$S$57+ Calc!BE83*'Waste results'!$S$93, "data missing")))))))))))</f>
        <v/>
      </c>
      <c r="U85" s="7" t="str">
        <f ca="1">IF(B85="","",
IF(OR(ISBLANK('Soil results'!I$7),ISBLANK('Soil results'!I88)),"data missing",
IF(OR(AND('Soil results'!I$7="ammonium nitrate (ADAS)",'Soil results'!I88&gt;51),AND('Soil results'!I$7="modified Morgan (SAC)",'Soil results'!I88&gt;61)),0,
IF(OR(AND('Soil results'!I$7="ammonium nitrate (ADAS)",'Soil results'!I88&lt;25),AND('Soil results'!I$7="modified Morgan (SAC)",'Soil results'!I88&lt;19)),VLOOKUP(Calc!BI83,'Fertiliser recommendations'!$A$4:$AH$63,34,FALSE),
IF(OR(AND('Soil results'!I$7="ammonium nitrate (ADAS)",'Soil results'!I88&lt;=51),AND('Soil results'!I$7="modified Morgan (SAC)",'Soil results'!I88&lt;=61)),VLOOKUP(Calc!BI83,'Fertiliser recommendations'!$A$4:$AI$63,35,FALSE),
"")))))</f>
        <v/>
      </c>
      <c r="V85" s="91" t="str">
        <f t="shared" ca="1" si="20"/>
        <v/>
      </c>
      <c r="W85" s="9" t="str">
        <f ca="1">IF(B85="","",
IF(OR(T85="data missing",U85="data missing"),"data missing",
IF(Calc!BF83=0,"n/a",
IF(U85=0,"no requirement",
IF(T85&lt;0.1*U85,"no benefit",
IF(T85&lt;0.3*U85,"limited benefit",
IF(OR(T85&gt;1.5*U85,AND(Calc!BJ83="g",T85&gt;100)),"excessive",
"benefit")))))))</f>
        <v/>
      </c>
      <c r="Y85" s="91" t="str">
        <f ca="1">IF(B85="","",
IF(AND('Field information 2'!$O$5="", 'Field information 2'!$Q$5=""),
   IF('Waste results'!$P$23&lt;&gt;"", Calc!BC83*'Waste results'!$P$23, "no data"),
IF('Field information 2'!$Q$5="",
   IF(Calc!BD83=0,
     IF('Waste results'!$P$23&lt;&gt;"", Calc!BC83*'Waste results'!$P$23, "no data"),
   IF(Calc!BC83=0,
     IF('Waste results'!$P$59&lt;&gt;"", Calc!BD83*'Waste results'!$P$59, "no data"),
   IF(OR('Waste results'!$P$23&lt;&gt;"", 'Waste results'!$P$59&lt;&gt;""), Calc!BC83*'Waste results'!$P$23+ Calc!BD83*'Waste results'!$P$59, "no data"))),
IF(AND('Field information 2'!$M$5&lt;&gt;"", 'Field information 2'!$O$5&lt;&gt;"", 'Field information 2'!$Q$5&lt;&gt;""),
   IF(AND(Calc!BD83=0,Calc!BE83=0),
     IF('Waste results'!$P$23&lt;&gt;"", Calc!BC83*'Waste results'!$P$23, "no data"),
   IF(AND(Calc!BC83=0,Calc!BE83=0),
     IF('Waste results'!$P$59&lt;&gt;"", Calc!BD83*'Waste results'!$P$59, "no data"),
   IF(AND(Calc!BC83=0,Calc!BD83=0),
     IF('Waste results'!$P$95&lt;&gt;"", Calc!BE83*'Waste results'!$P$95, "no data"),
   IF(Calc!BE83=0,
     IF(OR('Waste results'!$P$23&lt;&gt;"", 'Waste results'!$P$59&lt;&gt;""), Calc!BC83*'Waste results'!$P$23+ Calc!BD83*'Waste results'!$P$59, "no data"),
   IF(Calc!BD83=0,
     IF(OR('Waste results'!$P$23&lt;&gt;"", 'Waste results'!$P$95&lt;&gt;""), Calc!BC83*'Waste results'!$P$23+ Calc!BE83*'Waste results'!$P$95, "no data"),
   IF(Calc!BC83=0,
     IF(OR('Waste results'!$P$59&lt;&gt;"", 'Waste results'!$P$95&lt;&gt;""), Calc!BD83*'Waste results'!$P$59+Calc!BE83*'Waste results'!$P$95, "no data"),
   IF(OR('Waste results'!$P$23&lt;&gt;"", 'Waste results'!$P$59&lt;&gt;"", 'Waste results'!$P$95&lt;&gt;""), Calc!BC83*'Waste results'!$P$23+Calc!BD83*'Waste results'!$P$59+ Calc!BE83*'Waste results'!$P$95, "no data")))))))))))</f>
        <v/>
      </c>
      <c r="Z85" s="7" t="str">
        <f ca="1">IF(OR(ISBLANK('Soil results'!I$7),ISBLANK('Soil results'!I88),'Soil results'!B88=""),"",
VLOOKUP(Calc!BI83,'Fertiliser recommendations'!$A$4:$AM$63,39,FALSE))</f>
        <v/>
      </c>
      <c r="AA85" s="91" t="str">
        <f t="shared" ca="1" si="21"/>
        <v/>
      </c>
      <c r="AB85" s="9" t="str">
        <f t="shared" ca="1" si="22"/>
        <v/>
      </c>
      <c r="AD85" s="48" t="str">
        <f>IF(ISBLANK('Soil results'!F88),"",'Soil results'!F88)</f>
        <v/>
      </c>
      <c r="AE85" s="49" t="str">
        <f ca="1">IF(B85="","",
IF(AND(Calc!BJ83="g", VLOOKUP(LEFT($B85,LEN($B85)-2),'Field information 2'!$B$12:$P$111,9,FALSE)&lt;&gt;"yes"),
 IF(Calc!BG83="10-25% OM", 5.9, IF(Calc!BG83="&gt;25% OM", 5.5, 6.2)),
IF(OR(Calc!BJ83="a", VLOOKUP(LEFT($B85,LEN($B85)-2),'Field information 2'!$B$12:$P$111,9,FALSE)="yes"),
 IF(Calc!BG83="10-25% OM", 6.4, IF(Calc!BG83="&gt;25% OM", 6, 6.7)), "")))</f>
        <v/>
      </c>
      <c r="AF85" s="91" t="str">
        <f ca="1">IF(B85="","",
IF('Waste results'!$Q$33="","no (significant) liming properties",
IF('Waste results'!Q$33&gt;100,"no (significant) liming properties",
IF(AD85="","",
IF(AD85&gt;=AE85,0,ROUNDDOWN((AE85-AD85)*Calc!BK83*'Waste results'!$Q$33+0.2,0))))))</f>
        <v/>
      </c>
      <c r="AG85" s="9" t="str">
        <f ca="1">IF(B85="","",
IF(T85=0,"n/a",
IF(AD85="","data missing",
IF(AND(AD85&lt;5,AF85="no (significant) liming properties"),"no waste application - pH too low",
IF(AND(AD85&gt;5.1,AF85="no (significant) liming properties",Calc!BH83&gt;25, LEFT(Calc!BI83,4)="graz"),"ok",
IF(AND(AD85&lt;=5.2,AF85="no (significant) liming properties"),"liming highly recommended",
IF(AF85=0,"no waste application - liming not required",
IF(AF85&lt;Calc!BC83,"application rate too high - exceeds liming requirement",
"ok"))))))))</f>
        <v/>
      </c>
      <c r="AI85" s="91" t="str">
        <f ca="1">IF(B85="","",
IF(AND('Field information 2'!$O$5="", 'Field information 2'!$Q$5=""),
   IF('Waste results'!$P$10&lt;&gt;"data missing", Calc!BC83*'Waste results'!$P$10, "data missing"),
IF('Field information 2'!$Q$5="",
   IF(Calc!BD83=0,
     IF('Waste results'!$P$10&lt;&gt;"data missing", Calc!BC83*'Waste results'!$P$10, "data missing"),
   IF(Calc!BC83=0,
     IF('Waste results'!$P$45&lt;&gt;"data missing", Calc!BD83*'Waste results'!$P$45, "data missing"),
   IF(OR('Waste results'!$P$10&lt;&gt;"data missing", 'Waste results'!$P$45&lt;&gt;"data missing"), Calc!BC83*'Waste results'!$P$10+ Calc!BD83*'Waste results'!$P$45, "data missing"))),
IF(AND('Field information 2'!$M$5&lt;&gt;"", 'Field information 2'!$O$5&lt;&gt;"", 'Field information 2'!$Q$5&lt;&gt;""),
   IF(AND(Calc!BD83=0,Calc!BE83=0),
     IF('Waste results'!$P$10&lt;&gt;"data missing", Calc!BC83*'Waste results'!$P$10, "data missing"),
   IF(AND(Calc!BC83=0,Calc!BE83=0),
     IF('Waste results'!$P$45&lt;&gt;"data missing", Calc!BD83*'Waste results'!$P$45, "data missing"),
   IF(AND(Calc!BC83=0,Calc!BD83=0),
     IF('Waste results'!$P$82&lt;&gt;"data missing", Calc!BE83*'Waste results'!$P$82, "data missing"),
   IF(Calc!BE83=0,
     IF(OR('Waste results'!$P$10&lt;&gt;"data missing", 'Waste results'!$P$45&lt;&gt;"data missing"), Calc!BC83*'Waste results'!$P$10+ Calc!BD83*'Waste results'!$P$45, "data missing"),
   IF(Calc!BD83=0,
     IF(OR('Waste results'!$P$10&lt;&gt;"data missing", 'Waste results'!$P$82&lt;&gt;"data missing"), Calc!BC83*'Waste results'!$P$10+ Calc!BE83*'Waste results'!$P$82, "data missing"),
   IF(Calc!BC83=0,
     IF(OR('Waste results'!$P$45&lt;&gt;"data missing", 'Waste results'!$P$82&lt;&gt;"data missing"), Calc!BD83*'Waste results'!$P$45+Calc!BE83*'Waste results'!$P$82, "data missing"),
   IF(OR('Waste results'!$P$10&lt;&gt;"data missing", 'Waste results'!$P$45&lt;&gt;"data missing", 'Waste results'!$P$82&lt;&gt;"data missing"), Calc!BC83*'Waste results'!$P$10+Calc!BD83*'Waste results'!$P$45+ Calc!BE83*'Waste results'!$P$82, "data missing")))))))))))</f>
        <v/>
      </c>
      <c r="AJ85" s="237" t="str">
        <f ca="1">IF(B85="","",
IF(AI85="data missing","data missing",
IF(Calc!BF83=0,"n/a",
IF(AND(Calc!BH83&gt;=8,AI85&lt;500),"no benefit",
IF(OR(AND(Calc!BH83&lt;=4,AI85&gt;=500),AND(Calc!BH83&lt;8,AI85&gt;5000)),"benefit",
"limited benefit")))))</f>
        <v/>
      </c>
      <c r="AL85" s="238" t="str">
        <f ca="1">IF(B85="","",
IF(AND('Field information 2'!$O$5="", 'Field information 2'!$Q$5=""),
   IF('Waste results'!$S$25&lt;&gt;"data missing", Calc!BC83*'Waste results'!$S$25, "data missing"),
IF('Field information 2'!$Q$5="",
   IF(Calc!BD83=0,
     IF('Waste results'!$S$25&lt;&gt;"data missing", Calc!BC83*'Waste results'!$S$25, "data missing"),
   IF(Calc!BC83=0,
     IF('Waste results'!$S$61&lt;&gt;"data missing", Calc!BD83*'Waste results'!$S$61, "data missing"),
   IF(OR('Waste results'!$S$25&lt;&gt;"data missing", 'Waste results'!$S$61&lt;&gt;"data missing"), Calc!BC83*'Waste results'!$S$25+ Calc!BD83*'Waste results'!$S$61, "data missing"))),
IF(AND('Field information 2'!$M$5&lt;&gt;"", 'Field information 2'!$O$5&lt;&gt;"", 'Field information 2'!$Q$5&lt;&gt;""),
   IF(AND(Calc!BD83=0,Calc!BE83=0),
     IF('Waste results'!$S$25&lt;&gt;"data missing", Calc!BC83*'Waste results'!$S$25, "data missing"),
   IF(AND(Calc!BC83=0,Calc!BE83=0),
     IF('Waste results'!$S$61&lt;&gt;"data missing", Calc!BD83*'Waste results'!$S$61, "data missing"),
   IF(AND(Calc!BC83=0,Calc!BD83=0),
     IF('Waste results'!$S$97&lt;&gt;"data missing", Calc!BE83*'Waste results'!$S$97, "data missing"),
   IF(Calc!BE83=0,
     IF(OR('Waste results'!$S$25&lt;&gt;"data missing", 'Waste results'!$S$61&lt;&gt;"data missing"), Calc!BC83*'Waste results'!$S$25+ Calc!BD83*'Waste results'!$S$61, "data missing"),
   IF(Calc!BD83=0,
     IF(OR('Waste results'!$S$25&lt;&gt;"data missing", 'Waste results'!$S$97&lt;&gt;"data missing"), Calc!BC83*'Waste results'!$S$25+ Calc!BE83*'Waste results'!$S$97, "data missing"),
   IF(Calc!BC83=0,
     IF(OR('Waste results'!$S$61&lt;&gt;"data missing", 'Waste results'!$S$97&lt;&gt;"data missing"), Calc!BD83*'Waste results'!$S$61+Calc!BE83*'Waste results'!$S$97, "data missing"),
   IF(OR('Waste results'!$S$25&lt;&gt;"data missing", 'Waste results'!$S$61&lt;&gt;"data missing", 'Waste results'!$S$97&lt;&gt;"data missing"), Calc!BC83*'Waste results'!$S$25+Calc!BD83*'Waste results'!$S$61+ Calc!BE83*'Waste results'!$S$97, "data missing")))))))))))</f>
        <v/>
      </c>
      <c r="AM85" s="239" t="str">
        <f ca="1">IF($B85="","",
IF(ISBLANK('Soil results'!K88),"data missing",'Soil results'!K88))</f>
        <v/>
      </c>
      <c r="AN85" s="239" t="str">
        <f t="shared" ca="1" si="23"/>
        <v/>
      </c>
      <c r="AO85" s="9" t="str">
        <f t="shared" ca="1" si="24"/>
        <v/>
      </c>
      <c r="AQ85" s="240" t="str">
        <f ca="1">IF(B85="","",
IF(AND('Field information 2'!$O$5="", 'Field information 2'!$Q$5=""),
   IF('Waste results'!$S$26&lt;&gt;"data missing", Calc!BC83*'Waste results'!$S$26, "data missing"),
IF('Field information 2'!$Q$5="",
   IF(Calc!BD83=0,
     IF('Waste results'!$S$26&lt;&gt;"data missing", Calc!BC83*'Waste results'!$S$26, "data missing"),
   IF(Calc!BC83=0,
     IF('Waste results'!$S$62&lt;&gt;"data missing", Calc!BD83*'Waste results'!$S$62, "data missing"),
   IF(OR('Waste results'!$S$26&lt;&gt;"data missing", 'Waste results'!$S$62&lt;&gt;"data missing"), Calc!BC83*'Waste results'!$S$26+ Calc!BD83*'Waste results'!$S$62, "data missing"))),
IF(AND('Field information 2'!$M$5&lt;&gt;"", 'Field information 2'!$O$5&lt;&gt;"", 'Field information 2'!$Q$5&lt;&gt;""),
   IF(AND(Calc!BD83=0,Calc!BE83=0),
     IF('Waste results'!$S$26&lt;&gt;"data missing", Calc!BC83*'Waste results'!$S$26, "data missing"),
   IF(AND(Calc!BC83=0,Calc!BE83=0),
     IF('Waste results'!$S$62&lt;&gt;"data missing", Calc!BD83*'Waste results'!$S$62, "data missing"),
   IF(AND(Calc!BC83=0,Calc!BD83=0),
     IF('Waste results'!$S$98&lt;&gt;"data missing", Calc!BE83*'Waste results'!$S$98, "data missing"),
   IF(Calc!BE83=0,
     IF(OR('Waste results'!$S$26&lt;&gt;"data missing", 'Waste results'!$S$62&lt;&gt;"data missing"), Calc!BC83*'Waste results'!$S$26+ Calc!BD83*'Waste results'!$S$62, "data missing"),
   IF(Calc!BD83=0,
     IF(OR('Waste results'!$S$26&lt;&gt;"data missing", 'Waste results'!$S$98&lt;&gt;"data missing"), Calc!BC83*'Waste results'!$S$26+ Calc!BE83*'Waste results'!$S$98, "data missing"),
   IF(Calc!BC83=0,
     IF(OR('Waste results'!$S$62&lt;&gt;"data missing", 'Waste results'!$S$98&lt;&gt;"data missing"), Calc!BD83*'Waste results'!$S$62+Calc!BE83*'Waste results'!$S$98, "data missing"),
   IF(OR('Waste results'!$S$26&lt;&gt;"data missing", 'Waste results'!$S$62&lt;&gt;"data missing", 'Waste results'!$S$98&lt;&gt;"data missing"), Calc!BC83*'Waste results'!$S$26+Calc!BD83*'Waste results'!$S$62+ Calc!BE83*'Waste results'!$S$98, "data missing")))))))))))</f>
        <v/>
      </c>
      <c r="AR85" s="241" t="str">
        <f ca="1">IF($B85="","",
IF(ISBLANK('Soil results'!L88),"data missing",'Soil results'!L88))</f>
        <v/>
      </c>
      <c r="AS85" s="241" t="str">
        <f t="shared" ca="1" si="25"/>
        <v/>
      </c>
      <c r="AT85" s="66" t="str">
        <f t="shared" ca="1" si="26"/>
        <v/>
      </c>
      <c r="AV85" s="238" t="str">
        <f ca="1">IF(B85="","",
IF(AND('Field information 2'!$O$5="", 'Field information 2'!$Q$5=""),
   IF('Waste results'!$S$27&lt;&gt;"data missing", Calc!BC83*'Waste results'!$S$27, "data missing"),
IF('Field information 2'!$Q$5="",
   IF(Calc!BD83=0,
     IF('Waste results'!$S$27&lt;&gt;"data missing", Calc!BC83*'Waste results'!$S$27, "data missing"),
   IF(Calc!BC83=0,
     IF('Waste results'!$S$63&lt;&gt;"data missing", Calc!BD83*'Waste results'!$S$63, "data missing"),
   IF(OR('Waste results'!$S$27&lt;&gt;"data missing", 'Waste results'!$S$63&lt;&gt;"data missing"), Calc!BC83*'Waste results'!$S$27+ Calc!BD83*'Waste results'!$S$63, "data missing"))),
IF(AND('Field information 2'!$M$5&lt;&gt;"", 'Field information 2'!$O$5&lt;&gt;"", 'Field information 2'!$Q$5&lt;&gt;""),
   IF(AND(Calc!BD83=0,Calc!BE83=0),
     IF('Waste results'!$S$27&lt;&gt;"data missing", Calc!BC83*'Waste results'!$S$27, "data missing"),
   IF(AND(Calc!BC83=0,Calc!BE83=0),
     IF('Waste results'!$S$63&lt;&gt;"data missing", Calc!BD83*'Waste results'!$S$63, "data missing"),
   IF(AND(Calc!BC83=0,Calc!BD83=0),
     IF('Waste results'!$S$99&lt;&gt;"data missing", Calc!BE83*'Waste results'!$S$99, "data missing"),
   IF(Calc!BE83=0,
     IF(OR('Waste results'!$S$27&lt;&gt;"data missing", 'Waste results'!$S$63&lt;&gt;"data missing"), Calc!BC83*'Waste results'!$S$27+ Calc!BD83*'Waste results'!$S$63, "data missing"),
   IF(Calc!BD83=0,
     IF(OR('Waste results'!$S$27&lt;&gt;"data missing", 'Waste results'!$S$99&lt;&gt;"data missing"), Calc!BC83*'Waste results'!$S$27+ Calc!BE83*'Waste results'!$S$99, "data missing"),
   IF(Calc!BC83=0,
     IF(OR('Waste results'!$S$63&lt;&gt;"data missing", 'Waste results'!$S$99&lt;&gt;"data missing"), Calc!BD83*'Waste results'!$S$63+Calc!BE83*'Waste results'!$S$99, "data missing"),
   IF(OR('Waste results'!$S$27&lt;&gt;"data missing", 'Waste results'!$S$63&lt;&gt;"data missing", 'Waste results'!$S$99&lt;&gt;"data missing"), Calc!BC83*'Waste results'!$S$27+Calc!BD83*'Waste results'!$S$63+ Calc!BE83*'Waste results'!$S$99, "data missing")))))))))))</f>
        <v/>
      </c>
      <c r="AW85" s="239" t="str">
        <f ca="1">IF($B85="","",
IF(ISBLANK('Soil results'!M88),"data missing",'Soil results'!M88))</f>
        <v/>
      </c>
      <c r="AX85" s="239" t="str">
        <f t="shared" ca="1" si="27"/>
        <v/>
      </c>
      <c r="AY85" s="9" t="str">
        <f ca="1">IF(B85="","",
IF(AV85=0,"n/a",
IF(OR(AV85="data missing",AW85="data missing"),"data missing",
IF(AV85&gt;7.5,"application rate too high - permissible rate exceeds limit",
IF('Soil results'!$F88&lt;=5.5,
  IF(AW85&gt;80,"no application - soil conc. already above limit",
  IF(AX85&gt;80,"application rate too high - soil conc. will exceed limit",
  IF(AW85&gt;80*0.9,"soil conc. is at or above 90% of the limit",
  IF(10*AV85*1000/3000+AW85&gt;80,"soil limit likely to be exceeded in 10yrs",
  IF(50*AV85*1000/3000+AW85&gt;80,"soil limit likely to be exceeded in 50yrs","ok"))))),
IF('Soil results'!$F88&lt;=6,
  IF(AW85&gt;100,"no application - soil conc. already above limit",
  IF(AX85&gt;100,"application rate too high - soil conc. will exceed limit",
  IF(AW85&gt;100*0.9,"soil conc. is at or above 90% of the limit",
  IF(10*AV85*1000/3000+AW85&gt;100,"soil limit likely to be exceeded in 10yrs",
  IF(50*AV85*1000/3000+AW85&gt;100,"soil limit likely to be exceeded in 50yrs","ok"))))),
IF('Soil results'!$F88&lt;=7,
  IF(AW85&gt;135,"no application - soil conc. already above limit",
  IF(AX85&gt;135,"application rate too high - soil conc. will exceed limit",
  IF(AW85&gt;135*0.9,"soil conc. is at or above 90% of the limit",
  IF(10*AV85*1000/3000+AW85&gt;135,"soil limit likely to be exceeded in 10yrs",
  IF(50*AV85*1000/3000+AW85&gt;135,"soil limit likely to be exceeded in 50yrs","ok"))))),
IF('Soil results'!$F88&gt;7,
  IF(AW85&gt;200,"no application - soil conc. already above limit",
  IF(AX85&gt;200,"application too high - soil conc. will exceed limit",
  IF(AW85&gt;200*0.9,"soil conc. is at or above 90% of the limit",
  IF(10*AV85*1000/3000+AW85&gt;200,"soil limit likely to be exceeded in 10yrs",
  IF(50*AV85*1000/3000+AW85&gt;200,"soil limit likely to be exceeded in 50yrs","ok")))))
))))))))</f>
        <v/>
      </c>
      <c r="BA85" s="238" t="str">
        <f ca="1">IF(B85="","",
IF(AND('Field information 2'!$O$5="", 'Field information 2'!$Q$5=""),
   IF('Waste results'!$S$28&lt;&gt;"data missing", Calc!BC83*'Waste results'!$S$28, "data missing"),
IF('Field information 2'!$Q$5="",
   IF(Calc!BD83=0,
     IF('Waste results'!$S$28&lt;&gt;"data missing", Calc!BC83*'Waste results'!$S$28, "data missing"),
   IF(Calc!BC83=0,
     IF('Waste results'!$S$64&lt;&gt;"data missing", Calc!BD83*'Waste results'!$S$64, "data missing"),
   IF(OR('Waste results'!$S$28&lt;&gt;"data missing", 'Waste results'!$S$64&lt;&gt;"data missing"), Calc!BC83*'Waste results'!$S$28+ Calc!BD83*'Waste results'!$S$64, "data missing"))),
IF(AND('Field information 2'!$M$5&lt;&gt;"", 'Field information 2'!$O$5&lt;&gt;"", 'Field information 2'!$Q$5&lt;&gt;""),
   IF(AND(Calc!BD83=0,Calc!BE83=0),
     IF('Waste results'!$S$28&lt;&gt;"data missing", Calc!BC83*'Waste results'!$S$28, "data missing"),
   IF(AND(Calc!BC83=0,Calc!BE83=0),
     IF('Waste results'!$S$64&lt;&gt;"data missing", Calc!BD83*'Waste results'!$S$64, "data missing"),
   IF(AND(Calc!BC83=0,Calc!BD83=0),
     IF('Waste results'!$S$100&lt;&gt;"data missing", Calc!BE83*'Waste results'!$S$100, "data missing"),
   IF(Calc!BE83=0,
     IF(OR('Waste results'!$S$28&lt;&gt;"data missing", 'Waste results'!$S$64&lt;&gt;"data missing"), Calc!BC83*'Waste results'!$S$28+ Calc!BD83*'Waste results'!$S$64, "data missing"),
   IF(Calc!BD83=0,
     IF(OR('Waste results'!$S$28&lt;&gt;"data missing", 'Waste results'!$S$100&lt;&gt;"data missing"), Calc!BC83*'Waste results'!$S$28+ Calc!BE83*'Waste results'!$S$100, "data missing"),
   IF(Calc!BC83=0,
     IF(OR('Waste results'!$S$64&lt;&gt;"data missing", 'Waste results'!$S$100&lt;&gt;"data missing"), Calc!BD83*'Waste results'!$S$64+Calc!BE83*'Waste results'!$S$100, "data missing"),
   IF(OR('Waste results'!$S$28&lt;&gt;"data missing", 'Waste results'!$S$64&lt;&gt;"data missing", 'Waste results'!$S$100&lt;&gt;"data missing"), Calc!BC83*'Waste results'!$S$28+Calc!BD83*'Waste results'!$S$64+ Calc!BE83*'Waste results'!$S$100, "data missing")))))))))))</f>
        <v/>
      </c>
      <c r="BB85" s="239" t="str">
        <f ca="1">IF($B85="","",
IF(ISBLANK('Soil results'!N88),"data missing",'Soil results'!N88))</f>
        <v/>
      </c>
      <c r="BC85" s="239" t="str">
        <f t="shared" ca="1" si="28"/>
        <v/>
      </c>
      <c r="BD85" s="9" t="str">
        <f t="shared" ca="1" si="29"/>
        <v/>
      </c>
      <c r="BF85" s="238" t="str">
        <f ca="1">IF(B85="","",
IF(AND('Field information 2'!$O$5="", 'Field information 2'!$Q$5=""),
   IF('Waste results'!$S$29&lt;&gt;"data missing", Calc!BC83*'Waste results'!$S$29, "data missing"),
IF('Field information 2'!$Q$5="",
   IF(Calc!BD83=0,
     IF('Waste results'!$S$29&lt;&gt;"data missing", Calc!BC83*'Waste results'!$S$29, "data missing"),
   IF(Calc!BC83=0,
     IF('Waste results'!$S$65&lt;&gt;"data missing", Calc!BD83*'Waste results'!$S$65, "data missing"),
   IF(OR('Waste results'!$S$29&lt;&gt;"data missing", 'Waste results'!$S$65&lt;&gt;"data missing"), Calc!BC83*'Waste results'!$S$29+ Calc!BD83*'Waste results'!$S$65, "data missing"))),
IF(AND('Field information 2'!$M$5&lt;&gt;"", 'Field information 2'!$O$5&lt;&gt;"", 'Field information 2'!$Q$5&lt;&gt;""),
   IF(AND(Calc!BD83=0,Calc!BE83=0),
     IF('Waste results'!$S$29&lt;&gt;"data missing", Calc!BC83*'Waste results'!$S$29, "data missing"),
   IF(AND(Calc!BC83=0,Calc!BE83=0),
     IF('Waste results'!$S$65&lt;&gt;"data missing", Calc!BD83*'Waste results'!$S$65, "data missing"),
   IF(AND(Calc!BC83=0,Calc!BD83=0),
     IF('Waste results'!$S$101&lt;&gt;"data missing", Calc!BE83*'Waste results'!$S$101, "data missing"),
   IF(Calc!BE83=0,
     IF(OR('Waste results'!$S$29&lt;&gt;"data missing", 'Waste results'!$S$65&lt;&gt;"data missing"), Calc!BC83*'Waste results'!$S$29+ Calc!BD83*'Waste results'!$S$65, "data missing"),
   IF(Calc!BD83=0,
     IF(OR('Waste results'!$S$29&lt;&gt;"data missing", 'Waste results'!$S$101&lt;&gt;"data missing"), Calc!BC83*'Waste results'!$S$29+ Calc!BE83*'Waste results'!$S$101, "data missing"),
   IF(Calc!BC83=0,
     IF(OR('Waste results'!$S$65&lt;&gt;"data missing", 'Waste results'!$S$101&lt;&gt;"data missing"), Calc!BD83*'Waste results'!$S$65+Calc!BE83*'Waste results'!$S$101, "data missing"),
   IF(OR('Waste results'!$S$29&lt;&gt;"data missing", 'Waste results'!$S$65&lt;&gt;"data missing", 'Waste results'!$S$101&lt;&gt;"data missing"), Calc!BC83*'Waste results'!$S$29+Calc!BD83*'Waste results'!$S$65+ Calc!BE83*'Waste results'!$S$101, "data missing")))))))))))</f>
        <v/>
      </c>
      <c r="BG85" s="239" t="str">
        <f ca="1">IF($B85="","",
IF(ISBLANK('Soil results'!O88),"data missing",'Soil results'!O88))</f>
        <v/>
      </c>
      <c r="BH85" s="239" t="str">
        <f t="shared" ca="1" si="30"/>
        <v/>
      </c>
      <c r="BI85" s="9" t="str">
        <f ca="1">IF(B85="","",
IF(BF85=0,"n/a",
IF(OR(BF85="data missing",BG85="data missing"),"data missing",
IF(BF85&gt;3,"application rate too high - permissible rate exceeds limit",
IF('Soil results'!F88&lt;=5.5,
  IF(BG85&gt;50,"no application - soil conc. already above limit",
  IF(BH85&gt;50,"application rate too high - soil conc. will exceed limit",
  IF(BG85&gt;50*0.9,"soil conc. is at or above 90% of the limit",
  IF(10*BF85*1000/3000+BG85&gt;50,"soil limit likely to be exceeded in 10yrs",
  IF(50*BF85*1000/3000+BG85&gt;50,"soil limit likely to be exceeded in 50yrs","ok"))))),
IF('Soil results'!F88&lt;=6,
  IF(BG85&gt;60,"no application - soil conc. already above limit",
  IF(BH85&gt;60,"application rate too high - soil conc. will exceed limit",
  IF(BG85&gt;60*0.9,"soil conc. is at or above 90% of the limit",
  IF(10*BF85*1000/3000+BG85&gt;60,"soil limit likely to be exceeded in 10yrs",
  IF(50*BF85*1000/3000+BG85&gt;60,"soil limit likely to be exceeded in 50yrs","ok"))))),
IF('Soil results'!F88&lt;=7,
  IF(BG85&gt;75,"no application - soil conc. already above limit",
  IF(BH85&gt;75,"application rate too high - soil conc. will exceed limit",
  IF(BG85&gt;75*0.9,"soil conc. is at or above 90% of the limit",
  IF(10*BF85*1000/3000+BG85&gt;75,"soil limit likely to be exceeded in 10yrs",
  IF(50*BF85*1000/3000+BG85&gt;75,"soil limit likely to be exceeded in 50yrs","ok"))))),
IF('Soil results'!F88&gt;7,
  IF(BG85&gt;100,"no application - soil conc. already above limit",
  IF(BH85&gt;100,"application rate too high - soil conc. will exceed limit",
  IF(BG85&gt;100*0.9,"soil conc. is at or above 90% of the limit",
  IF(10*BF85*1000/3000+BG85&gt;100,"soil limit likely to be exceeded in 10yrs",
  IF(50*BF85*1000/3000+BG85&gt;100,"soil limit likely to beexceeded in 50yrs","ok")))))
))))))))</f>
        <v/>
      </c>
      <c r="BK85" s="240" t="str">
        <f ca="1">IF(B85="","",
IF(AND('Field information 2'!$O$5="", 'Field information 2'!$Q$5=""),
   IF('Waste results'!$S$30&lt;&gt;"data missing", Calc!BC83*'Waste results'!$S$30, "data missing"),
IF('Field information 2'!$Q$5="",
   IF(Calc!BD83=0,
     IF('Waste results'!$S$30&lt;&gt;"data missing", Calc!BC83*'Waste results'!$S$30, "data missing"),
   IF(Calc!BC83=0,
     IF('Waste results'!$S$66&lt;&gt;"data missing", Calc!BD83*'Waste results'!$S$66, "data missing"),
   IF(OR('Waste results'!$S$30&lt;&gt;"data missing", 'Waste results'!$S$66&lt;&gt;"data missing"), Calc!BC83*'Waste results'!$S$30+ Calc!BD83*'Waste results'!$S$66, "data missing"))),
IF(AND('Field information 2'!$M$5&lt;&gt;"", 'Field information 2'!$O$5&lt;&gt;"", 'Field information 2'!$Q$5&lt;&gt;""),
   IF(AND(Calc!BD83=0,Calc!BE83=0),
     IF('Waste results'!$S$30&lt;&gt;"data missing", Calc!BC83*'Waste results'!$S$30, "data missing"),
   IF(AND(Calc!BC83=0,Calc!BE83=0),
     IF('Waste results'!$S$66&lt;&gt;"data missing", Calc!BD83*'Waste results'!$S$66, "data missing"),
   IF(AND(Calc!BC83=0,Calc!BD83=0),
     IF('Waste results'!$S$102&lt;&gt;"data missing", Calc!BE83*'Waste results'!$S$102, "data missing"),
   IF(Calc!BE83=0,
     IF(OR('Waste results'!$S$30&lt;&gt;"data missing", 'Waste results'!$S$66&lt;&gt;"data missing"), Calc!BC83*'Waste results'!$S$30+ Calc!BD83*'Waste results'!$S$66, "data missing"),
   IF(Calc!BD83=0,
     IF(OR('Waste results'!$S$30&lt;&gt;"data missing", 'Waste results'!$S$102&lt;&gt;"data missing"), Calc!BC83*'Waste results'!$S$30+ Calc!BE83*'Waste results'!$S$102, "data missing"),
   IF(Calc!BC83=0,
     IF(OR('Waste results'!$S$66&lt;&gt;"data missing", 'Waste results'!$S$102&lt;&gt;"data missing"), Calc!BD83*'Waste results'!$S$66+Calc!BE83*'Waste results'!$S$102, "data missing"),
   IF(OR('Waste results'!$S$30&lt;&gt;"data missing", 'Waste results'!$S$66&lt;&gt;"data missing", 'Waste results'!$S$102&lt;&gt;"data missing"), Calc!BC83*'Waste results'!$S$30+Calc!BD83*'Waste results'!$S$66+ Calc!BE83*'Waste results'!$S$102, "data missing")))))))))))</f>
        <v/>
      </c>
      <c r="BL85" s="241" t="str">
        <f ca="1">IF($B85="","",
IF(ISBLANK('Soil results'!P88),"data missing",'Soil results'!P88))</f>
        <v/>
      </c>
      <c r="BM85" s="241" t="str">
        <f t="shared" ca="1" si="31"/>
        <v/>
      </c>
      <c r="BN85" s="66" t="str">
        <f t="shared" ca="1" si="32"/>
        <v/>
      </c>
      <c r="BP85" s="238" t="str">
        <f ca="1">IF(B85="","",
IF(AND('Field information 2'!$O$5="", 'Field information 2'!$Q$5=""),
   IF('Waste results'!$S$31&lt;&gt;"data missing", Calc!BC83*'Waste results'!$S$31, "data missing"),
IF('Field information 2'!$Q$5="",
   IF(Calc!BD83=0,
     IF('Waste results'!$S$31&lt;&gt;"data missing", Calc!BC83*'Waste results'!$S$31, "data missing"),
   IF(Calc!BC83=0,
     IF('Waste results'!$S$67&lt;&gt;"data missing", Calc!BD83*'Waste results'!$S$67, "data missing"),
   IF(OR('Waste results'!$S$31&lt;&gt;"data missing", 'Waste results'!$S$67&lt;&gt;"data missing"), Calc!BC83*'Waste results'!$S$31+ Calc!BD83*'Waste results'!$S$67, "data missing"))),
IF(AND('Field information 2'!$M$5&lt;&gt;"", 'Field information 2'!$O$5&lt;&gt;"", 'Field information 2'!$Q$5&lt;&gt;""),
   IF(AND(Calc!BD83=0,Calc!BE83=0),
     IF('Waste results'!$S$31&lt;&gt;"data missing", Calc!BC83*'Waste results'!$S$31, "data missing"),
   IF(AND(Calc!BC83=0,Calc!BE83=0),
     IF('Waste results'!$S$67&lt;&gt;"data missing", Calc!BD83*'Waste results'!$S$67, "data missing"),
   IF(AND(Calc!BC83=0,Calc!BD83=0),
     IF('Waste results'!$S$103&lt;&gt;"data missing", Calc!BE83*'Waste results'!$S$103, "data missing"),
   IF(Calc!BE83=0,
     IF(OR('Waste results'!$S$31&lt;&gt;"data missing", 'Waste results'!$S$67&lt;&gt;"data missing"), Calc!BC83*'Waste results'!$S$31+ Calc!BD83*'Waste results'!$S$67, "data missing"),
   IF(Calc!BD83=0,
     IF(OR('Waste results'!$S$31&lt;&gt;"data missing", 'Waste results'!$S$103&lt;&gt;"data missing"), Calc!BC83*'Waste results'!$S$31+ Calc!BE83*'Waste results'!$S$103, "data missing"),
   IF(Calc!BC83=0,
     IF(OR('Waste results'!$S$67&lt;&gt;"data missing", 'Waste results'!$S$103&lt;&gt;"data missing"), Calc!BD83*'Waste results'!$S$67+Calc!BE83*'Waste results'!$S$103, "data missing"),
   IF(OR('Waste results'!$S$31&lt;&gt;"data missing", 'Waste results'!$S$67&lt;&gt;"data missing", 'Waste results'!$S$103&lt;&gt;"data missing"), Calc!BC83*'Waste results'!$S$31+Calc!BD83*'Waste results'!$S$67+ Calc!BE83*'Waste results'!$S$103, "data missing")))))))))))</f>
        <v/>
      </c>
      <c r="BQ85" s="239" t="str">
        <f ca="1">IF($B85="","",
IF(ISBLANK('Soil results'!Q88),"data missing",'Soil results'!Q88))</f>
        <v/>
      </c>
      <c r="BR85" s="239" t="str">
        <f t="shared" ca="1" si="33"/>
        <v/>
      </c>
      <c r="BS85" s="9" t="str">
        <f ca="1">IF(B85="","",
IF(BP85=0,"n/a",
IF(OR(BP85="data missing",BQ85=""),"data missing",
IF(BP85&gt;15,"application rate too high - permissible rate exceeds limit",
IF('Soil results'!F88&lt;=5.5,
  IF(BQ85&gt;200,"no application - soil conc. already above limit",
  IF(BR85&gt;200,"application rate too high - soil conc. will exceed limit",
  IF(BQ85&gt;200*0.9,"soil conc. is at or above 90% of the limit",
  IF(10*BP85*1000/3000+BQ85&gt;200,"soil limit likely to be exceeded in 10yrs",
  IF(50*BP85*1000/3000+BQ85&gt;200,"soil limit likely to be exceeded in 50yrs","ok"))))),
IF('Soil results'!F88&lt;=6,
  IF(BQ85&gt;250,"no application - soil conc. already above limit",
  IF(BR85&gt;250,"application rate too high - soil conc. will exceed limit",
  IF(BQ85&gt;250*0.9,"soil conc. is at or above 90% of the limit",
  IF(10*BP85*1000/3000+BQ85&gt;250,"soil limit likely to be exceeded in 10yrs",
  IF(50*BP85*1000/3000+BQ85&gt;250,"soil limit likely to be exceeded in 50yrs","ok"))))),
IF('Soil results'!F88&lt;=7,
  IF(BQ85&gt;300,"no application - soil conc. already above limit",
  IF(BR85&gt;300,"application rate too high - soil conc. will exceed limit",
  IF(BQ85&gt;300*0.9,"soil conc. is at or above 90% of the limit",
  IF(10*BP85*1000/3000+BQ85&gt;300,"soil limit likey to be exceeded in 10yrs",
  IF(50*BP85*1000/3000+BQ85&gt;300,"soil limit likely to be exceeded in 50yrs","ok"))))),
IF('Soil results'!F88&gt;7,
  IF(BQ85&gt;450,"no application - soil conc. already above limit",
  IF(BR85&gt;450,"application rate too high - soil conc. will exceed limit",
  IF(AW85&gt;450*0.9,"soil conc. is at or above 90% of the limit",
  IF(10*BP85*1000/3000+BQ85&gt;450,"soil limit likely to be exceeded in 10yrs",
  IF(50*BP85*1000/3000+BQ85&gt;450,"soil limit likely to be exceeded in 50yrs","ok")))))
))))))))</f>
        <v/>
      </c>
    </row>
    <row r="86" spans="2:71" s="9" customFormat="1" ht="15" x14ac:dyDescent="0.25">
      <c r="B86" s="236" t="str">
        <f ca="1">'Soil results'!B89</f>
        <v/>
      </c>
      <c r="C86" s="91" t="str">
        <f ca="1">IF(B86="","",
IF(AND('Field information 2'!$O$5="", 'Field information 2'!$Q$5=""),
   IF('Waste results'!$S$12&lt;&gt;"data missing", Calc!BC84*'Waste results'!$S$12, "data missing"),
IF('Field information 2'!$Q$5="",
   IF(Calc!BD84=0,
     IF('Waste results'!$S$12&lt;&gt;"data missing", Calc!BC84*'Waste results'!$S$12, "data missing"),
   IF(Calc!BC84=0,
     IF('Waste results'!$S$48&lt;&gt;"data missing", Calc!BD84*'Waste results'!$S$48, "data missing"),
   IF(OR('Waste results'!$S$12&lt;&gt;"data missing", 'Waste results'!$S$48&lt;&gt;"data missing"), Calc!BC84*'Waste results'!$S$12+ Calc!BD84*'Waste results'!$S$48, "data missing"))),
IF(AND('Field information 2'!$M$5&lt;&gt;"", 'Field information 2'!$O$5&lt;&gt;"", 'Field information 2'!$Q$5&lt;&gt;""),
   IF(AND(Calc!BD84=0,Calc!BE84=0),
     IF('Waste results'!$S$12&lt;&gt;"data missing", Calc!BC84*'Waste results'!$S$12, "data missing"),
   IF(AND(Calc!BC84=0,Calc!BE84=0),
     IF('Waste results'!$S$48&lt;&gt;"data missing", Calc!BD84*'Waste results'!$S$48, "data missing"),
   IF(AND(Calc!BC84=0,Calc!BD84=0),
     IF('Waste results'!$S$84&lt;&gt;"data missing", Calc!BE84*'Waste results'!$S$84, "data missing"),
   IF(Calc!BE84=0,
     IF(OR('Waste results'!$S$12&lt;&gt;"data missing", 'Waste results'!$S$48&lt;&gt;"data missing"), Calc!BC84*'Waste results'!$S$12+ Calc!BD84*'Waste results'!$S$48, "data missing"),
   IF(Calc!BD84=0,
     IF(OR('Waste results'!$S$12&lt;&gt;"data missing", 'Waste results'!$S$84&lt;&gt;"data missing"), Calc!BC84*'Waste results'!$S$12+ Calc!BE84*'Waste results'!$S$84, "data missing"),
   IF(Calc!BC84=0,
     IF(OR('Waste results'!$S$48&lt;&gt;"data missing", 'Waste results'!$S$84&lt;&gt;"data missing"), Calc!BD84*'Waste results'!$S$48+Calc!BE84*'Waste results'!$S$84, "data missing"),
   IF(OR('Waste results'!$S$12&lt;&gt;"data missing", 'Waste results'!$S$48&lt;&gt;"data missing", 'Waste results'!$S$84&lt;&gt;"data missing"), Calc!BC84*'Waste results'!$S$12+Calc!BD84*'Waste results'!$S$48+ Calc!BE84*'Waste results'!$S$84, "data missing")))))))))))</f>
        <v/>
      </c>
      <c r="D86" s="161" t="str">
        <f ca="1">IF(B86="","",
IF(Calc!BG84="","soil texture missing",
IF(OR(Calc!BG84="SL; SZL; ZL",Calc!BG84="SCL; CL; ZCL; SC; ZC; C"),VLOOKUP(Calc!BI84,'Fertiliser recommendations'!$A$4:$C$63,3,FALSE),
IF(Calc!BG84="S; LS",VLOOKUP(Calc!BI84,'Fertiliser recommendations'!$A$4:$C$63,3,FALSE)+VLOOKUP(Calc!BI84,'Fertiliser recommendations'!$A$4:$D$63,4,FALSE),
IF(Calc!BG84="10-25% OM",VLOOKUP(Calc!BI84,'Fertiliser recommendations'!$A$4:$C$63,3,FALSE)+VLOOKUP(Calc!BI84,'Fertiliser recommendations'!$A$4:$E$63,5,FALSE),
IF(Calc!BG84="&gt;25% OM",VLOOKUP(Calc!BI84,'Fertiliser recommendations'!$A$4:$C$63,3,FALSE)+VLOOKUP(Calc!BI84,'Fertiliser recommendations'!$A$4:$F$63,6,FALSE),
""))))))</f>
        <v/>
      </c>
      <c r="E86" s="91" t="str">
        <f t="shared" ca="1" si="17"/>
        <v/>
      </c>
      <c r="F86" s="9" t="str">
        <f ca="1">IF(B86="","",
IF(OR(C86="data missing",D86="soil texture missing"),"data missing",
IF(Calc!BF84=0,"n/a",
IF(C86&lt;0.1*D86,"no benefit",
IF(C86&lt;0.3*D86,"limited benefit",
IF(C86&gt;250,"exceeds limit",
IF(OR(AND(D86=0,C86&gt;75),C86&gt;1.25*D86),"excessive",
IF(D86=0, "no requirement",
"benefit"))))))))</f>
        <v/>
      </c>
      <c r="H86" s="91" t="str">
        <f ca="1">IF(B86="","",
IF(AND('Field information 2'!$O$5="", 'Field information 2'!$Q$5=""),
   IF('Waste results'!$S$17&lt;&gt;"data missing", Calc!BC84*'Waste results'!$S$17, "data missing"),
IF('Field information 2'!$Q$5="",
   IF(Calc!BD84=0,
     IF('Waste results'!$S$17&lt;&gt;"data missing", Calc!BC84*'Waste results'!$S$17, "data missing"),
   IF(Calc!BC84=0,
     IF('Waste results'!$S$53&lt;&gt;"data missing", Calc!BD84*'Waste results'!$S$53, "data missing"),
   IF(OR('Waste results'!$S$17&lt;&gt;"data missing", 'Waste results'!$S$53&lt;&gt;"data missing"), Calc!BC84*'Waste results'!$S$17+ Calc!BD84*'Waste results'!$S$53, "data missing"))),
IF(AND('Field information 2'!$M$5&lt;&gt;"", 'Field information 2'!$O$5&lt;&gt;"", 'Field information 2'!$Q$5&lt;&gt;""),
   IF(AND(Calc!BD84=0,Calc!BE84=0),
     IF('Waste results'!$S$17&lt;&gt;"data missing", Calc!BC84*'Waste results'!$S$17, "data missing"),
   IF(AND(Calc!BC84=0,Calc!BE84=0),
     IF('Waste results'!$S$53&lt;&gt;"data missing", Calc!BD84*'Waste results'!$S$53, "data missing"),
   IF(AND(Calc!BC84=0,Calc!BD84=0),
     IF('Waste results'!$S$89&lt;&gt;"data missing", Calc!BE84*'Waste results'!$S$89, "data missing"),
   IF(Calc!BE84=0,
     IF(OR('Waste results'!$S$17&lt;&gt;"data missing", 'Waste results'!$S$53&lt;&gt;"data missing"), Calc!BC84*'Waste results'!$S$17+ Calc!BD84*'Waste results'!$S$53, "data missing"),
   IF(Calc!BD84=0,
     IF(OR('Waste results'!$S$17&lt;&gt;"data missing", 'Waste results'!$S$89&lt;&gt;"data missing"), Calc!BC84*'Waste results'!$S$17+ Calc!BE84*'Waste results'!$S$89, "data missing"),
   IF(Calc!BC84=0,
     IF(OR('Waste results'!$S$53&lt;&gt;"data missing", 'Waste results'!$S$89&lt;&gt;"data missing"), Calc!BD84*'Waste results'!$S$53+Calc!BE84*'Waste results'!$S$89, "data missing"),
   IF(OR('Waste results'!$S$17&lt;&gt;"data missing", 'Waste results'!$S$53&lt;&gt;"data missing", 'Waste results'!$S$89&lt;&gt;"data missing"), Calc!BC84*'Waste results'!$S$17+Calc!BD84*'Waste results'!$S$53+ Calc!BE84*'Waste results'!$S$89, "data missing")))))))))))</f>
        <v/>
      </c>
      <c r="I86" s="195" t="str">
        <f ca="1">IF(B86="","",
IF(OR(ISBLANK('Soil results'!G89), ISBLANK('Soil results'!G$7)),"data missing",
IF(OR(AND('Soil results'!G$7="Olsen (ADAS)",'Soil results'!G89&lt;16),AND('Soil results'!G$7="modified Morgan (SAC)",'Soil results'!G89&lt;4.5)),50,100)))</f>
        <v/>
      </c>
      <c r="J86" s="49" t="str">
        <f ca="1">IF(B86="","",
IF(OR(ISBLANK('Soil results'!G$7),ISBLANK('Soil results'!G89)),"data missing",
IF(OR(AND('Soil results'!G$7="Olsen (ADAS)",'Soil results'!G89&gt;45),AND('Soil results'!G$7="modified Morgan (SAC)",'Soil results'!G89&gt;30)),0,
IF(OR(AND('Soil results'!G$7="Olsen (ADAS)",'Soil results'!G89&gt;=16,'Soil results'!G89&lt;=20),AND('Soil results'!G$7="modified Morgan (SAC)",'Soil results'!G89&gt;=4.5,'Soil results'!G89&lt;=9.4)),VLOOKUP(Calc!BI84,'Fertiliser recommendations'!$A$4:$I$63,9,FALSE),
IF(OR(AND('Soil results'!G$7="Olsen (ADAS)",'Soil results'!G89&lt;10),AND('Soil results'!G$7="modified Morgan (SAC)",'Soil results'!G89&lt;1.8)),VLOOKUP(Calc!BI84,'Fertiliser recommendations'!$A$4:$I$63,9,FALSE)+VLOOKUP(Calc!BI84,'Fertiliser recommendations'!$A$4:$J$63,10,FALSE),
IF(OR(AND('Soil results'!G$7="Olsen (ADAS)",'Soil results'!G89&lt;16),AND('Soil results'!G$7="modified Morgan (SAC)",'Soil results'!G89&lt;4.5)),VLOOKUP(Calc!BI84,'Fertiliser recommendations'!$A$4:$I$63,9,FALSE)+VLOOKUP(Calc!BI84,'Fertiliser recommendations'!$A$4:$K$63,11,FALSE),
IF(OR(AND('Soil results'!G$7="Olsen (ADAS)",'Soil results'!G89&lt;26),AND('Soil results'!G$7="modified Morgan (SAC)",'Soil results'!G89&lt;13.5)),VLOOKUP(Calc!BI84,'Fertiliser recommendations'!$A$4:$I$63,9,FALSE)+VLOOKUP(Calc!BI84,'Fertiliser recommendations'!$A$4:$L$63,12,FALSE),
IF(OR(AND('Soil results'!G$7="Olsen (ADAS)",'Soil results'!G89&lt;=45),AND('Soil results'!G$7="modified Morgan (SAC)",'Soil results'!G89&lt;=30)),VLOOKUP(Calc!BI84,'Fertiliser recommendations'!$A$4:$I$63,9,FALSE)+VLOOKUP(Calc!BI84,'Fertiliser recommendations'!$A$4:$M$63,13,FALSE),
""))))))))</f>
        <v/>
      </c>
      <c r="K86" s="161" t="str">
        <f t="shared" ca="1" si="18"/>
        <v/>
      </c>
      <c r="L86" s="47" t="str">
        <f ca="1">IF(OR(ISBLANK('Soil results'!G$7),ISBLANK('Soil results'!G89),B86="", H86="data missing"),"",
IF('Soil results'!G$7="Olsen (ADAS)",
IF(((H86*Calc!BM84/2.291-(VLOOKUP(Calc!BI84,'Fertiliser recommendations'!$A$4:$I$63,9,FALSE))/2.291)*10/(400/2.291)+'Soil results'!G89)&lt;10,"0 (VL)",
IF(((H86*Calc!BM84/2.291-(VLOOKUP(Calc!BI84,'Fertiliser recommendations'!$A$4:$I$63,9,FALSE))/2.291)*10/(400/2.291)+'Soil results'!G89)&lt;16,"1 (L)",
IF(((H86*Calc!BM84/2.291-(VLOOKUP(Calc!BI84,'Fertiliser recommendations'!$A$4:$I$63,9,FALSE))/2.291)*10/(400/2.291)+'Soil results'!G89)&lt;21,"2 (M-)",
IF(((H86*Calc!BM84/2.291-(VLOOKUP(Calc!BI84,'Fertiliser recommendations'!$A$4:$I$63,9,FALSE))/2.291)*10/(400/2.291)+'Soil results'!G89)&lt;26,"2 (M+)",
IF(((H86*Calc!BM84/2.291-(VLOOKUP(Calc!BI84,'Fertiliser recommendations'!$A$4:$I$63,9,FALSE))/2.291)*10/(400/2.291)+'Soil results'!G89)&lt;45,"3 (H)","&gt;3 (VH)"))))),
IF('Soil results'!G$7="modified Morgan (SAC)",
IF('Soil results'!G89&gt;=6,
IF(((H86*Calc!BM84/2.291-(VLOOKUP(Calc!BI84,'Fertiliser recommendations'!$A$4:$I$63,9,FALSE))/2.291)*5/(147/2.291)+'Soil results'!G89)&lt;9.5,"2 (M-)",
IF(((H86*Calc!BM84/2.291-(VLOOKUP(Calc!BI84,'Fertiliser recommendations'!$A$4:$I$63,9,FALSE))/2.291)*5/(147/2.291)+'Soil results'!G89)&lt;13.5,"2 (M+)",
IF(((H86*Calc!BM84/2.291-(VLOOKUP(Calc!BI84,'Fertiliser recommendations'!$A$4:$I$63,9,FALSE))/2.291)*5/(147/2.291)+'Soil results'!G89)&lt;30,"3 (H)","4 (VH)"))),
IF(((H86*Calc!BM84/2.291-(VLOOKUP(Calc!BI84,'Fertiliser recommendations'!$A$4:$I$63,9,FALSE))/2.291)*5/(346/2.291)+'Soil results'!G89)&lt;1.8,"0 (VL)",
IF(((H86*Calc!BM84/2.291-(VLOOKUP(Calc!BI84,'Fertiliser recommendations'!$A$4:$I$63,9,FALSE))/2.291)*5/(147/2.291)+'Soil results'!G89)&lt;4.5,"1 (L)","2 (M-)"))))))</f>
        <v/>
      </c>
      <c r="M86" s="9" t="str">
        <f ca="1">IF(B86="","",
IF(OR(H86="data missing",I86="data missing",J86="data missing"),"data missing",
IF(Calc!BF84=0,"n/a",
IF(OR(AND('Soil results'!G$7="Olsen (ADAS)",'Soil results'!G89&gt;45),AND('Soil results'!G$7="modified Morgan (SAC)",'Soil results'!G89&gt;30)),
IF(H86&gt;2,"too high, not acceptable","no requirement"),IF(OR(AND('Soil results'!G$7="Olsen (ADAS)",'Soil results'!G89&gt;25),AND('Soil results'!G$7="modified Morgan (SAC)",'Soil results'!G89&gt;13.4)),
IF(H86*(I86/100)&lt;0.1*J86,"no benefit",
IF(H86*(I86/100)&lt;0.3*J86,"limited benefit",
IF(H86*(I86/100)&lt;1.1*J86,"benefit",
IF(H86*(I86/100)&lt;0.7*VLOOKUP(Calc!BI84,'Fertiliser recommendations'!$A$4:$I$63,9,FALSE),"excessive","too high, not acceptable")))),
IF(OR(AND('Soil results'!G$7="Olsen (ADAS)",'Soil results'!G89&gt;20),AND('Soil results'!G$7="modified Morgan (SAC)",'Soil results'!G89&gt;9.4)),
IF(H86*Calc!BM84*(I86/100)&lt;0.1*J86,"no benefit",
IF(H86*Calc!BM84*(I86/100)&lt;0.3*J86,"limited benefit",
IF(H86*Calc!BM84*(I86/100)&lt;1.1*J86,"benefit",
IF(L86="3 (H)","too high, not acceptable","excessive")))),
IF(OR(AND('Soil results'!G$7="Olsen (ADAS)",'Soil results'!G89&gt;15),AND('Soil results'!G$7="modified Morgan (SAC)",'Soil results'!G89&gt;4.4)),
IF(H86*Calc!BM84*(I86/100)&lt;0.1*VLOOKUP(Calc!BI84,'Fertiliser recommendations'!$A$4:$I$63,9,FALSE),"no benefit",
IF(H86*Calc!BM84*(I86/100)&lt;0.3*VLOOKUP(Calc!BI84,'Fertiliser recommendations'!$A$4:$I$63,9,FALSE),"limited benefit",
IF(H86*Calc!BM84*(I86/100)&lt;1.1*VLOOKUP(Calc!BI84,'Fertiliser recommendations'!$A$4:$I$63,9,FALSE),"benefit",
IF(L86="3 (H)", "too high, not acceptable", "excessive")))),
IF(OR(AND('Soil results'!G$7="Olsen (ADAS)",'Soil results'!G89&lt;=15),AND('Soil results'!G$7="modified Morgan (SAC)",'Soil results'!G89&lt;=4.4)),
IF(H86*Calc!BM84*(I86/100)&lt;0.1*VLOOKUP(Calc!BI84,'Fertiliser recommendations'!$A$4:$I$63,9,FALSE),"no benefit",
IF(H86*Calc!BM84*(I86/100)&lt;0.3*VLOOKUP(Calc!BI84,'Fertiliser recommendations'!$A$4:$I$63,9,FALSE),"limited benefit",
IF(H86*Calc!BM84*(I86/100)&lt;1.1*J86,"benefit","excessive")))))))))))</f>
        <v/>
      </c>
      <c r="O86" s="91" t="str">
        <f ca="1">IF(B86="","",
IF(AND('Field information 2'!$O$5="", 'Field information 2'!$Q$5=""),
   IF('Waste results'!$S$19&lt;&gt;"data missing", Calc!BC84*'Waste results'!$S$19, "data missing"),
IF('Field information 2'!$Q$5="",
   IF(Calc!BD84=0,
     IF('Waste results'!$S$19&lt;&gt;"data missing", Calc!BC84*'Waste results'!$S$19, "data missing"),
   IF(Calc!BC84=0,
     IF('Waste results'!$S$55&lt;&gt;"data missing", Calc!BD84*'Waste results'!$S$55, "data missing"),
   IF(OR('Waste results'!$S$19&lt;&gt;"data missing", 'Waste results'!$S$55&lt;&gt;"data missing"), Calc!BC84*'Waste results'!$S$19+ Calc!BD84*'Waste results'!$S$55, "data missing"))),
IF(AND('Field information 2'!$M$5&lt;&gt;"", 'Field information 2'!$O$5&lt;&gt;"", 'Field information 2'!$Q$5&lt;&gt;""),
   IF(AND(Calc!BD84=0,Calc!BE84=0),
     IF('Waste results'!$S$19&lt;&gt;"data missing", Calc!BC84*'Waste results'!$S$19, "data missing"),
   IF(AND(Calc!BC84=0,Calc!BE84=0),
     IF('Waste results'!$S$55&lt;&gt;"data missing", Calc!BD84*'Waste results'!$S$55, "data missing"),
   IF(AND(Calc!BC84=0,Calc!BD84=0),
     IF('Waste results'!$S$91&lt;&gt;"data missing", Calc!BE84*'Waste results'!$S$91, "data missing"),
   IF(Calc!BE84=0,
     IF(OR('Waste results'!$S$19&lt;&gt;"data missing", 'Waste results'!$S$55&lt;&gt;"data missing"), Calc!BC84*'Waste results'!$S$19+ Calc!BD84*'Waste results'!$S$55, "data missing"),
   IF(Calc!BD84=0,
     IF(OR('Waste results'!$S$19&lt;&gt;"data missing", 'Waste results'!$S$91&lt;&gt;"data missing"), Calc!BC84*'Waste results'!$S$19+ Calc!BE84*'Waste results'!$S$91, "data missing"),
   IF(Calc!BC84=0,
     IF(OR('Waste results'!$S$55&lt;&gt;"data missing", 'Waste results'!$S$91&lt;&gt;"data missing"), Calc!BD84*'Waste results'!$S$55+Calc!BE84*'Waste results'!$S$91, "data missing"),
   IF(OR('Waste results'!$S$19&lt;&gt;"data missing", 'Waste results'!$S$55&lt;&gt;"data missing", 'Waste results'!$S$91&lt;&gt;"data missing"), Calc!BC84*'Waste results'!$S$19+Calc!BD84*'Waste results'!$S$55+ Calc!BE84*'Waste results'!$S$91, "data missing")))))))))))</f>
        <v/>
      </c>
      <c r="P86" s="91" t="str">
        <f ca="1">IF(B86="","",
IF(OR(ISBLANK('Soil results'!H$7),ISBLANK('Soil results'!H89)),"data missing",
IF(OR(AND('Soil results'!H$7="ammonium nitrate (ADAS)",'Soil results'!H89&gt;400),AND('Soil results'!H$7="modified Morgan (SAC)",'Soil results'!H89&gt;400)),0,
IF(OR(AND('Soil results'!H$7="ammonium nitrate (ADAS)",'Soil results'!H89&gt;=121,'Soil results'!H89&lt;=180),AND('Soil results'!H$7="modified Morgan (SAC)",'Soil results'!H89&gt;=76,'Soil results'!H89&lt;=140)),VLOOKUP(Calc!BI84,'Fertiliser recommendations'!$A$4:$Z$63,26,FALSE),
IF(OR(AND('Soil results'!H$7="ammonium nitrate (ADAS)",'Soil results'!H89&lt;61),AND('Soil results'!H$7="modified Morgan (SAC)",'Soil results'!H89&lt;40)),VLOOKUP(Calc!BI84,'Fertiliser recommendations'!$A$4:$Z$63,26,FALSE)+VLOOKUP(Calc!BI84,'Fertiliser recommendations'!$A$4:$AA$63,27,FALSE),
IF(OR(AND('Soil results'!H$7="ammonium nitrate (ADAS)",'Soil results'!H89&lt;121),AND('Soil results'!H$7="modified Morgan (SAC)",'Soil results'!H89&lt;76)),VLOOKUP(Calc!BI84,'Fertiliser recommendations'!$A$4:$Z$63,26,FALSE)+VLOOKUP(Calc!BI84,'Fertiliser recommendations'!$A$4:$AB$63,28,FALSE),
IF(OR(AND('Soil results'!H$7="ammonium nitrate (ADAS)",'Soil results'!H89&lt;241),AND('Soil results'!H$7="modified Morgan (SAC)",'Soil results'!H89&lt;201)),VLOOKUP(Calc!BI84,'Fertiliser recommendations'!$A$4:$Z$63,26,FALSE)+VLOOKUP(Calc!BI84,'Fertiliser recommendations'!$A$4:$AC$63,29,FALSE),
IF(OR(AND('Soil results'!H$7="ammonium nitrate (ADAS)",'Soil results'!H89&lt;=400),AND('Soil results'!H$7="modified Morgan (SAC)",'Soil results'!H89&lt;=400)),VLOOKUP(Calc!BI84,'Fertiliser recommendations'!$A$4:$Z$63,26,FALSE)+VLOOKUP(Calc!BI84,'Fertiliser recommendations'!$A$4:$AD$63,30,FALSE),
"??"))))))))</f>
        <v/>
      </c>
      <c r="Q86" s="91" t="str">
        <f t="shared" ca="1" si="19"/>
        <v/>
      </c>
      <c r="R86" s="9" t="str">
        <f ca="1">IF(B86="","",
IF(OR(O86="data missing",P86="data missing"),"data missing",
IF(Calc!BF84=0,"n/a",
IF(P86=0, "no requirement",
IF(O86&lt;0.1*P86,"no benefit",
IF(O86&lt;0.3*P86,"limited benefit",
IF(O86&gt;1.25*P86,"excessive",
"benefit")))))))</f>
        <v/>
      </c>
      <c r="T86" s="91" t="str">
        <f ca="1">IF(B86="","",
IF(AND('Field information 2'!$O$5="", 'Field information 2'!$Q$5=""),
   IF('Waste results'!$S$21&lt;&gt;"data missing", Calc!BC84*'Waste results'!$S$21, "data missing"),
IF('Field information 2'!$Q$5="",
   IF(Calc!BD84=0,
     IF('Waste results'!$S$21&lt;&gt;"data missing", Calc!BC84*'Waste results'!$S$21, "data missing"),
   IF(Calc!BC84=0,
     IF('Waste results'!$S$57&lt;&gt;"data missing", Calc!BD84*'Waste results'!$S$57, "data missing"),
   IF(OR('Waste results'!$S$21&lt;&gt;"data missing", 'Waste results'!$S$57&lt;&gt;"data missing"), Calc!BC84*'Waste results'!$S$21+ Calc!BD84*'Waste results'!$S$57, "data missing"))),
IF(AND('Field information 2'!$M$5&lt;&gt;"", 'Field information 2'!$O$5&lt;&gt;"", 'Field information 2'!$Q$5&lt;&gt;""),
   IF(AND(Calc!BD84=0,Calc!BE84=0),
     IF('Waste results'!$S$21&lt;&gt;"data missing", Calc!BC84*'Waste results'!$S$21, "data missing"),
   IF(AND(Calc!BC84=0,Calc!BE84=0),
     IF('Waste results'!$S$57&lt;&gt;"data missing", Calc!BD84*'Waste results'!$S$57, "data missing"),
   IF(AND(Calc!BC84=0,Calc!BD84=0),
     IF('Waste results'!$S$93&lt;&gt;"data missing", Calc!BE84*'Waste results'!$S$93, "data missing"),
   IF(Calc!BE84=0,
     IF(OR('Waste results'!$S$21&lt;&gt;"data missing", 'Waste results'!$S$57&lt;&gt;"data missing"), Calc!BC84*'Waste results'!$S$21+ Calc!BD84*'Waste results'!$S$57, "data missing"),
   IF(Calc!BD84=0,
     IF(OR('Waste results'!$S$21&lt;&gt;"data missing", 'Waste results'!$S$93&lt;&gt;"data missing"), Calc!BC84*'Waste results'!$S$21+ Calc!BE84*'Waste results'!$S$93, "data missing"),
   IF(Calc!BC84=0,
     IF(OR('Waste results'!$S$57&lt;&gt;"data missing", 'Waste results'!$S$93&lt;&gt;"data missing"), Calc!BD84*'Waste results'!$S$57+Calc!BE84*'Waste results'!$S$93, "data missing"),
   IF(OR('Waste results'!$S$21&lt;&gt;"data missing", 'Waste results'!$S$57&lt;&gt;"data missing", 'Waste results'!$S$93&lt;&gt;"data missing"), Calc!BC84*'Waste results'!$S$21+Calc!BD84*'Waste results'!$S$57+ Calc!BE84*'Waste results'!$S$93, "data missing")))))))))))</f>
        <v/>
      </c>
      <c r="U86" s="7" t="str">
        <f ca="1">IF(B86="","",
IF(OR(ISBLANK('Soil results'!I$7),ISBLANK('Soil results'!I89)),"data missing",
IF(OR(AND('Soil results'!I$7="ammonium nitrate (ADAS)",'Soil results'!I89&gt;51),AND('Soil results'!I$7="modified Morgan (SAC)",'Soil results'!I89&gt;61)),0,
IF(OR(AND('Soil results'!I$7="ammonium nitrate (ADAS)",'Soil results'!I89&lt;25),AND('Soil results'!I$7="modified Morgan (SAC)",'Soil results'!I89&lt;19)),VLOOKUP(Calc!BI84,'Fertiliser recommendations'!$A$4:$AH$63,34,FALSE),
IF(OR(AND('Soil results'!I$7="ammonium nitrate (ADAS)",'Soil results'!I89&lt;=51),AND('Soil results'!I$7="modified Morgan (SAC)",'Soil results'!I89&lt;=61)),VLOOKUP(Calc!BI84,'Fertiliser recommendations'!$A$4:$AI$63,35,FALSE),
"")))))</f>
        <v/>
      </c>
      <c r="V86" s="91" t="str">
        <f t="shared" ca="1" si="20"/>
        <v/>
      </c>
      <c r="W86" s="9" t="str">
        <f ca="1">IF(B86="","",
IF(OR(T86="data missing",U86="data missing"),"data missing",
IF(Calc!BF84=0,"n/a",
IF(U86=0,"no requirement",
IF(T86&lt;0.1*U86,"no benefit",
IF(T86&lt;0.3*U86,"limited benefit",
IF(OR(T86&gt;1.5*U86,AND(Calc!BJ84="g",T86&gt;100)),"excessive",
"benefit")))))))</f>
        <v/>
      </c>
      <c r="Y86" s="91" t="str">
        <f ca="1">IF(B86="","",
IF(AND('Field information 2'!$O$5="", 'Field information 2'!$Q$5=""),
   IF('Waste results'!$P$23&lt;&gt;"", Calc!BC84*'Waste results'!$P$23, "no data"),
IF('Field information 2'!$Q$5="",
   IF(Calc!BD84=0,
     IF('Waste results'!$P$23&lt;&gt;"", Calc!BC84*'Waste results'!$P$23, "no data"),
   IF(Calc!BC84=0,
     IF('Waste results'!$P$59&lt;&gt;"", Calc!BD84*'Waste results'!$P$59, "no data"),
   IF(OR('Waste results'!$P$23&lt;&gt;"", 'Waste results'!$P$59&lt;&gt;""), Calc!BC84*'Waste results'!$P$23+ Calc!BD84*'Waste results'!$P$59, "no data"))),
IF(AND('Field information 2'!$M$5&lt;&gt;"", 'Field information 2'!$O$5&lt;&gt;"", 'Field information 2'!$Q$5&lt;&gt;""),
   IF(AND(Calc!BD84=0,Calc!BE84=0),
     IF('Waste results'!$P$23&lt;&gt;"", Calc!BC84*'Waste results'!$P$23, "no data"),
   IF(AND(Calc!BC84=0,Calc!BE84=0),
     IF('Waste results'!$P$59&lt;&gt;"", Calc!BD84*'Waste results'!$P$59, "no data"),
   IF(AND(Calc!BC84=0,Calc!BD84=0),
     IF('Waste results'!$P$95&lt;&gt;"", Calc!BE84*'Waste results'!$P$95, "no data"),
   IF(Calc!BE84=0,
     IF(OR('Waste results'!$P$23&lt;&gt;"", 'Waste results'!$P$59&lt;&gt;""), Calc!BC84*'Waste results'!$P$23+ Calc!BD84*'Waste results'!$P$59, "no data"),
   IF(Calc!BD84=0,
     IF(OR('Waste results'!$P$23&lt;&gt;"", 'Waste results'!$P$95&lt;&gt;""), Calc!BC84*'Waste results'!$P$23+ Calc!BE84*'Waste results'!$P$95, "no data"),
   IF(Calc!BC84=0,
     IF(OR('Waste results'!$P$59&lt;&gt;"", 'Waste results'!$P$95&lt;&gt;""), Calc!BD84*'Waste results'!$P$59+Calc!BE84*'Waste results'!$P$95, "no data"),
   IF(OR('Waste results'!$P$23&lt;&gt;"", 'Waste results'!$P$59&lt;&gt;"", 'Waste results'!$P$95&lt;&gt;""), Calc!BC84*'Waste results'!$P$23+Calc!BD84*'Waste results'!$P$59+ Calc!BE84*'Waste results'!$P$95, "no data")))))))))))</f>
        <v/>
      </c>
      <c r="Z86" s="7" t="str">
        <f ca="1">IF(OR(ISBLANK('Soil results'!I$7),ISBLANK('Soil results'!I89),'Soil results'!B89=""),"",
VLOOKUP(Calc!BI84,'Fertiliser recommendations'!$A$4:$AM$63,39,FALSE))</f>
        <v/>
      </c>
      <c r="AA86" s="91" t="str">
        <f t="shared" ca="1" si="21"/>
        <v/>
      </c>
      <c r="AB86" s="9" t="str">
        <f t="shared" ca="1" si="22"/>
        <v/>
      </c>
      <c r="AD86" s="48" t="str">
        <f>IF(ISBLANK('Soil results'!F89),"",'Soil results'!F89)</f>
        <v/>
      </c>
      <c r="AE86" s="49" t="str">
        <f ca="1">IF(B86="","",
IF(AND(Calc!BJ84="g", VLOOKUP(LEFT($B86,LEN($B86)-2),'Field information 2'!$B$12:$P$111,9,FALSE)&lt;&gt;"yes"),
 IF(Calc!BG84="10-25% OM", 5.9, IF(Calc!BG84="&gt;25% OM", 5.5, 6.2)),
IF(OR(Calc!BJ84="a", VLOOKUP(LEFT($B86,LEN($B86)-2),'Field information 2'!$B$12:$P$111,9,FALSE)="yes"),
 IF(Calc!BG84="10-25% OM", 6.4, IF(Calc!BG84="&gt;25% OM", 6, 6.7)), "")))</f>
        <v/>
      </c>
      <c r="AF86" s="91" t="str">
        <f ca="1">IF(B86="","",
IF('Waste results'!$Q$33="","no (significant) liming properties",
IF('Waste results'!Q$33&gt;100,"no (significant) liming properties",
IF(AD86="","",
IF(AD86&gt;=AE86,0,ROUNDDOWN((AE86-AD86)*Calc!BK84*'Waste results'!$Q$33+0.2,0))))))</f>
        <v/>
      </c>
      <c r="AG86" s="9" t="str">
        <f ca="1">IF(B86="","",
IF(T86=0,"n/a",
IF(AD86="","data missing",
IF(AND(AD86&lt;5,AF86="no (significant) liming properties"),"no waste application - pH too low",
IF(AND(AD86&gt;5.1,AF86="no (significant) liming properties",Calc!BH84&gt;25, LEFT(Calc!BI84,4)="graz"),"ok",
IF(AND(AD86&lt;=5.2,AF86="no (significant) liming properties"),"liming highly recommended",
IF(AF86=0,"no waste application - liming not required",
IF(AF86&lt;Calc!BC84,"application rate too high - exceeds liming requirement",
"ok"))))))))</f>
        <v/>
      </c>
      <c r="AI86" s="91" t="str">
        <f ca="1">IF(B86="","",
IF(AND('Field information 2'!$O$5="", 'Field information 2'!$Q$5=""),
   IF('Waste results'!$P$10&lt;&gt;"data missing", Calc!BC84*'Waste results'!$P$10, "data missing"),
IF('Field information 2'!$Q$5="",
   IF(Calc!BD84=0,
     IF('Waste results'!$P$10&lt;&gt;"data missing", Calc!BC84*'Waste results'!$P$10, "data missing"),
   IF(Calc!BC84=0,
     IF('Waste results'!$P$45&lt;&gt;"data missing", Calc!BD84*'Waste results'!$P$45, "data missing"),
   IF(OR('Waste results'!$P$10&lt;&gt;"data missing", 'Waste results'!$P$45&lt;&gt;"data missing"), Calc!BC84*'Waste results'!$P$10+ Calc!BD84*'Waste results'!$P$45, "data missing"))),
IF(AND('Field information 2'!$M$5&lt;&gt;"", 'Field information 2'!$O$5&lt;&gt;"", 'Field information 2'!$Q$5&lt;&gt;""),
   IF(AND(Calc!BD84=0,Calc!BE84=0),
     IF('Waste results'!$P$10&lt;&gt;"data missing", Calc!BC84*'Waste results'!$P$10, "data missing"),
   IF(AND(Calc!BC84=0,Calc!BE84=0),
     IF('Waste results'!$P$45&lt;&gt;"data missing", Calc!BD84*'Waste results'!$P$45, "data missing"),
   IF(AND(Calc!BC84=0,Calc!BD84=0),
     IF('Waste results'!$P$82&lt;&gt;"data missing", Calc!BE84*'Waste results'!$P$82, "data missing"),
   IF(Calc!BE84=0,
     IF(OR('Waste results'!$P$10&lt;&gt;"data missing", 'Waste results'!$P$45&lt;&gt;"data missing"), Calc!BC84*'Waste results'!$P$10+ Calc!BD84*'Waste results'!$P$45, "data missing"),
   IF(Calc!BD84=0,
     IF(OR('Waste results'!$P$10&lt;&gt;"data missing", 'Waste results'!$P$82&lt;&gt;"data missing"), Calc!BC84*'Waste results'!$P$10+ Calc!BE84*'Waste results'!$P$82, "data missing"),
   IF(Calc!BC84=0,
     IF(OR('Waste results'!$P$45&lt;&gt;"data missing", 'Waste results'!$P$82&lt;&gt;"data missing"), Calc!BD84*'Waste results'!$P$45+Calc!BE84*'Waste results'!$P$82, "data missing"),
   IF(OR('Waste results'!$P$10&lt;&gt;"data missing", 'Waste results'!$P$45&lt;&gt;"data missing", 'Waste results'!$P$82&lt;&gt;"data missing"), Calc!BC84*'Waste results'!$P$10+Calc!BD84*'Waste results'!$P$45+ Calc!BE84*'Waste results'!$P$82, "data missing")))))))))))</f>
        <v/>
      </c>
      <c r="AJ86" s="237" t="str">
        <f ca="1">IF(B86="","",
IF(AI86="data missing","data missing",
IF(Calc!BF84=0,"n/a",
IF(AND(Calc!BH84&gt;=8,AI86&lt;500),"no benefit",
IF(OR(AND(Calc!BH84&lt;=4,AI86&gt;=500),AND(Calc!BH84&lt;8,AI86&gt;5000)),"benefit",
"limited benefit")))))</f>
        <v/>
      </c>
      <c r="AL86" s="238" t="str">
        <f ca="1">IF(B86="","",
IF(AND('Field information 2'!$O$5="", 'Field information 2'!$Q$5=""),
   IF('Waste results'!$S$25&lt;&gt;"data missing", Calc!BC84*'Waste results'!$S$25, "data missing"),
IF('Field information 2'!$Q$5="",
   IF(Calc!BD84=0,
     IF('Waste results'!$S$25&lt;&gt;"data missing", Calc!BC84*'Waste results'!$S$25, "data missing"),
   IF(Calc!BC84=0,
     IF('Waste results'!$S$61&lt;&gt;"data missing", Calc!BD84*'Waste results'!$S$61, "data missing"),
   IF(OR('Waste results'!$S$25&lt;&gt;"data missing", 'Waste results'!$S$61&lt;&gt;"data missing"), Calc!BC84*'Waste results'!$S$25+ Calc!BD84*'Waste results'!$S$61, "data missing"))),
IF(AND('Field information 2'!$M$5&lt;&gt;"", 'Field information 2'!$O$5&lt;&gt;"", 'Field information 2'!$Q$5&lt;&gt;""),
   IF(AND(Calc!BD84=0,Calc!BE84=0),
     IF('Waste results'!$S$25&lt;&gt;"data missing", Calc!BC84*'Waste results'!$S$25, "data missing"),
   IF(AND(Calc!BC84=0,Calc!BE84=0),
     IF('Waste results'!$S$61&lt;&gt;"data missing", Calc!BD84*'Waste results'!$S$61, "data missing"),
   IF(AND(Calc!BC84=0,Calc!BD84=0),
     IF('Waste results'!$S$97&lt;&gt;"data missing", Calc!BE84*'Waste results'!$S$97, "data missing"),
   IF(Calc!BE84=0,
     IF(OR('Waste results'!$S$25&lt;&gt;"data missing", 'Waste results'!$S$61&lt;&gt;"data missing"), Calc!BC84*'Waste results'!$S$25+ Calc!BD84*'Waste results'!$S$61, "data missing"),
   IF(Calc!BD84=0,
     IF(OR('Waste results'!$S$25&lt;&gt;"data missing", 'Waste results'!$S$97&lt;&gt;"data missing"), Calc!BC84*'Waste results'!$S$25+ Calc!BE84*'Waste results'!$S$97, "data missing"),
   IF(Calc!BC84=0,
     IF(OR('Waste results'!$S$61&lt;&gt;"data missing", 'Waste results'!$S$97&lt;&gt;"data missing"), Calc!BD84*'Waste results'!$S$61+Calc!BE84*'Waste results'!$S$97, "data missing"),
   IF(OR('Waste results'!$S$25&lt;&gt;"data missing", 'Waste results'!$S$61&lt;&gt;"data missing", 'Waste results'!$S$97&lt;&gt;"data missing"), Calc!BC84*'Waste results'!$S$25+Calc!BD84*'Waste results'!$S$61+ Calc!BE84*'Waste results'!$S$97, "data missing")))))))))))</f>
        <v/>
      </c>
      <c r="AM86" s="239" t="str">
        <f ca="1">IF($B86="","",
IF(ISBLANK('Soil results'!K89),"data missing",'Soil results'!K89))</f>
        <v/>
      </c>
      <c r="AN86" s="239" t="str">
        <f t="shared" ca="1" si="23"/>
        <v/>
      </c>
      <c r="AO86" s="9" t="str">
        <f t="shared" ca="1" si="24"/>
        <v/>
      </c>
      <c r="AQ86" s="240" t="str">
        <f ca="1">IF(B86="","",
IF(AND('Field information 2'!$O$5="", 'Field information 2'!$Q$5=""),
   IF('Waste results'!$S$26&lt;&gt;"data missing", Calc!BC84*'Waste results'!$S$26, "data missing"),
IF('Field information 2'!$Q$5="",
   IF(Calc!BD84=0,
     IF('Waste results'!$S$26&lt;&gt;"data missing", Calc!BC84*'Waste results'!$S$26, "data missing"),
   IF(Calc!BC84=0,
     IF('Waste results'!$S$62&lt;&gt;"data missing", Calc!BD84*'Waste results'!$S$62, "data missing"),
   IF(OR('Waste results'!$S$26&lt;&gt;"data missing", 'Waste results'!$S$62&lt;&gt;"data missing"), Calc!BC84*'Waste results'!$S$26+ Calc!BD84*'Waste results'!$S$62, "data missing"))),
IF(AND('Field information 2'!$M$5&lt;&gt;"", 'Field information 2'!$O$5&lt;&gt;"", 'Field information 2'!$Q$5&lt;&gt;""),
   IF(AND(Calc!BD84=0,Calc!BE84=0),
     IF('Waste results'!$S$26&lt;&gt;"data missing", Calc!BC84*'Waste results'!$S$26, "data missing"),
   IF(AND(Calc!BC84=0,Calc!BE84=0),
     IF('Waste results'!$S$62&lt;&gt;"data missing", Calc!BD84*'Waste results'!$S$62, "data missing"),
   IF(AND(Calc!BC84=0,Calc!BD84=0),
     IF('Waste results'!$S$98&lt;&gt;"data missing", Calc!BE84*'Waste results'!$S$98, "data missing"),
   IF(Calc!BE84=0,
     IF(OR('Waste results'!$S$26&lt;&gt;"data missing", 'Waste results'!$S$62&lt;&gt;"data missing"), Calc!BC84*'Waste results'!$S$26+ Calc!BD84*'Waste results'!$S$62, "data missing"),
   IF(Calc!BD84=0,
     IF(OR('Waste results'!$S$26&lt;&gt;"data missing", 'Waste results'!$S$98&lt;&gt;"data missing"), Calc!BC84*'Waste results'!$S$26+ Calc!BE84*'Waste results'!$S$98, "data missing"),
   IF(Calc!BC84=0,
     IF(OR('Waste results'!$S$62&lt;&gt;"data missing", 'Waste results'!$S$98&lt;&gt;"data missing"), Calc!BD84*'Waste results'!$S$62+Calc!BE84*'Waste results'!$S$98, "data missing"),
   IF(OR('Waste results'!$S$26&lt;&gt;"data missing", 'Waste results'!$S$62&lt;&gt;"data missing", 'Waste results'!$S$98&lt;&gt;"data missing"), Calc!BC84*'Waste results'!$S$26+Calc!BD84*'Waste results'!$S$62+ Calc!BE84*'Waste results'!$S$98, "data missing")))))))))))</f>
        <v/>
      </c>
      <c r="AR86" s="241" t="str">
        <f ca="1">IF($B86="","",
IF(ISBLANK('Soil results'!L89),"data missing",'Soil results'!L89))</f>
        <v/>
      </c>
      <c r="AS86" s="241" t="str">
        <f t="shared" ca="1" si="25"/>
        <v/>
      </c>
      <c r="AT86" s="66" t="str">
        <f t="shared" ca="1" si="26"/>
        <v/>
      </c>
      <c r="AV86" s="238" t="str">
        <f ca="1">IF(B86="","",
IF(AND('Field information 2'!$O$5="", 'Field information 2'!$Q$5=""),
   IF('Waste results'!$S$27&lt;&gt;"data missing", Calc!BC84*'Waste results'!$S$27, "data missing"),
IF('Field information 2'!$Q$5="",
   IF(Calc!BD84=0,
     IF('Waste results'!$S$27&lt;&gt;"data missing", Calc!BC84*'Waste results'!$S$27, "data missing"),
   IF(Calc!BC84=0,
     IF('Waste results'!$S$63&lt;&gt;"data missing", Calc!BD84*'Waste results'!$S$63, "data missing"),
   IF(OR('Waste results'!$S$27&lt;&gt;"data missing", 'Waste results'!$S$63&lt;&gt;"data missing"), Calc!BC84*'Waste results'!$S$27+ Calc!BD84*'Waste results'!$S$63, "data missing"))),
IF(AND('Field information 2'!$M$5&lt;&gt;"", 'Field information 2'!$O$5&lt;&gt;"", 'Field information 2'!$Q$5&lt;&gt;""),
   IF(AND(Calc!BD84=0,Calc!BE84=0),
     IF('Waste results'!$S$27&lt;&gt;"data missing", Calc!BC84*'Waste results'!$S$27, "data missing"),
   IF(AND(Calc!BC84=0,Calc!BE84=0),
     IF('Waste results'!$S$63&lt;&gt;"data missing", Calc!BD84*'Waste results'!$S$63, "data missing"),
   IF(AND(Calc!BC84=0,Calc!BD84=0),
     IF('Waste results'!$S$99&lt;&gt;"data missing", Calc!BE84*'Waste results'!$S$99, "data missing"),
   IF(Calc!BE84=0,
     IF(OR('Waste results'!$S$27&lt;&gt;"data missing", 'Waste results'!$S$63&lt;&gt;"data missing"), Calc!BC84*'Waste results'!$S$27+ Calc!BD84*'Waste results'!$S$63, "data missing"),
   IF(Calc!BD84=0,
     IF(OR('Waste results'!$S$27&lt;&gt;"data missing", 'Waste results'!$S$99&lt;&gt;"data missing"), Calc!BC84*'Waste results'!$S$27+ Calc!BE84*'Waste results'!$S$99, "data missing"),
   IF(Calc!BC84=0,
     IF(OR('Waste results'!$S$63&lt;&gt;"data missing", 'Waste results'!$S$99&lt;&gt;"data missing"), Calc!BD84*'Waste results'!$S$63+Calc!BE84*'Waste results'!$S$99, "data missing"),
   IF(OR('Waste results'!$S$27&lt;&gt;"data missing", 'Waste results'!$S$63&lt;&gt;"data missing", 'Waste results'!$S$99&lt;&gt;"data missing"), Calc!BC84*'Waste results'!$S$27+Calc!BD84*'Waste results'!$S$63+ Calc!BE84*'Waste results'!$S$99, "data missing")))))))))))</f>
        <v/>
      </c>
      <c r="AW86" s="239" t="str">
        <f ca="1">IF($B86="","",
IF(ISBLANK('Soil results'!M89),"data missing",'Soil results'!M89))</f>
        <v/>
      </c>
      <c r="AX86" s="239" t="str">
        <f t="shared" ca="1" si="27"/>
        <v/>
      </c>
      <c r="AY86" s="9" t="str">
        <f ca="1">IF(B86="","",
IF(AV86=0,"n/a",
IF(OR(AV86="data missing",AW86="data missing"),"data missing",
IF(AV86&gt;7.5,"application rate too high - permissible rate exceeds limit",
IF('Soil results'!$F89&lt;=5.5,
  IF(AW86&gt;80,"no application - soil conc. already above limit",
  IF(AX86&gt;80,"application rate too high - soil conc. will exceed limit",
  IF(AW86&gt;80*0.9,"soil conc. is at or above 90% of the limit",
  IF(10*AV86*1000/3000+AW86&gt;80,"soil limit likely to be exceeded in 10yrs",
  IF(50*AV86*1000/3000+AW86&gt;80,"soil limit likely to be exceeded in 50yrs","ok"))))),
IF('Soil results'!$F89&lt;=6,
  IF(AW86&gt;100,"no application - soil conc. already above limit",
  IF(AX86&gt;100,"application rate too high - soil conc. will exceed limit",
  IF(AW86&gt;100*0.9,"soil conc. is at or above 90% of the limit",
  IF(10*AV86*1000/3000+AW86&gt;100,"soil limit likely to be exceeded in 10yrs",
  IF(50*AV86*1000/3000+AW86&gt;100,"soil limit likely to be exceeded in 50yrs","ok"))))),
IF('Soil results'!$F89&lt;=7,
  IF(AW86&gt;135,"no application - soil conc. already above limit",
  IF(AX86&gt;135,"application rate too high - soil conc. will exceed limit",
  IF(AW86&gt;135*0.9,"soil conc. is at or above 90% of the limit",
  IF(10*AV86*1000/3000+AW86&gt;135,"soil limit likely to be exceeded in 10yrs",
  IF(50*AV86*1000/3000+AW86&gt;135,"soil limit likely to be exceeded in 50yrs","ok"))))),
IF('Soil results'!$F89&gt;7,
  IF(AW86&gt;200,"no application - soil conc. already above limit",
  IF(AX86&gt;200,"application too high - soil conc. will exceed limit",
  IF(AW86&gt;200*0.9,"soil conc. is at or above 90% of the limit",
  IF(10*AV86*1000/3000+AW86&gt;200,"soil limit likely to be exceeded in 10yrs",
  IF(50*AV86*1000/3000+AW86&gt;200,"soil limit likely to be exceeded in 50yrs","ok")))))
))))))))</f>
        <v/>
      </c>
      <c r="BA86" s="238" t="str">
        <f ca="1">IF(B86="","",
IF(AND('Field information 2'!$O$5="", 'Field information 2'!$Q$5=""),
   IF('Waste results'!$S$28&lt;&gt;"data missing", Calc!BC84*'Waste results'!$S$28, "data missing"),
IF('Field information 2'!$Q$5="",
   IF(Calc!BD84=0,
     IF('Waste results'!$S$28&lt;&gt;"data missing", Calc!BC84*'Waste results'!$S$28, "data missing"),
   IF(Calc!BC84=0,
     IF('Waste results'!$S$64&lt;&gt;"data missing", Calc!BD84*'Waste results'!$S$64, "data missing"),
   IF(OR('Waste results'!$S$28&lt;&gt;"data missing", 'Waste results'!$S$64&lt;&gt;"data missing"), Calc!BC84*'Waste results'!$S$28+ Calc!BD84*'Waste results'!$S$64, "data missing"))),
IF(AND('Field information 2'!$M$5&lt;&gt;"", 'Field information 2'!$O$5&lt;&gt;"", 'Field information 2'!$Q$5&lt;&gt;""),
   IF(AND(Calc!BD84=0,Calc!BE84=0),
     IF('Waste results'!$S$28&lt;&gt;"data missing", Calc!BC84*'Waste results'!$S$28, "data missing"),
   IF(AND(Calc!BC84=0,Calc!BE84=0),
     IF('Waste results'!$S$64&lt;&gt;"data missing", Calc!BD84*'Waste results'!$S$64, "data missing"),
   IF(AND(Calc!BC84=0,Calc!BD84=0),
     IF('Waste results'!$S$100&lt;&gt;"data missing", Calc!BE84*'Waste results'!$S$100, "data missing"),
   IF(Calc!BE84=0,
     IF(OR('Waste results'!$S$28&lt;&gt;"data missing", 'Waste results'!$S$64&lt;&gt;"data missing"), Calc!BC84*'Waste results'!$S$28+ Calc!BD84*'Waste results'!$S$64, "data missing"),
   IF(Calc!BD84=0,
     IF(OR('Waste results'!$S$28&lt;&gt;"data missing", 'Waste results'!$S$100&lt;&gt;"data missing"), Calc!BC84*'Waste results'!$S$28+ Calc!BE84*'Waste results'!$S$100, "data missing"),
   IF(Calc!BC84=0,
     IF(OR('Waste results'!$S$64&lt;&gt;"data missing", 'Waste results'!$S$100&lt;&gt;"data missing"), Calc!BD84*'Waste results'!$S$64+Calc!BE84*'Waste results'!$S$100, "data missing"),
   IF(OR('Waste results'!$S$28&lt;&gt;"data missing", 'Waste results'!$S$64&lt;&gt;"data missing", 'Waste results'!$S$100&lt;&gt;"data missing"), Calc!BC84*'Waste results'!$S$28+Calc!BD84*'Waste results'!$S$64+ Calc!BE84*'Waste results'!$S$100, "data missing")))))))))))</f>
        <v/>
      </c>
      <c r="BB86" s="239" t="str">
        <f ca="1">IF($B86="","",
IF(ISBLANK('Soil results'!N89),"data missing",'Soil results'!N89))</f>
        <v/>
      </c>
      <c r="BC86" s="239" t="str">
        <f t="shared" ca="1" si="28"/>
        <v/>
      </c>
      <c r="BD86" s="9" t="str">
        <f t="shared" ca="1" si="29"/>
        <v/>
      </c>
      <c r="BF86" s="238" t="str">
        <f ca="1">IF(B86="","",
IF(AND('Field information 2'!$O$5="", 'Field information 2'!$Q$5=""),
   IF('Waste results'!$S$29&lt;&gt;"data missing", Calc!BC84*'Waste results'!$S$29, "data missing"),
IF('Field information 2'!$Q$5="",
   IF(Calc!BD84=0,
     IF('Waste results'!$S$29&lt;&gt;"data missing", Calc!BC84*'Waste results'!$S$29, "data missing"),
   IF(Calc!BC84=0,
     IF('Waste results'!$S$65&lt;&gt;"data missing", Calc!BD84*'Waste results'!$S$65, "data missing"),
   IF(OR('Waste results'!$S$29&lt;&gt;"data missing", 'Waste results'!$S$65&lt;&gt;"data missing"), Calc!BC84*'Waste results'!$S$29+ Calc!BD84*'Waste results'!$S$65, "data missing"))),
IF(AND('Field information 2'!$M$5&lt;&gt;"", 'Field information 2'!$O$5&lt;&gt;"", 'Field information 2'!$Q$5&lt;&gt;""),
   IF(AND(Calc!BD84=0,Calc!BE84=0),
     IF('Waste results'!$S$29&lt;&gt;"data missing", Calc!BC84*'Waste results'!$S$29, "data missing"),
   IF(AND(Calc!BC84=0,Calc!BE84=0),
     IF('Waste results'!$S$65&lt;&gt;"data missing", Calc!BD84*'Waste results'!$S$65, "data missing"),
   IF(AND(Calc!BC84=0,Calc!BD84=0),
     IF('Waste results'!$S$101&lt;&gt;"data missing", Calc!BE84*'Waste results'!$S$101, "data missing"),
   IF(Calc!BE84=0,
     IF(OR('Waste results'!$S$29&lt;&gt;"data missing", 'Waste results'!$S$65&lt;&gt;"data missing"), Calc!BC84*'Waste results'!$S$29+ Calc!BD84*'Waste results'!$S$65, "data missing"),
   IF(Calc!BD84=0,
     IF(OR('Waste results'!$S$29&lt;&gt;"data missing", 'Waste results'!$S$101&lt;&gt;"data missing"), Calc!BC84*'Waste results'!$S$29+ Calc!BE84*'Waste results'!$S$101, "data missing"),
   IF(Calc!BC84=0,
     IF(OR('Waste results'!$S$65&lt;&gt;"data missing", 'Waste results'!$S$101&lt;&gt;"data missing"), Calc!BD84*'Waste results'!$S$65+Calc!BE84*'Waste results'!$S$101, "data missing"),
   IF(OR('Waste results'!$S$29&lt;&gt;"data missing", 'Waste results'!$S$65&lt;&gt;"data missing", 'Waste results'!$S$101&lt;&gt;"data missing"), Calc!BC84*'Waste results'!$S$29+Calc!BD84*'Waste results'!$S$65+ Calc!BE84*'Waste results'!$S$101, "data missing")))))))))))</f>
        <v/>
      </c>
      <c r="BG86" s="239" t="str">
        <f ca="1">IF($B86="","",
IF(ISBLANK('Soil results'!O89),"data missing",'Soil results'!O89))</f>
        <v/>
      </c>
      <c r="BH86" s="239" t="str">
        <f t="shared" ca="1" si="30"/>
        <v/>
      </c>
      <c r="BI86" s="9" t="str">
        <f ca="1">IF(B86="","",
IF(BF86=0,"n/a",
IF(OR(BF86="data missing",BG86="data missing"),"data missing",
IF(BF86&gt;3,"application rate too high - permissible rate exceeds limit",
IF('Soil results'!F89&lt;=5.5,
  IF(BG86&gt;50,"no application - soil conc. already above limit",
  IF(BH86&gt;50,"application rate too high - soil conc. will exceed limit",
  IF(BG86&gt;50*0.9,"soil conc. is at or above 90% of the limit",
  IF(10*BF86*1000/3000+BG86&gt;50,"soil limit likely to be exceeded in 10yrs",
  IF(50*BF86*1000/3000+BG86&gt;50,"soil limit likely to be exceeded in 50yrs","ok"))))),
IF('Soil results'!F89&lt;=6,
  IF(BG86&gt;60,"no application - soil conc. already above limit",
  IF(BH86&gt;60,"application rate too high - soil conc. will exceed limit",
  IF(BG86&gt;60*0.9,"soil conc. is at or above 90% of the limit",
  IF(10*BF86*1000/3000+BG86&gt;60,"soil limit likely to be exceeded in 10yrs",
  IF(50*BF86*1000/3000+BG86&gt;60,"soil limit likely to be exceeded in 50yrs","ok"))))),
IF('Soil results'!F89&lt;=7,
  IF(BG86&gt;75,"no application - soil conc. already above limit",
  IF(BH86&gt;75,"application rate too high - soil conc. will exceed limit",
  IF(BG86&gt;75*0.9,"soil conc. is at or above 90% of the limit",
  IF(10*BF86*1000/3000+BG86&gt;75,"soil limit likely to be exceeded in 10yrs",
  IF(50*BF86*1000/3000+BG86&gt;75,"soil limit likely to be exceeded in 50yrs","ok"))))),
IF('Soil results'!F89&gt;7,
  IF(BG86&gt;100,"no application - soil conc. already above limit",
  IF(BH86&gt;100,"application rate too high - soil conc. will exceed limit",
  IF(BG86&gt;100*0.9,"soil conc. is at or above 90% of the limit",
  IF(10*BF86*1000/3000+BG86&gt;100,"soil limit likely to be exceeded in 10yrs",
  IF(50*BF86*1000/3000+BG86&gt;100,"soil limit likely to beexceeded in 50yrs","ok")))))
))))))))</f>
        <v/>
      </c>
      <c r="BK86" s="240" t="str">
        <f ca="1">IF(B86="","",
IF(AND('Field information 2'!$O$5="", 'Field information 2'!$Q$5=""),
   IF('Waste results'!$S$30&lt;&gt;"data missing", Calc!BC84*'Waste results'!$S$30, "data missing"),
IF('Field information 2'!$Q$5="",
   IF(Calc!BD84=0,
     IF('Waste results'!$S$30&lt;&gt;"data missing", Calc!BC84*'Waste results'!$S$30, "data missing"),
   IF(Calc!BC84=0,
     IF('Waste results'!$S$66&lt;&gt;"data missing", Calc!BD84*'Waste results'!$S$66, "data missing"),
   IF(OR('Waste results'!$S$30&lt;&gt;"data missing", 'Waste results'!$S$66&lt;&gt;"data missing"), Calc!BC84*'Waste results'!$S$30+ Calc!BD84*'Waste results'!$S$66, "data missing"))),
IF(AND('Field information 2'!$M$5&lt;&gt;"", 'Field information 2'!$O$5&lt;&gt;"", 'Field information 2'!$Q$5&lt;&gt;""),
   IF(AND(Calc!BD84=0,Calc!BE84=0),
     IF('Waste results'!$S$30&lt;&gt;"data missing", Calc!BC84*'Waste results'!$S$30, "data missing"),
   IF(AND(Calc!BC84=0,Calc!BE84=0),
     IF('Waste results'!$S$66&lt;&gt;"data missing", Calc!BD84*'Waste results'!$S$66, "data missing"),
   IF(AND(Calc!BC84=0,Calc!BD84=0),
     IF('Waste results'!$S$102&lt;&gt;"data missing", Calc!BE84*'Waste results'!$S$102, "data missing"),
   IF(Calc!BE84=0,
     IF(OR('Waste results'!$S$30&lt;&gt;"data missing", 'Waste results'!$S$66&lt;&gt;"data missing"), Calc!BC84*'Waste results'!$S$30+ Calc!BD84*'Waste results'!$S$66, "data missing"),
   IF(Calc!BD84=0,
     IF(OR('Waste results'!$S$30&lt;&gt;"data missing", 'Waste results'!$S$102&lt;&gt;"data missing"), Calc!BC84*'Waste results'!$S$30+ Calc!BE84*'Waste results'!$S$102, "data missing"),
   IF(Calc!BC84=0,
     IF(OR('Waste results'!$S$66&lt;&gt;"data missing", 'Waste results'!$S$102&lt;&gt;"data missing"), Calc!BD84*'Waste results'!$S$66+Calc!BE84*'Waste results'!$S$102, "data missing"),
   IF(OR('Waste results'!$S$30&lt;&gt;"data missing", 'Waste results'!$S$66&lt;&gt;"data missing", 'Waste results'!$S$102&lt;&gt;"data missing"), Calc!BC84*'Waste results'!$S$30+Calc!BD84*'Waste results'!$S$66+ Calc!BE84*'Waste results'!$S$102, "data missing")))))))))))</f>
        <v/>
      </c>
      <c r="BL86" s="241" t="str">
        <f ca="1">IF($B86="","",
IF(ISBLANK('Soil results'!P89),"data missing",'Soil results'!P89))</f>
        <v/>
      </c>
      <c r="BM86" s="241" t="str">
        <f t="shared" ca="1" si="31"/>
        <v/>
      </c>
      <c r="BN86" s="66" t="str">
        <f t="shared" ca="1" si="32"/>
        <v/>
      </c>
      <c r="BP86" s="238" t="str">
        <f ca="1">IF(B86="","",
IF(AND('Field information 2'!$O$5="", 'Field information 2'!$Q$5=""),
   IF('Waste results'!$S$31&lt;&gt;"data missing", Calc!BC84*'Waste results'!$S$31, "data missing"),
IF('Field information 2'!$Q$5="",
   IF(Calc!BD84=0,
     IF('Waste results'!$S$31&lt;&gt;"data missing", Calc!BC84*'Waste results'!$S$31, "data missing"),
   IF(Calc!BC84=0,
     IF('Waste results'!$S$67&lt;&gt;"data missing", Calc!BD84*'Waste results'!$S$67, "data missing"),
   IF(OR('Waste results'!$S$31&lt;&gt;"data missing", 'Waste results'!$S$67&lt;&gt;"data missing"), Calc!BC84*'Waste results'!$S$31+ Calc!BD84*'Waste results'!$S$67, "data missing"))),
IF(AND('Field information 2'!$M$5&lt;&gt;"", 'Field information 2'!$O$5&lt;&gt;"", 'Field information 2'!$Q$5&lt;&gt;""),
   IF(AND(Calc!BD84=0,Calc!BE84=0),
     IF('Waste results'!$S$31&lt;&gt;"data missing", Calc!BC84*'Waste results'!$S$31, "data missing"),
   IF(AND(Calc!BC84=0,Calc!BE84=0),
     IF('Waste results'!$S$67&lt;&gt;"data missing", Calc!BD84*'Waste results'!$S$67, "data missing"),
   IF(AND(Calc!BC84=0,Calc!BD84=0),
     IF('Waste results'!$S$103&lt;&gt;"data missing", Calc!BE84*'Waste results'!$S$103, "data missing"),
   IF(Calc!BE84=0,
     IF(OR('Waste results'!$S$31&lt;&gt;"data missing", 'Waste results'!$S$67&lt;&gt;"data missing"), Calc!BC84*'Waste results'!$S$31+ Calc!BD84*'Waste results'!$S$67, "data missing"),
   IF(Calc!BD84=0,
     IF(OR('Waste results'!$S$31&lt;&gt;"data missing", 'Waste results'!$S$103&lt;&gt;"data missing"), Calc!BC84*'Waste results'!$S$31+ Calc!BE84*'Waste results'!$S$103, "data missing"),
   IF(Calc!BC84=0,
     IF(OR('Waste results'!$S$67&lt;&gt;"data missing", 'Waste results'!$S$103&lt;&gt;"data missing"), Calc!BD84*'Waste results'!$S$67+Calc!BE84*'Waste results'!$S$103, "data missing"),
   IF(OR('Waste results'!$S$31&lt;&gt;"data missing", 'Waste results'!$S$67&lt;&gt;"data missing", 'Waste results'!$S$103&lt;&gt;"data missing"), Calc!BC84*'Waste results'!$S$31+Calc!BD84*'Waste results'!$S$67+ Calc!BE84*'Waste results'!$S$103, "data missing")))))))))))</f>
        <v/>
      </c>
      <c r="BQ86" s="239" t="str">
        <f ca="1">IF($B86="","",
IF(ISBLANK('Soil results'!Q89),"data missing",'Soil results'!Q89))</f>
        <v/>
      </c>
      <c r="BR86" s="239" t="str">
        <f t="shared" ca="1" si="33"/>
        <v/>
      </c>
      <c r="BS86" s="9" t="str">
        <f ca="1">IF(B86="","",
IF(BP86=0,"n/a",
IF(OR(BP86="data missing",BQ86=""),"data missing",
IF(BP86&gt;15,"application rate too high - permissible rate exceeds limit",
IF('Soil results'!F89&lt;=5.5,
  IF(BQ86&gt;200,"no application - soil conc. already above limit",
  IF(BR86&gt;200,"application rate too high - soil conc. will exceed limit",
  IF(BQ86&gt;200*0.9,"soil conc. is at or above 90% of the limit",
  IF(10*BP86*1000/3000+BQ86&gt;200,"soil limit likely to be exceeded in 10yrs",
  IF(50*BP86*1000/3000+BQ86&gt;200,"soil limit likely to be exceeded in 50yrs","ok"))))),
IF('Soil results'!F89&lt;=6,
  IF(BQ86&gt;250,"no application - soil conc. already above limit",
  IF(BR86&gt;250,"application rate too high - soil conc. will exceed limit",
  IF(BQ86&gt;250*0.9,"soil conc. is at or above 90% of the limit",
  IF(10*BP86*1000/3000+BQ86&gt;250,"soil limit likely to be exceeded in 10yrs",
  IF(50*BP86*1000/3000+BQ86&gt;250,"soil limit likely to be exceeded in 50yrs","ok"))))),
IF('Soil results'!F89&lt;=7,
  IF(BQ86&gt;300,"no application - soil conc. already above limit",
  IF(BR86&gt;300,"application rate too high - soil conc. will exceed limit",
  IF(BQ86&gt;300*0.9,"soil conc. is at or above 90% of the limit",
  IF(10*BP86*1000/3000+BQ86&gt;300,"soil limit likey to be exceeded in 10yrs",
  IF(50*BP86*1000/3000+BQ86&gt;300,"soil limit likely to be exceeded in 50yrs","ok"))))),
IF('Soil results'!F89&gt;7,
  IF(BQ86&gt;450,"no application - soil conc. already above limit",
  IF(BR86&gt;450,"application rate too high - soil conc. will exceed limit",
  IF(AW86&gt;450*0.9,"soil conc. is at or above 90% of the limit",
  IF(10*BP86*1000/3000+BQ86&gt;450,"soil limit likely to be exceeded in 10yrs",
  IF(50*BP86*1000/3000+BQ86&gt;450,"soil limit likely to be exceeded in 50yrs","ok")))))
))))))))</f>
        <v/>
      </c>
    </row>
    <row r="87" spans="2:71" s="9" customFormat="1" ht="15" x14ac:dyDescent="0.25">
      <c r="B87" s="236" t="str">
        <f ca="1">'Soil results'!B90</f>
        <v/>
      </c>
      <c r="C87" s="91" t="str">
        <f ca="1">IF(B87="","",
IF(AND('Field information 2'!$O$5="", 'Field information 2'!$Q$5=""),
   IF('Waste results'!$S$12&lt;&gt;"data missing", Calc!BC85*'Waste results'!$S$12, "data missing"),
IF('Field information 2'!$Q$5="",
   IF(Calc!BD85=0,
     IF('Waste results'!$S$12&lt;&gt;"data missing", Calc!BC85*'Waste results'!$S$12, "data missing"),
   IF(Calc!BC85=0,
     IF('Waste results'!$S$48&lt;&gt;"data missing", Calc!BD85*'Waste results'!$S$48, "data missing"),
   IF(OR('Waste results'!$S$12&lt;&gt;"data missing", 'Waste results'!$S$48&lt;&gt;"data missing"), Calc!BC85*'Waste results'!$S$12+ Calc!BD85*'Waste results'!$S$48, "data missing"))),
IF(AND('Field information 2'!$M$5&lt;&gt;"", 'Field information 2'!$O$5&lt;&gt;"", 'Field information 2'!$Q$5&lt;&gt;""),
   IF(AND(Calc!BD85=0,Calc!BE85=0),
     IF('Waste results'!$S$12&lt;&gt;"data missing", Calc!BC85*'Waste results'!$S$12, "data missing"),
   IF(AND(Calc!BC85=0,Calc!BE85=0),
     IF('Waste results'!$S$48&lt;&gt;"data missing", Calc!BD85*'Waste results'!$S$48, "data missing"),
   IF(AND(Calc!BC85=0,Calc!BD85=0),
     IF('Waste results'!$S$84&lt;&gt;"data missing", Calc!BE85*'Waste results'!$S$84, "data missing"),
   IF(Calc!BE85=0,
     IF(OR('Waste results'!$S$12&lt;&gt;"data missing", 'Waste results'!$S$48&lt;&gt;"data missing"), Calc!BC85*'Waste results'!$S$12+ Calc!BD85*'Waste results'!$S$48, "data missing"),
   IF(Calc!BD85=0,
     IF(OR('Waste results'!$S$12&lt;&gt;"data missing", 'Waste results'!$S$84&lt;&gt;"data missing"), Calc!BC85*'Waste results'!$S$12+ Calc!BE85*'Waste results'!$S$84, "data missing"),
   IF(Calc!BC85=0,
     IF(OR('Waste results'!$S$48&lt;&gt;"data missing", 'Waste results'!$S$84&lt;&gt;"data missing"), Calc!BD85*'Waste results'!$S$48+Calc!BE85*'Waste results'!$S$84, "data missing"),
   IF(OR('Waste results'!$S$12&lt;&gt;"data missing", 'Waste results'!$S$48&lt;&gt;"data missing", 'Waste results'!$S$84&lt;&gt;"data missing"), Calc!BC85*'Waste results'!$S$12+Calc!BD85*'Waste results'!$S$48+ Calc!BE85*'Waste results'!$S$84, "data missing")))))))))))</f>
        <v/>
      </c>
      <c r="D87" s="161" t="str">
        <f ca="1">IF(B87="","",
IF(Calc!BG85="","soil texture missing",
IF(OR(Calc!BG85="SL; SZL; ZL",Calc!BG85="SCL; CL; ZCL; SC; ZC; C"),VLOOKUP(Calc!BI85,'Fertiliser recommendations'!$A$4:$C$63,3,FALSE),
IF(Calc!BG85="S; LS",VLOOKUP(Calc!BI85,'Fertiliser recommendations'!$A$4:$C$63,3,FALSE)+VLOOKUP(Calc!BI85,'Fertiliser recommendations'!$A$4:$D$63,4,FALSE),
IF(Calc!BG85="10-25% OM",VLOOKUP(Calc!BI85,'Fertiliser recommendations'!$A$4:$C$63,3,FALSE)+VLOOKUP(Calc!BI85,'Fertiliser recommendations'!$A$4:$E$63,5,FALSE),
IF(Calc!BG85="&gt;25% OM",VLOOKUP(Calc!BI85,'Fertiliser recommendations'!$A$4:$C$63,3,FALSE)+VLOOKUP(Calc!BI85,'Fertiliser recommendations'!$A$4:$F$63,6,FALSE),
""))))))</f>
        <v/>
      </c>
      <c r="E87" s="91" t="str">
        <f t="shared" ca="1" si="17"/>
        <v/>
      </c>
      <c r="F87" s="9" t="str">
        <f ca="1">IF(B87="","",
IF(OR(C87="data missing",D87="soil texture missing"),"data missing",
IF(Calc!BF85=0,"n/a",
IF(C87&lt;0.1*D87,"no benefit",
IF(C87&lt;0.3*D87,"limited benefit",
IF(C87&gt;250,"exceeds limit",
IF(OR(AND(D87=0,C87&gt;75),C87&gt;1.25*D87),"excessive",
IF(D87=0, "no requirement",
"benefit"))))))))</f>
        <v/>
      </c>
      <c r="H87" s="91" t="str">
        <f ca="1">IF(B87="","",
IF(AND('Field information 2'!$O$5="", 'Field information 2'!$Q$5=""),
   IF('Waste results'!$S$17&lt;&gt;"data missing", Calc!BC85*'Waste results'!$S$17, "data missing"),
IF('Field information 2'!$Q$5="",
   IF(Calc!BD85=0,
     IF('Waste results'!$S$17&lt;&gt;"data missing", Calc!BC85*'Waste results'!$S$17, "data missing"),
   IF(Calc!BC85=0,
     IF('Waste results'!$S$53&lt;&gt;"data missing", Calc!BD85*'Waste results'!$S$53, "data missing"),
   IF(OR('Waste results'!$S$17&lt;&gt;"data missing", 'Waste results'!$S$53&lt;&gt;"data missing"), Calc!BC85*'Waste results'!$S$17+ Calc!BD85*'Waste results'!$S$53, "data missing"))),
IF(AND('Field information 2'!$M$5&lt;&gt;"", 'Field information 2'!$O$5&lt;&gt;"", 'Field information 2'!$Q$5&lt;&gt;""),
   IF(AND(Calc!BD85=0,Calc!BE85=0),
     IF('Waste results'!$S$17&lt;&gt;"data missing", Calc!BC85*'Waste results'!$S$17, "data missing"),
   IF(AND(Calc!BC85=0,Calc!BE85=0),
     IF('Waste results'!$S$53&lt;&gt;"data missing", Calc!BD85*'Waste results'!$S$53, "data missing"),
   IF(AND(Calc!BC85=0,Calc!BD85=0),
     IF('Waste results'!$S$89&lt;&gt;"data missing", Calc!BE85*'Waste results'!$S$89, "data missing"),
   IF(Calc!BE85=0,
     IF(OR('Waste results'!$S$17&lt;&gt;"data missing", 'Waste results'!$S$53&lt;&gt;"data missing"), Calc!BC85*'Waste results'!$S$17+ Calc!BD85*'Waste results'!$S$53, "data missing"),
   IF(Calc!BD85=0,
     IF(OR('Waste results'!$S$17&lt;&gt;"data missing", 'Waste results'!$S$89&lt;&gt;"data missing"), Calc!BC85*'Waste results'!$S$17+ Calc!BE85*'Waste results'!$S$89, "data missing"),
   IF(Calc!BC85=0,
     IF(OR('Waste results'!$S$53&lt;&gt;"data missing", 'Waste results'!$S$89&lt;&gt;"data missing"), Calc!BD85*'Waste results'!$S$53+Calc!BE85*'Waste results'!$S$89, "data missing"),
   IF(OR('Waste results'!$S$17&lt;&gt;"data missing", 'Waste results'!$S$53&lt;&gt;"data missing", 'Waste results'!$S$89&lt;&gt;"data missing"), Calc!BC85*'Waste results'!$S$17+Calc!BD85*'Waste results'!$S$53+ Calc!BE85*'Waste results'!$S$89, "data missing")))))))))))</f>
        <v/>
      </c>
      <c r="I87" s="195" t="str">
        <f ca="1">IF(B87="","",
IF(OR(ISBLANK('Soil results'!G90), ISBLANK('Soil results'!G$7)),"data missing",
IF(OR(AND('Soil results'!G$7="Olsen (ADAS)",'Soil results'!G90&lt;16),AND('Soil results'!G$7="modified Morgan (SAC)",'Soil results'!G90&lt;4.5)),50,100)))</f>
        <v/>
      </c>
      <c r="J87" s="49" t="str">
        <f ca="1">IF(B87="","",
IF(OR(ISBLANK('Soil results'!G$7),ISBLANK('Soil results'!G90)),"data missing",
IF(OR(AND('Soil results'!G$7="Olsen (ADAS)",'Soil results'!G90&gt;45),AND('Soil results'!G$7="modified Morgan (SAC)",'Soil results'!G90&gt;30)),0,
IF(OR(AND('Soil results'!G$7="Olsen (ADAS)",'Soil results'!G90&gt;=16,'Soil results'!G90&lt;=20),AND('Soil results'!G$7="modified Morgan (SAC)",'Soil results'!G90&gt;=4.5,'Soil results'!G90&lt;=9.4)),VLOOKUP(Calc!BI85,'Fertiliser recommendations'!$A$4:$I$63,9,FALSE),
IF(OR(AND('Soil results'!G$7="Olsen (ADAS)",'Soil results'!G90&lt;10),AND('Soil results'!G$7="modified Morgan (SAC)",'Soil results'!G90&lt;1.8)),VLOOKUP(Calc!BI85,'Fertiliser recommendations'!$A$4:$I$63,9,FALSE)+VLOOKUP(Calc!BI85,'Fertiliser recommendations'!$A$4:$J$63,10,FALSE),
IF(OR(AND('Soil results'!G$7="Olsen (ADAS)",'Soil results'!G90&lt;16),AND('Soil results'!G$7="modified Morgan (SAC)",'Soil results'!G90&lt;4.5)),VLOOKUP(Calc!BI85,'Fertiliser recommendations'!$A$4:$I$63,9,FALSE)+VLOOKUP(Calc!BI85,'Fertiliser recommendations'!$A$4:$K$63,11,FALSE),
IF(OR(AND('Soil results'!G$7="Olsen (ADAS)",'Soil results'!G90&lt;26),AND('Soil results'!G$7="modified Morgan (SAC)",'Soil results'!G90&lt;13.5)),VLOOKUP(Calc!BI85,'Fertiliser recommendations'!$A$4:$I$63,9,FALSE)+VLOOKUP(Calc!BI85,'Fertiliser recommendations'!$A$4:$L$63,12,FALSE),
IF(OR(AND('Soil results'!G$7="Olsen (ADAS)",'Soil results'!G90&lt;=45),AND('Soil results'!G$7="modified Morgan (SAC)",'Soil results'!G90&lt;=30)),VLOOKUP(Calc!BI85,'Fertiliser recommendations'!$A$4:$I$63,9,FALSE)+VLOOKUP(Calc!BI85,'Fertiliser recommendations'!$A$4:$M$63,13,FALSE),
""))))))))</f>
        <v/>
      </c>
      <c r="K87" s="161" t="str">
        <f t="shared" ca="1" si="18"/>
        <v/>
      </c>
      <c r="L87" s="47" t="str">
        <f ca="1">IF(OR(ISBLANK('Soil results'!G$7),ISBLANK('Soil results'!G90),B87="", H87="data missing"),"",
IF('Soil results'!G$7="Olsen (ADAS)",
IF(((H87*Calc!BM85/2.291-(VLOOKUP(Calc!BI85,'Fertiliser recommendations'!$A$4:$I$63,9,FALSE))/2.291)*10/(400/2.291)+'Soil results'!G90)&lt;10,"0 (VL)",
IF(((H87*Calc!BM85/2.291-(VLOOKUP(Calc!BI85,'Fertiliser recommendations'!$A$4:$I$63,9,FALSE))/2.291)*10/(400/2.291)+'Soil results'!G90)&lt;16,"1 (L)",
IF(((H87*Calc!BM85/2.291-(VLOOKUP(Calc!BI85,'Fertiliser recommendations'!$A$4:$I$63,9,FALSE))/2.291)*10/(400/2.291)+'Soil results'!G90)&lt;21,"2 (M-)",
IF(((H87*Calc!BM85/2.291-(VLOOKUP(Calc!BI85,'Fertiliser recommendations'!$A$4:$I$63,9,FALSE))/2.291)*10/(400/2.291)+'Soil results'!G90)&lt;26,"2 (M+)",
IF(((H87*Calc!BM85/2.291-(VLOOKUP(Calc!BI85,'Fertiliser recommendations'!$A$4:$I$63,9,FALSE))/2.291)*10/(400/2.291)+'Soil results'!G90)&lt;45,"3 (H)","&gt;3 (VH)"))))),
IF('Soil results'!G$7="modified Morgan (SAC)",
IF('Soil results'!G90&gt;=6,
IF(((H87*Calc!BM85/2.291-(VLOOKUP(Calc!BI85,'Fertiliser recommendations'!$A$4:$I$63,9,FALSE))/2.291)*5/(147/2.291)+'Soil results'!G90)&lt;9.5,"2 (M-)",
IF(((H87*Calc!BM85/2.291-(VLOOKUP(Calc!BI85,'Fertiliser recommendations'!$A$4:$I$63,9,FALSE))/2.291)*5/(147/2.291)+'Soil results'!G90)&lt;13.5,"2 (M+)",
IF(((H87*Calc!BM85/2.291-(VLOOKUP(Calc!BI85,'Fertiliser recommendations'!$A$4:$I$63,9,FALSE))/2.291)*5/(147/2.291)+'Soil results'!G90)&lt;30,"3 (H)","4 (VH)"))),
IF(((H87*Calc!BM85/2.291-(VLOOKUP(Calc!BI85,'Fertiliser recommendations'!$A$4:$I$63,9,FALSE))/2.291)*5/(346/2.291)+'Soil results'!G90)&lt;1.8,"0 (VL)",
IF(((H87*Calc!BM85/2.291-(VLOOKUP(Calc!BI85,'Fertiliser recommendations'!$A$4:$I$63,9,FALSE))/2.291)*5/(147/2.291)+'Soil results'!G90)&lt;4.5,"1 (L)","2 (M-)"))))))</f>
        <v/>
      </c>
      <c r="M87" s="9" t="str">
        <f ca="1">IF(B87="","",
IF(OR(H87="data missing",I87="data missing",J87="data missing"),"data missing",
IF(Calc!BF85=0,"n/a",
IF(OR(AND('Soil results'!G$7="Olsen (ADAS)",'Soil results'!G90&gt;45),AND('Soil results'!G$7="modified Morgan (SAC)",'Soil results'!G90&gt;30)),
IF(H87&gt;2,"too high, not acceptable","no requirement"),IF(OR(AND('Soil results'!G$7="Olsen (ADAS)",'Soil results'!G90&gt;25),AND('Soil results'!G$7="modified Morgan (SAC)",'Soil results'!G90&gt;13.4)),
IF(H87*(I87/100)&lt;0.1*J87,"no benefit",
IF(H87*(I87/100)&lt;0.3*J87,"limited benefit",
IF(H87*(I87/100)&lt;1.1*J87,"benefit",
IF(H87*(I87/100)&lt;0.7*VLOOKUP(Calc!BI85,'Fertiliser recommendations'!$A$4:$I$63,9,FALSE),"excessive","too high, not acceptable")))),
IF(OR(AND('Soil results'!G$7="Olsen (ADAS)",'Soil results'!G90&gt;20),AND('Soil results'!G$7="modified Morgan (SAC)",'Soil results'!G90&gt;9.4)),
IF(H87*Calc!BM85*(I87/100)&lt;0.1*J87,"no benefit",
IF(H87*Calc!BM85*(I87/100)&lt;0.3*J87,"limited benefit",
IF(H87*Calc!BM85*(I87/100)&lt;1.1*J87,"benefit",
IF(L87="3 (H)","too high, not acceptable","excessive")))),
IF(OR(AND('Soil results'!G$7="Olsen (ADAS)",'Soil results'!G90&gt;15),AND('Soil results'!G$7="modified Morgan (SAC)",'Soil results'!G90&gt;4.4)),
IF(H87*Calc!BM85*(I87/100)&lt;0.1*VLOOKUP(Calc!BI85,'Fertiliser recommendations'!$A$4:$I$63,9,FALSE),"no benefit",
IF(H87*Calc!BM85*(I87/100)&lt;0.3*VLOOKUP(Calc!BI85,'Fertiliser recommendations'!$A$4:$I$63,9,FALSE),"limited benefit",
IF(H87*Calc!BM85*(I87/100)&lt;1.1*VLOOKUP(Calc!BI85,'Fertiliser recommendations'!$A$4:$I$63,9,FALSE),"benefit",
IF(L87="3 (H)", "too high, not acceptable", "excessive")))),
IF(OR(AND('Soil results'!G$7="Olsen (ADAS)",'Soil results'!G90&lt;=15),AND('Soil results'!G$7="modified Morgan (SAC)",'Soil results'!G90&lt;=4.4)),
IF(H87*Calc!BM85*(I87/100)&lt;0.1*VLOOKUP(Calc!BI85,'Fertiliser recommendations'!$A$4:$I$63,9,FALSE),"no benefit",
IF(H87*Calc!BM85*(I87/100)&lt;0.3*VLOOKUP(Calc!BI85,'Fertiliser recommendations'!$A$4:$I$63,9,FALSE),"limited benefit",
IF(H87*Calc!BM85*(I87/100)&lt;1.1*J87,"benefit","excessive")))))))))))</f>
        <v/>
      </c>
      <c r="O87" s="91" t="str">
        <f ca="1">IF(B87="","",
IF(AND('Field information 2'!$O$5="", 'Field information 2'!$Q$5=""),
   IF('Waste results'!$S$19&lt;&gt;"data missing", Calc!BC85*'Waste results'!$S$19, "data missing"),
IF('Field information 2'!$Q$5="",
   IF(Calc!BD85=0,
     IF('Waste results'!$S$19&lt;&gt;"data missing", Calc!BC85*'Waste results'!$S$19, "data missing"),
   IF(Calc!BC85=0,
     IF('Waste results'!$S$55&lt;&gt;"data missing", Calc!BD85*'Waste results'!$S$55, "data missing"),
   IF(OR('Waste results'!$S$19&lt;&gt;"data missing", 'Waste results'!$S$55&lt;&gt;"data missing"), Calc!BC85*'Waste results'!$S$19+ Calc!BD85*'Waste results'!$S$55, "data missing"))),
IF(AND('Field information 2'!$M$5&lt;&gt;"", 'Field information 2'!$O$5&lt;&gt;"", 'Field information 2'!$Q$5&lt;&gt;""),
   IF(AND(Calc!BD85=0,Calc!BE85=0),
     IF('Waste results'!$S$19&lt;&gt;"data missing", Calc!BC85*'Waste results'!$S$19, "data missing"),
   IF(AND(Calc!BC85=0,Calc!BE85=0),
     IF('Waste results'!$S$55&lt;&gt;"data missing", Calc!BD85*'Waste results'!$S$55, "data missing"),
   IF(AND(Calc!BC85=0,Calc!BD85=0),
     IF('Waste results'!$S$91&lt;&gt;"data missing", Calc!BE85*'Waste results'!$S$91, "data missing"),
   IF(Calc!BE85=0,
     IF(OR('Waste results'!$S$19&lt;&gt;"data missing", 'Waste results'!$S$55&lt;&gt;"data missing"), Calc!BC85*'Waste results'!$S$19+ Calc!BD85*'Waste results'!$S$55, "data missing"),
   IF(Calc!BD85=0,
     IF(OR('Waste results'!$S$19&lt;&gt;"data missing", 'Waste results'!$S$91&lt;&gt;"data missing"), Calc!BC85*'Waste results'!$S$19+ Calc!BE85*'Waste results'!$S$91, "data missing"),
   IF(Calc!BC85=0,
     IF(OR('Waste results'!$S$55&lt;&gt;"data missing", 'Waste results'!$S$91&lt;&gt;"data missing"), Calc!BD85*'Waste results'!$S$55+Calc!BE85*'Waste results'!$S$91, "data missing"),
   IF(OR('Waste results'!$S$19&lt;&gt;"data missing", 'Waste results'!$S$55&lt;&gt;"data missing", 'Waste results'!$S$91&lt;&gt;"data missing"), Calc!BC85*'Waste results'!$S$19+Calc!BD85*'Waste results'!$S$55+ Calc!BE85*'Waste results'!$S$91, "data missing")))))))))))</f>
        <v/>
      </c>
      <c r="P87" s="91" t="str">
        <f ca="1">IF(B87="","",
IF(OR(ISBLANK('Soil results'!H$7),ISBLANK('Soil results'!H90)),"data missing",
IF(OR(AND('Soil results'!H$7="ammonium nitrate (ADAS)",'Soil results'!H90&gt;400),AND('Soil results'!H$7="modified Morgan (SAC)",'Soil results'!H90&gt;400)),0,
IF(OR(AND('Soil results'!H$7="ammonium nitrate (ADAS)",'Soil results'!H90&gt;=121,'Soil results'!H90&lt;=180),AND('Soil results'!H$7="modified Morgan (SAC)",'Soil results'!H90&gt;=76,'Soil results'!H90&lt;=140)),VLOOKUP(Calc!BI85,'Fertiliser recommendations'!$A$4:$Z$63,26,FALSE),
IF(OR(AND('Soil results'!H$7="ammonium nitrate (ADAS)",'Soil results'!H90&lt;61),AND('Soil results'!H$7="modified Morgan (SAC)",'Soil results'!H90&lt;40)),VLOOKUP(Calc!BI85,'Fertiliser recommendations'!$A$4:$Z$63,26,FALSE)+VLOOKUP(Calc!BI85,'Fertiliser recommendations'!$A$4:$AA$63,27,FALSE),
IF(OR(AND('Soil results'!H$7="ammonium nitrate (ADAS)",'Soil results'!H90&lt;121),AND('Soil results'!H$7="modified Morgan (SAC)",'Soil results'!H90&lt;76)),VLOOKUP(Calc!BI85,'Fertiliser recommendations'!$A$4:$Z$63,26,FALSE)+VLOOKUP(Calc!BI85,'Fertiliser recommendations'!$A$4:$AB$63,28,FALSE),
IF(OR(AND('Soil results'!H$7="ammonium nitrate (ADAS)",'Soil results'!H90&lt;241),AND('Soil results'!H$7="modified Morgan (SAC)",'Soil results'!H90&lt;201)),VLOOKUP(Calc!BI85,'Fertiliser recommendations'!$A$4:$Z$63,26,FALSE)+VLOOKUP(Calc!BI85,'Fertiliser recommendations'!$A$4:$AC$63,29,FALSE),
IF(OR(AND('Soil results'!H$7="ammonium nitrate (ADAS)",'Soil results'!H90&lt;=400),AND('Soil results'!H$7="modified Morgan (SAC)",'Soil results'!H90&lt;=400)),VLOOKUP(Calc!BI85,'Fertiliser recommendations'!$A$4:$Z$63,26,FALSE)+VLOOKUP(Calc!BI85,'Fertiliser recommendations'!$A$4:$AD$63,30,FALSE),
"??"))))))))</f>
        <v/>
      </c>
      <c r="Q87" s="91" t="str">
        <f t="shared" ca="1" si="19"/>
        <v/>
      </c>
      <c r="R87" s="9" t="str">
        <f ca="1">IF(B87="","",
IF(OR(O87="data missing",P87="data missing"),"data missing",
IF(Calc!BF85=0,"n/a",
IF(P87=0, "no requirement",
IF(O87&lt;0.1*P87,"no benefit",
IF(O87&lt;0.3*P87,"limited benefit",
IF(O87&gt;1.25*P87,"excessive",
"benefit")))))))</f>
        <v/>
      </c>
      <c r="T87" s="91" t="str">
        <f ca="1">IF(B87="","",
IF(AND('Field information 2'!$O$5="", 'Field information 2'!$Q$5=""),
   IF('Waste results'!$S$21&lt;&gt;"data missing", Calc!BC85*'Waste results'!$S$21, "data missing"),
IF('Field information 2'!$Q$5="",
   IF(Calc!BD85=0,
     IF('Waste results'!$S$21&lt;&gt;"data missing", Calc!BC85*'Waste results'!$S$21, "data missing"),
   IF(Calc!BC85=0,
     IF('Waste results'!$S$57&lt;&gt;"data missing", Calc!BD85*'Waste results'!$S$57, "data missing"),
   IF(OR('Waste results'!$S$21&lt;&gt;"data missing", 'Waste results'!$S$57&lt;&gt;"data missing"), Calc!BC85*'Waste results'!$S$21+ Calc!BD85*'Waste results'!$S$57, "data missing"))),
IF(AND('Field information 2'!$M$5&lt;&gt;"", 'Field information 2'!$O$5&lt;&gt;"", 'Field information 2'!$Q$5&lt;&gt;""),
   IF(AND(Calc!BD85=0,Calc!BE85=0),
     IF('Waste results'!$S$21&lt;&gt;"data missing", Calc!BC85*'Waste results'!$S$21, "data missing"),
   IF(AND(Calc!BC85=0,Calc!BE85=0),
     IF('Waste results'!$S$57&lt;&gt;"data missing", Calc!BD85*'Waste results'!$S$57, "data missing"),
   IF(AND(Calc!BC85=0,Calc!BD85=0),
     IF('Waste results'!$S$93&lt;&gt;"data missing", Calc!BE85*'Waste results'!$S$93, "data missing"),
   IF(Calc!BE85=0,
     IF(OR('Waste results'!$S$21&lt;&gt;"data missing", 'Waste results'!$S$57&lt;&gt;"data missing"), Calc!BC85*'Waste results'!$S$21+ Calc!BD85*'Waste results'!$S$57, "data missing"),
   IF(Calc!BD85=0,
     IF(OR('Waste results'!$S$21&lt;&gt;"data missing", 'Waste results'!$S$93&lt;&gt;"data missing"), Calc!BC85*'Waste results'!$S$21+ Calc!BE85*'Waste results'!$S$93, "data missing"),
   IF(Calc!BC85=0,
     IF(OR('Waste results'!$S$57&lt;&gt;"data missing", 'Waste results'!$S$93&lt;&gt;"data missing"), Calc!BD85*'Waste results'!$S$57+Calc!BE85*'Waste results'!$S$93, "data missing"),
   IF(OR('Waste results'!$S$21&lt;&gt;"data missing", 'Waste results'!$S$57&lt;&gt;"data missing", 'Waste results'!$S$93&lt;&gt;"data missing"), Calc!BC85*'Waste results'!$S$21+Calc!BD85*'Waste results'!$S$57+ Calc!BE85*'Waste results'!$S$93, "data missing")))))))))))</f>
        <v/>
      </c>
      <c r="U87" s="7" t="str">
        <f ca="1">IF(B87="","",
IF(OR(ISBLANK('Soil results'!I$7),ISBLANK('Soil results'!I90)),"data missing",
IF(OR(AND('Soil results'!I$7="ammonium nitrate (ADAS)",'Soil results'!I90&gt;51),AND('Soil results'!I$7="modified Morgan (SAC)",'Soil results'!I90&gt;61)),0,
IF(OR(AND('Soil results'!I$7="ammonium nitrate (ADAS)",'Soil results'!I90&lt;25),AND('Soil results'!I$7="modified Morgan (SAC)",'Soil results'!I90&lt;19)),VLOOKUP(Calc!BI85,'Fertiliser recommendations'!$A$4:$AH$63,34,FALSE),
IF(OR(AND('Soil results'!I$7="ammonium nitrate (ADAS)",'Soil results'!I90&lt;=51),AND('Soil results'!I$7="modified Morgan (SAC)",'Soil results'!I90&lt;=61)),VLOOKUP(Calc!BI85,'Fertiliser recommendations'!$A$4:$AI$63,35,FALSE),
"")))))</f>
        <v/>
      </c>
      <c r="V87" s="91" t="str">
        <f t="shared" ca="1" si="20"/>
        <v/>
      </c>
      <c r="W87" s="9" t="str">
        <f ca="1">IF(B87="","",
IF(OR(T87="data missing",U87="data missing"),"data missing",
IF(Calc!BF85=0,"n/a",
IF(U87=0,"no requirement",
IF(T87&lt;0.1*U87,"no benefit",
IF(T87&lt;0.3*U87,"limited benefit",
IF(OR(T87&gt;1.5*U87,AND(Calc!BJ85="g",T87&gt;100)),"excessive",
"benefit")))))))</f>
        <v/>
      </c>
      <c r="Y87" s="91" t="str">
        <f ca="1">IF(B87="","",
IF(AND('Field information 2'!$O$5="", 'Field information 2'!$Q$5=""),
   IF('Waste results'!$P$23&lt;&gt;"", Calc!BC85*'Waste results'!$P$23, "no data"),
IF('Field information 2'!$Q$5="",
   IF(Calc!BD85=0,
     IF('Waste results'!$P$23&lt;&gt;"", Calc!BC85*'Waste results'!$P$23, "no data"),
   IF(Calc!BC85=0,
     IF('Waste results'!$P$59&lt;&gt;"", Calc!BD85*'Waste results'!$P$59, "no data"),
   IF(OR('Waste results'!$P$23&lt;&gt;"", 'Waste results'!$P$59&lt;&gt;""), Calc!BC85*'Waste results'!$P$23+ Calc!BD85*'Waste results'!$P$59, "no data"))),
IF(AND('Field information 2'!$M$5&lt;&gt;"", 'Field information 2'!$O$5&lt;&gt;"", 'Field information 2'!$Q$5&lt;&gt;""),
   IF(AND(Calc!BD85=0,Calc!BE85=0),
     IF('Waste results'!$P$23&lt;&gt;"", Calc!BC85*'Waste results'!$P$23, "no data"),
   IF(AND(Calc!BC85=0,Calc!BE85=0),
     IF('Waste results'!$P$59&lt;&gt;"", Calc!BD85*'Waste results'!$P$59, "no data"),
   IF(AND(Calc!BC85=0,Calc!BD85=0),
     IF('Waste results'!$P$95&lt;&gt;"", Calc!BE85*'Waste results'!$P$95, "no data"),
   IF(Calc!BE85=0,
     IF(OR('Waste results'!$P$23&lt;&gt;"", 'Waste results'!$P$59&lt;&gt;""), Calc!BC85*'Waste results'!$P$23+ Calc!BD85*'Waste results'!$P$59, "no data"),
   IF(Calc!BD85=0,
     IF(OR('Waste results'!$P$23&lt;&gt;"", 'Waste results'!$P$95&lt;&gt;""), Calc!BC85*'Waste results'!$P$23+ Calc!BE85*'Waste results'!$P$95, "no data"),
   IF(Calc!BC85=0,
     IF(OR('Waste results'!$P$59&lt;&gt;"", 'Waste results'!$P$95&lt;&gt;""), Calc!BD85*'Waste results'!$P$59+Calc!BE85*'Waste results'!$P$95, "no data"),
   IF(OR('Waste results'!$P$23&lt;&gt;"", 'Waste results'!$P$59&lt;&gt;"", 'Waste results'!$P$95&lt;&gt;""), Calc!BC85*'Waste results'!$P$23+Calc!BD85*'Waste results'!$P$59+ Calc!BE85*'Waste results'!$P$95, "no data")))))))))))</f>
        <v/>
      </c>
      <c r="Z87" s="7" t="str">
        <f ca="1">IF(OR(ISBLANK('Soil results'!I$7),ISBLANK('Soil results'!I90),'Soil results'!B90=""),"",
VLOOKUP(Calc!BI85,'Fertiliser recommendations'!$A$4:$AM$63,39,FALSE))</f>
        <v/>
      </c>
      <c r="AA87" s="91" t="str">
        <f t="shared" ca="1" si="21"/>
        <v/>
      </c>
      <c r="AB87" s="9" t="str">
        <f t="shared" ca="1" si="22"/>
        <v/>
      </c>
      <c r="AD87" s="48" t="str">
        <f>IF(ISBLANK('Soil results'!F90),"",'Soil results'!F90)</f>
        <v/>
      </c>
      <c r="AE87" s="49" t="str">
        <f ca="1">IF(B87="","",
IF(AND(Calc!BJ85="g", VLOOKUP(LEFT($B87,LEN($B87)-2),'Field information 2'!$B$12:$P$111,9,FALSE)&lt;&gt;"yes"),
 IF(Calc!BG85="10-25% OM", 5.9, IF(Calc!BG85="&gt;25% OM", 5.5, 6.2)),
IF(OR(Calc!BJ85="a", VLOOKUP(LEFT($B87,LEN($B87)-2),'Field information 2'!$B$12:$P$111,9,FALSE)="yes"),
 IF(Calc!BG85="10-25% OM", 6.4, IF(Calc!BG85="&gt;25% OM", 6, 6.7)), "")))</f>
        <v/>
      </c>
      <c r="AF87" s="91" t="str">
        <f ca="1">IF(B87="","",
IF('Waste results'!$Q$33="","no (significant) liming properties",
IF('Waste results'!Q$33&gt;100,"no (significant) liming properties",
IF(AD87="","",
IF(AD87&gt;=AE87,0,ROUNDDOWN((AE87-AD87)*Calc!BK85*'Waste results'!$Q$33+0.2,0))))))</f>
        <v/>
      </c>
      <c r="AG87" s="9" t="str">
        <f ca="1">IF(B87="","",
IF(T87=0,"n/a",
IF(AD87="","data missing",
IF(AND(AD87&lt;5,AF87="no (significant) liming properties"),"no waste application - pH too low",
IF(AND(AD87&gt;5.1,AF87="no (significant) liming properties",Calc!BH85&gt;25, LEFT(Calc!BI85,4)="graz"),"ok",
IF(AND(AD87&lt;=5.2,AF87="no (significant) liming properties"),"liming highly recommended",
IF(AF87=0,"no waste application - liming not required",
IF(AF87&lt;Calc!BC85,"application rate too high - exceeds liming requirement",
"ok"))))))))</f>
        <v/>
      </c>
      <c r="AI87" s="91" t="str">
        <f ca="1">IF(B87="","",
IF(AND('Field information 2'!$O$5="", 'Field information 2'!$Q$5=""),
   IF('Waste results'!$P$10&lt;&gt;"data missing", Calc!BC85*'Waste results'!$P$10, "data missing"),
IF('Field information 2'!$Q$5="",
   IF(Calc!BD85=0,
     IF('Waste results'!$P$10&lt;&gt;"data missing", Calc!BC85*'Waste results'!$P$10, "data missing"),
   IF(Calc!BC85=0,
     IF('Waste results'!$P$45&lt;&gt;"data missing", Calc!BD85*'Waste results'!$P$45, "data missing"),
   IF(OR('Waste results'!$P$10&lt;&gt;"data missing", 'Waste results'!$P$45&lt;&gt;"data missing"), Calc!BC85*'Waste results'!$P$10+ Calc!BD85*'Waste results'!$P$45, "data missing"))),
IF(AND('Field information 2'!$M$5&lt;&gt;"", 'Field information 2'!$O$5&lt;&gt;"", 'Field information 2'!$Q$5&lt;&gt;""),
   IF(AND(Calc!BD85=0,Calc!BE85=0),
     IF('Waste results'!$P$10&lt;&gt;"data missing", Calc!BC85*'Waste results'!$P$10, "data missing"),
   IF(AND(Calc!BC85=0,Calc!BE85=0),
     IF('Waste results'!$P$45&lt;&gt;"data missing", Calc!BD85*'Waste results'!$P$45, "data missing"),
   IF(AND(Calc!BC85=0,Calc!BD85=0),
     IF('Waste results'!$P$82&lt;&gt;"data missing", Calc!BE85*'Waste results'!$P$82, "data missing"),
   IF(Calc!BE85=0,
     IF(OR('Waste results'!$P$10&lt;&gt;"data missing", 'Waste results'!$P$45&lt;&gt;"data missing"), Calc!BC85*'Waste results'!$P$10+ Calc!BD85*'Waste results'!$P$45, "data missing"),
   IF(Calc!BD85=0,
     IF(OR('Waste results'!$P$10&lt;&gt;"data missing", 'Waste results'!$P$82&lt;&gt;"data missing"), Calc!BC85*'Waste results'!$P$10+ Calc!BE85*'Waste results'!$P$82, "data missing"),
   IF(Calc!BC85=0,
     IF(OR('Waste results'!$P$45&lt;&gt;"data missing", 'Waste results'!$P$82&lt;&gt;"data missing"), Calc!BD85*'Waste results'!$P$45+Calc!BE85*'Waste results'!$P$82, "data missing"),
   IF(OR('Waste results'!$P$10&lt;&gt;"data missing", 'Waste results'!$P$45&lt;&gt;"data missing", 'Waste results'!$P$82&lt;&gt;"data missing"), Calc!BC85*'Waste results'!$P$10+Calc!BD85*'Waste results'!$P$45+ Calc!BE85*'Waste results'!$P$82, "data missing")))))))))))</f>
        <v/>
      </c>
      <c r="AJ87" s="237" t="str">
        <f ca="1">IF(B87="","",
IF(AI87="data missing","data missing",
IF(Calc!BF85=0,"n/a",
IF(AND(Calc!BH85&gt;=8,AI87&lt;500),"no benefit",
IF(OR(AND(Calc!BH85&lt;=4,AI87&gt;=500),AND(Calc!BH85&lt;8,AI87&gt;5000)),"benefit",
"limited benefit")))))</f>
        <v/>
      </c>
      <c r="AL87" s="238" t="str">
        <f ca="1">IF(B87="","",
IF(AND('Field information 2'!$O$5="", 'Field information 2'!$Q$5=""),
   IF('Waste results'!$S$25&lt;&gt;"data missing", Calc!BC85*'Waste results'!$S$25, "data missing"),
IF('Field information 2'!$Q$5="",
   IF(Calc!BD85=0,
     IF('Waste results'!$S$25&lt;&gt;"data missing", Calc!BC85*'Waste results'!$S$25, "data missing"),
   IF(Calc!BC85=0,
     IF('Waste results'!$S$61&lt;&gt;"data missing", Calc!BD85*'Waste results'!$S$61, "data missing"),
   IF(OR('Waste results'!$S$25&lt;&gt;"data missing", 'Waste results'!$S$61&lt;&gt;"data missing"), Calc!BC85*'Waste results'!$S$25+ Calc!BD85*'Waste results'!$S$61, "data missing"))),
IF(AND('Field information 2'!$M$5&lt;&gt;"", 'Field information 2'!$O$5&lt;&gt;"", 'Field information 2'!$Q$5&lt;&gt;""),
   IF(AND(Calc!BD85=0,Calc!BE85=0),
     IF('Waste results'!$S$25&lt;&gt;"data missing", Calc!BC85*'Waste results'!$S$25, "data missing"),
   IF(AND(Calc!BC85=0,Calc!BE85=0),
     IF('Waste results'!$S$61&lt;&gt;"data missing", Calc!BD85*'Waste results'!$S$61, "data missing"),
   IF(AND(Calc!BC85=0,Calc!BD85=0),
     IF('Waste results'!$S$97&lt;&gt;"data missing", Calc!BE85*'Waste results'!$S$97, "data missing"),
   IF(Calc!BE85=0,
     IF(OR('Waste results'!$S$25&lt;&gt;"data missing", 'Waste results'!$S$61&lt;&gt;"data missing"), Calc!BC85*'Waste results'!$S$25+ Calc!BD85*'Waste results'!$S$61, "data missing"),
   IF(Calc!BD85=0,
     IF(OR('Waste results'!$S$25&lt;&gt;"data missing", 'Waste results'!$S$97&lt;&gt;"data missing"), Calc!BC85*'Waste results'!$S$25+ Calc!BE85*'Waste results'!$S$97, "data missing"),
   IF(Calc!BC85=0,
     IF(OR('Waste results'!$S$61&lt;&gt;"data missing", 'Waste results'!$S$97&lt;&gt;"data missing"), Calc!BD85*'Waste results'!$S$61+Calc!BE85*'Waste results'!$S$97, "data missing"),
   IF(OR('Waste results'!$S$25&lt;&gt;"data missing", 'Waste results'!$S$61&lt;&gt;"data missing", 'Waste results'!$S$97&lt;&gt;"data missing"), Calc!BC85*'Waste results'!$S$25+Calc!BD85*'Waste results'!$S$61+ Calc!BE85*'Waste results'!$S$97, "data missing")))))))))))</f>
        <v/>
      </c>
      <c r="AM87" s="239" t="str">
        <f ca="1">IF($B87="","",
IF(ISBLANK('Soil results'!K90),"data missing",'Soil results'!K90))</f>
        <v/>
      </c>
      <c r="AN87" s="239" t="str">
        <f t="shared" ca="1" si="23"/>
        <v/>
      </c>
      <c r="AO87" s="9" t="str">
        <f t="shared" ca="1" si="24"/>
        <v/>
      </c>
      <c r="AQ87" s="240" t="str">
        <f ca="1">IF(B87="","",
IF(AND('Field information 2'!$O$5="", 'Field information 2'!$Q$5=""),
   IF('Waste results'!$S$26&lt;&gt;"data missing", Calc!BC85*'Waste results'!$S$26, "data missing"),
IF('Field information 2'!$Q$5="",
   IF(Calc!BD85=0,
     IF('Waste results'!$S$26&lt;&gt;"data missing", Calc!BC85*'Waste results'!$S$26, "data missing"),
   IF(Calc!BC85=0,
     IF('Waste results'!$S$62&lt;&gt;"data missing", Calc!BD85*'Waste results'!$S$62, "data missing"),
   IF(OR('Waste results'!$S$26&lt;&gt;"data missing", 'Waste results'!$S$62&lt;&gt;"data missing"), Calc!BC85*'Waste results'!$S$26+ Calc!BD85*'Waste results'!$S$62, "data missing"))),
IF(AND('Field information 2'!$M$5&lt;&gt;"", 'Field information 2'!$O$5&lt;&gt;"", 'Field information 2'!$Q$5&lt;&gt;""),
   IF(AND(Calc!BD85=0,Calc!BE85=0),
     IF('Waste results'!$S$26&lt;&gt;"data missing", Calc!BC85*'Waste results'!$S$26, "data missing"),
   IF(AND(Calc!BC85=0,Calc!BE85=0),
     IF('Waste results'!$S$62&lt;&gt;"data missing", Calc!BD85*'Waste results'!$S$62, "data missing"),
   IF(AND(Calc!BC85=0,Calc!BD85=0),
     IF('Waste results'!$S$98&lt;&gt;"data missing", Calc!BE85*'Waste results'!$S$98, "data missing"),
   IF(Calc!BE85=0,
     IF(OR('Waste results'!$S$26&lt;&gt;"data missing", 'Waste results'!$S$62&lt;&gt;"data missing"), Calc!BC85*'Waste results'!$S$26+ Calc!BD85*'Waste results'!$S$62, "data missing"),
   IF(Calc!BD85=0,
     IF(OR('Waste results'!$S$26&lt;&gt;"data missing", 'Waste results'!$S$98&lt;&gt;"data missing"), Calc!BC85*'Waste results'!$S$26+ Calc!BE85*'Waste results'!$S$98, "data missing"),
   IF(Calc!BC85=0,
     IF(OR('Waste results'!$S$62&lt;&gt;"data missing", 'Waste results'!$S$98&lt;&gt;"data missing"), Calc!BD85*'Waste results'!$S$62+Calc!BE85*'Waste results'!$S$98, "data missing"),
   IF(OR('Waste results'!$S$26&lt;&gt;"data missing", 'Waste results'!$S$62&lt;&gt;"data missing", 'Waste results'!$S$98&lt;&gt;"data missing"), Calc!BC85*'Waste results'!$S$26+Calc!BD85*'Waste results'!$S$62+ Calc!BE85*'Waste results'!$S$98, "data missing")))))))))))</f>
        <v/>
      </c>
      <c r="AR87" s="241" t="str">
        <f ca="1">IF($B87="","",
IF(ISBLANK('Soil results'!L90),"data missing",'Soil results'!L90))</f>
        <v/>
      </c>
      <c r="AS87" s="241" t="str">
        <f t="shared" ca="1" si="25"/>
        <v/>
      </c>
      <c r="AT87" s="66" t="str">
        <f t="shared" ca="1" si="26"/>
        <v/>
      </c>
      <c r="AV87" s="238" t="str">
        <f ca="1">IF(B87="","",
IF(AND('Field information 2'!$O$5="", 'Field information 2'!$Q$5=""),
   IF('Waste results'!$S$27&lt;&gt;"data missing", Calc!BC85*'Waste results'!$S$27, "data missing"),
IF('Field information 2'!$Q$5="",
   IF(Calc!BD85=0,
     IF('Waste results'!$S$27&lt;&gt;"data missing", Calc!BC85*'Waste results'!$S$27, "data missing"),
   IF(Calc!BC85=0,
     IF('Waste results'!$S$63&lt;&gt;"data missing", Calc!BD85*'Waste results'!$S$63, "data missing"),
   IF(OR('Waste results'!$S$27&lt;&gt;"data missing", 'Waste results'!$S$63&lt;&gt;"data missing"), Calc!BC85*'Waste results'!$S$27+ Calc!BD85*'Waste results'!$S$63, "data missing"))),
IF(AND('Field information 2'!$M$5&lt;&gt;"", 'Field information 2'!$O$5&lt;&gt;"", 'Field information 2'!$Q$5&lt;&gt;""),
   IF(AND(Calc!BD85=0,Calc!BE85=0),
     IF('Waste results'!$S$27&lt;&gt;"data missing", Calc!BC85*'Waste results'!$S$27, "data missing"),
   IF(AND(Calc!BC85=0,Calc!BE85=0),
     IF('Waste results'!$S$63&lt;&gt;"data missing", Calc!BD85*'Waste results'!$S$63, "data missing"),
   IF(AND(Calc!BC85=0,Calc!BD85=0),
     IF('Waste results'!$S$99&lt;&gt;"data missing", Calc!BE85*'Waste results'!$S$99, "data missing"),
   IF(Calc!BE85=0,
     IF(OR('Waste results'!$S$27&lt;&gt;"data missing", 'Waste results'!$S$63&lt;&gt;"data missing"), Calc!BC85*'Waste results'!$S$27+ Calc!BD85*'Waste results'!$S$63, "data missing"),
   IF(Calc!BD85=0,
     IF(OR('Waste results'!$S$27&lt;&gt;"data missing", 'Waste results'!$S$99&lt;&gt;"data missing"), Calc!BC85*'Waste results'!$S$27+ Calc!BE85*'Waste results'!$S$99, "data missing"),
   IF(Calc!BC85=0,
     IF(OR('Waste results'!$S$63&lt;&gt;"data missing", 'Waste results'!$S$99&lt;&gt;"data missing"), Calc!BD85*'Waste results'!$S$63+Calc!BE85*'Waste results'!$S$99, "data missing"),
   IF(OR('Waste results'!$S$27&lt;&gt;"data missing", 'Waste results'!$S$63&lt;&gt;"data missing", 'Waste results'!$S$99&lt;&gt;"data missing"), Calc!BC85*'Waste results'!$S$27+Calc!BD85*'Waste results'!$S$63+ Calc!BE85*'Waste results'!$S$99, "data missing")))))))))))</f>
        <v/>
      </c>
      <c r="AW87" s="239" t="str">
        <f ca="1">IF($B87="","",
IF(ISBLANK('Soil results'!M90),"data missing",'Soil results'!M90))</f>
        <v/>
      </c>
      <c r="AX87" s="239" t="str">
        <f t="shared" ca="1" si="27"/>
        <v/>
      </c>
      <c r="AY87" s="9" t="str">
        <f ca="1">IF(B87="","",
IF(AV87=0,"n/a",
IF(OR(AV87="data missing",AW87="data missing"),"data missing",
IF(AV87&gt;7.5,"application rate too high - permissible rate exceeds limit",
IF('Soil results'!$F90&lt;=5.5,
  IF(AW87&gt;80,"no application - soil conc. already above limit",
  IF(AX87&gt;80,"application rate too high - soil conc. will exceed limit",
  IF(AW87&gt;80*0.9,"soil conc. is at or above 90% of the limit",
  IF(10*AV87*1000/3000+AW87&gt;80,"soil limit likely to be exceeded in 10yrs",
  IF(50*AV87*1000/3000+AW87&gt;80,"soil limit likely to be exceeded in 50yrs","ok"))))),
IF('Soil results'!$F90&lt;=6,
  IF(AW87&gt;100,"no application - soil conc. already above limit",
  IF(AX87&gt;100,"application rate too high - soil conc. will exceed limit",
  IF(AW87&gt;100*0.9,"soil conc. is at or above 90% of the limit",
  IF(10*AV87*1000/3000+AW87&gt;100,"soil limit likely to be exceeded in 10yrs",
  IF(50*AV87*1000/3000+AW87&gt;100,"soil limit likely to be exceeded in 50yrs","ok"))))),
IF('Soil results'!$F90&lt;=7,
  IF(AW87&gt;135,"no application - soil conc. already above limit",
  IF(AX87&gt;135,"application rate too high - soil conc. will exceed limit",
  IF(AW87&gt;135*0.9,"soil conc. is at or above 90% of the limit",
  IF(10*AV87*1000/3000+AW87&gt;135,"soil limit likely to be exceeded in 10yrs",
  IF(50*AV87*1000/3000+AW87&gt;135,"soil limit likely to be exceeded in 50yrs","ok"))))),
IF('Soil results'!$F90&gt;7,
  IF(AW87&gt;200,"no application - soil conc. already above limit",
  IF(AX87&gt;200,"application too high - soil conc. will exceed limit",
  IF(AW87&gt;200*0.9,"soil conc. is at or above 90% of the limit",
  IF(10*AV87*1000/3000+AW87&gt;200,"soil limit likely to be exceeded in 10yrs",
  IF(50*AV87*1000/3000+AW87&gt;200,"soil limit likely to be exceeded in 50yrs","ok")))))
))))))))</f>
        <v/>
      </c>
      <c r="BA87" s="238" t="str">
        <f ca="1">IF(B87="","",
IF(AND('Field information 2'!$O$5="", 'Field information 2'!$Q$5=""),
   IF('Waste results'!$S$28&lt;&gt;"data missing", Calc!BC85*'Waste results'!$S$28, "data missing"),
IF('Field information 2'!$Q$5="",
   IF(Calc!BD85=0,
     IF('Waste results'!$S$28&lt;&gt;"data missing", Calc!BC85*'Waste results'!$S$28, "data missing"),
   IF(Calc!BC85=0,
     IF('Waste results'!$S$64&lt;&gt;"data missing", Calc!BD85*'Waste results'!$S$64, "data missing"),
   IF(OR('Waste results'!$S$28&lt;&gt;"data missing", 'Waste results'!$S$64&lt;&gt;"data missing"), Calc!BC85*'Waste results'!$S$28+ Calc!BD85*'Waste results'!$S$64, "data missing"))),
IF(AND('Field information 2'!$M$5&lt;&gt;"", 'Field information 2'!$O$5&lt;&gt;"", 'Field information 2'!$Q$5&lt;&gt;""),
   IF(AND(Calc!BD85=0,Calc!BE85=0),
     IF('Waste results'!$S$28&lt;&gt;"data missing", Calc!BC85*'Waste results'!$S$28, "data missing"),
   IF(AND(Calc!BC85=0,Calc!BE85=0),
     IF('Waste results'!$S$64&lt;&gt;"data missing", Calc!BD85*'Waste results'!$S$64, "data missing"),
   IF(AND(Calc!BC85=0,Calc!BD85=0),
     IF('Waste results'!$S$100&lt;&gt;"data missing", Calc!BE85*'Waste results'!$S$100, "data missing"),
   IF(Calc!BE85=0,
     IF(OR('Waste results'!$S$28&lt;&gt;"data missing", 'Waste results'!$S$64&lt;&gt;"data missing"), Calc!BC85*'Waste results'!$S$28+ Calc!BD85*'Waste results'!$S$64, "data missing"),
   IF(Calc!BD85=0,
     IF(OR('Waste results'!$S$28&lt;&gt;"data missing", 'Waste results'!$S$100&lt;&gt;"data missing"), Calc!BC85*'Waste results'!$S$28+ Calc!BE85*'Waste results'!$S$100, "data missing"),
   IF(Calc!BC85=0,
     IF(OR('Waste results'!$S$64&lt;&gt;"data missing", 'Waste results'!$S$100&lt;&gt;"data missing"), Calc!BD85*'Waste results'!$S$64+Calc!BE85*'Waste results'!$S$100, "data missing"),
   IF(OR('Waste results'!$S$28&lt;&gt;"data missing", 'Waste results'!$S$64&lt;&gt;"data missing", 'Waste results'!$S$100&lt;&gt;"data missing"), Calc!BC85*'Waste results'!$S$28+Calc!BD85*'Waste results'!$S$64+ Calc!BE85*'Waste results'!$S$100, "data missing")))))))))))</f>
        <v/>
      </c>
      <c r="BB87" s="239" t="str">
        <f ca="1">IF($B87="","",
IF(ISBLANK('Soil results'!N90),"data missing",'Soil results'!N90))</f>
        <v/>
      </c>
      <c r="BC87" s="239" t="str">
        <f t="shared" ca="1" si="28"/>
        <v/>
      </c>
      <c r="BD87" s="9" t="str">
        <f t="shared" ca="1" si="29"/>
        <v/>
      </c>
      <c r="BF87" s="238" t="str">
        <f ca="1">IF(B87="","",
IF(AND('Field information 2'!$O$5="", 'Field information 2'!$Q$5=""),
   IF('Waste results'!$S$29&lt;&gt;"data missing", Calc!BC85*'Waste results'!$S$29, "data missing"),
IF('Field information 2'!$Q$5="",
   IF(Calc!BD85=0,
     IF('Waste results'!$S$29&lt;&gt;"data missing", Calc!BC85*'Waste results'!$S$29, "data missing"),
   IF(Calc!BC85=0,
     IF('Waste results'!$S$65&lt;&gt;"data missing", Calc!BD85*'Waste results'!$S$65, "data missing"),
   IF(OR('Waste results'!$S$29&lt;&gt;"data missing", 'Waste results'!$S$65&lt;&gt;"data missing"), Calc!BC85*'Waste results'!$S$29+ Calc!BD85*'Waste results'!$S$65, "data missing"))),
IF(AND('Field information 2'!$M$5&lt;&gt;"", 'Field information 2'!$O$5&lt;&gt;"", 'Field information 2'!$Q$5&lt;&gt;""),
   IF(AND(Calc!BD85=0,Calc!BE85=0),
     IF('Waste results'!$S$29&lt;&gt;"data missing", Calc!BC85*'Waste results'!$S$29, "data missing"),
   IF(AND(Calc!BC85=0,Calc!BE85=0),
     IF('Waste results'!$S$65&lt;&gt;"data missing", Calc!BD85*'Waste results'!$S$65, "data missing"),
   IF(AND(Calc!BC85=0,Calc!BD85=0),
     IF('Waste results'!$S$101&lt;&gt;"data missing", Calc!BE85*'Waste results'!$S$101, "data missing"),
   IF(Calc!BE85=0,
     IF(OR('Waste results'!$S$29&lt;&gt;"data missing", 'Waste results'!$S$65&lt;&gt;"data missing"), Calc!BC85*'Waste results'!$S$29+ Calc!BD85*'Waste results'!$S$65, "data missing"),
   IF(Calc!BD85=0,
     IF(OR('Waste results'!$S$29&lt;&gt;"data missing", 'Waste results'!$S$101&lt;&gt;"data missing"), Calc!BC85*'Waste results'!$S$29+ Calc!BE85*'Waste results'!$S$101, "data missing"),
   IF(Calc!BC85=0,
     IF(OR('Waste results'!$S$65&lt;&gt;"data missing", 'Waste results'!$S$101&lt;&gt;"data missing"), Calc!BD85*'Waste results'!$S$65+Calc!BE85*'Waste results'!$S$101, "data missing"),
   IF(OR('Waste results'!$S$29&lt;&gt;"data missing", 'Waste results'!$S$65&lt;&gt;"data missing", 'Waste results'!$S$101&lt;&gt;"data missing"), Calc!BC85*'Waste results'!$S$29+Calc!BD85*'Waste results'!$S$65+ Calc!BE85*'Waste results'!$S$101, "data missing")))))))))))</f>
        <v/>
      </c>
      <c r="BG87" s="239" t="str">
        <f ca="1">IF($B87="","",
IF(ISBLANK('Soil results'!O90),"data missing",'Soil results'!O90))</f>
        <v/>
      </c>
      <c r="BH87" s="239" t="str">
        <f t="shared" ca="1" si="30"/>
        <v/>
      </c>
      <c r="BI87" s="9" t="str">
        <f ca="1">IF(B87="","",
IF(BF87=0,"n/a",
IF(OR(BF87="data missing",BG87="data missing"),"data missing",
IF(BF87&gt;3,"application rate too high - permissible rate exceeds limit",
IF('Soil results'!F90&lt;=5.5,
  IF(BG87&gt;50,"no application - soil conc. already above limit",
  IF(BH87&gt;50,"application rate too high - soil conc. will exceed limit",
  IF(BG87&gt;50*0.9,"soil conc. is at or above 90% of the limit",
  IF(10*BF87*1000/3000+BG87&gt;50,"soil limit likely to be exceeded in 10yrs",
  IF(50*BF87*1000/3000+BG87&gt;50,"soil limit likely to be exceeded in 50yrs","ok"))))),
IF('Soil results'!F90&lt;=6,
  IF(BG87&gt;60,"no application - soil conc. already above limit",
  IF(BH87&gt;60,"application rate too high - soil conc. will exceed limit",
  IF(BG87&gt;60*0.9,"soil conc. is at or above 90% of the limit",
  IF(10*BF87*1000/3000+BG87&gt;60,"soil limit likely to be exceeded in 10yrs",
  IF(50*BF87*1000/3000+BG87&gt;60,"soil limit likely to be exceeded in 50yrs","ok"))))),
IF('Soil results'!F90&lt;=7,
  IF(BG87&gt;75,"no application - soil conc. already above limit",
  IF(BH87&gt;75,"application rate too high - soil conc. will exceed limit",
  IF(BG87&gt;75*0.9,"soil conc. is at or above 90% of the limit",
  IF(10*BF87*1000/3000+BG87&gt;75,"soil limit likely to be exceeded in 10yrs",
  IF(50*BF87*1000/3000+BG87&gt;75,"soil limit likely to be exceeded in 50yrs","ok"))))),
IF('Soil results'!F90&gt;7,
  IF(BG87&gt;100,"no application - soil conc. already above limit",
  IF(BH87&gt;100,"application rate too high - soil conc. will exceed limit",
  IF(BG87&gt;100*0.9,"soil conc. is at or above 90% of the limit",
  IF(10*BF87*1000/3000+BG87&gt;100,"soil limit likely to be exceeded in 10yrs",
  IF(50*BF87*1000/3000+BG87&gt;100,"soil limit likely to beexceeded in 50yrs","ok")))))
))))))))</f>
        <v/>
      </c>
      <c r="BK87" s="240" t="str">
        <f ca="1">IF(B87="","",
IF(AND('Field information 2'!$O$5="", 'Field information 2'!$Q$5=""),
   IF('Waste results'!$S$30&lt;&gt;"data missing", Calc!BC85*'Waste results'!$S$30, "data missing"),
IF('Field information 2'!$Q$5="",
   IF(Calc!BD85=0,
     IF('Waste results'!$S$30&lt;&gt;"data missing", Calc!BC85*'Waste results'!$S$30, "data missing"),
   IF(Calc!BC85=0,
     IF('Waste results'!$S$66&lt;&gt;"data missing", Calc!BD85*'Waste results'!$S$66, "data missing"),
   IF(OR('Waste results'!$S$30&lt;&gt;"data missing", 'Waste results'!$S$66&lt;&gt;"data missing"), Calc!BC85*'Waste results'!$S$30+ Calc!BD85*'Waste results'!$S$66, "data missing"))),
IF(AND('Field information 2'!$M$5&lt;&gt;"", 'Field information 2'!$O$5&lt;&gt;"", 'Field information 2'!$Q$5&lt;&gt;""),
   IF(AND(Calc!BD85=0,Calc!BE85=0),
     IF('Waste results'!$S$30&lt;&gt;"data missing", Calc!BC85*'Waste results'!$S$30, "data missing"),
   IF(AND(Calc!BC85=0,Calc!BE85=0),
     IF('Waste results'!$S$66&lt;&gt;"data missing", Calc!BD85*'Waste results'!$S$66, "data missing"),
   IF(AND(Calc!BC85=0,Calc!BD85=0),
     IF('Waste results'!$S$102&lt;&gt;"data missing", Calc!BE85*'Waste results'!$S$102, "data missing"),
   IF(Calc!BE85=0,
     IF(OR('Waste results'!$S$30&lt;&gt;"data missing", 'Waste results'!$S$66&lt;&gt;"data missing"), Calc!BC85*'Waste results'!$S$30+ Calc!BD85*'Waste results'!$S$66, "data missing"),
   IF(Calc!BD85=0,
     IF(OR('Waste results'!$S$30&lt;&gt;"data missing", 'Waste results'!$S$102&lt;&gt;"data missing"), Calc!BC85*'Waste results'!$S$30+ Calc!BE85*'Waste results'!$S$102, "data missing"),
   IF(Calc!BC85=0,
     IF(OR('Waste results'!$S$66&lt;&gt;"data missing", 'Waste results'!$S$102&lt;&gt;"data missing"), Calc!BD85*'Waste results'!$S$66+Calc!BE85*'Waste results'!$S$102, "data missing"),
   IF(OR('Waste results'!$S$30&lt;&gt;"data missing", 'Waste results'!$S$66&lt;&gt;"data missing", 'Waste results'!$S$102&lt;&gt;"data missing"), Calc!BC85*'Waste results'!$S$30+Calc!BD85*'Waste results'!$S$66+ Calc!BE85*'Waste results'!$S$102, "data missing")))))))))))</f>
        <v/>
      </c>
      <c r="BL87" s="241" t="str">
        <f ca="1">IF($B87="","",
IF(ISBLANK('Soil results'!P90),"data missing",'Soil results'!P90))</f>
        <v/>
      </c>
      <c r="BM87" s="241" t="str">
        <f t="shared" ca="1" si="31"/>
        <v/>
      </c>
      <c r="BN87" s="66" t="str">
        <f t="shared" ca="1" si="32"/>
        <v/>
      </c>
      <c r="BP87" s="238" t="str">
        <f ca="1">IF(B87="","",
IF(AND('Field information 2'!$O$5="", 'Field information 2'!$Q$5=""),
   IF('Waste results'!$S$31&lt;&gt;"data missing", Calc!BC85*'Waste results'!$S$31, "data missing"),
IF('Field information 2'!$Q$5="",
   IF(Calc!BD85=0,
     IF('Waste results'!$S$31&lt;&gt;"data missing", Calc!BC85*'Waste results'!$S$31, "data missing"),
   IF(Calc!BC85=0,
     IF('Waste results'!$S$67&lt;&gt;"data missing", Calc!BD85*'Waste results'!$S$67, "data missing"),
   IF(OR('Waste results'!$S$31&lt;&gt;"data missing", 'Waste results'!$S$67&lt;&gt;"data missing"), Calc!BC85*'Waste results'!$S$31+ Calc!BD85*'Waste results'!$S$67, "data missing"))),
IF(AND('Field information 2'!$M$5&lt;&gt;"", 'Field information 2'!$O$5&lt;&gt;"", 'Field information 2'!$Q$5&lt;&gt;""),
   IF(AND(Calc!BD85=0,Calc!BE85=0),
     IF('Waste results'!$S$31&lt;&gt;"data missing", Calc!BC85*'Waste results'!$S$31, "data missing"),
   IF(AND(Calc!BC85=0,Calc!BE85=0),
     IF('Waste results'!$S$67&lt;&gt;"data missing", Calc!BD85*'Waste results'!$S$67, "data missing"),
   IF(AND(Calc!BC85=0,Calc!BD85=0),
     IF('Waste results'!$S$103&lt;&gt;"data missing", Calc!BE85*'Waste results'!$S$103, "data missing"),
   IF(Calc!BE85=0,
     IF(OR('Waste results'!$S$31&lt;&gt;"data missing", 'Waste results'!$S$67&lt;&gt;"data missing"), Calc!BC85*'Waste results'!$S$31+ Calc!BD85*'Waste results'!$S$67, "data missing"),
   IF(Calc!BD85=0,
     IF(OR('Waste results'!$S$31&lt;&gt;"data missing", 'Waste results'!$S$103&lt;&gt;"data missing"), Calc!BC85*'Waste results'!$S$31+ Calc!BE85*'Waste results'!$S$103, "data missing"),
   IF(Calc!BC85=0,
     IF(OR('Waste results'!$S$67&lt;&gt;"data missing", 'Waste results'!$S$103&lt;&gt;"data missing"), Calc!BD85*'Waste results'!$S$67+Calc!BE85*'Waste results'!$S$103, "data missing"),
   IF(OR('Waste results'!$S$31&lt;&gt;"data missing", 'Waste results'!$S$67&lt;&gt;"data missing", 'Waste results'!$S$103&lt;&gt;"data missing"), Calc!BC85*'Waste results'!$S$31+Calc!BD85*'Waste results'!$S$67+ Calc!BE85*'Waste results'!$S$103, "data missing")))))))))))</f>
        <v/>
      </c>
      <c r="BQ87" s="239" t="str">
        <f ca="1">IF($B87="","",
IF(ISBLANK('Soil results'!Q90),"data missing",'Soil results'!Q90))</f>
        <v/>
      </c>
      <c r="BR87" s="239" t="str">
        <f t="shared" ca="1" si="33"/>
        <v/>
      </c>
      <c r="BS87" s="9" t="str">
        <f ca="1">IF(B87="","",
IF(BP87=0,"n/a",
IF(OR(BP87="data missing",BQ87=""),"data missing",
IF(BP87&gt;15,"application rate too high - permissible rate exceeds limit",
IF('Soil results'!F90&lt;=5.5,
  IF(BQ87&gt;200,"no application - soil conc. already above limit",
  IF(BR87&gt;200,"application rate too high - soil conc. will exceed limit",
  IF(BQ87&gt;200*0.9,"soil conc. is at or above 90% of the limit",
  IF(10*BP87*1000/3000+BQ87&gt;200,"soil limit likely to be exceeded in 10yrs",
  IF(50*BP87*1000/3000+BQ87&gt;200,"soil limit likely to be exceeded in 50yrs","ok"))))),
IF('Soil results'!F90&lt;=6,
  IF(BQ87&gt;250,"no application - soil conc. already above limit",
  IF(BR87&gt;250,"application rate too high - soil conc. will exceed limit",
  IF(BQ87&gt;250*0.9,"soil conc. is at or above 90% of the limit",
  IF(10*BP87*1000/3000+BQ87&gt;250,"soil limit likely to be exceeded in 10yrs",
  IF(50*BP87*1000/3000+BQ87&gt;250,"soil limit likely to be exceeded in 50yrs","ok"))))),
IF('Soil results'!F90&lt;=7,
  IF(BQ87&gt;300,"no application - soil conc. already above limit",
  IF(BR87&gt;300,"application rate too high - soil conc. will exceed limit",
  IF(BQ87&gt;300*0.9,"soil conc. is at or above 90% of the limit",
  IF(10*BP87*1000/3000+BQ87&gt;300,"soil limit likey to be exceeded in 10yrs",
  IF(50*BP87*1000/3000+BQ87&gt;300,"soil limit likely to be exceeded in 50yrs","ok"))))),
IF('Soil results'!F90&gt;7,
  IF(BQ87&gt;450,"no application - soil conc. already above limit",
  IF(BR87&gt;450,"application rate too high - soil conc. will exceed limit",
  IF(AW87&gt;450*0.9,"soil conc. is at or above 90% of the limit",
  IF(10*BP87*1000/3000+BQ87&gt;450,"soil limit likely to be exceeded in 10yrs",
  IF(50*BP87*1000/3000+BQ87&gt;450,"soil limit likely to be exceeded in 50yrs","ok")))))
))))))))</f>
        <v/>
      </c>
    </row>
    <row r="88" spans="2:71" s="9" customFormat="1" ht="15" x14ac:dyDescent="0.25">
      <c r="B88" s="236" t="str">
        <f ca="1">'Soil results'!B91</f>
        <v/>
      </c>
      <c r="C88" s="91" t="str">
        <f ca="1">IF(B88="","",
IF(AND('Field information 2'!$O$5="", 'Field information 2'!$Q$5=""),
   IF('Waste results'!$S$12&lt;&gt;"data missing", Calc!BC86*'Waste results'!$S$12, "data missing"),
IF('Field information 2'!$Q$5="",
   IF(Calc!BD86=0,
     IF('Waste results'!$S$12&lt;&gt;"data missing", Calc!BC86*'Waste results'!$S$12, "data missing"),
   IF(Calc!BC86=0,
     IF('Waste results'!$S$48&lt;&gt;"data missing", Calc!BD86*'Waste results'!$S$48, "data missing"),
   IF(OR('Waste results'!$S$12&lt;&gt;"data missing", 'Waste results'!$S$48&lt;&gt;"data missing"), Calc!BC86*'Waste results'!$S$12+ Calc!BD86*'Waste results'!$S$48, "data missing"))),
IF(AND('Field information 2'!$M$5&lt;&gt;"", 'Field information 2'!$O$5&lt;&gt;"", 'Field information 2'!$Q$5&lt;&gt;""),
   IF(AND(Calc!BD86=0,Calc!BE86=0),
     IF('Waste results'!$S$12&lt;&gt;"data missing", Calc!BC86*'Waste results'!$S$12, "data missing"),
   IF(AND(Calc!BC86=0,Calc!BE86=0),
     IF('Waste results'!$S$48&lt;&gt;"data missing", Calc!BD86*'Waste results'!$S$48, "data missing"),
   IF(AND(Calc!BC86=0,Calc!BD86=0),
     IF('Waste results'!$S$84&lt;&gt;"data missing", Calc!BE86*'Waste results'!$S$84, "data missing"),
   IF(Calc!BE86=0,
     IF(OR('Waste results'!$S$12&lt;&gt;"data missing", 'Waste results'!$S$48&lt;&gt;"data missing"), Calc!BC86*'Waste results'!$S$12+ Calc!BD86*'Waste results'!$S$48, "data missing"),
   IF(Calc!BD86=0,
     IF(OR('Waste results'!$S$12&lt;&gt;"data missing", 'Waste results'!$S$84&lt;&gt;"data missing"), Calc!BC86*'Waste results'!$S$12+ Calc!BE86*'Waste results'!$S$84, "data missing"),
   IF(Calc!BC86=0,
     IF(OR('Waste results'!$S$48&lt;&gt;"data missing", 'Waste results'!$S$84&lt;&gt;"data missing"), Calc!BD86*'Waste results'!$S$48+Calc!BE86*'Waste results'!$S$84, "data missing"),
   IF(OR('Waste results'!$S$12&lt;&gt;"data missing", 'Waste results'!$S$48&lt;&gt;"data missing", 'Waste results'!$S$84&lt;&gt;"data missing"), Calc!BC86*'Waste results'!$S$12+Calc!BD86*'Waste results'!$S$48+ Calc!BE86*'Waste results'!$S$84, "data missing")))))))))))</f>
        <v/>
      </c>
      <c r="D88" s="161" t="str">
        <f ca="1">IF(B88="","",
IF(Calc!BG86="","soil texture missing",
IF(OR(Calc!BG86="SL; SZL; ZL",Calc!BG86="SCL; CL; ZCL; SC; ZC; C"),VLOOKUP(Calc!BI86,'Fertiliser recommendations'!$A$4:$C$63,3,FALSE),
IF(Calc!BG86="S; LS",VLOOKUP(Calc!BI86,'Fertiliser recommendations'!$A$4:$C$63,3,FALSE)+VLOOKUP(Calc!BI86,'Fertiliser recommendations'!$A$4:$D$63,4,FALSE),
IF(Calc!BG86="10-25% OM",VLOOKUP(Calc!BI86,'Fertiliser recommendations'!$A$4:$C$63,3,FALSE)+VLOOKUP(Calc!BI86,'Fertiliser recommendations'!$A$4:$E$63,5,FALSE),
IF(Calc!BG86="&gt;25% OM",VLOOKUP(Calc!BI86,'Fertiliser recommendations'!$A$4:$C$63,3,FALSE)+VLOOKUP(Calc!BI86,'Fertiliser recommendations'!$A$4:$F$63,6,FALSE),
""))))))</f>
        <v/>
      </c>
      <c r="E88" s="91" t="str">
        <f t="shared" ca="1" si="17"/>
        <v/>
      </c>
      <c r="F88" s="9" t="str">
        <f ca="1">IF(B88="","",
IF(OR(C88="data missing",D88="soil texture missing"),"data missing",
IF(Calc!BF86=0,"n/a",
IF(C88&lt;0.1*D88,"no benefit",
IF(C88&lt;0.3*D88,"limited benefit",
IF(C88&gt;250,"exceeds limit",
IF(OR(AND(D88=0,C88&gt;75),C88&gt;1.25*D88),"excessive",
IF(D88=0, "no requirement",
"benefit"))))))))</f>
        <v/>
      </c>
      <c r="H88" s="91" t="str">
        <f ca="1">IF(B88="","",
IF(AND('Field information 2'!$O$5="", 'Field information 2'!$Q$5=""),
   IF('Waste results'!$S$17&lt;&gt;"data missing", Calc!BC86*'Waste results'!$S$17, "data missing"),
IF('Field information 2'!$Q$5="",
   IF(Calc!BD86=0,
     IF('Waste results'!$S$17&lt;&gt;"data missing", Calc!BC86*'Waste results'!$S$17, "data missing"),
   IF(Calc!BC86=0,
     IF('Waste results'!$S$53&lt;&gt;"data missing", Calc!BD86*'Waste results'!$S$53, "data missing"),
   IF(OR('Waste results'!$S$17&lt;&gt;"data missing", 'Waste results'!$S$53&lt;&gt;"data missing"), Calc!BC86*'Waste results'!$S$17+ Calc!BD86*'Waste results'!$S$53, "data missing"))),
IF(AND('Field information 2'!$M$5&lt;&gt;"", 'Field information 2'!$O$5&lt;&gt;"", 'Field information 2'!$Q$5&lt;&gt;""),
   IF(AND(Calc!BD86=0,Calc!BE86=0),
     IF('Waste results'!$S$17&lt;&gt;"data missing", Calc!BC86*'Waste results'!$S$17, "data missing"),
   IF(AND(Calc!BC86=0,Calc!BE86=0),
     IF('Waste results'!$S$53&lt;&gt;"data missing", Calc!BD86*'Waste results'!$S$53, "data missing"),
   IF(AND(Calc!BC86=0,Calc!BD86=0),
     IF('Waste results'!$S$89&lt;&gt;"data missing", Calc!BE86*'Waste results'!$S$89, "data missing"),
   IF(Calc!BE86=0,
     IF(OR('Waste results'!$S$17&lt;&gt;"data missing", 'Waste results'!$S$53&lt;&gt;"data missing"), Calc!BC86*'Waste results'!$S$17+ Calc!BD86*'Waste results'!$S$53, "data missing"),
   IF(Calc!BD86=0,
     IF(OR('Waste results'!$S$17&lt;&gt;"data missing", 'Waste results'!$S$89&lt;&gt;"data missing"), Calc!BC86*'Waste results'!$S$17+ Calc!BE86*'Waste results'!$S$89, "data missing"),
   IF(Calc!BC86=0,
     IF(OR('Waste results'!$S$53&lt;&gt;"data missing", 'Waste results'!$S$89&lt;&gt;"data missing"), Calc!BD86*'Waste results'!$S$53+Calc!BE86*'Waste results'!$S$89, "data missing"),
   IF(OR('Waste results'!$S$17&lt;&gt;"data missing", 'Waste results'!$S$53&lt;&gt;"data missing", 'Waste results'!$S$89&lt;&gt;"data missing"), Calc!BC86*'Waste results'!$S$17+Calc!BD86*'Waste results'!$S$53+ Calc!BE86*'Waste results'!$S$89, "data missing")))))))))))</f>
        <v/>
      </c>
      <c r="I88" s="195" t="str">
        <f ca="1">IF(B88="","",
IF(OR(ISBLANK('Soil results'!G91), ISBLANK('Soil results'!G$7)),"data missing",
IF(OR(AND('Soil results'!G$7="Olsen (ADAS)",'Soil results'!G91&lt;16),AND('Soil results'!G$7="modified Morgan (SAC)",'Soil results'!G91&lt;4.5)),50,100)))</f>
        <v/>
      </c>
      <c r="J88" s="49" t="str">
        <f ca="1">IF(B88="","",
IF(OR(ISBLANK('Soil results'!G$7),ISBLANK('Soil results'!G91)),"data missing",
IF(OR(AND('Soil results'!G$7="Olsen (ADAS)",'Soil results'!G91&gt;45),AND('Soil results'!G$7="modified Morgan (SAC)",'Soil results'!G91&gt;30)),0,
IF(OR(AND('Soil results'!G$7="Olsen (ADAS)",'Soil results'!G91&gt;=16,'Soil results'!G91&lt;=20),AND('Soil results'!G$7="modified Morgan (SAC)",'Soil results'!G91&gt;=4.5,'Soil results'!G91&lt;=9.4)),VLOOKUP(Calc!BI86,'Fertiliser recommendations'!$A$4:$I$63,9,FALSE),
IF(OR(AND('Soil results'!G$7="Olsen (ADAS)",'Soil results'!G91&lt;10),AND('Soil results'!G$7="modified Morgan (SAC)",'Soil results'!G91&lt;1.8)),VLOOKUP(Calc!BI86,'Fertiliser recommendations'!$A$4:$I$63,9,FALSE)+VLOOKUP(Calc!BI86,'Fertiliser recommendations'!$A$4:$J$63,10,FALSE),
IF(OR(AND('Soil results'!G$7="Olsen (ADAS)",'Soil results'!G91&lt;16),AND('Soil results'!G$7="modified Morgan (SAC)",'Soil results'!G91&lt;4.5)),VLOOKUP(Calc!BI86,'Fertiliser recommendations'!$A$4:$I$63,9,FALSE)+VLOOKUP(Calc!BI86,'Fertiliser recommendations'!$A$4:$K$63,11,FALSE),
IF(OR(AND('Soil results'!G$7="Olsen (ADAS)",'Soil results'!G91&lt;26),AND('Soil results'!G$7="modified Morgan (SAC)",'Soil results'!G91&lt;13.5)),VLOOKUP(Calc!BI86,'Fertiliser recommendations'!$A$4:$I$63,9,FALSE)+VLOOKUP(Calc!BI86,'Fertiliser recommendations'!$A$4:$L$63,12,FALSE),
IF(OR(AND('Soil results'!G$7="Olsen (ADAS)",'Soil results'!G91&lt;=45),AND('Soil results'!G$7="modified Morgan (SAC)",'Soil results'!G91&lt;=30)),VLOOKUP(Calc!BI86,'Fertiliser recommendations'!$A$4:$I$63,9,FALSE)+VLOOKUP(Calc!BI86,'Fertiliser recommendations'!$A$4:$M$63,13,FALSE),
""))))))))</f>
        <v/>
      </c>
      <c r="K88" s="161" t="str">
        <f t="shared" ca="1" si="18"/>
        <v/>
      </c>
      <c r="L88" s="47" t="str">
        <f ca="1">IF(OR(ISBLANK('Soil results'!G$7),ISBLANK('Soil results'!G91),B88="", H88="data missing"),"",
IF('Soil results'!G$7="Olsen (ADAS)",
IF(((H88*Calc!BM86/2.291-(VLOOKUP(Calc!BI86,'Fertiliser recommendations'!$A$4:$I$63,9,FALSE))/2.291)*10/(400/2.291)+'Soil results'!G91)&lt;10,"0 (VL)",
IF(((H88*Calc!BM86/2.291-(VLOOKUP(Calc!BI86,'Fertiliser recommendations'!$A$4:$I$63,9,FALSE))/2.291)*10/(400/2.291)+'Soil results'!G91)&lt;16,"1 (L)",
IF(((H88*Calc!BM86/2.291-(VLOOKUP(Calc!BI86,'Fertiliser recommendations'!$A$4:$I$63,9,FALSE))/2.291)*10/(400/2.291)+'Soil results'!G91)&lt;21,"2 (M-)",
IF(((H88*Calc!BM86/2.291-(VLOOKUP(Calc!BI86,'Fertiliser recommendations'!$A$4:$I$63,9,FALSE))/2.291)*10/(400/2.291)+'Soil results'!G91)&lt;26,"2 (M+)",
IF(((H88*Calc!BM86/2.291-(VLOOKUP(Calc!BI86,'Fertiliser recommendations'!$A$4:$I$63,9,FALSE))/2.291)*10/(400/2.291)+'Soil results'!G91)&lt;45,"3 (H)","&gt;3 (VH)"))))),
IF('Soil results'!G$7="modified Morgan (SAC)",
IF('Soil results'!G91&gt;=6,
IF(((H88*Calc!BM86/2.291-(VLOOKUP(Calc!BI86,'Fertiliser recommendations'!$A$4:$I$63,9,FALSE))/2.291)*5/(147/2.291)+'Soil results'!G91)&lt;9.5,"2 (M-)",
IF(((H88*Calc!BM86/2.291-(VLOOKUP(Calc!BI86,'Fertiliser recommendations'!$A$4:$I$63,9,FALSE))/2.291)*5/(147/2.291)+'Soil results'!G91)&lt;13.5,"2 (M+)",
IF(((H88*Calc!BM86/2.291-(VLOOKUP(Calc!BI86,'Fertiliser recommendations'!$A$4:$I$63,9,FALSE))/2.291)*5/(147/2.291)+'Soil results'!G91)&lt;30,"3 (H)","4 (VH)"))),
IF(((H88*Calc!BM86/2.291-(VLOOKUP(Calc!BI86,'Fertiliser recommendations'!$A$4:$I$63,9,FALSE))/2.291)*5/(346/2.291)+'Soil results'!G91)&lt;1.8,"0 (VL)",
IF(((H88*Calc!BM86/2.291-(VLOOKUP(Calc!BI86,'Fertiliser recommendations'!$A$4:$I$63,9,FALSE))/2.291)*5/(147/2.291)+'Soil results'!G91)&lt;4.5,"1 (L)","2 (M-)"))))))</f>
        <v/>
      </c>
      <c r="M88" s="9" t="str">
        <f ca="1">IF(B88="","",
IF(OR(H88="data missing",I88="data missing",J88="data missing"),"data missing",
IF(Calc!BF86=0,"n/a",
IF(OR(AND('Soil results'!G$7="Olsen (ADAS)",'Soil results'!G91&gt;45),AND('Soil results'!G$7="modified Morgan (SAC)",'Soil results'!G91&gt;30)),
IF(H88&gt;2,"too high, not acceptable","no requirement"),IF(OR(AND('Soil results'!G$7="Olsen (ADAS)",'Soil results'!G91&gt;25),AND('Soil results'!G$7="modified Morgan (SAC)",'Soil results'!G91&gt;13.4)),
IF(H88*(I88/100)&lt;0.1*J88,"no benefit",
IF(H88*(I88/100)&lt;0.3*J88,"limited benefit",
IF(H88*(I88/100)&lt;1.1*J88,"benefit",
IF(H88*(I88/100)&lt;0.7*VLOOKUP(Calc!BI86,'Fertiliser recommendations'!$A$4:$I$63,9,FALSE),"excessive","too high, not acceptable")))),
IF(OR(AND('Soil results'!G$7="Olsen (ADAS)",'Soil results'!G91&gt;20),AND('Soil results'!G$7="modified Morgan (SAC)",'Soil results'!G91&gt;9.4)),
IF(H88*Calc!BM86*(I88/100)&lt;0.1*J88,"no benefit",
IF(H88*Calc!BM86*(I88/100)&lt;0.3*J88,"limited benefit",
IF(H88*Calc!BM86*(I88/100)&lt;1.1*J88,"benefit",
IF(L88="3 (H)","too high, not acceptable","excessive")))),
IF(OR(AND('Soil results'!G$7="Olsen (ADAS)",'Soil results'!G91&gt;15),AND('Soil results'!G$7="modified Morgan (SAC)",'Soil results'!G91&gt;4.4)),
IF(H88*Calc!BM86*(I88/100)&lt;0.1*VLOOKUP(Calc!BI86,'Fertiliser recommendations'!$A$4:$I$63,9,FALSE),"no benefit",
IF(H88*Calc!BM86*(I88/100)&lt;0.3*VLOOKUP(Calc!BI86,'Fertiliser recommendations'!$A$4:$I$63,9,FALSE),"limited benefit",
IF(H88*Calc!BM86*(I88/100)&lt;1.1*VLOOKUP(Calc!BI86,'Fertiliser recommendations'!$A$4:$I$63,9,FALSE),"benefit",
IF(L88="3 (H)", "too high, not acceptable", "excessive")))),
IF(OR(AND('Soil results'!G$7="Olsen (ADAS)",'Soil results'!G91&lt;=15),AND('Soil results'!G$7="modified Morgan (SAC)",'Soil results'!G91&lt;=4.4)),
IF(H88*Calc!BM86*(I88/100)&lt;0.1*VLOOKUP(Calc!BI86,'Fertiliser recommendations'!$A$4:$I$63,9,FALSE),"no benefit",
IF(H88*Calc!BM86*(I88/100)&lt;0.3*VLOOKUP(Calc!BI86,'Fertiliser recommendations'!$A$4:$I$63,9,FALSE),"limited benefit",
IF(H88*Calc!BM86*(I88/100)&lt;1.1*J88,"benefit","excessive")))))))))))</f>
        <v/>
      </c>
      <c r="O88" s="91" t="str">
        <f ca="1">IF(B88="","",
IF(AND('Field information 2'!$O$5="", 'Field information 2'!$Q$5=""),
   IF('Waste results'!$S$19&lt;&gt;"data missing", Calc!BC86*'Waste results'!$S$19, "data missing"),
IF('Field information 2'!$Q$5="",
   IF(Calc!BD86=0,
     IF('Waste results'!$S$19&lt;&gt;"data missing", Calc!BC86*'Waste results'!$S$19, "data missing"),
   IF(Calc!BC86=0,
     IF('Waste results'!$S$55&lt;&gt;"data missing", Calc!BD86*'Waste results'!$S$55, "data missing"),
   IF(OR('Waste results'!$S$19&lt;&gt;"data missing", 'Waste results'!$S$55&lt;&gt;"data missing"), Calc!BC86*'Waste results'!$S$19+ Calc!BD86*'Waste results'!$S$55, "data missing"))),
IF(AND('Field information 2'!$M$5&lt;&gt;"", 'Field information 2'!$O$5&lt;&gt;"", 'Field information 2'!$Q$5&lt;&gt;""),
   IF(AND(Calc!BD86=0,Calc!BE86=0),
     IF('Waste results'!$S$19&lt;&gt;"data missing", Calc!BC86*'Waste results'!$S$19, "data missing"),
   IF(AND(Calc!BC86=0,Calc!BE86=0),
     IF('Waste results'!$S$55&lt;&gt;"data missing", Calc!BD86*'Waste results'!$S$55, "data missing"),
   IF(AND(Calc!BC86=0,Calc!BD86=0),
     IF('Waste results'!$S$91&lt;&gt;"data missing", Calc!BE86*'Waste results'!$S$91, "data missing"),
   IF(Calc!BE86=0,
     IF(OR('Waste results'!$S$19&lt;&gt;"data missing", 'Waste results'!$S$55&lt;&gt;"data missing"), Calc!BC86*'Waste results'!$S$19+ Calc!BD86*'Waste results'!$S$55, "data missing"),
   IF(Calc!BD86=0,
     IF(OR('Waste results'!$S$19&lt;&gt;"data missing", 'Waste results'!$S$91&lt;&gt;"data missing"), Calc!BC86*'Waste results'!$S$19+ Calc!BE86*'Waste results'!$S$91, "data missing"),
   IF(Calc!BC86=0,
     IF(OR('Waste results'!$S$55&lt;&gt;"data missing", 'Waste results'!$S$91&lt;&gt;"data missing"), Calc!BD86*'Waste results'!$S$55+Calc!BE86*'Waste results'!$S$91, "data missing"),
   IF(OR('Waste results'!$S$19&lt;&gt;"data missing", 'Waste results'!$S$55&lt;&gt;"data missing", 'Waste results'!$S$91&lt;&gt;"data missing"), Calc!BC86*'Waste results'!$S$19+Calc!BD86*'Waste results'!$S$55+ Calc!BE86*'Waste results'!$S$91, "data missing")))))))))))</f>
        <v/>
      </c>
      <c r="P88" s="91" t="str">
        <f ca="1">IF(B88="","",
IF(OR(ISBLANK('Soil results'!H$7),ISBLANK('Soil results'!H91)),"data missing",
IF(OR(AND('Soil results'!H$7="ammonium nitrate (ADAS)",'Soil results'!H91&gt;400),AND('Soil results'!H$7="modified Morgan (SAC)",'Soil results'!H91&gt;400)),0,
IF(OR(AND('Soil results'!H$7="ammonium nitrate (ADAS)",'Soil results'!H91&gt;=121,'Soil results'!H91&lt;=180),AND('Soil results'!H$7="modified Morgan (SAC)",'Soil results'!H91&gt;=76,'Soil results'!H91&lt;=140)),VLOOKUP(Calc!BI86,'Fertiliser recommendations'!$A$4:$Z$63,26,FALSE),
IF(OR(AND('Soil results'!H$7="ammonium nitrate (ADAS)",'Soil results'!H91&lt;61),AND('Soil results'!H$7="modified Morgan (SAC)",'Soil results'!H91&lt;40)),VLOOKUP(Calc!BI86,'Fertiliser recommendations'!$A$4:$Z$63,26,FALSE)+VLOOKUP(Calc!BI86,'Fertiliser recommendations'!$A$4:$AA$63,27,FALSE),
IF(OR(AND('Soil results'!H$7="ammonium nitrate (ADAS)",'Soil results'!H91&lt;121),AND('Soil results'!H$7="modified Morgan (SAC)",'Soil results'!H91&lt;76)),VLOOKUP(Calc!BI86,'Fertiliser recommendations'!$A$4:$Z$63,26,FALSE)+VLOOKUP(Calc!BI86,'Fertiliser recommendations'!$A$4:$AB$63,28,FALSE),
IF(OR(AND('Soil results'!H$7="ammonium nitrate (ADAS)",'Soil results'!H91&lt;241),AND('Soil results'!H$7="modified Morgan (SAC)",'Soil results'!H91&lt;201)),VLOOKUP(Calc!BI86,'Fertiliser recommendations'!$A$4:$Z$63,26,FALSE)+VLOOKUP(Calc!BI86,'Fertiliser recommendations'!$A$4:$AC$63,29,FALSE),
IF(OR(AND('Soil results'!H$7="ammonium nitrate (ADAS)",'Soil results'!H91&lt;=400),AND('Soil results'!H$7="modified Morgan (SAC)",'Soil results'!H91&lt;=400)),VLOOKUP(Calc!BI86,'Fertiliser recommendations'!$A$4:$Z$63,26,FALSE)+VLOOKUP(Calc!BI86,'Fertiliser recommendations'!$A$4:$AD$63,30,FALSE),
"??"))))))))</f>
        <v/>
      </c>
      <c r="Q88" s="91" t="str">
        <f t="shared" ca="1" si="19"/>
        <v/>
      </c>
      <c r="R88" s="9" t="str">
        <f ca="1">IF(B88="","",
IF(OR(O88="data missing",P88="data missing"),"data missing",
IF(Calc!BF86=0,"n/a",
IF(P88=0, "no requirement",
IF(O88&lt;0.1*P88,"no benefit",
IF(O88&lt;0.3*P88,"limited benefit",
IF(O88&gt;1.25*P88,"excessive",
"benefit")))))))</f>
        <v/>
      </c>
      <c r="T88" s="91" t="str">
        <f ca="1">IF(B88="","",
IF(AND('Field information 2'!$O$5="", 'Field information 2'!$Q$5=""),
   IF('Waste results'!$S$21&lt;&gt;"data missing", Calc!BC86*'Waste results'!$S$21, "data missing"),
IF('Field information 2'!$Q$5="",
   IF(Calc!BD86=0,
     IF('Waste results'!$S$21&lt;&gt;"data missing", Calc!BC86*'Waste results'!$S$21, "data missing"),
   IF(Calc!BC86=0,
     IF('Waste results'!$S$57&lt;&gt;"data missing", Calc!BD86*'Waste results'!$S$57, "data missing"),
   IF(OR('Waste results'!$S$21&lt;&gt;"data missing", 'Waste results'!$S$57&lt;&gt;"data missing"), Calc!BC86*'Waste results'!$S$21+ Calc!BD86*'Waste results'!$S$57, "data missing"))),
IF(AND('Field information 2'!$M$5&lt;&gt;"", 'Field information 2'!$O$5&lt;&gt;"", 'Field information 2'!$Q$5&lt;&gt;""),
   IF(AND(Calc!BD86=0,Calc!BE86=0),
     IF('Waste results'!$S$21&lt;&gt;"data missing", Calc!BC86*'Waste results'!$S$21, "data missing"),
   IF(AND(Calc!BC86=0,Calc!BE86=0),
     IF('Waste results'!$S$57&lt;&gt;"data missing", Calc!BD86*'Waste results'!$S$57, "data missing"),
   IF(AND(Calc!BC86=0,Calc!BD86=0),
     IF('Waste results'!$S$93&lt;&gt;"data missing", Calc!BE86*'Waste results'!$S$93, "data missing"),
   IF(Calc!BE86=0,
     IF(OR('Waste results'!$S$21&lt;&gt;"data missing", 'Waste results'!$S$57&lt;&gt;"data missing"), Calc!BC86*'Waste results'!$S$21+ Calc!BD86*'Waste results'!$S$57, "data missing"),
   IF(Calc!BD86=0,
     IF(OR('Waste results'!$S$21&lt;&gt;"data missing", 'Waste results'!$S$93&lt;&gt;"data missing"), Calc!BC86*'Waste results'!$S$21+ Calc!BE86*'Waste results'!$S$93, "data missing"),
   IF(Calc!BC86=0,
     IF(OR('Waste results'!$S$57&lt;&gt;"data missing", 'Waste results'!$S$93&lt;&gt;"data missing"), Calc!BD86*'Waste results'!$S$57+Calc!BE86*'Waste results'!$S$93, "data missing"),
   IF(OR('Waste results'!$S$21&lt;&gt;"data missing", 'Waste results'!$S$57&lt;&gt;"data missing", 'Waste results'!$S$93&lt;&gt;"data missing"), Calc!BC86*'Waste results'!$S$21+Calc!BD86*'Waste results'!$S$57+ Calc!BE86*'Waste results'!$S$93, "data missing")))))))))))</f>
        <v/>
      </c>
      <c r="U88" s="7" t="str">
        <f ca="1">IF(B88="","",
IF(OR(ISBLANK('Soil results'!I$7),ISBLANK('Soil results'!I91)),"data missing",
IF(OR(AND('Soil results'!I$7="ammonium nitrate (ADAS)",'Soil results'!I91&gt;51),AND('Soil results'!I$7="modified Morgan (SAC)",'Soil results'!I91&gt;61)),0,
IF(OR(AND('Soil results'!I$7="ammonium nitrate (ADAS)",'Soil results'!I91&lt;25),AND('Soil results'!I$7="modified Morgan (SAC)",'Soil results'!I91&lt;19)),VLOOKUP(Calc!BI86,'Fertiliser recommendations'!$A$4:$AH$63,34,FALSE),
IF(OR(AND('Soil results'!I$7="ammonium nitrate (ADAS)",'Soil results'!I91&lt;=51),AND('Soil results'!I$7="modified Morgan (SAC)",'Soil results'!I91&lt;=61)),VLOOKUP(Calc!BI86,'Fertiliser recommendations'!$A$4:$AI$63,35,FALSE),
"")))))</f>
        <v/>
      </c>
      <c r="V88" s="91" t="str">
        <f t="shared" ca="1" si="20"/>
        <v/>
      </c>
      <c r="W88" s="9" t="str">
        <f ca="1">IF(B88="","",
IF(OR(T88="data missing",U88="data missing"),"data missing",
IF(Calc!BF86=0,"n/a",
IF(U88=0,"no requirement",
IF(T88&lt;0.1*U88,"no benefit",
IF(T88&lt;0.3*U88,"limited benefit",
IF(OR(T88&gt;1.5*U88,AND(Calc!BJ86="g",T88&gt;100)),"excessive",
"benefit")))))))</f>
        <v/>
      </c>
      <c r="Y88" s="91" t="str">
        <f ca="1">IF(B88="","",
IF(AND('Field information 2'!$O$5="", 'Field information 2'!$Q$5=""),
   IF('Waste results'!$P$23&lt;&gt;"", Calc!BC86*'Waste results'!$P$23, "no data"),
IF('Field information 2'!$Q$5="",
   IF(Calc!BD86=0,
     IF('Waste results'!$P$23&lt;&gt;"", Calc!BC86*'Waste results'!$P$23, "no data"),
   IF(Calc!BC86=0,
     IF('Waste results'!$P$59&lt;&gt;"", Calc!BD86*'Waste results'!$P$59, "no data"),
   IF(OR('Waste results'!$P$23&lt;&gt;"", 'Waste results'!$P$59&lt;&gt;""), Calc!BC86*'Waste results'!$P$23+ Calc!BD86*'Waste results'!$P$59, "no data"))),
IF(AND('Field information 2'!$M$5&lt;&gt;"", 'Field information 2'!$O$5&lt;&gt;"", 'Field information 2'!$Q$5&lt;&gt;""),
   IF(AND(Calc!BD86=0,Calc!BE86=0),
     IF('Waste results'!$P$23&lt;&gt;"", Calc!BC86*'Waste results'!$P$23, "no data"),
   IF(AND(Calc!BC86=0,Calc!BE86=0),
     IF('Waste results'!$P$59&lt;&gt;"", Calc!BD86*'Waste results'!$P$59, "no data"),
   IF(AND(Calc!BC86=0,Calc!BD86=0),
     IF('Waste results'!$P$95&lt;&gt;"", Calc!BE86*'Waste results'!$P$95, "no data"),
   IF(Calc!BE86=0,
     IF(OR('Waste results'!$P$23&lt;&gt;"", 'Waste results'!$P$59&lt;&gt;""), Calc!BC86*'Waste results'!$P$23+ Calc!BD86*'Waste results'!$P$59, "no data"),
   IF(Calc!BD86=0,
     IF(OR('Waste results'!$P$23&lt;&gt;"", 'Waste results'!$P$95&lt;&gt;""), Calc!BC86*'Waste results'!$P$23+ Calc!BE86*'Waste results'!$P$95, "no data"),
   IF(Calc!BC86=0,
     IF(OR('Waste results'!$P$59&lt;&gt;"", 'Waste results'!$P$95&lt;&gt;""), Calc!BD86*'Waste results'!$P$59+Calc!BE86*'Waste results'!$P$95, "no data"),
   IF(OR('Waste results'!$P$23&lt;&gt;"", 'Waste results'!$P$59&lt;&gt;"", 'Waste results'!$P$95&lt;&gt;""), Calc!BC86*'Waste results'!$P$23+Calc!BD86*'Waste results'!$P$59+ Calc!BE86*'Waste results'!$P$95, "no data")))))))))))</f>
        <v/>
      </c>
      <c r="Z88" s="7" t="str">
        <f ca="1">IF(OR(ISBLANK('Soil results'!I$7),ISBLANK('Soil results'!I91),'Soil results'!B91=""),"",
VLOOKUP(Calc!BI86,'Fertiliser recommendations'!$A$4:$AM$63,39,FALSE))</f>
        <v/>
      </c>
      <c r="AA88" s="91" t="str">
        <f t="shared" ca="1" si="21"/>
        <v/>
      </c>
      <c r="AB88" s="9" t="str">
        <f t="shared" ca="1" si="22"/>
        <v/>
      </c>
      <c r="AD88" s="48" t="str">
        <f>IF(ISBLANK('Soil results'!F91),"",'Soil results'!F91)</f>
        <v/>
      </c>
      <c r="AE88" s="49" t="str">
        <f ca="1">IF(B88="","",
IF(AND(Calc!BJ86="g", VLOOKUP(LEFT($B88,LEN($B88)-2),'Field information 2'!$B$12:$P$111,9,FALSE)&lt;&gt;"yes"),
 IF(Calc!BG86="10-25% OM", 5.9, IF(Calc!BG86="&gt;25% OM", 5.5, 6.2)),
IF(OR(Calc!BJ86="a", VLOOKUP(LEFT($B88,LEN($B88)-2),'Field information 2'!$B$12:$P$111,9,FALSE)="yes"),
 IF(Calc!BG86="10-25% OM", 6.4, IF(Calc!BG86="&gt;25% OM", 6, 6.7)), "")))</f>
        <v/>
      </c>
      <c r="AF88" s="91" t="str">
        <f ca="1">IF(B88="","",
IF('Waste results'!$Q$33="","no (significant) liming properties",
IF('Waste results'!Q$33&gt;100,"no (significant) liming properties",
IF(AD88="","",
IF(AD88&gt;=AE88,0,ROUNDDOWN((AE88-AD88)*Calc!BK86*'Waste results'!$Q$33+0.2,0))))))</f>
        <v/>
      </c>
      <c r="AG88" s="9" t="str">
        <f ca="1">IF(B88="","",
IF(T88=0,"n/a",
IF(AD88="","data missing",
IF(AND(AD88&lt;5,AF88="no (significant) liming properties"),"no waste application - pH too low",
IF(AND(AD88&gt;5.1,AF88="no (significant) liming properties",Calc!BH86&gt;25, LEFT(Calc!BI86,4)="graz"),"ok",
IF(AND(AD88&lt;=5.2,AF88="no (significant) liming properties"),"liming highly recommended",
IF(AF88=0,"no waste application - liming not required",
IF(AF88&lt;Calc!BC86,"application rate too high - exceeds liming requirement",
"ok"))))))))</f>
        <v/>
      </c>
      <c r="AI88" s="91" t="str">
        <f ca="1">IF(B88="","",
IF(AND('Field information 2'!$O$5="", 'Field information 2'!$Q$5=""),
   IF('Waste results'!$P$10&lt;&gt;"data missing", Calc!BC86*'Waste results'!$P$10, "data missing"),
IF('Field information 2'!$Q$5="",
   IF(Calc!BD86=0,
     IF('Waste results'!$P$10&lt;&gt;"data missing", Calc!BC86*'Waste results'!$P$10, "data missing"),
   IF(Calc!BC86=0,
     IF('Waste results'!$P$45&lt;&gt;"data missing", Calc!BD86*'Waste results'!$P$45, "data missing"),
   IF(OR('Waste results'!$P$10&lt;&gt;"data missing", 'Waste results'!$P$45&lt;&gt;"data missing"), Calc!BC86*'Waste results'!$P$10+ Calc!BD86*'Waste results'!$P$45, "data missing"))),
IF(AND('Field information 2'!$M$5&lt;&gt;"", 'Field information 2'!$O$5&lt;&gt;"", 'Field information 2'!$Q$5&lt;&gt;""),
   IF(AND(Calc!BD86=0,Calc!BE86=0),
     IF('Waste results'!$P$10&lt;&gt;"data missing", Calc!BC86*'Waste results'!$P$10, "data missing"),
   IF(AND(Calc!BC86=0,Calc!BE86=0),
     IF('Waste results'!$P$45&lt;&gt;"data missing", Calc!BD86*'Waste results'!$P$45, "data missing"),
   IF(AND(Calc!BC86=0,Calc!BD86=0),
     IF('Waste results'!$P$82&lt;&gt;"data missing", Calc!BE86*'Waste results'!$P$82, "data missing"),
   IF(Calc!BE86=0,
     IF(OR('Waste results'!$P$10&lt;&gt;"data missing", 'Waste results'!$P$45&lt;&gt;"data missing"), Calc!BC86*'Waste results'!$P$10+ Calc!BD86*'Waste results'!$P$45, "data missing"),
   IF(Calc!BD86=0,
     IF(OR('Waste results'!$P$10&lt;&gt;"data missing", 'Waste results'!$P$82&lt;&gt;"data missing"), Calc!BC86*'Waste results'!$P$10+ Calc!BE86*'Waste results'!$P$82, "data missing"),
   IF(Calc!BC86=0,
     IF(OR('Waste results'!$P$45&lt;&gt;"data missing", 'Waste results'!$P$82&lt;&gt;"data missing"), Calc!BD86*'Waste results'!$P$45+Calc!BE86*'Waste results'!$P$82, "data missing"),
   IF(OR('Waste results'!$P$10&lt;&gt;"data missing", 'Waste results'!$P$45&lt;&gt;"data missing", 'Waste results'!$P$82&lt;&gt;"data missing"), Calc!BC86*'Waste results'!$P$10+Calc!BD86*'Waste results'!$P$45+ Calc!BE86*'Waste results'!$P$82, "data missing")))))))))))</f>
        <v/>
      </c>
      <c r="AJ88" s="237" t="str">
        <f ca="1">IF(B88="","",
IF(AI88="data missing","data missing",
IF(Calc!BF86=0,"n/a",
IF(AND(Calc!BH86&gt;=8,AI88&lt;500),"no benefit",
IF(OR(AND(Calc!BH86&lt;=4,AI88&gt;=500),AND(Calc!BH86&lt;8,AI88&gt;5000)),"benefit",
"limited benefit")))))</f>
        <v/>
      </c>
      <c r="AL88" s="238" t="str">
        <f ca="1">IF(B88="","",
IF(AND('Field information 2'!$O$5="", 'Field information 2'!$Q$5=""),
   IF('Waste results'!$S$25&lt;&gt;"data missing", Calc!BC86*'Waste results'!$S$25, "data missing"),
IF('Field information 2'!$Q$5="",
   IF(Calc!BD86=0,
     IF('Waste results'!$S$25&lt;&gt;"data missing", Calc!BC86*'Waste results'!$S$25, "data missing"),
   IF(Calc!BC86=0,
     IF('Waste results'!$S$61&lt;&gt;"data missing", Calc!BD86*'Waste results'!$S$61, "data missing"),
   IF(OR('Waste results'!$S$25&lt;&gt;"data missing", 'Waste results'!$S$61&lt;&gt;"data missing"), Calc!BC86*'Waste results'!$S$25+ Calc!BD86*'Waste results'!$S$61, "data missing"))),
IF(AND('Field information 2'!$M$5&lt;&gt;"", 'Field information 2'!$O$5&lt;&gt;"", 'Field information 2'!$Q$5&lt;&gt;""),
   IF(AND(Calc!BD86=0,Calc!BE86=0),
     IF('Waste results'!$S$25&lt;&gt;"data missing", Calc!BC86*'Waste results'!$S$25, "data missing"),
   IF(AND(Calc!BC86=0,Calc!BE86=0),
     IF('Waste results'!$S$61&lt;&gt;"data missing", Calc!BD86*'Waste results'!$S$61, "data missing"),
   IF(AND(Calc!BC86=0,Calc!BD86=0),
     IF('Waste results'!$S$97&lt;&gt;"data missing", Calc!BE86*'Waste results'!$S$97, "data missing"),
   IF(Calc!BE86=0,
     IF(OR('Waste results'!$S$25&lt;&gt;"data missing", 'Waste results'!$S$61&lt;&gt;"data missing"), Calc!BC86*'Waste results'!$S$25+ Calc!BD86*'Waste results'!$S$61, "data missing"),
   IF(Calc!BD86=0,
     IF(OR('Waste results'!$S$25&lt;&gt;"data missing", 'Waste results'!$S$97&lt;&gt;"data missing"), Calc!BC86*'Waste results'!$S$25+ Calc!BE86*'Waste results'!$S$97, "data missing"),
   IF(Calc!BC86=0,
     IF(OR('Waste results'!$S$61&lt;&gt;"data missing", 'Waste results'!$S$97&lt;&gt;"data missing"), Calc!BD86*'Waste results'!$S$61+Calc!BE86*'Waste results'!$S$97, "data missing"),
   IF(OR('Waste results'!$S$25&lt;&gt;"data missing", 'Waste results'!$S$61&lt;&gt;"data missing", 'Waste results'!$S$97&lt;&gt;"data missing"), Calc!BC86*'Waste results'!$S$25+Calc!BD86*'Waste results'!$S$61+ Calc!BE86*'Waste results'!$S$97, "data missing")))))))))))</f>
        <v/>
      </c>
      <c r="AM88" s="239" t="str">
        <f ca="1">IF($B88="","",
IF(ISBLANK('Soil results'!K91),"data missing",'Soil results'!K91))</f>
        <v/>
      </c>
      <c r="AN88" s="239" t="str">
        <f t="shared" ca="1" si="23"/>
        <v/>
      </c>
      <c r="AO88" s="9" t="str">
        <f t="shared" ca="1" si="24"/>
        <v/>
      </c>
      <c r="AQ88" s="240" t="str">
        <f ca="1">IF(B88="","",
IF(AND('Field information 2'!$O$5="", 'Field information 2'!$Q$5=""),
   IF('Waste results'!$S$26&lt;&gt;"data missing", Calc!BC86*'Waste results'!$S$26, "data missing"),
IF('Field information 2'!$Q$5="",
   IF(Calc!BD86=0,
     IF('Waste results'!$S$26&lt;&gt;"data missing", Calc!BC86*'Waste results'!$S$26, "data missing"),
   IF(Calc!BC86=0,
     IF('Waste results'!$S$62&lt;&gt;"data missing", Calc!BD86*'Waste results'!$S$62, "data missing"),
   IF(OR('Waste results'!$S$26&lt;&gt;"data missing", 'Waste results'!$S$62&lt;&gt;"data missing"), Calc!BC86*'Waste results'!$S$26+ Calc!BD86*'Waste results'!$S$62, "data missing"))),
IF(AND('Field information 2'!$M$5&lt;&gt;"", 'Field information 2'!$O$5&lt;&gt;"", 'Field information 2'!$Q$5&lt;&gt;""),
   IF(AND(Calc!BD86=0,Calc!BE86=0),
     IF('Waste results'!$S$26&lt;&gt;"data missing", Calc!BC86*'Waste results'!$S$26, "data missing"),
   IF(AND(Calc!BC86=0,Calc!BE86=0),
     IF('Waste results'!$S$62&lt;&gt;"data missing", Calc!BD86*'Waste results'!$S$62, "data missing"),
   IF(AND(Calc!BC86=0,Calc!BD86=0),
     IF('Waste results'!$S$98&lt;&gt;"data missing", Calc!BE86*'Waste results'!$S$98, "data missing"),
   IF(Calc!BE86=0,
     IF(OR('Waste results'!$S$26&lt;&gt;"data missing", 'Waste results'!$S$62&lt;&gt;"data missing"), Calc!BC86*'Waste results'!$S$26+ Calc!BD86*'Waste results'!$S$62, "data missing"),
   IF(Calc!BD86=0,
     IF(OR('Waste results'!$S$26&lt;&gt;"data missing", 'Waste results'!$S$98&lt;&gt;"data missing"), Calc!BC86*'Waste results'!$S$26+ Calc!BE86*'Waste results'!$S$98, "data missing"),
   IF(Calc!BC86=0,
     IF(OR('Waste results'!$S$62&lt;&gt;"data missing", 'Waste results'!$S$98&lt;&gt;"data missing"), Calc!BD86*'Waste results'!$S$62+Calc!BE86*'Waste results'!$S$98, "data missing"),
   IF(OR('Waste results'!$S$26&lt;&gt;"data missing", 'Waste results'!$S$62&lt;&gt;"data missing", 'Waste results'!$S$98&lt;&gt;"data missing"), Calc!BC86*'Waste results'!$S$26+Calc!BD86*'Waste results'!$S$62+ Calc!BE86*'Waste results'!$S$98, "data missing")))))))))))</f>
        <v/>
      </c>
      <c r="AR88" s="241" t="str">
        <f ca="1">IF($B88="","",
IF(ISBLANK('Soil results'!L91),"data missing",'Soil results'!L91))</f>
        <v/>
      </c>
      <c r="AS88" s="241" t="str">
        <f t="shared" ca="1" si="25"/>
        <v/>
      </c>
      <c r="AT88" s="66" t="str">
        <f t="shared" ca="1" si="26"/>
        <v/>
      </c>
      <c r="AV88" s="238" t="str">
        <f ca="1">IF(B88="","",
IF(AND('Field information 2'!$O$5="", 'Field information 2'!$Q$5=""),
   IF('Waste results'!$S$27&lt;&gt;"data missing", Calc!BC86*'Waste results'!$S$27, "data missing"),
IF('Field information 2'!$Q$5="",
   IF(Calc!BD86=0,
     IF('Waste results'!$S$27&lt;&gt;"data missing", Calc!BC86*'Waste results'!$S$27, "data missing"),
   IF(Calc!BC86=0,
     IF('Waste results'!$S$63&lt;&gt;"data missing", Calc!BD86*'Waste results'!$S$63, "data missing"),
   IF(OR('Waste results'!$S$27&lt;&gt;"data missing", 'Waste results'!$S$63&lt;&gt;"data missing"), Calc!BC86*'Waste results'!$S$27+ Calc!BD86*'Waste results'!$S$63, "data missing"))),
IF(AND('Field information 2'!$M$5&lt;&gt;"", 'Field information 2'!$O$5&lt;&gt;"", 'Field information 2'!$Q$5&lt;&gt;""),
   IF(AND(Calc!BD86=0,Calc!BE86=0),
     IF('Waste results'!$S$27&lt;&gt;"data missing", Calc!BC86*'Waste results'!$S$27, "data missing"),
   IF(AND(Calc!BC86=0,Calc!BE86=0),
     IF('Waste results'!$S$63&lt;&gt;"data missing", Calc!BD86*'Waste results'!$S$63, "data missing"),
   IF(AND(Calc!BC86=0,Calc!BD86=0),
     IF('Waste results'!$S$99&lt;&gt;"data missing", Calc!BE86*'Waste results'!$S$99, "data missing"),
   IF(Calc!BE86=0,
     IF(OR('Waste results'!$S$27&lt;&gt;"data missing", 'Waste results'!$S$63&lt;&gt;"data missing"), Calc!BC86*'Waste results'!$S$27+ Calc!BD86*'Waste results'!$S$63, "data missing"),
   IF(Calc!BD86=0,
     IF(OR('Waste results'!$S$27&lt;&gt;"data missing", 'Waste results'!$S$99&lt;&gt;"data missing"), Calc!BC86*'Waste results'!$S$27+ Calc!BE86*'Waste results'!$S$99, "data missing"),
   IF(Calc!BC86=0,
     IF(OR('Waste results'!$S$63&lt;&gt;"data missing", 'Waste results'!$S$99&lt;&gt;"data missing"), Calc!BD86*'Waste results'!$S$63+Calc!BE86*'Waste results'!$S$99, "data missing"),
   IF(OR('Waste results'!$S$27&lt;&gt;"data missing", 'Waste results'!$S$63&lt;&gt;"data missing", 'Waste results'!$S$99&lt;&gt;"data missing"), Calc!BC86*'Waste results'!$S$27+Calc!BD86*'Waste results'!$S$63+ Calc!BE86*'Waste results'!$S$99, "data missing")))))))))))</f>
        <v/>
      </c>
      <c r="AW88" s="239" t="str">
        <f ca="1">IF($B88="","",
IF(ISBLANK('Soil results'!M91),"data missing",'Soil results'!M91))</f>
        <v/>
      </c>
      <c r="AX88" s="239" t="str">
        <f t="shared" ca="1" si="27"/>
        <v/>
      </c>
      <c r="AY88" s="9" t="str">
        <f ca="1">IF(B88="","",
IF(AV88=0,"n/a",
IF(OR(AV88="data missing",AW88="data missing"),"data missing",
IF(AV88&gt;7.5,"application rate too high - permissible rate exceeds limit",
IF('Soil results'!$F91&lt;=5.5,
  IF(AW88&gt;80,"no application - soil conc. already above limit",
  IF(AX88&gt;80,"application rate too high - soil conc. will exceed limit",
  IF(AW88&gt;80*0.9,"soil conc. is at or above 90% of the limit",
  IF(10*AV88*1000/3000+AW88&gt;80,"soil limit likely to be exceeded in 10yrs",
  IF(50*AV88*1000/3000+AW88&gt;80,"soil limit likely to be exceeded in 50yrs","ok"))))),
IF('Soil results'!$F91&lt;=6,
  IF(AW88&gt;100,"no application - soil conc. already above limit",
  IF(AX88&gt;100,"application rate too high - soil conc. will exceed limit",
  IF(AW88&gt;100*0.9,"soil conc. is at or above 90% of the limit",
  IF(10*AV88*1000/3000+AW88&gt;100,"soil limit likely to be exceeded in 10yrs",
  IF(50*AV88*1000/3000+AW88&gt;100,"soil limit likely to be exceeded in 50yrs","ok"))))),
IF('Soil results'!$F91&lt;=7,
  IF(AW88&gt;135,"no application - soil conc. already above limit",
  IF(AX88&gt;135,"application rate too high - soil conc. will exceed limit",
  IF(AW88&gt;135*0.9,"soil conc. is at or above 90% of the limit",
  IF(10*AV88*1000/3000+AW88&gt;135,"soil limit likely to be exceeded in 10yrs",
  IF(50*AV88*1000/3000+AW88&gt;135,"soil limit likely to be exceeded in 50yrs","ok"))))),
IF('Soil results'!$F91&gt;7,
  IF(AW88&gt;200,"no application - soil conc. already above limit",
  IF(AX88&gt;200,"application too high - soil conc. will exceed limit",
  IF(AW88&gt;200*0.9,"soil conc. is at or above 90% of the limit",
  IF(10*AV88*1000/3000+AW88&gt;200,"soil limit likely to be exceeded in 10yrs",
  IF(50*AV88*1000/3000+AW88&gt;200,"soil limit likely to be exceeded in 50yrs","ok")))))
))))))))</f>
        <v/>
      </c>
      <c r="BA88" s="238" t="str">
        <f ca="1">IF(B88="","",
IF(AND('Field information 2'!$O$5="", 'Field information 2'!$Q$5=""),
   IF('Waste results'!$S$28&lt;&gt;"data missing", Calc!BC86*'Waste results'!$S$28, "data missing"),
IF('Field information 2'!$Q$5="",
   IF(Calc!BD86=0,
     IF('Waste results'!$S$28&lt;&gt;"data missing", Calc!BC86*'Waste results'!$S$28, "data missing"),
   IF(Calc!BC86=0,
     IF('Waste results'!$S$64&lt;&gt;"data missing", Calc!BD86*'Waste results'!$S$64, "data missing"),
   IF(OR('Waste results'!$S$28&lt;&gt;"data missing", 'Waste results'!$S$64&lt;&gt;"data missing"), Calc!BC86*'Waste results'!$S$28+ Calc!BD86*'Waste results'!$S$64, "data missing"))),
IF(AND('Field information 2'!$M$5&lt;&gt;"", 'Field information 2'!$O$5&lt;&gt;"", 'Field information 2'!$Q$5&lt;&gt;""),
   IF(AND(Calc!BD86=0,Calc!BE86=0),
     IF('Waste results'!$S$28&lt;&gt;"data missing", Calc!BC86*'Waste results'!$S$28, "data missing"),
   IF(AND(Calc!BC86=0,Calc!BE86=0),
     IF('Waste results'!$S$64&lt;&gt;"data missing", Calc!BD86*'Waste results'!$S$64, "data missing"),
   IF(AND(Calc!BC86=0,Calc!BD86=0),
     IF('Waste results'!$S$100&lt;&gt;"data missing", Calc!BE86*'Waste results'!$S$100, "data missing"),
   IF(Calc!BE86=0,
     IF(OR('Waste results'!$S$28&lt;&gt;"data missing", 'Waste results'!$S$64&lt;&gt;"data missing"), Calc!BC86*'Waste results'!$S$28+ Calc!BD86*'Waste results'!$S$64, "data missing"),
   IF(Calc!BD86=0,
     IF(OR('Waste results'!$S$28&lt;&gt;"data missing", 'Waste results'!$S$100&lt;&gt;"data missing"), Calc!BC86*'Waste results'!$S$28+ Calc!BE86*'Waste results'!$S$100, "data missing"),
   IF(Calc!BC86=0,
     IF(OR('Waste results'!$S$64&lt;&gt;"data missing", 'Waste results'!$S$100&lt;&gt;"data missing"), Calc!BD86*'Waste results'!$S$64+Calc!BE86*'Waste results'!$S$100, "data missing"),
   IF(OR('Waste results'!$S$28&lt;&gt;"data missing", 'Waste results'!$S$64&lt;&gt;"data missing", 'Waste results'!$S$100&lt;&gt;"data missing"), Calc!BC86*'Waste results'!$S$28+Calc!BD86*'Waste results'!$S$64+ Calc!BE86*'Waste results'!$S$100, "data missing")))))))))))</f>
        <v/>
      </c>
      <c r="BB88" s="239" t="str">
        <f ca="1">IF($B88="","",
IF(ISBLANK('Soil results'!N91),"data missing",'Soil results'!N91))</f>
        <v/>
      </c>
      <c r="BC88" s="239" t="str">
        <f t="shared" ca="1" si="28"/>
        <v/>
      </c>
      <c r="BD88" s="9" t="str">
        <f t="shared" ca="1" si="29"/>
        <v/>
      </c>
      <c r="BF88" s="238" t="str">
        <f ca="1">IF(B88="","",
IF(AND('Field information 2'!$O$5="", 'Field information 2'!$Q$5=""),
   IF('Waste results'!$S$29&lt;&gt;"data missing", Calc!BC86*'Waste results'!$S$29, "data missing"),
IF('Field information 2'!$Q$5="",
   IF(Calc!BD86=0,
     IF('Waste results'!$S$29&lt;&gt;"data missing", Calc!BC86*'Waste results'!$S$29, "data missing"),
   IF(Calc!BC86=0,
     IF('Waste results'!$S$65&lt;&gt;"data missing", Calc!BD86*'Waste results'!$S$65, "data missing"),
   IF(OR('Waste results'!$S$29&lt;&gt;"data missing", 'Waste results'!$S$65&lt;&gt;"data missing"), Calc!BC86*'Waste results'!$S$29+ Calc!BD86*'Waste results'!$S$65, "data missing"))),
IF(AND('Field information 2'!$M$5&lt;&gt;"", 'Field information 2'!$O$5&lt;&gt;"", 'Field information 2'!$Q$5&lt;&gt;""),
   IF(AND(Calc!BD86=0,Calc!BE86=0),
     IF('Waste results'!$S$29&lt;&gt;"data missing", Calc!BC86*'Waste results'!$S$29, "data missing"),
   IF(AND(Calc!BC86=0,Calc!BE86=0),
     IF('Waste results'!$S$65&lt;&gt;"data missing", Calc!BD86*'Waste results'!$S$65, "data missing"),
   IF(AND(Calc!BC86=0,Calc!BD86=0),
     IF('Waste results'!$S$101&lt;&gt;"data missing", Calc!BE86*'Waste results'!$S$101, "data missing"),
   IF(Calc!BE86=0,
     IF(OR('Waste results'!$S$29&lt;&gt;"data missing", 'Waste results'!$S$65&lt;&gt;"data missing"), Calc!BC86*'Waste results'!$S$29+ Calc!BD86*'Waste results'!$S$65, "data missing"),
   IF(Calc!BD86=0,
     IF(OR('Waste results'!$S$29&lt;&gt;"data missing", 'Waste results'!$S$101&lt;&gt;"data missing"), Calc!BC86*'Waste results'!$S$29+ Calc!BE86*'Waste results'!$S$101, "data missing"),
   IF(Calc!BC86=0,
     IF(OR('Waste results'!$S$65&lt;&gt;"data missing", 'Waste results'!$S$101&lt;&gt;"data missing"), Calc!BD86*'Waste results'!$S$65+Calc!BE86*'Waste results'!$S$101, "data missing"),
   IF(OR('Waste results'!$S$29&lt;&gt;"data missing", 'Waste results'!$S$65&lt;&gt;"data missing", 'Waste results'!$S$101&lt;&gt;"data missing"), Calc!BC86*'Waste results'!$S$29+Calc!BD86*'Waste results'!$S$65+ Calc!BE86*'Waste results'!$S$101, "data missing")))))))))))</f>
        <v/>
      </c>
      <c r="BG88" s="239" t="str">
        <f ca="1">IF($B88="","",
IF(ISBLANK('Soil results'!O91),"data missing",'Soil results'!O91))</f>
        <v/>
      </c>
      <c r="BH88" s="239" t="str">
        <f t="shared" ca="1" si="30"/>
        <v/>
      </c>
      <c r="BI88" s="9" t="str">
        <f ca="1">IF(B88="","",
IF(BF88=0,"n/a",
IF(OR(BF88="data missing",BG88="data missing"),"data missing",
IF(BF88&gt;3,"application rate too high - permissible rate exceeds limit",
IF('Soil results'!F91&lt;=5.5,
  IF(BG88&gt;50,"no application - soil conc. already above limit",
  IF(BH88&gt;50,"application rate too high - soil conc. will exceed limit",
  IF(BG88&gt;50*0.9,"soil conc. is at or above 90% of the limit",
  IF(10*BF88*1000/3000+BG88&gt;50,"soil limit likely to be exceeded in 10yrs",
  IF(50*BF88*1000/3000+BG88&gt;50,"soil limit likely to be exceeded in 50yrs","ok"))))),
IF('Soil results'!F91&lt;=6,
  IF(BG88&gt;60,"no application - soil conc. already above limit",
  IF(BH88&gt;60,"application rate too high - soil conc. will exceed limit",
  IF(BG88&gt;60*0.9,"soil conc. is at or above 90% of the limit",
  IF(10*BF88*1000/3000+BG88&gt;60,"soil limit likely to be exceeded in 10yrs",
  IF(50*BF88*1000/3000+BG88&gt;60,"soil limit likely to be exceeded in 50yrs","ok"))))),
IF('Soil results'!F91&lt;=7,
  IF(BG88&gt;75,"no application - soil conc. already above limit",
  IF(BH88&gt;75,"application rate too high - soil conc. will exceed limit",
  IF(BG88&gt;75*0.9,"soil conc. is at or above 90% of the limit",
  IF(10*BF88*1000/3000+BG88&gt;75,"soil limit likely to be exceeded in 10yrs",
  IF(50*BF88*1000/3000+BG88&gt;75,"soil limit likely to be exceeded in 50yrs","ok"))))),
IF('Soil results'!F91&gt;7,
  IF(BG88&gt;100,"no application - soil conc. already above limit",
  IF(BH88&gt;100,"application rate too high - soil conc. will exceed limit",
  IF(BG88&gt;100*0.9,"soil conc. is at or above 90% of the limit",
  IF(10*BF88*1000/3000+BG88&gt;100,"soil limit likely to be exceeded in 10yrs",
  IF(50*BF88*1000/3000+BG88&gt;100,"soil limit likely to beexceeded in 50yrs","ok")))))
))))))))</f>
        <v/>
      </c>
      <c r="BK88" s="240" t="str">
        <f ca="1">IF(B88="","",
IF(AND('Field information 2'!$O$5="", 'Field information 2'!$Q$5=""),
   IF('Waste results'!$S$30&lt;&gt;"data missing", Calc!BC86*'Waste results'!$S$30, "data missing"),
IF('Field information 2'!$Q$5="",
   IF(Calc!BD86=0,
     IF('Waste results'!$S$30&lt;&gt;"data missing", Calc!BC86*'Waste results'!$S$30, "data missing"),
   IF(Calc!BC86=0,
     IF('Waste results'!$S$66&lt;&gt;"data missing", Calc!BD86*'Waste results'!$S$66, "data missing"),
   IF(OR('Waste results'!$S$30&lt;&gt;"data missing", 'Waste results'!$S$66&lt;&gt;"data missing"), Calc!BC86*'Waste results'!$S$30+ Calc!BD86*'Waste results'!$S$66, "data missing"))),
IF(AND('Field information 2'!$M$5&lt;&gt;"", 'Field information 2'!$O$5&lt;&gt;"", 'Field information 2'!$Q$5&lt;&gt;""),
   IF(AND(Calc!BD86=0,Calc!BE86=0),
     IF('Waste results'!$S$30&lt;&gt;"data missing", Calc!BC86*'Waste results'!$S$30, "data missing"),
   IF(AND(Calc!BC86=0,Calc!BE86=0),
     IF('Waste results'!$S$66&lt;&gt;"data missing", Calc!BD86*'Waste results'!$S$66, "data missing"),
   IF(AND(Calc!BC86=0,Calc!BD86=0),
     IF('Waste results'!$S$102&lt;&gt;"data missing", Calc!BE86*'Waste results'!$S$102, "data missing"),
   IF(Calc!BE86=0,
     IF(OR('Waste results'!$S$30&lt;&gt;"data missing", 'Waste results'!$S$66&lt;&gt;"data missing"), Calc!BC86*'Waste results'!$S$30+ Calc!BD86*'Waste results'!$S$66, "data missing"),
   IF(Calc!BD86=0,
     IF(OR('Waste results'!$S$30&lt;&gt;"data missing", 'Waste results'!$S$102&lt;&gt;"data missing"), Calc!BC86*'Waste results'!$S$30+ Calc!BE86*'Waste results'!$S$102, "data missing"),
   IF(Calc!BC86=0,
     IF(OR('Waste results'!$S$66&lt;&gt;"data missing", 'Waste results'!$S$102&lt;&gt;"data missing"), Calc!BD86*'Waste results'!$S$66+Calc!BE86*'Waste results'!$S$102, "data missing"),
   IF(OR('Waste results'!$S$30&lt;&gt;"data missing", 'Waste results'!$S$66&lt;&gt;"data missing", 'Waste results'!$S$102&lt;&gt;"data missing"), Calc!BC86*'Waste results'!$S$30+Calc!BD86*'Waste results'!$S$66+ Calc!BE86*'Waste results'!$S$102, "data missing")))))))))))</f>
        <v/>
      </c>
      <c r="BL88" s="241" t="str">
        <f ca="1">IF($B88="","",
IF(ISBLANK('Soil results'!P91),"data missing",'Soil results'!P91))</f>
        <v/>
      </c>
      <c r="BM88" s="241" t="str">
        <f t="shared" ca="1" si="31"/>
        <v/>
      </c>
      <c r="BN88" s="66" t="str">
        <f t="shared" ca="1" si="32"/>
        <v/>
      </c>
      <c r="BP88" s="238" t="str">
        <f ca="1">IF(B88="","",
IF(AND('Field information 2'!$O$5="", 'Field information 2'!$Q$5=""),
   IF('Waste results'!$S$31&lt;&gt;"data missing", Calc!BC86*'Waste results'!$S$31, "data missing"),
IF('Field information 2'!$Q$5="",
   IF(Calc!BD86=0,
     IF('Waste results'!$S$31&lt;&gt;"data missing", Calc!BC86*'Waste results'!$S$31, "data missing"),
   IF(Calc!BC86=0,
     IF('Waste results'!$S$67&lt;&gt;"data missing", Calc!BD86*'Waste results'!$S$67, "data missing"),
   IF(OR('Waste results'!$S$31&lt;&gt;"data missing", 'Waste results'!$S$67&lt;&gt;"data missing"), Calc!BC86*'Waste results'!$S$31+ Calc!BD86*'Waste results'!$S$67, "data missing"))),
IF(AND('Field information 2'!$M$5&lt;&gt;"", 'Field information 2'!$O$5&lt;&gt;"", 'Field information 2'!$Q$5&lt;&gt;""),
   IF(AND(Calc!BD86=0,Calc!BE86=0),
     IF('Waste results'!$S$31&lt;&gt;"data missing", Calc!BC86*'Waste results'!$S$31, "data missing"),
   IF(AND(Calc!BC86=0,Calc!BE86=0),
     IF('Waste results'!$S$67&lt;&gt;"data missing", Calc!BD86*'Waste results'!$S$67, "data missing"),
   IF(AND(Calc!BC86=0,Calc!BD86=0),
     IF('Waste results'!$S$103&lt;&gt;"data missing", Calc!BE86*'Waste results'!$S$103, "data missing"),
   IF(Calc!BE86=0,
     IF(OR('Waste results'!$S$31&lt;&gt;"data missing", 'Waste results'!$S$67&lt;&gt;"data missing"), Calc!BC86*'Waste results'!$S$31+ Calc!BD86*'Waste results'!$S$67, "data missing"),
   IF(Calc!BD86=0,
     IF(OR('Waste results'!$S$31&lt;&gt;"data missing", 'Waste results'!$S$103&lt;&gt;"data missing"), Calc!BC86*'Waste results'!$S$31+ Calc!BE86*'Waste results'!$S$103, "data missing"),
   IF(Calc!BC86=0,
     IF(OR('Waste results'!$S$67&lt;&gt;"data missing", 'Waste results'!$S$103&lt;&gt;"data missing"), Calc!BD86*'Waste results'!$S$67+Calc!BE86*'Waste results'!$S$103, "data missing"),
   IF(OR('Waste results'!$S$31&lt;&gt;"data missing", 'Waste results'!$S$67&lt;&gt;"data missing", 'Waste results'!$S$103&lt;&gt;"data missing"), Calc!BC86*'Waste results'!$S$31+Calc!BD86*'Waste results'!$S$67+ Calc!BE86*'Waste results'!$S$103, "data missing")))))))))))</f>
        <v/>
      </c>
      <c r="BQ88" s="239" t="str">
        <f ca="1">IF($B88="","",
IF(ISBLANK('Soil results'!Q91),"data missing",'Soil results'!Q91))</f>
        <v/>
      </c>
      <c r="BR88" s="239" t="str">
        <f t="shared" ca="1" si="33"/>
        <v/>
      </c>
      <c r="BS88" s="9" t="str">
        <f ca="1">IF(B88="","",
IF(BP88=0,"n/a",
IF(OR(BP88="data missing",BQ88=""),"data missing",
IF(BP88&gt;15,"application rate too high - permissible rate exceeds limit",
IF('Soil results'!F91&lt;=5.5,
  IF(BQ88&gt;200,"no application - soil conc. already above limit",
  IF(BR88&gt;200,"application rate too high - soil conc. will exceed limit",
  IF(BQ88&gt;200*0.9,"soil conc. is at or above 90% of the limit",
  IF(10*BP88*1000/3000+BQ88&gt;200,"soil limit likely to be exceeded in 10yrs",
  IF(50*BP88*1000/3000+BQ88&gt;200,"soil limit likely to be exceeded in 50yrs","ok"))))),
IF('Soil results'!F91&lt;=6,
  IF(BQ88&gt;250,"no application - soil conc. already above limit",
  IF(BR88&gt;250,"application rate too high - soil conc. will exceed limit",
  IF(BQ88&gt;250*0.9,"soil conc. is at or above 90% of the limit",
  IF(10*BP88*1000/3000+BQ88&gt;250,"soil limit likely to be exceeded in 10yrs",
  IF(50*BP88*1000/3000+BQ88&gt;250,"soil limit likely to be exceeded in 50yrs","ok"))))),
IF('Soil results'!F91&lt;=7,
  IF(BQ88&gt;300,"no application - soil conc. already above limit",
  IF(BR88&gt;300,"application rate too high - soil conc. will exceed limit",
  IF(BQ88&gt;300*0.9,"soil conc. is at or above 90% of the limit",
  IF(10*BP88*1000/3000+BQ88&gt;300,"soil limit likey to be exceeded in 10yrs",
  IF(50*BP88*1000/3000+BQ88&gt;300,"soil limit likely to be exceeded in 50yrs","ok"))))),
IF('Soil results'!F91&gt;7,
  IF(BQ88&gt;450,"no application - soil conc. already above limit",
  IF(BR88&gt;450,"application rate too high - soil conc. will exceed limit",
  IF(AW88&gt;450*0.9,"soil conc. is at or above 90% of the limit",
  IF(10*BP88*1000/3000+BQ88&gt;450,"soil limit likely to be exceeded in 10yrs",
  IF(50*BP88*1000/3000+BQ88&gt;450,"soil limit likely to be exceeded in 50yrs","ok")))))
))))))))</f>
        <v/>
      </c>
    </row>
    <row r="89" spans="2:71" s="9" customFormat="1" ht="15" x14ac:dyDescent="0.25">
      <c r="B89" s="236" t="str">
        <f ca="1">'Soil results'!B92</f>
        <v/>
      </c>
      <c r="C89" s="91" t="str">
        <f ca="1">IF(B89="","",
IF(AND('Field information 2'!$O$5="", 'Field information 2'!$Q$5=""),
   IF('Waste results'!$S$12&lt;&gt;"data missing", Calc!BC87*'Waste results'!$S$12, "data missing"),
IF('Field information 2'!$Q$5="",
   IF(Calc!BD87=0,
     IF('Waste results'!$S$12&lt;&gt;"data missing", Calc!BC87*'Waste results'!$S$12, "data missing"),
   IF(Calc!BC87=0,
     IF('Waste results'!$S$48&lt;&gt;"data missing", Calc!BD87*'Waste results'!$S$48, "data missing"),
   IF(OR('Waste results'!$S$12&lt;&gt;"data missing", 'Waste results'!$S$48&lt;&gt;"data missing"), Calc!BC87*'Waste results'!$S$12+ Calc!BD87*'Waste results'!$S$48, "data missing"))),
IF(AND('Field information 2'!$M$5&lt;&gt;"", 'Field information 2'!$O$5&lt;&gt;"", 'Field information 2'!$Q$5&lt;&gt;""),
   IF(AND(Calc!BD87=0,Calc!BE87=0),
     IF('Waste results'!$S$12&lt;&gt;"data missing", Calc!BC87*'Waste results'!$S$12, "data missing"),
   IF(AND(Calc!BC87=0,Calc!BE87=0),
     IF('Waste results'!$S$48&lt;&gt;"data missing", Calc!BD87*'Waste results'!$S$48, "data missing"),
   IF(AND(Calc!BC87=0,Calc!BD87=0),
     IF('Waste results'!$S$84&lt;&gt;"data missing", Calc!BE87*'Waste results'!$S$84, "data missing"),
   IF(Calc!BE87=0,
     IF(OR('Waste results'!$S$12&lt;&gt;"data missing", 'Waste results'!$S$48&lt;&gt;"data missing"), Calc!BC87*'Waste results'!$S$12+ Calc!BD87*'Waste results'!$S$48, "data missing"),
   IF(Calc!BD87=0,
     IF(OR('Waste results'!$S$12&lt;&gt;"data missing", 'Waste results'!$S$84&lt;&gt;"data missing"), Calc!BC87*'Waste results'!$S$12+ Calc!BE87*'Waste results'!$S$84, "data missing"),
   IF(Calc!BC87=0,
     IF(OR('Waste results'!$S$48&lt;&gt;"data missing", 'Waste results'!$S$84&lt;&gt;"data missing"), Calc!BD87*'Waste results'!$S$48+Calc!BE87*'Waste results'!$S$84, "data missing"),
   IF(OR('Waste results'!$S$12&lt;&gt;"data missing", 'Waste results'!$S$48&lt;&gt;"data missing", 'Waste results'!$S$84&lt;&gt;"data missing"), Calc!BC87*'Waste results'!$S$12+Calc!BD87*'Waste results'!$S$48+ Calc!BE87*'Waste results'!$S$84, "data missing")))))))))))</f>
        <v/>
      </c>
      <c r="D89" s="161" t="str">
        <f ca="1">IF(B89="","",
IF(Calc!BG87="","soil texture missing",
IF(OR(Calc!BG87="SL; SZL; ZL",Calc!BG87="SCL; CL; ZCL; SC; ZC; C"),VLOOKUP(Calc!BI87,'Fertiliser recommendations'!$A$4:$C$63,3,FALSE),
IF(Calc!BG87="S; LS",VLOOKUP(Calc!BI87,'Fertiliser recommendations'!$A$4:$C$63,3,FALSE)+VLOOKUP(Calc!BI87,'Fertiliser recommendations'!$A$4:$D$63,4,FALSE),
IF(Calc!BG87="10-25% OM",VLOOKUP(Calc!BI87,'Fertiliser recommendations'!$A$4:$C$63,3,FALSE)+VLOOKUP(Calc!BI87,'Fertiliser recommendations'!$A$4:$E$63,5,FALSE),
IF(Calc!BG87="&gt;25% OM",VLOOKUP(Calc!BI87,'Fertiliser recommendations'!$A$4:$C$63,3,FALSE)+VLOOKUP(Calc!BI87,'Fertiliser recommendations'!$A$4:$F$63,6,FALSE),
""))))))</f>
        <v/>
      </c>
      <c r="E89" s="91" t="str">
        <f t="shared" ca="1" si="17"/>
        <v/>
      </c>
      <c r="F89" s="9" t="str">
        <f ca="1">IF(B89="","",
IF(OR(C89="data missing",D89="soil texture missing"),"data missing",
IF(Calc!BF87=0,"n/a",
IF(C89&lt;0.1*D89,"no benefit",
IF(C89&lt;0.3*D89,"limited benefit",
IF(C89&gt;250,"exceeds limit",
IF(OR(AND(D89=0,C89&gt;75),C89&gt;1.25*D89),"excessive",
IF(D89=0, "no requirement",
"benefit"))))))))</f>
        <v/>
      </c>
      <c r="H89" s="91" t="str">
        <f ca="1">IF(B89="","",
IF(AND('Field information 2'!$O$5="", 'Field information 2'!$Q$5=""),
   IF('Waste results'!$S$17&lt;&gt;"data missing", Calc!BC87*'Waste results'!$S$17, "data missing"),
IF('Field information 2'!$Q$5="",
   IF(Calc!BD87=0,
     IF('Waste results'!$S$17&lt;&gt;"data missing", Calc!BC87*'Waste results'!$S$17, "data missing"),
   IF(Calc!BC87=0,
     IF('Waste results'!$S$53&lt;&gt;"data missing", Calc!BD87*'Waste results'!$S$53, "data missing"),
   IF(OR('Waste results'!$S$17&lt;&gt;"data missing", 'Waste results'!$S$53&lt;&gt;"data missing"), Calc!BC87*'Waste results'!$S$17+ Calc!BD87*'Waste results'!$S$53, "data missing"))),
IF(AND('Field information 2'!$M$5&lt;&gt;"", 'Field information 2'!$O$5&lt;&gt;"", 'Field information 2'!$Q$5&lt;&gt;""),
   IF(AND(Calc!BD87=0,Calc!BE87=0),
     IF('Waste results'!$S$17&lt;&gt;"data missing", Calc!BC87*'Waste results'!$S$17, "data missing"),
   IF(AND(Calc!BC87=0,Calc!BE87=0),
     IF('Waste results'!$S$53&lt;&gt;"data missing", Calc!BD87*'Waste results'!$S$53, "data missing"),
   IF(AND(Calc!BC87=0,Calc!BD87=0),
     IF('Waste results'!$S$89&lt;&gt;"data missing", Calc!BE87*'Waste results'!$S$89, "data missing"),
   IF(Calc!BE87=0,
     IF(OR('Waste results'!$S$17&lt;&gt;"data missing", 'Waste results'!$S$53&lt;&gt;"data missing"), Calc!BC87*'Waste results'!$S$17+ Calc!BD87*'Waste results'!$S$53, "data missing"),
   IF(Calc!BD87=0,
     IF(OR('Waste results'!$S$17&lt;&gt;"data missing", 'Waste results'!$S$89&lt;&gt;"data missing"), Calc!BC87*'Waste results'!$S$17+ Calc!BE87*'Waste results'!$S$89, "data missing"),
   IF(Calc!BC87=0,
     IF(OR('Waste results'!$S$53&lt;&gt;"data missing", 'Waste results'!$S$89&lt;&gt;"data missing"), Calc!BD87*'Waste results'!$S$53+Calc!BE87*'Waste results'!$S$89, "data missing"),
   IF(OR('Waste results'!$S$17&lt;&gt;"data missing", 'Waste results'!$S$53&lt;&gt;"data missing", 'Waste results'!$S$89&lt;&gt;"data missing"), Calc!BC87*'Waste results'!$S$17+Calc!BD87*'Waste results'!$S$53+ Calc!BE87*'Waste results'!$S$89, "data missing")))))))))))</f>
        <v/>
      </c>
      <c r="I89" s="195" t="str">
        <f ca="1">IF(B89="","",
IF(OR(ISBLANK('Soil results'!G92), ISBLANK('Soil results'!G$7)),"data missing",
IF(OR(AND('Soil results'!G$7="Olsen (ADAS)",'Soil results'!G92&lt;16),AND('Soil results'!G$7="modified Morgan (SAC)",'Soil results'!G92&lt;4.5)),50,100)))</f>
        <v/>
      </c>
      <c r="J89" s="49" t="str">
        <f ca="1">IF(B89="","",
IF(OR(ISBLANK('Soil results'!G$7),ISBLANK('Soil results'!G92)),"data missing",
IF(OR(AND('Soil results'!G$7="Olsen (ADAS)",'Soil results'!G92&gt;45),AND('Soil results'!G$7="modified Morgan (SAC)",'Soil results'!G92&gt;30)),0,
IF(OR(AND('Soil results'!G$7="Olsen (ADAS)",'Soil results'!G92&gt;=16,'Soil results'!G92&lt;=20),AND('Soil results'!G$7="modified Morgan (SAC)",'Soil results'!G92&gt;=4.5,'Soil results'!G92&lt;=9.4)),VLOOKUP(Calc!BI87,'Fertiliser recommendations'!$A$4:$I$63,9,FALSE),
IF(OR(AND('Soil results'!G$7="Olsen (ADAS)",'Soil results'!G92&lt;10),AND('Soil results'!G$7="modified Morgan (SAC)",'Soil results'!G92&lt;1.8)),VLOOKUP(Calc!BI87,'Fertiliser recommendations'!$A$4:$I$63,9,FALSE)+VLOOKUP(Calc!BI87,'Fertiliser recommendations'!$A$4:$J$63,10,FALSE),
IF(OR(AND('Soil results'!G$7="Olsen (ADAS)",'Soil results'!G92&lt;16),AND('Soil results'!G$7="modified Morgan (SAC)",'Soil results'!G92&lt;4.5)),VLOOKUP(Calc!BI87,'Fertiliser recommendations'!$A$4:$I$63,9,FALSE)+VLOOKUP(Calc!BI87,'Fertiliser recommendations'!$A$4:$K$63,11,FALSE),
IF(OR(AND('Soil results'!G$7="Olsen (ADAS)",'Soil results'!G92&lt;26),AND('Soil results'!G$7="modified Morgan (SAC)",'Soil results'!G92&lt;13.5)),VLOOKUP(Calc!BI87,'Fertiliser recommendations'!$A$4:$I$63,9,FALSE)+VLOOKUP(Calc!BI87,'Fertiliser recommendations'!$A$4:$L$63,12,FALSE),
IF(OR(AND('Soil results'!G$7="Olsen (ADAS)",'Soil results'!G92&lt;=45),AND('Soil results'!G$7="modified Morgan (SAC)",'Soil results'!G92&lt;=30)),VLOOKUP(Calc!BI87,'Fertiliser recommendations'!$A$4:$I$63,9,FALSE)+VLOOKUP(Calc!BI87,'Fertiliser recommendations'!$A$4:$M$63,13,FALSE),
""))))))))</f>
        <v/>
      </c>
      <c r="K89" s="161" t="str">
        <f t="shared" ca="1" si="18"/>
        <v/>
      </c>
      <c r="L89" s="47" t="str">
        <f ca="1">IF(OR(ISBLANK('Soil results'!G$7),ISBLANK('Soil results'!G92),B89="", H89="data missing"),"",
IF('Soil results'!G$7="Olsen (ADAS)",
IF(((H89*Calc!BM87/2.291-(VLOOKUP(Calc!BI87,'Fertiliser recommendations'!$A$4:$I$63,9,FALSE))/2.291)*10/(400/2.291)+'Soil results'!G92)&lt;10,"0 (VL)",
IF(((H89*Calc!BM87/2.291-(VLOOKUP(Calc!BI87,'Fertiliser recommendations'!$A$4:$I$63,9,FALSE))/2.291)*10/(400/2.291)+'Soil results'!G92)&lt;16,"1 (L)",
IF(((H89*Calc!BM87/2.291-(VLOOKUP(Calc!BI87,'Fertiliser recommendations'!$A$4:$I$63,9,FALSE))/2.291)*10/(400/2.291)+'Soil results'!G92)&lt;21,"2 (M-)",
IF(((H89*Calc!BM87/2.291-(VLOOKUP(Calc!BI87,'Fertiliser recommendations'!$A$4:$I$63,9,FALSE))/2.291)*10/(400/2.291)+'Soil results'!G92)&lt;26,"2 (M+)",
IF(((H89*Calc!BM87/2.291-(VLOOKUP(Calc!BI87,'Fertiliser recommendations'!$A$4:$I$63,9,FALSE))/2.291)*10/(400/2.291)+'Soil results'!G92)&lt;45,"3 (H)","&gt;3 (VH)"))))),
IF('Soil results'!G$7="modified Morgan (SAC)",
IF('Soil results'!G92&gt;=6,
IF(((H89*Calc!BM87/2.291-(VLOOKUP(Calc!BI87,'Fertiliser recommendations'!$A$4:$I$63,9,FALSE))/2.291)*5/(147/2.291)+'Soil results'!G92)&lt;9.5,"2 (M-)",
IF(((H89*Calc!BM87/2.291-(VLOOKUP(Calc!BI87,'Fertiliser recommendations'!$A$4:$I$63,9,FALSE))/2.291)*5/(147/2.291)+'Soil results'!G92)&lt;13.5,"2 (M+)",
IF(((H89*Calc!BM87/2.291-(VLOOKUP(Calc!BI87,'Fertiliser recommendations'!$A$4:$I$63,9,FALSE))/2.291)*5/(147/2.291)+'Soil results'!G92)&lt;30,"3 (H)","4 (VH)"))),
IF(((H89*Calc!BM87/2.291-(VLOOKUP(Calc!BI87,'Fertiliser recommendations'!$A$4:$I$63,9,FALSE))/2.291)*5/(346/2.291)+'Soil results'!G92)&lt;1.8,"0 (VL)",
IF(((H89*Calc!BM87/2.291-(VLOOKUP(Calc!BI87,'Fertiliser recommendations'!$A$4:$I$63,9,FALSE))/2.291)*5/(147/2.291)+'Soil results'!G92)&lt;4.5,"1 (L)","2 (M-)"))))))</f>
        <v/>
      </c>
      <c r="M89" s="9" t="str">
        <f ca="1">IF(B89="","",
IF(OR(H89="data missing",I89="data missing",J89="data missing"),"data missing",
IF(Calc!BF87=0,"n/a",
IF(OR(AND('Soil results'!G$7="Olsen (ADAS)",'Soil results'!G92&gt;45),AND('Soil results'!G$7="modified Morgan (SAC)",'Soil results'!G92&gt;30)),
IF(H89&gt;2,"too high, not acceptable","no requirement"),IF(OR(AND('Soil results'!G$7="Olsen (ADAS)",'Soil results'!G92&gt;25),AND('Soil results'!G$7="modified Morgan (SAC)",'Soil results'!G92&gt;13.4)),
IF(H89*(I89/100)&lt;0.1*J89,"no benefit",
IF(H89*(I89/100)&lt;0.3*J89,"limited benefit",
IF(H89*(I89/100)&lt;1.1*J89,"benefit",
IF(H89*(I89/100)&lt;0.7*VLOOKUP(Calc!BI87,'Fertiliser recommendations'!$A$4:$I$63,9,FALSE),"excessive","too high, not acceptable")))),
IF(OR(AND('Soil results'!G$7="Olsen (ADAS)",'Soil results'!G92&gt;20),AND('Soil results'!G$7="modified Morgan (SAC)",'Soil results'!G92&gt;9.4)),
IF(H89*Calc!BM87*(I89/100)&lt;0.1*J89,"no benefit",
IF(H89*Calc!BM87*(I89/100)&lt;0.3*J89,"limited benefit",
IF(H89*Calc!BM87*(I89/100)&lt;1.1*J89,"benefit",
IF(L89="3 (H)","too high, not acceptable","excessive")))),
IF(OR(AND('Soil results'!G$7="Olsen (ADAS)",'Soil results'!G92&gt;15),AND('Soil results'!G$7="modified Morgan (SAC)",'Soil results'!G92&gt;4.4)),
IF(H89*Calc!BM87*(I89/100)&lt;0.1*VLOOKUP(Calc!BI87,'Fertiliser recommendations'!$A$4:$I$63,9,FALSE),"no benefit",
IF(H89*Calc!BM87*(I89/100)&lt;0.3*VLOOKUP(Calc!BI87,'Fertiliser recommendations'!$A$4:$I$63,9,FALSE),"limited benefit",
IF(H89*Calc!BM87*(I89/100)&lt;1.1*VLOOKUP(Calc!BI87,'Fertiliser recommendations'!$A$4:$I$63,9,FALSE),"benefit",
IF(L89="3 (H)", "too high, not acceptable", "excessive")))),
IF(OR(AND('Soil results'!G$7="Olsen (ADAS)",'Soil results'!G92&lt;=15),AND('Soil results'!G$7="modified Morgan (SAC)",'Soil results'!G92&lt;=4.4)),
IF(H89*Calc!BM87*(I89/100)&lt;0.1*VLOOKUP(Calc!BI87,'Fertiliser recommendations'!$A$4:$I$63,9,FALSE),"no benefit",
IF(H89*Calc!BM87*(I89/100)&lt;0.3*VLOOKUP(Calc!BI87,'Fertiliser recommendations'!$A$4:$I$63,9,FALSE),"limited benefit",
IF(H89*Calc!BM87*(I89/100)&lt;1.1*J89,"benefit","excessive")))))))))))</f>
        <v/>
      </c>
      <c r="O89" s="91" t="str">
        <f ca="1">IF(B89="","",
IF(AND('Field information 2'!$O$5="", 'Field information 2'!$Q$5=""),
   IF('Waste results'!$S$19&lt;&gt;"data missing", Calc!BC87*'Waste results'!$S$19, "data missing"),
IF('Field information 2'!$Q$5="",
   IF(Calc!BD87=0,
     IF('Waste results'!$S$19&lt;&gt;"data missing", Calc!BC87*'Waste results'!$S$19, "data missing"),
   IF(Calc!BC87=0,
     IF('Waste results'!$S$55&lt;&gt;"data missing", Calc!BD87*'Waste results'!$S$55, "data missing"),
   IF(OR('Waste results'!$S$19&lt;&gt;"data missing", 'Waste results'!$S$55&lt;&gt;"data missing"), Calc!BC87*'Waste results'!$S$19+ Calc!BD87*'Waste results'!$S$55, "data missing"))),
IF(AND('Field information 2'!$M$5&lt;&gt;"", 'Field information 2'!$O$5&lt;&gt;"", 'Field information 2'!$Q$5&lt;&gt;""),
   IF(AND(Calc!BD87=0,Calc!BE87=0),
     IF('Waste results'!$S$19&lt;&gt;"data missing", Calc!BC87*'Waste results'!$S$19, "data missing"),
   IF(AND(Calc!BC87=0,Calc!BE87=0),
     IF('Waste results'!$S$55&lt;&gt;"data missing", Calc!BD87*'Waste results'!$S$55, "data missing"),
   IF(AND(Calc!BC87=0,Calc!BD87=0),
     IF('Waste results'!$S$91&lt;&gt;"data missing", Calc!BE87*'Waste results'!$S$91, "data missing"),
   IF(Calc!BE87=0,
     IF(OR('Waste results'!$S$19&lt;&gt;"data missing", 'Waste results'!$S$55&lt;&gt;"data missing"), Calc!BC87*'Waste results'!$S$19+ Calc!BD87*'Waste results'!$S$55, "data missing"),
   IF(Calc!BD87=0,
     IF(OR('Waste results'!$S$19&lt;&gt;"data missing", 'Waste results'!$S$91&lt;&gt;"data missing"), Calc!BC87*'Waste results'!$S$19+ Calc!BE87*'Waste results'!$S$91, "data missing"),
   IF(Calc!BC87=0,
     IF(OR('Waste results'!$S$55&lt;&gt;"data missing", 'Waste results'!$S$91&lt;&gt;"data missing"), Calc!BD87*'Waste results'!$S$55+Calc!BE87*'Waste results'!$S$91, "data missing"),
   IF(OR('Waste results'!$S$19&lt;&gt;"data missing", 'Waste results'!$S$55&lt;&gt;"data missing", 'Waste results'!$S$91&lt;&gt;"data missing"), Calc!BC87*'Waste results'!$S$19+Calc!BD87*'Waste results'!$S$55+ Calc!BE87*'Waste results'!$S$91, "data missing")))))))))))</f>
        <v/>
      </c>
      <c r="P89" s="91" t="str">
        <f ca="1">IF(B89="","",
IF(OR(ISBLANK('Soil results'!H$7),ISBLANK('Soil results'!H92)),"data missing",
IF(OR(AND('Soil results'!H$7="ammonium nitrate (ADAS)",'Soil results'!H92&gt;400),AND('Soil results'!H$7="modified Morgan (SAC)",'Soil results'!H92&gt;400)),0,
IF(OR(AND('Soil results'!H$7="ammonium nitrate (ADAS)",'Soil results'!H92&gt;=121,'Soil results'!H92&lt;=180),AND('Soil results'!H$7="modified Morgan (SAC)",'Soil results'!H92&gt;=76,'Soil results'!H92&lt;=140)),VLOOKUP(Calc!BI87,'Fertiliser recommendations'!$A$4:$Z$63,26,FALSE),
IF(OR(AND('Soil results'!H$7="ammonium nitrate (ADAS)",'Soil results'!H92&lt;61),AND('Soil results'!H$7="modified Morgan (SAC)",'Soil results'!H92&lt;40)),VLOOKUP(Calc!BI87,'Fertiliser recommendations'!$A$4:$Z$63,26,FALSE)+VLOOKUP(Calc!BI87,'Fertiliser recommendations'!$A$4:$AA$63,27,FALSE),
IF(OR(AND('Soil results'!H$7="ammonium nitrate (ADAS)",'Soil results'!H92&lt;121),AND('Soil results'!H$7="modified Morgan (SAC)",'Soil results'!H92&lt;76)),VLOOKUP(Calc!BI87,'Fertiliser recommendations'!$A$4:$Z$63,26,FALSE)+VLOOKUP(Calc!BI87,'Fertiliser recommendations'!$A$4:$AB$63,28,FALSE),
IF(OR(AND('Soil results'!H$7="ammonium nitrate (ADAS)",'Soil results'!H92&lt;241),AND('Soil results'!H$7="modified Morgan (SAC)",'Soil results'!H92&lt;201)),VLOOKUP(Calc!BI87,'Fertiliser recommendations'!$A$4:$Z$63,26,FALSE)+VLOOKUP(Calc!BI87,'Fertiliser recommendations'!$A$4:$AC$63,29,FALSE),
IF(OR(AND('Soil results'!H$7="ammonium nitrate (ADAS)",'Soil results'!H92&lt;=400),AND('Soil results'!H$7="modified Morgan (SAC)",'Soil results'!H92&lt;=400)),VLOOKUP(Calc!BI87,'Fertiliser recommendations'!$A$4:$Z$63,26,FALSE)+VLOOKUP(Calc!BI87,'Fertiliser recommendations'!$A$4:$AD$63,30,FALSE),
"??"))))))))</f>
        <v/>
      </c>
      <c r="Q89" s="91" t="str">
        <f t="shared" ca="1" si="19"/>
        <v/>
      </c>
      <c r="R89" s="9" t="str">
        <f ca="1">IF(B89="","",
IF(OR(O89="data missing",P89="data missing"),"data missing",
IF(Calc!BF87=0,"n/a",
IF(P89=0, "no requirement",
IF(O89&lt;0.1*P89,"no benefit",
IF(O89&lt;0.3*P89,"limited benefit",
IF(O89&gt;1.25*P89,"excessive",
"benefit")))))))</f>
        <v/>
      </c>
      <c r="T89" s="91" t="str">
        <f ca="1">IF(B89="","",
IF(AND('Field information 2'!$O$5="", 'Field information 2'!$Q$5=""),
   IF('Waste results'!$S$21&lt;&gt;"data missing", Calc!BC87*'Waste results'!$S$21, "data missing"),
IF('Field information 2'!$Q$5="",
   IF(Calc!BD87=0,
     IF('Waste results'!$S$21&lt;&gt;"data missing", Calc!BC87*'Waste results'!$S$21, "data missing"),
   IF(Calc!BC87=0,
     IF('Waste results'!$S$57&lt;&gt;"data missing", Calc!BD87*'Waste results'!$S$57, "data missing"),
   IF(OR('Waste results'!$S$21&lt;&gt;"data missing", 'Waste results'!$S$57&lt;&gt;"data missing"), Calc!BC87*'Waste results'!$S$21+ Calc!BD87*'Waste results'!$S$57, "data missing"))),
IF(AND('Field information 2'!$M$5&lt;&gt;"", 'Field information 2'!$O$5&lt;&gt;"", 'Field information 2'!$Q$5&lt;&gt;""),
   IF(AND(Calc!BD87=0,Calc!BE87=0),
     IF('Waste results'!$S$21&lt;&gt;"data missing", Calc!BC87*'Waste results'!$S$21, "data missing"),
   IF(AND(Calc!BC87=0,Calc!BE87=0),
     IF('Waste results'!$S$57&lt;&gt;"data missing", Calc!BD87*'Waste results'!$S$57, "data missing"),
   IF(AND(Calc!BC87=0,Calc!BD87=0),
     IF('Waste results'!$S$93&lt;&gt;"data missing", Calc!BE87*'Waste results'!$S$93, "data missing"),
   IF(Calc!BE87=0,
     IF(OR('Waste results'!$S$21&lt;&gt;"data missing", 'Waste results'!$S$57&lt;&gt;"data missing"), Calc!BC87*'Waste results'!$S$21+ Calc!BD87*'Waste results'!$S$57, "data missing"),
   IF(Calc!BD87=0,
     IF(OR('Waste results'!$S$21&lt;&gt;"data missing", 'Waste results'!$S$93&lt;&gt;"data missing"), Calc!BC87*'Waste results'!$S$21+ Calc!BE87*'Waste results'!$S$93, "data missing"),
   IF(Calc!BC87=0,
     IF(OR('Waste results'!$S$57&lt;&gt;"data missing", 'Waste results'!$S$93&lt;&gt;"data missing"), Calc!BD87*'Waste results'!$S$57+Calc!BE87*'Waste results'!$S$93, "data missing"),
   IF(OR('Waste results'!$S$21&lt;&gt;"data missing", 'Waste results'!$S$57&lt;&gt;"data missing", 'Waste results'!$S$93&lt;&gt;"data missing"), Calc!BC87*'Waste results'!$S$21+Calc!BD87*'Waste results'!$S$57+ Calc!BE87*'Waste results'!$S$93, "data missing")))))))))))</f>
        <v/>
      </c>
      <c r="U89" s="7" t="str">
        <f ca="1">IF(B89="","",
IF(OR(ISBLANK('Soil results'!I$7),ISBLANK('Soil results'!I92)),"data missing",
IF(OR(AND('Soil results'!I$7="ammonium nitrate (ADAS)",'Soil results'!I92&gt;51),AND('Soil results'!I$7="modified Morgan (SAC)",'Soil results'!I92&gt;61)),0,
IF(OR(AND('Soil results'!I$7="ammonium nitrate (ADAS)",'Soil results'!I92&lt;25),AND('Soil results'!I$7="modified Morgan (SAC)",'Soil results'!I92&lt;19)),VLOOKUP(Calc!BI87,'Fertiliser recommendations'!$A$4:$AH$63,34,FALSE),
IF(OR(AND('Soil results'!I$7="ammonium nitrate (ADAS)",'Soil results'!I92&lt;=51),AND('Soil results'!I$7="modified Morgan (SAC)",'Soil results'!I92&lt;=61)),VLOOKUP(Calc!BI87,'Fertiliser recommendations'!$A$4:$AI$63,35,FALSE),
"")))))</f>
        <v/>
      </c>
      <c r="V89" s="91" t="str">
        <f t="shared" ca="1" si="20"/>
        <v/>
      </c>
      <c r="W89" s="9" t="str">
        <f ca="1">IF(B89="","",
IF(OR(T89="data missing",U89="data missing"),"data missing",
IF(Calc!BF87=0,"n/a",
IF(U89=0,"no requirement",
IF(T89&lt;0.1*U89,"no benefit",
IF(T89&lt;0.3*U89,"limited benefit",
IF(OR(T89&gt;1.5*U89,AND(Calc!BJ87="g",T89&gt;100)),"excessive",
"benefit")))))))</f>
        <v/>
      </c>
      <c r="Y89" s="91" t="str">
        <f ca="1">IF(B89="","",
IF(AND('Field information 2'!$O$5="", 'Field information 2'!$Q$5=""),
   IF('Waste results'!$P$23&lt;&gt;"", Calc!BC87*'Waste results'!$P$23, "no data"),
IF('Field information 2'!$Q$5="",
   IF(Calc!BD87=0,
     IF('Waste results'!$P$23&lt;&gt;"", Calc!BC87*'Waste results'!$P$23, "no data"),
   IF(Calc!BC87=0,
     IF('Waste results'!$P$59&lt;&gt;"", Calc!BD87*'Waste results'!$P$59, "no data"),
   IF(OR('Waste results'!$P$23&lt;&gt;"", 'Waste results'!$P$59&lt;&gt;""), Calc!BC87*'Waste results'!$P$23+ Calc!BD87*'Waste results'!$P$59, "no data"))),
IF(AND('Field information 2'!$M$5&lt;&gt;"", 'Field information 2'!$O$5&lt;&gt;"", 'Field information 2'!$Q$5&lt;&gt;""),
   IF(AND(Calc!BD87=0,Calc!BE87=0),
     IF('Waste results'!$P$23&lt;&gt;"", Calc!BC87*'Waste results'!$P$23, "no data"),
   IF(AND(Calc!BC87=0,Calc!BE87=0),
     IF('Waste results'!$P$59&lt;&gt;"", Calc!BD87*'Waste results'!$P$59, "no data"),
   IF(AND(Calc!BC87=0,Calc!BD87=0),
     IF('Waste results'!$P$95&lt;&gt;"", Calc!BE87*'Waste results'!$P$95, "no data"),
   IF(Calc!BE87=0,
     IF(OR('Waste results'!$P$23&lt;&gt;"", 'Waste results'!$P$59&lt;&gt;""), Calc!BC87*'Waste results'!$P$23+ Calc!BD87*'Waste results'!$P$59, "no data"),
   IF(Calc!BD87=0,
     IF(OR('Waste results'!$P$23&lt;&gt;"", 'Waste results'!$P$95&lt;&gt;""), Calc!BC87*'Waste results'!$P$23+ Calc!BE87*'Waste results'!$P$95, "no data"),
   IF(Calc!BC87=0,
     IF(OR('Waste results'!$P$59&lt;&gt;"", 'Waste results'!$P$95&lt;&gt;""), Calc!BD87*'Waste results'!$P$59+Calc!BE87*'Waste results'!$P$95, "no data"),
   IF(OR('Waste results'!$P$23&lt;&gt;"", 'Waste results'!$P$59&lt;&gt;"", 'Waste results'!$P$95&lt;&gt;""), Calc!BC87*'Waste results'!$P$23+Calc!BD87*'Waste results'!$P$59+ Calc!BE87*'Waste results'!$P$95, "no data")))))))))))</f>
        <v/>
      </c>
      <c r="Z89" s="7" t="str">
        <f ca="1">IF(OR(ISBLANK('Soil results'!I$7),ISBLANK('Soil results'!I92),'Soil results'!B92=""),"",
VLOOKUP(Calc!BI87,'Fertiliser recommendations'!$A$4:$AM$63,39,FALSE))</f>
        <v/>
      </c>
      <c r="AA89" s="91" t="str">
        <f t="shared" ca="1" si="21"/>
        <v/>
      </c>
      <c r="AB89" s="9" t="str">
        <f t="shared" ca="1" si="22"/>
        <v/>
      </c>
      <c r="AD89" s="48" t="str">
        <f>IF(ISBLANK('Soil results'!F92),"",'Soil results'!F92)</f>
        <v/>
      </c>
      <c r="AE89" s="49" t="str">
        <f ca="1">IF(B89="","",
IF(AND(Calc!BJ87="g", VLOOKUP(LEFT($B89,LEN($B89)-2),'Field information 2'!$B$12:$P$111,9,FALSE)&lt;&gt;"yes"),
 IF(Calc!BG87="10-25% OM", 5.9, IF(Calc!BG87="&gt;25% OM", 5.5, 6.2)),
IF(OR(Calc!BJ87="a", VLOOKUP(LEFT($B89,LEN($B89)-2),'Field information 2'!$B$12:$P$111,9,FALSE)="yes"),
 IF(Calc!BG87="10-25% OM", 6.4, IF(Calc!BG87="&gt;25% OM", 6, 6.7)), "")))</f>
        <v/>
      </c>
      <c r="AF89" s="91" t="str">
        <f ca="1">IF(B89="","",
IF('Waste results'!$Q$33="","no (significant) liming properties",
IF('Waste results'!Q$33&gt;100,"no (significant) liming properties",
IF(AD89="","",
IF(AD89&gt;=AE89,0,ROUNDDOWN((AE89-AD89)*Calc!BK87*'Waste results'!$Q$33+0.2,0))))))</f>
        <v/>
      </c>
      <c r="AG89" s="9" t="str">
        <f ca="1">IF(B89="","",
IF(T89=0,"n/a",
IF(AD89="","data missing",
IF(AND(AD89&lt;5,AF89="no (significant) liming properties"),"no waste application - pH too low",
IF(AND(AD89&gt;5.1,AF89="no (significant) liming properties",Calc!BH87&gt;25, LEFT(Calc!BI87,4)="graz"),"ok",
IF(AND(AD89&lt;=5.2,AF89="no (significant) liming properties"),"liming highly recommended",
IF(AF89=0,"no waste application - liming not required",
IF(AF89&lt;Calc!BC87,"application rate too high - exceeds liming requirement",
"ok"))))))))</f>
        <v/>
      </c>
      <c r="AI89" s="91" t="str">
        <f ca="1">IF(B89="","",
IF(AND('Field information 2'!$O$5="", 'Field information 2'!$Q$5=""),
   IF('Waste results'!$P$10&lt;&gt;"data missing", Calc!BC87*'Waste results'!$P$10, "data missing"),
IF('Field information 2'!$Q$5="",
   IF(Calc!BD87=0,
     IF('Waste results'!$P$10&lt;&gt;"data missing", Calc!BC87*'Waste results'!$P$10, "data missing"),
   IF(Calc!BC87=0,
     IF('Waste results'!$P$45&lt;&gt;"data missing", Calc!BD87*'Waste results'!$P$45, "data missing"),
   IF(OR('Waste results'!$P$10&lt;&gt;"data missing", 'Waste results'!$P$45&lt;&gt;"data missing"), Calc!BC87*'Waste results'!$P$10+ Calc!BD87*'Waste results'!$P$45, "data missing"))),
IF(AND('Field information 2'!$M$5&lt;&gt;"", 'Field information 2'!$O$5&lt;&gt;"", 'Field information 2'!$Q$5&lt;&gt;""),
   IF(AND(Calc!BD87=0,Calc!BE87=0),
     IF('Waste results'!$P$10&lt;&gt;"data missing", Calc!BC87*'Waste results'!$P$10, "data missing"),
   IF(AND(Calc!BC87=0,Calc!BE87=0),
     IF('Waste results'!$P$45&lt;&gt;"data missing", Calc!BD87*'Waste results'!$P$45, "data missing"),
   IF(AND(Calc!BC87=0,Calc!BD87=0),
     IF('Waste results'!$P$82&lt;&gt;"data missing", Calc!BE87*'Waste results'!$P$82, "data missing"),
   IF(Calc!BE87=0,
     IF(OR('Waste results'!$P$10&lt;&gt;"data missing", 'Waste results'!$P$45&lt;&gt;"data missing"), Calc!BC87*'Waste results'!$P$10+ Calc!BD87*'Waste results'!$P$45, "data missing"),
   IF(Calc!BD87=0,
     IF(OR('Waste results'!$P$10&lt;&gt;"data missing", 'Waste results'!$P$82&lt;&gt;"data missing"), Calc!BC87*'Waste results'!$P$10+ Calc!BE87*'Waste results'!$P$82, "data missing"),
   IF(Calc!BC87=0,
     IF(OR('Waste results'!$P$45&lt;&gt;"data missing", 'Waste results'!$P$82&lt;&gt;"data missing"), Calc!BD87*'Waste results'!$P$45+Calc!BE87*'Waste results'!$P$82, "data missing"),
   IF(OR('Waste results'!$P$10&lt;&gt;"data missing", 'Waste results'!$P$45&lt;&gt;"data missing", 'Waste results'!$P$82&lt;&gt;"data missing"), Calc!BC87*'Waste results'!$P$10+Calc!BD87*'Waste results'!$P$45+ Calc!BE87*'Waste results'!$P$82, "data missing")))))))))))</f>
        <v/>
      </c>
      <c r="AJ89" s="237" t="str">
        <f ca="1">IF(B89="","",
IF(AI89="data missing","data missing",
IF(Calc!BF87=0,"n/a",
IF(AND(Calc!BH87&gt;=8,AI89&lt;500),"no benefit",
IF(OR(AND(Calc!BH87&lt;=4,AI89&gt;=500),AND(Calc!BH87&lt;8,AI89&gt;5000)),"benefit",
"limited benefit")))))</f>
        <v/>
      </c>
      <c r="AL89" s="238" t="str">
        <f ca="1">IF(B89="","",
IF(AND('Field information 2'!$O$5="", 'Field information 2'!$Q$5=""),
   IF('Waste results'!$S$25&lt;&gt;"data missing", Calc!BC87*'Waste results'!$S$25, "data missing"),
IF('Field information 2'!$Q$5="",
   IF(Calc!BD87=0,
     IF('Waste results'!$S$25&lt;&gt;"data missing", Calc!BC87*'Waste results'!$S$25, "data missing"),
   IF(Calc!BC87=0,
     IF('Waste results'!$S$61&lt;&gt;"data missing", Calc!BD87*'Waste results'!$S$61, "data missing"),
   IF(OR('Waste results'!$S$25&lt;&gt;"data missing", 'Waste results'!$S$61&lt;&gt;"data missing"), Calc!BC87*'Waste results'!$S$25+ Calc!BD87*'Waste results'!$S$61, "data missing"))),
IF(AND('Field information 2'!$M$5&lt;&gt;"", 'Field information 2'!$O$5&lt;&gt;"", 'Field information 2'!$Q$5&lt;&gt;""),
   IF(AND(Calc!BD87=0,Calc!BE87=0),
     IF('Waste results'!$S$25&lt;&gt;"data missing", Calc!BC87*'Waste results'!$S$25, "data missing"),
   IF(AND(Calc!BC87=0,Calc!BE87=0),
     IF('Waste results'!$S$61&lt;&gt;"data missing", Calc!BD87*'Waste results'!$S$61, "data missing"),
   IF(AND(Calc!BC87=0,Calc!BD87=0),
     IF('Waste results'!$S$97&lt;&gt;"data missing", Calc!BE87*'Waste results'!$S$97, "data missing"),
   IF(Calc!BE87=0,
     IF(OR('Waste results'!$S$25&lt;&gt;"data missing", 'Waste results'!$S$61&lt;&gt;"data missing"), Calc!BC87*'Waste results'!$S$25+ Calc!BD87*'Waste results'!$S$61, "data missing"),
   IF(Calc!BD87=0,
     IF(OR('Waste results'!$S$25&lt;&gt;"data missing", 'Waste results'!$S$97&lt;&gt;"data missing"), Calc!BC87*'Waste results'!$S$25+ Calc!BE87*'Waste results'!$S$97, "data missing"),
   IF(Calc!BC87=0,
     IF(OR('Waste results'!$S$61&lt;&gt;"data missing", 'Waste results'!$S$97&lt;&gt;"data missing"), Calc!BD87*'Waste results'!$S$61+Calc!BE87*'Waste results'!$S$97, "data missing"),
   IF(OR('Waste results'!$S$25&lt;&gt;"data missing", 'Waste results'!$S$61&lt;&gt;"data missing", 'Waste results'!$S$97&lt;&gt;"data missing"), Calc!BC87*'Waste results'!$S$25+Calc!BD87*'Waste results'!$S$61+ Calc!BE87*'Waste results'!$S$97, "data missing")))))))))))</f>
        <v/>
      </c>
      <c r="AM89" s="239" t="str">
        <f ca="1">IF($B89="","",
IF(ISBLANK('Soil results'!K92),"data missing",'Soil results'!K92))</f>
        <v/>
      </c>
      <c r="AN89" s="239" t="str">
        <f t="shared" ca="1" si="23"/>
        <v/>
      </c>
      <c r="AO89" s="9" t="str">
        <f t="shared" ca="1" si="24"/>
        <v/>
      </c>
      <c r="AQ89" s="240" t="str">
        <f ca="1">IF(B89="","",
IF(AND('Field information 2'!$O$5="", 'Field information 2'!$Q$5=""),
   IF('Waste results'!$S$26&lt;&gt;"data missing", Calc!BC87*'Waste results'!$S$26, "data missing"),
IF('Field information 2'!$Q$5="",
   IF(Calc!BD87=0,
     IF('Waste results'!$S$26&lt;&gt;"data missing", Calc!BC87*'Waste results'!$S$26, "data missing"),
   IF(Calc!BC87=0,
     IF('Waste results'!$S$62&lt;&gt;"data missing", Calc!BD87*'Waste results'!$S$62, "data missing"),
   IF(OR('Waste results'!$S$26&lt;&gt;"data missing", 'Waste results'!$S$62&lt;&gt;"data missing"), Calc!BC87*'Waste results'!$S$26+ Calc!BD87*'Waste results'!$S$62, "data missing"))),
IF(AND('Field information 2'!$M$5&lt;&gt;"", 'Field information 2'!$O$5&lt;&gt;"", 'Field information 2'!$Q$5&lt;&gt;""),
   IF(AND(Calc!BD87=0,Calc!BE87=0),
     IF('Waste results'!$S$26&lt;&gt;"data missing", Calc!BC87*'Waste results'!$S$26, "data missing"),
   IF(AND(Calc!BC87=0,Calc!BE87=0),
     IF('Waste results'!$S$62&lt;&gt;"data missing", Calc!BD87*'Waste results'!$S$62, "data missing"),
   IF(AND(Calc!BC87=0,Calc!BD87=0),
     IF('Waste results'!$S$98&lt;&gt;"data missing", Calc!BE87*'Waste results'!$S$98, "data missing"),
   IF(Calc!BE87=0,
     IF(OR('Waste results'!$S$26&lt;&gt;"data missing", 'Waste results'!$S$62&lt;&gt;"data missing"), Calc!BC87*'Waste results'!$S$26+ Calc!BD87*'Waste results'!$S$62, "data missing"),
   IF(Calc!BD87=0,
     IF(OR('Waste results'!$S$26&lt;&gt;"data missing", 'Waste results'!$S$98&lt;&gt;"data missing"), Calc!BC87*'Waste results'!$S$26+ Calc!BE87*'Waste results'!$S$98, "data missing"),
   IF(Calc!BC87=0,
     IF(OR('Waste results'!$S$62&lt;&gt;"data missing", 'Waste results'!$S$98&lt;&gt;"data missing"), Calc!BD87*'Waste results'!$S$62+Calc!BE87*'Waste results'!$S$98, "data missing"),
   IF(OR('Waste results'!$S$26&lt;&gt;"data missing", 'Waste results'!$S$62&lt;&gt;"data missing", 'Waste results'!$S$98&lt;&gt;"data missing"), Calc!BC87*'Waste results'!$S$26+Calc!BD87*'Waste results'!$S$62+ Calc!BE87*'Waste results'!$S$98, "data missing")))))))))))</f>
        <v/>
      </c>
      <c r="AR89" s="241" t="str">
        <f ca="1">IF($B89="","",
IF(ISBLANK('Soil results'!L92),"data missing",'Soil results'!L92))</f>
        <v/>
      </c>
      <c r="AS89" s="241" t="str">
        <f t="shared" ca="1" si="25"/>
        <v/>
      </c>
      <c r="AT89" s="66" t="str">
        <f t="shared" ca="1" si="26"/>
        <v/>
      </c>
      <c r="AV89" s="238" t="str">
        <f ca="1">IF(B89="","",
IF(AND('Field information 2'!$O$5="", 'Field information 2'!$Q$5=""),
   IF('Waste results'!$S$27&lt;&gt;"data missing", Calc!BC87*'Waste results'!$S$27, "data missing"),
IF('Field information 2'!$Q$5="",
   IF(Calc!BD87=0,
     IF('Waste results'!$S$27&lt;&gt;"data missing", Calc!BC87*'Waste results'!$S$27, "data missing"),
   IF(Calc!BC87=0,
     IF('Waste results'!$S$63&lt;&gt;"data missing", Calc!BD87*'Waste results'!$S$63, "data missing"),
   IF(OR('Waste results'!$S$27&lt;&gt;"data missing", 'Waste results'!$S$63&lt;&gt;"data missing"), Calc!BC87*'Waste results'!$S$27+ Calc!BD87*'Waste results'!$S$63, "data missing"))),
IF(AND('Field information 2'!$M$5&lt;&gt;"", 'Field information 2'!$O$5&lt;&gt;"", 'Field information 2'!$Q$5&lt;&gt;""),
   IF(AND(Calc!BD87=0,Calc!BE87=0),
     IF('Waste results'!$S$27&lt;&gt;"data missing", Calc!BC87*'Waste results'!$S$27, "data missing"),
   IF(AND(Calc!BC87=0,Calc!BE87=0),
     IF('Waste results'!$S$63&lt;&gt;"data missing", Calc!BD87*'Waste results'!$S$63, "data missing"),
   IF(AND(Calc!BC87=0,Calc!BD87=0),
     IF('Waste results'!$S$99&lt;&gt;"data missing", Calc!BE87*'Waste results'!$S$99, "data missing"),
   IF(Calc!BE87=0,
     IF(OR('Waste results'!$S$27&lt;&gt;"data missing", 'Waste results'!$S$63&lt;&gt;"data missing"), Calc!BC87*'Waste results'!$S$27+ Calc!BD87*'Waste results'!$S$63, "data missing"),
   IF(Calc!BD87=0,
     IF(OR('Waste results'!$S$27&lt;&gt;"data missing", 'Waste results'!$S$99&lt;&gt;"data missing"), Calc!BC87*'Waste results'!$S$27+ Calc!BE87*'Waste results'!$S$99, "data missing"),
   IF(Calc!BC87=0,
     IF(OR('Waste results'!$S$63&lt;&gt;"data missing", 'Waste results'!$S$99&lt;&gt;"data missing"), Calc!BD87*'Waste results'!$S$63+Calc!BE87*'Waste results'!$S$99, "data missing"),
   IF(OR('Waste results'!$S$27&lt;&gt;"data missing", 'Waste results'!$S$63&lt;&gt;"data missing", 'Waste results'!$S$99&lt;&gt;"data missing"), Calc!BC87*'Waste results'!$S$27+Calc!BD87*'Waste results'!$S$63+ Calc!BE87*'Waste results'!$S$99, "data missing")))))))))))</f>
        <v/>
      </c>
      <c r="AW89" s="239" t="str">
        <f ca="1">IF($B89="","",
IF(ISBLANK('Soil results'!M92),"data missing",'Soil results'!M92))</f>
        <v/>
      </c>
      <c r="AX89" s="239" t="str">
        <f t="shared" ca="1" si="27"/>
        <v/>
      </c>
      <c r="AY89" s="9" t="str">
        <f ca="1">IF(B89="","",
IF(AV89=0,"n/a",
IF(OR(AV89="data missing",AW89="data missing"),"data missing",
IF(AV89&gt;7.5,"application rate too high - permissible rate exceeds limit",
IF('Soil results'!$F92&lt;=5.5,
  IF(AW89&gt;80,"no application - soil conc. already above limit",
  IF(AX89&gt;80,"application rate too high - soil conc. will exceed limit",
  IF(AW89&gt;80*0.9,"soil conc. is at or above 90% of the limit",
  IF(10*AV89*1000/3000+AW89&gt;80,"soil limit likely to be exceeded in 10yrs",
  IF(50*AV89*1000/3000+AW89&gt;80,"soil limit likely to be exceeded in 50yrs","ok"))))),
IF('Soil results'!$F92&lt;=6,
  IF(AW89&gt;100,"no application - soil conc. already above limit",
  IF(AX89&gt;100,"application rate too high - soil conc. will exceed limit",
  IF(AW89&gt;100*0.9,"soil conc. is at or above 90% of the limit",
  IF(10*AV89*1000/3000+AW89&gt;100,"soil limit likely to be exceeded in 10yrs",
  IF(50*AV89*1000/3000+AW89&gt;100,"soil limit likely to be exceeded in 50yrs","ok"))))),
IF('Soil results'!$F92&lt;=7,
  IF(AW89&gt;135,"no application - soil conc. already above limit",
  IF(AX89&gt;135,"application rate too high - soil conc. will exceed limit",
  IF(AW89&gt;135*0.9,"soil conc. is at or above 90% of the limit",
  IF(10*AV89*1000/3000+AW89&gt;135,"soil limit likely to be exceeded in 10yrs",
  IF(50*AV89*1000/3000+AW89&gt;135,"soil limit likely to be exceeded in 50yrs","ok"))))),
IF('Soil results'!$F92&gt;7,
  IF(AW89&gt;200,"no application - soil conc. already above limit",
  IF(AX89&gt;200,"application too high - soil conc. will exceed limit",
  IF(AW89&gt;200*0.9,"soil conc. is at or above 90% of the limit",
  IF(10*AV89*1000/3000+AW89&gt;200,"soil limit likely to be exceeded in 10yrs",
  IF(50*AV89*1000/3000+AW89&gt;200,"soil limit likely to be exceeded in 50yrs","ok")))))
))))))))</f>
        <v/>
      </c>
      <c r="BA89" s="238" t="str">
        <f ca="1">IF(B89="","",
IF(AND('Field information 2'!$O$5="", 'Field information 2'!$Q$5=""),
   IF('Waste results'!$S$28&lt;&gt;"data missing", Calc!BC87*'Waste results'!$S$28, "data missing"),
IF('Field information 2'!$Q$5="",
   IF(Calc!BD87=0,
     IF('Waste results'!$S$28&lt;&gt;"data missing", Calc!BC87*'Waste results'!$S$28, "data missing"),
   IF(Calc!BC87=0,
     IF('Waste results'!$S$64&lt;&gt;"data missing", Calc!BD87*'Waste results'!$S$64, "data missing"),
   IF(OR('Waste results'!$S$28&lt;&gt;"data missing", 'Waste results'!$S$64&lt;&gt;"data missing"), Calc!BC87*'Waste results'!$S$28+ Calc!BD87*'Waste results'!$S$64, "data missing"))),
IF(AND('Field information 2'!$M$5&lt;&gt;"", 'Field information 2'!$O$5&lt;&gt;"", 'Field information 2'!$Q$5&lt;&gt;""),
   IF(AND(Calc!BD87=0,Calc!BE87=0),
     IF('Waste results'!$S$28&lt;&gt;"data missing", Calc!BC87*'Waste results'!$S$28, "data missing"),
   IF(AND(Calc!BC87=0,Calc!BE87=0),
     IF('Waste results'!$S$64&lt;&gt;"data missing", Calc!BD87*'Waste results'!$S$64, "data missing"),
   IF(AND(Calc!BC87=0,Calc!BD87=0),
     IF('Waste results'!$S$100&lt;&gt;"data missing", Calc!BE87*'Waste results'!$S$100, "data missing"),
   IF(Calc!BE87=0,
     IF(OR('Waste results'!$S$28&lt;&gt;"data missing", 'Waste results'!$S$64&lt;&gt;"data missing"), Calc!BC87*'Waste results'!$S$28+ Calc!BD87*'Waste results'!$S$64, "data missing"),
   IF(Calc!BD87=0,
     IF(OR('Waste results'!$S$28&lt;&gt;"data missing", 'Waste results'!$S$100&lt;&gt;"data missing"), Calc!BC87*'Waste results'!$S$28+ Calc!BE87*'Waste results'!$S$100, "data missing"),
   IF(Calc!BC87=0,
     IF(OR('Waste results'!$S$64&lt;&gt;"data missing", 'Waste results'!$S$100&lt;&gt;"data missing"), Calc!BD87*'Waste results'!$S$64+Calc!BE87*'Waste results'!$S$100, "data missing"),
   IF(OR('Waste results'!$S$28&lt;&gt;"data missing", 'Waste results'!$S$64&lt;&gt;"data missing", 'Waste results'!$S$100&lt;&gt;"data missing"), Calc!BC87*'Waste results'!$S$28+Calc!BD87*'Waste results'!$S$64+ Calc!BE87*'Waste results'!$S$100, "data missing")))))))))))</f>
        <v/>
      </c>
      <c r="BB89" s="239" t="str">
        <f ca="1">IF($B89="","",
IF(ISBLANK('Soil results'!N92),"data missing",'Soil results'!N92))</f>
        <v/>
      </c>
      <c r="BC89" s="239" t="str">
        <f t="shared" ca="1" si="28"/>
        <v/>
      </c>
      <c r="BD89" s="9" t="str">
        <f t="shared" ca="1" si="29"/>
        <v/>
      </c>
      <c r="BF89" s="238" t="str">
        <f ca="1">IF(B89="","",
IF(AND('Field information 2'!$O$5="", 'Field information 2'!$Q$5=""),
   IF('Waste results'!$S$29&lt;&gt;"data missing", Calc!BC87*'Waste results'!$S$29, "data missing"),
IF('Field information 2'!$Q$5="",
   IF(Calc!BD87=0,
     IF('Waste results'!$S$29&lt;&gt;"data missing", Calc!BC87*'Waste results'!$S$29, "data missing"),
   IF(Calc!BC87=0,
     IF('Waste results'!$S$65&lt;&gt;"data missing", Calc!BD87*'Waste results'!$S$65, "data missing"),
   IF(OR('Waste results'!$S$29&lt;&gt;"data missing", 'Waste results'!$S$65&lt;&gt;"data missing"), Calc!BC87*'Waste results'!$S$29+ Calc!BD87*'Waste results'!$S$65, "data missing"))),
IF(AND('Field information 2'!$M$5&lt;&gt;"", 'Field information 2'!$O$5&lt;&gt;"", 'Field information 2'!$Q$5&lt;&gt;""),
   IF(AND(Calc!BD87=0,Calc!BE87=0),
     IF('Waste results'!$S$29&lt;&gt;"data missing", Calc!BC87*'Waste results'!$S$29, "data missing"),
   IF(AND(Calc!BC87=0,Calc!BE87=0),
     IF('Waste results'!$S$65&lt;&gt;"data missing", Calc!BD87*'Waste results'!$S$65, "data missing"),
   IF(AND(Calc!BC87=0,Calc!BD87=0),
     IF('Waste results'!$S$101&lt;&gt;"data missing", Calc!BE87*'Waste results'!$S$101, "data missing"),
   IF(Calc!BE87=0,
     IF(OR('Waste results'!$S$29&lt;&gt;"data missing", 'Waste results'!$S$65&lt;&gt;"data missing"), Calc!BC87*'Waste results'!$S$29+ Calc!BD87*'Waste results'!$S$65, "data missing"),
   IF(Calc!BD87=0,
     IF(OR('Waste results'!$S$29&lt;&gt;"data missing", 'Waste results'!$S$101&lt;&gt;"data missing"), Calc!BC87*'Waste results'!$S$29+ Calc!BE87*'Waste results'!$S$101, "data missing"),
   IF(Calc!BC87=0,
     IF(OR('Waste results'!$S$65&lt;&gt;"data missing", 'Waste results'!$S$101&lt;&gt;"data missing"), Calc!BD87*'Waste results'!$S$65+Calc!BE87*'Waste results'!$S$101, "data missing"),
   IF(OR('Waste results'!$S$29&lt;&gt;"data missing", 'Waste results'!$S$65&lt;&gt;"data missing", 'Waste results'!$S$101&lt;&gt;"data missing"), Calc!BC87*'Waste results'!$S$29+Calc!BD87*'Waste results'!$S$65+ Calc!BE87*'Waste results'!$S$101, "data missing")))))))))))</f>
        <v/>
      </c>
      <c r="BG89" s="239" t="str">
        <f ca="1">IF($B89="","",
IF(ISBLANK('Soil results'!O92),"data missing",'Soil results'!O92))</f>
        <v/>
      </c>
      <c r="BH89" s="239" t="str">
        <f t="shared" ca="1" si="30"/>
        <v/>
      </c>
      <c r="BI89" s="9" t="str">
        <f ca="1">IF(B89="","",
IF(BF89=0,"n/a",
IF(OR(BF89="data missing",BG89="data missing"),"data missing",
IF(BF89&gt;3,"application rate too high - permissible rate exceeds limit",
IF('Soil results'!F92&lt;=5.5,
  IF(BG89&gt;50,"no application - soil conc. already above limit",
  IF(BH89&gt;50,"application rate too high - soil conc. will exceed limit",
  IF(BG89&gt;50*0.9,"soil conc. is at or above 90% of the limit",
  IF(10*BF89*1000/3000+BG89&gt;50,"soil limit likely to be exceeded in 10yrs",
  IF(50*BF89*1000/3000+BG89&gt;50,"soil limit likely to be exceeded in 50yrs","ok"))))),
IF('Soil results'!F92&lt;=6,
  IF(BG89&gt;60,"no application - soil conc. already above limit",
  IF(BH89&gt;60,"application rate too high - soil conc. will exceed limit",
  IF(BG89&gt;60*0.9,"soil conc. is at or above 90% of the limit",
  IF(10*BF89*1000/3000+BG89&gt;60,"soil limit likely to be exceeded in 10yrs",
  IF(50*BF89*1000/3000+BG89&gt;60,"soil limit likely to be exceeded in 50yrs","ok"))))),
IF('Soil results'!F92&lt;=7,
  IF(BG89&gt;75,"no application - soil conc. already above limit",
  IF(BH89&gt;75,"application rate too high - soil conc. will exceed limit",
  IF(BG89&gt;75*0.9,"soil conc. is at or above 90% of the limit",
  IF(10*BF89*1000/3000+BG89&gt;75,"soil limit likely to be exceeded in 10yrs",
  IF(50*BF89*1000/3000+BG89&gt;75,"soil limit likely to be exceeded in 50yrs","ok"))))),
IF('Soil results'!F92&gt;7,
  IF(BG89&gt;100,"no application - soil conc. already above limit",
  IF(BH89&gt;100,"application rate too high - soil conc. will exceed limit",
  IF(BG89&gt;100*0.9,"soil conc. is at or above 90% of the limit",
  IF(10*BF89*1000/3000+BG89&gt;100,"soil limit likely to be exceeded in 10yrs",
  IF(50*BF89*1000/3000+BG89&gt;100,"soil limit likely to beexceeded in 50yrs","ok")))))
))))))))</f>
        <v/>
      </c>
      <c r="BK89" s="240" t="str">
        <f ca="1">IF(B89="","",
IF(AND('Field information 2'!$O$5="", 'Field information 2'!$Q$5=""),
   IF('Waste results'!$S$30&lt;&gt;"data missing", Calc!BC87*'Waste results'!$S$30, "data missing"),
IF('Field information 2'!$Q$5="",
   IF(Calc!BD87=0,
     IF('Waste results'!$S$30&lt;&gt;"data missing", Calc!BC87*'Waste results'!$S$30, "data missing"),
   IF(Calc!BC87=0,
     IF('Waste results'!$S$66&lt;&gt;"data missing", Calc!BD87*'Waste results'!$S$66, "data missing"),
   IF(OR('Waste results'!$S$30&lt;&gt;"data missing", 'Waste results'!$S$66&lt;&gt;"data missing"), Calc!BC87*'Waste results'!$S$30+ Calc!BD87*'Waste results'!$S$66, "data missing"))),
IF(AND('Field information 2'!$M$5&lt;&gt;"", 'Field information 2'!$O$5&lt;&gt;"", 'Field information 2'!$Q$5&lt;&gt;""),
   IF(AND(Calc!BD87=0,Calc!BE87=0),
     IF('Waste results'!$S$30&lt;&gt;"data missing", Calc!BC87*'Waste results'!$S$30, "data missing"),
   IF(AND(Calc!BC87=0,Calc!BE87=0),
     IF('Waste results'!$S$66&lt;&gt;"data missing", Calc!BD87*'Waste results'!$S$66, "data missing"),
   IF(AND(Calc!BC87=0,Calc!BD87=0),
     IF('Waste results'!$S$102&lt;&gt;"data missing", Calc!BE87*'Waste results'!$S$102, "data missing"),
   IF(Calc!BE87=0,
     IF(OR('Waste results'!$S$30&lt;&gt;"data missing", 'Waste results'!$S$66&lt;&gt;"data missing"), Calc!BC87*'Waste results'!$S$30+ Calc!BD87*'Waste results'!$S$66, "data missing"),
   IF(Calc!BD87=0,
     IF(OR('Waste results'!$S$30&lt;&gt;"data missing", 'Waste results'!$S$102&lt;&gt;"data missing"), Calc!BC87*'Waste results'!$S$30+ Calc!BE87*'Waste results'!$S$102, "data missing"),
   IF(Calc!BC87=0,
     IF(OR('Waste results'!$S$66&lt;&gt;"data missing", 'Waste results'!$S$102&lt;&gt;"data missing"), Calc!BD87*'Waste results'!$S$66+Calc!BE87*'Waste results'!$S$102, "data missing"),
   IF(OR('Waste results'!$S$30&lt;&gt;"data missing", 'Waste results'!$S$66&lt;&gt;"data missing", 'Waste results'!$S$102&lt;&gt;"data missing"), Calc!BC87*'Waste results'!$S$30+Calc!BD87*'Waste results'!$S$66+ Calc!BE87*'Waste results'!$S$102, "data missing")))))))))))</f>
        <v/>
      </c>
      <c r="BL89" s="241" t="str">
        <f ca="1">IF($B89="","",
IF(ISBLANK('Soil results'!P92),"data missing",'Soil results'!P92))</f>
        <v/>
      </c>
      <c r="BM89" s="241" t="str">
        <f t="shared" ca="1" si="31"/>
        <v/>
      </c>
      <c r="BN89" s="66" t="str">
        <f t="shared" ca="1" si="32"/>
        <v/>
      </c>
      <c r="BP89" s="238" t="str">
        <f ca="1">IF(B89="","",
IF(AND('Field information 2'!$O$5="", 'Field information 2'!$Q$5=""),
   IF('Waste results'!$S$31&lt;&gt;"data missing", Calc!BC87*'Waste results'!$S$31, "data missing"),
IF('Field information 2'!$Q$5="",
   IF(Calc!BD87=0,
     IF('Waste results'!$S$31&lt;&gt;"data missing", Calc!BC87*'Waste results'!$S$31, "data missing"),
   IF(Calc!BC87=0,
     IF('Waste results'!$S$67&lt;&gt;"data missing", Calc!BD87*'Waste results'!$S$67, "data missing"),
   IF(OR('Waste results'!$S$31&lt;&gt;"data missing", 'Waste results'!$S$67&lt;&gt;"data missing"), Calc!BC87*'Waste results'!$S$31+ Calc!BD87*'Waste results'!$S$67, "data missing"))),
IF(AND('Field information 2'!$M$5&lt;&gt;"", 'Field information 2'!$O$5&lt;&gt;"", 'Field information 2'!$Q$5&lt;&gt;""),
   IF(AND(Calc!BD87=0,Calc!BE87=0),
     IF('Waste results'!$S$31&lt;&gt;"data missing", Calc!BC87*'Waste results'!$S$31, "data missing"),
   IF(AND(Calc!BC87=0,Calc!BE87=0),
     IF('Waste results'!$S$67&lt;&gt;"data missing", Calc!BD87*'Waste results'!$S$67, "data missing"),
   IF(AND(Calc!BC87=0,Calc!BD87=0),
     IF('Waste results'!$S$103&lt;&gt;"data missing", Calc!BE87*'Waste results'!$S$103, "data missing"),
   IF(Calc!BE87=0,
     IF(OR('Waste results'!$S$31&lt;&gt;"data missing", 'Waste results'!$S$67&lt;&gt;"data missing"), Calc!BC87*'Waste results'!$S$31+ Calc!BD87*'Waste results'!$S$67, "data missing"),
   IF(Calc!BD87=0,
     IF(OR('Waste results'!$S$31&lt;&gt;"data missing", 'Waste results'!$S$103&lt;&gt;"data missing"), Calc!BC87*'Waste results'!$S$31+ Calc!BE87*'Waste results'!$S$103, "data missing"),
   IF(Calc!BC87=0,
     IF(OR('Waste results'!$S$67&lt;&gt;"data missing", 'Waste results'!$S$103&lt;&gt;"data missing"), Calc!BD87*'Waste results'!$S$67+Calc!BE87*'Waste results'!$S$103, "data missing"),
   IF(OR('Waste results'!$S$31&lt;&gt;"data missing", 'Waste results'!$S$67&lt;&gt;"data missing", 'Waste results'!$S$103&lt;&gt;"data missing"), Calc!BC87*'Waste results'!$S$31+Calc!BD87*'Waste results'!$S$67+ Calc!BE87*'Waste results'!$S$103, "data missing")))))))))))</f>
        <v/>
      </c>
      <c r="BQ89" s="239" t="str">
        <f ca="1">IF($B89="","",
IF(ISBLANK('Soil results'!Q92),"data missing",'Soil results'!Q92))</f>
        <v/>
      </c>
      <c r="BR89" s="239" t="str">
        <f t="shared" ca="1" si="33"/>
        <v/>
      </c>
      <c r="BS89" s="9" t="str">
        <f ca="1">IF(B89="","",
IF(BP89=0,"n/a",
IF(OR(BP89="data missing",BQ89=""),"data missing",
IF(BP89&gt;15,"application rate too high - permissible rate exceeds limit",
IF('Soil results'!F92&lt;=5.5,
  IF(BQ89&gt;200,"no application - soil conc. already above limit",
  IF(BR89&gt;200,"application rate too high - soil conc. will exceed limit",
  IF(BQ89&gt;200*0.9,"soil conc. is at or above 90% of the limit",
  IF(10*BP89*1000/3000+BQ89&gt;200,"soil limit likely to be exceeded in 10yrs",
  IF(50*BP89*1000/3000+BQ89&gt;200,"soil limit likely to be exceeded in 50yrs","ok"))))),
IF('Soil results'!F92&lt;=6,
  IF(BQ89&gt;250,"no application - soil conc. already above limit",
  IF(BR89&gt;250,"application rate too high - soil conc. will exceed limit",
  IF(BQ89&gt;250*0.9,"soil conc. is at or above 90% of the limit",
  IF(10*BP89*1000/3000+BQ89&gt;250,"soil limit likely to be exceeded in 10yrs",
  IF(50*BP89*1000/3000+BQ89&gt;250,"soil limit likely to be exceeded in 50yrs","ok"))))),
IF('Soil results'!F92&lt;=7,
  IF(BQ89&gt;300,"no application - soil conc. already above limit",
  IF(BR89&gt;300,"application rate too high - soil conc. will exceed limit",
  IF(BQ89&gt;300*0.9,"soil conc. is at or above 90% of the limit",
  IF(10*BP89*1000/3000+BQ89&gt;300,"soil limit likey to be exceeded in 10yrs",
  IF(50*BP89*1000/3000+BQ89&gt;300,"soil limit likely to be exceeded in 50yrs","ok"))))),
IF('Soil results'!F92&gt;7,
  IF(BQ89&gt;450,"no application - soil conc. already above limit",
  IF(BR89&gt;450,"application rate too high - soil conc. will exceed limit",
  IF(AW89&gt;450*0.9,"soil conc. is at or above 90% of the limit",
  IF(10*BP89*1000/3000+BQ89&gt;450,"soil limit likely to be exceeded in 10yrs",
  IF(50*BP89*1000/3000+BQ89&gt;450,"soil limit likely to be exceeded in 50yrs","ok")))))
))))))))</f>
        <v/>
      </c>
    </row>
    <row r="90" spans="2:71" s="9" customFormat="1" ht="15" x14ac:dyDescent="0.25">
      <c r="B90" s="236" t="str">
        <f ca="1">'Soil results'!B93</f>
        <v/>
      </c>
      <c r="C90" s="91" t="str">
        <f ca="1">IF(B90="","",
IF(AND('Field information 2'!$O$5="", 'Field information 2'!$Q$5=""),
   IF('Waste results'!$S$12&lt;&gt;"data missing", Calc!BC88*'Waste results'!$S$12, "data missing"),
IF('Field information 2'!$Q$5="",
   IF(Calc!BD88=0,
     IF('Waste results'!$S$12&lt;&gt;"data missing", Calc!BC88*'Waste results'!$S$12, "data missing"),
   IF(Calc!BC88=0,
     IF('Waste results'!$S$48&lt;&gt;"data missing", Calc!BD88*'Waste results'!$S$48, "data missing"),
   IF(OR('Waste results'!$S$12&lt;&gt;"data missing", 'Waste results'!$S$48&lt;&gt;"data missing"), Calc!BC88*'Waste results'!$S$12+ Calc!BD88*'Waste results'!$S$48, "data missing"))),
IF(AND('Field information 2'!$M$5&lt;&gt;"", 'Field information 2'!$O$5&lt;&gt;"", 'Field information 2'!$Q$5&lt;&gt;""),
   IF(AND(Calc!BD88=0,Calc!BE88=0),
     IF('Waste results'!$S$12&lt;&gt;"data missing", Calc!BC88*'Waste results'!$S$12, "data missing"),
   IF(AND(Calc!BC88=0,Calc!BE88=0),
     IF('Waste results'!$S$48&lt;&gt;"data missing", Calc!BD88*'Waste results'!$S$48, "data missing"),
   IF(AND(Calc!BC88=0,Calc!BD88=0),
     IF('Waste results'!$S$84&lt;&gt;"data missing", Calc!BE88*'Waste results'!$S$84, "data missing"),
   IF(Calc!BE88=0,
     IF(OR('Waste results'!$S$12&lt;&gt;"data missing", 'Waste results'!$S$48&lt;&gt;"data missing"), Calc!BC88*'Waste results'!$S$12+ Calc!BD88*'Waste results'!$S$48, "data missing"),
   IF(Calc!BD88=0,
     IF(OR('Waste results'!$S$12&lt;&gt;"data missing", 'Waste results'!$S$84&lt;&gt;"data missing"), Calc!BC88*'Waste results'!$S$12+ Calc!BE88*'Waste results'!$S$84, "data missing"),
   IF(Calc!BC88=0,
     IF(OR('Waste results'!$S$48&lt;&gt;"data missing", 'Waste results'!$S$84&lt;&gt;"data missing"), Calc!BD88*'Waste results'!$S$48+Calc!BE88*'Waste results'!$S$84, "data missing"),
   IF(OR('Waste results'!$S$12&lt;&gt;"data missing", 'Waste results'!$S$48&lt;&gt;"data missing", 'Waste results'!$S$84&lt;&gt;"data missing"), Calc!BC88*'Waste results'!$S$12+Calc!BD88*'Waste results'!$S$48+ Calc!BE88*'Waste results'!$S$84, "data missing")))))))))))</f>
        <v/>
      </c>
      <c r="D90" s="161" t="str">
        <f ca="1">IF(B90="","",
IF(Calc!BG88="","soil texture missing",
IF(OR(Calc!BG88="SL; SZL; ZL",Calc!BG88="SCL; CL; ZCL; SC; ZC; C"),VLOOKUP(Calc!BI88,'Fertiliser recommendations'!$A$4:$C$63,3,FALSE),
IF(Calc!BG88="S; LS",VLOOKUP(Calc!BI88,'Fertiliser recommendations'!$A$4:$C$63,3,FALSE)+VLOOKUP(Calc!BI88,'Fertiliser recommendations'!$A$4:$D$63,4,FALSE),
IF(Calc!BG88="10-25% OM",VLOOKUP(Calc!BI88,'Fertiliser recommendations'!$A$4:$C$63,3,FALSE)+VLOOKUP(Calc!BI88,'Fertiliser recommendations'!$A$4:$E$63,5,FALSE),
IF(Calc!BG88="&gt;25% OM",VLOOKUP(Calc!BI88,'Fertiliser recommendations'!$A$4:$C$63,3,FALSE)+VLOOKUP(Calc!BI88,'Fertiliser recommendations'!$A$4:$F$63,6,FALSE),
""))))))</f>
        <v/>
      </c>
      <c r="E90" s="91" t="str">
        <f t="shared" ca="1" si="17"/>
        <v/>
      </c>
      <c r="F90" s="9" t="str">
        <f ca="1">IF(B90="","",
IF(OR(C90="data missing",D90="soil texture missing"),"data missing",
IF(Calc!BF88=0,"n/a",
IF(C90&lt;0.1*D90,"no benefit",
IF(C90&lt;0.3*D90,"limited benefit",
IF(C90&gt;250,"exceeds limit",
IF(OR(AND(D90=0,C90&gt;75),C90&gt;1.25*D90),"excessive",
IF(D90=0, "no requirement",
"benefit"))))))))</f>
        <v/>
      </c>
      <c r="H90" s="91" t="str">
        <f ca="1">IF(B90="","",
IF(AND('Field information 2'!$O$5="", 'Field information 2'!$Q$5=""),
   IF('Waste results'!$S$17&lt;&gt;"data missing", Calc!BC88*'Waste results'!$S$17, "data missing"),
IF('Field information 2'!$Q$5="",
   IF(Calc!BD88=0,
     IF('Waste results'!$S$17&lt;&gt;"data missing", Calc!BC88*'Waste results'!$S$17, "data missing"),
   IF(Calc!BC88=0,
     IF('Waste results'!$S$53&lt;&gt;"data missing", Calc!BD88*'Waste results'!$S$53, "data missing"),
   IF(OR('Waste results'!$S$17&lt;&gt;"data missing", 'Waste results'!$S$53&lt;&gt;"data missing"), Calc!BC88*'Waste results'!$S$17+ Calc!BD88*'Waste results'!$S$53, "data missing"))),
IF(AND('Field information 2'!$M$5&lt;&gt;"", 'Field information 2'!$O$5&lt;&gt;"", 'Field information 2'!$Q$5&lt;&gt;""),
   IF(AND(Calc!BD88=0,Calc!BE88=0),
     IF('Waste results'!$S$17&lt;&gt;"data missing", Calc!BC88*'Waste results'!$S$17, "data missing"),
   IF(AND(Calc!BC88=0,Calc!BE88=0),
     IF('Waste results'!$S$53&lt;&gt;"data missing", Calc!BD88*'Waste results'!$S$53, "data missing"),
   IF(AND(Calc!BC88=0,Calc!BD88=0),
     IF('Waste results'!$S$89&lt;&gt;"data missing", Calc!BE88*'Waste results'!$S$89, "data missing"),
   IF(Calc!BE88=0,
     IF(OR('Waste results'!$S$17&lt;&gt;"data missing", 'Waste results'!$S$53&lt;&gt;"data missing"), Calc!BC88*'Waste results'!$S$17+ Calc!BD88*'Waste results'!$S$53, "data missing"),
   IF(Calc!BD88=0,
     IF(OR('Waste results'!$S$17&lt;&gt;"data missing", 'Waste results'!$S$89&lt;&gt;"data missing"), Calc!BC88*'Waste results'!$S$17+ Calc!BE88*'Waste results'!$S$89, "data missing"),
   IF(Calc!BC88=0,
     IF(OR('Waste results'!$S$53&lt;&gt;"data missing", 'Waste results'!$S$89&lt;&gt;"data missing"), Calc!BD88*'Waste results'!$S$53+Calc!BE88*'Waste results'!$S$89, "data missing"),
   IF(OR('Waste results'!$S$17&lt;&gt;"data missing", 'Waste results'!$S$53&lt;&gt;"data missing", 'Waste results'!$S$89&lt;&gt;"data missing"), Calc!BC88*'Waste results'!$S$17+Calc!BD88*'Waste results'!$S$53+ Calc!BE88*'Waste results'!$S$89, "data missing")))))))))))</f>
        <v/>
      </c>
      <c r="I90" s="195" t="str">
        <f ca="1">IF(B90="","",
IF(OR(ISBLANK('Soil results'!G93), ISBLANK('Soil results'!G$7)),"data missing",
IF(OR(AND('Soil results'!G$7="Olsen (ADAS)",'Soil results'!G93&lt;16),AND('Soil results'!G$7="modified Morgan (SAC)",'Soil results'!G93&lt;4.5)),50,100)))</f>
        <v/>
      </c>
      <c r="J90" s="49" t="str">
        <f ca="1">IF(B90="","",
IF(OR(ISBLANK('Soil results'!G$7),ISBLANK('Soil results'!G93)),"data missing",
IF(OR(AND('Soil results'!G$7="Olsen (ADAS)",'Soil results'!G93&gt;45),AND('Soil results'!G$7="modified Morgan (SAC)",'Soil results'!G93&gt;30)),0,
IF(OR(AND('Soil results'!G$7="Olsen (ADAS)",'Soil results'!G93&gt;=16,'Soil results'!G93&lt;=20),AND('Soil results'!G$7="modified Morgan (SAC)",'Soil results'!G93&gt;=4.5,'Soil results'!G93&lt;=9.4)),VLOOKUP(Calc!BI88,'Fertiliser recommendations'!$A$4:$I$63,9,FALSE),
IF(OR(AND('Soil results'!G$7="Olsen (ADAS)",'Soil results'!G93&lt;10),AND('Soil results'!G$7="modified Morgan (SAC)",'Soil results'!G93&lt;1.8)),VLOOKUP(Calc!BI88,'Fertiliser recommendations'!$A$4:$I$63,9,FALSE)+VLOOKUP(Calc!BI88,'Fertiliser recommendations'!$A$4:$J$63,10,FALSE),
IF(OR(AND('Soil results'!G$7="Olsen (ADAS)",'Soil results'!G93&lt;16),AND('Soil results'!G$7="modified Morgan (SAC)",'Soil results'!G93&lt;4.5)),VLOOKUP(Calc!BI88,'Fertiliser recommendations'!$A$4:$I$63,9,FALSE)+VLOOKUP(Calc!BI88,'Fertiliser recommendations'!$A$4:$K$63,11,FALSE),
IF(OR(AND('Soil results'!G$7="Olsen (ADAS)",'Soil results'!G93&lt;26),AND('Soil results'!G$7="modified Morgan (SAC)",'Soil results'!G93&lt;13.5)),VLOOKUP(Calc!BI88,'Fertiliser recommendations'!$A$4:$I$63,9,FALSE)+VLOOKUP(Calc!BI88,'Fertiliser recommendations'!$A$4:$L$63,12,FALSE),
IF(OR(AND('Soil results'!G$7="Olsen (ADAS)",'Soil results'!G93&lt;=45),AND('Soil results'!G$7="modified Morgan (SAC)",'Soil results'!G93&lt;=30)),VLOOKUP(Calc!BI88,'Fertiliser recommendations'!$A$4:$I$63,9,FALSE)+VLOOKUP(Calc!BI88,'Fertiliser recommendations'!$A$4:$M$63,13,FALSE),
""))))))))</f>
        <v/>
      </c>
      <c r="K90" s="161" t="str">
        <f t="shared" ca="1" si="18"/>
        <v/>
      </c>
      <c r="L90" s="47" t="str">
        <f ca="1">IF(OR(ISBLANK('Soil results'!G$7),ISBLANK('Soil results'!G93),B90="", H90="data missing"),"",
IF('Soil results'!G$7="Olsen (ADAS)",
IF(((H90*Calc!BM88/2.291-(VLOOKUP(Calc!BI88,'Fertiliser recommendations'!$A$4:$I$63,9,FALSE))/2.291)*10/(400/2.291)+'Soil results'!G93)&lt;10,"0 (VL)",
IF(((H90*Calc!BM88/2.291-(VLOOKUP(Calc!BI88,'Fertiliser recommendations'!$A$4:$I$63,9,FALSE))/2.291)*10/(400/2.291)+'Soil results'!G93)&lt;16,"1 (L)",
IF(((H90*Calc!BM88/2.291-(VLOOKUP(Calc!BI88,'Fertiliser recommendations'!$A$4:$I$63,9,FALSE))/2.291)*10/(400/2.291)+'Soil results'!G93)&lt;21,"2 (M-)",
IF(((H90*Calc!BM88/2.291-(VLOOKUP(Calc!BI88,'Fertiliser recommendations'!$A$4:$I$63,9,FALSE))/2.291)*10/(400/2.291)+'Soil results'!G93)&lt;26,"2 (M+)",
IF(((H90*Calc!BM88/2.291-(VLOOKUP(Calc!BI88,'Fertiliser recommendations'!$A$4:$I$63,9,FALSE))/2.291)*10/(400/2.291)+'Soil results'!G93)&lt;45,"3 (H)","&gt;3 (VH)"))))),
IF('Soil results'!G$7="modified Morgan (SAC)",
IF('Soil results'!G93&gt;=6,
IF(((H90*Calc!BM88/2.291-(VLOOKUP(Calc!BI88,'Fertiliser recommendations'!$A$4:$I$63,9,FALSE))/2.291)*5/(147/2.291)+'Soil results'!G93)&lt;9.5,"2 (M-)",
IF(((H90*Calc!BM88/2.291-(VLOOKUP(Calc!BI88,'Fertiliser recommendations'!$A$4:$I$63,9,FALSE))/2.291)*5/(147/2.291)+'Soil results'!G93)&lt;13.5,"2 (M+)",
IF(((H90*Calc!BM88/2.291-(VLOOKUP(Calc!BI88,'Fertiliser recommendations'!$A$4:$I$63,9,FALSE))/2.291)*5/(147/2.291)+'Soil results'!G93)&lt;30,"3 (H)","4 (VH)"))),
IF(((H90*Calc!BM88/2.291-(VLOOKUP(Calc!BI88,'Fertiliser recommendations'!$A$4:$I$63,9,FALSE))/2.291)*5/(346/2.291)+'Soil results'!G93)&lt;1.8,"0 (VL)",
IF(((H90*Calc!BM88/2.291-(VLOOKUP(Calc!BI88,'Fertiliser recommendations'!$A$4:$I$63,9,FALSE))/2.291)*5/(147/2.291)+'Soil results'!G93)&lt;4.5,"1 (L)","2 (M-)"))))))</f>
        <v/>
      </c>
      <c r="M90" s="9" t="str">
        <f ca="1">IF(B90="","",
IF(OR(H90="data missing",I90="data missing",J90="data missing"),"data missing",
IF(Calc!BF88=0,"n/a",
IF(OR(AND('Soil results'!G$7="Olsen (ADAS)",'Soil results'!G93&gt;45),AND('Soil results'!G$7="modified Morgan (SAC)",'Soil results'!G93&gt;30)),
IF(H90&gt;2,"too high, not acceptable","no requirement"),IF(OR(AND('Soil results'!G$7="Olsen (ADAS)",'Soil results'!G93&gt;25),AND('Soil results'!G$7="modified Morgan (SAC)",'Soil results'!G93&gt;13.4)),
IF(H90*(I90/100)&lt;0.1*J90,"no benefit",
IF(H90*(I90/100)&lt;0.3*J90,"limited benefit",
IF(H90*(I90/100)&lt;1.1*J90,"benefit",
IF(H90*(I90/100)&lt;0.7*VLOOKUP(Calc!BI88,'Fertiliser recommendations'!$A$4:$I$63,9,FALSE),"excessive","too high, not acceptable")))),
IF(OR(AND('Soil results'!G$7="Olsen (ADAS)",'Soil results'!G93&gt;20),AND('Soil results'!G$7="modified Morgan (SAC)",'Soil results'!G93&gt;9.4)),
IF(H90*Calc!BM88*(I90/100)&lt;0.1*J90,"no benefit",
IF(H90*Calc!BM88*(I90/100)&lt;0.3*J90,"limited benefit",
IF(H90*Calc!BM88*(I90/100)&lt;1.1*J90,"benefit",
IF(L90="3 (H)","too high, not acceptable","excessive")))),
IF(OR(AND('Soil results'!G$7="Olsen (ADAS)",'Soil results'!G93&gt;15),AND('Soil results'!G$7="modified Morgan (SAC)",'Soil results'!G93&gt;4.4)),
IF(H90*Calc!BM88*(I90/100)&lt;0.1*VLOOKUP(Calc!BI88,'Fertiliser recommendations'!$A$4:$I$63,9,FALSE),"no benefit",
IF(H90*Calc!BM88*(I90/100)&lt;0.3*VLOOKUP(Calc!BI88,'Fertiliser recommendations'!$A$4:$I$63,9,FALSE),"limited benefit",
IF(H90*Calc!BM88*(I90/100)&lt;1.1*VLOOKUP(Calc!BI88,'Fertiliser recommendations'!$A$4:$I$63,9,FALSE),"benefit",
IF(L90="3 (H)", "too high, not acceptable", "excessive")))),
IF(OR(AND('Soil results'!G$7="Olsen (ADAS)",'Soil results'!G93&lt;=15),AND('Soil results'!G$7="modified Morgan (SAC)",'Soil results'!G93&lt;=4.4)),
IF(H90*Calc!BM88*(I90/100)&lt;0.1*VLOOKUP(Calc!BI88,'Fertiliser recommendations'!$A$4:$I$63,9,FALSE),"no benefit",
IF(H90*Calc!BM88*(I90/100)&lt;0.3*VLOOKUP(Calc!BI88,'Fertiliser recommendations'!$A$4:$I$63,9,FALSE),"limited benefit",
IF(H90*Calc!BM88*(I90/100)&lt;1.1*J90,"benefit","excessive")))))))))))</f>
        <v/>
      </c>
      <c r="O90" s="91" t="str">
        <f ca="1">IF(B90="","",
IF(AND('Field information 2'!$O$5="", 'Field information 2'!$Q$5=""),
   IF('Waste results'!$S$19&lt;&gt;"data missing", Calc!BC88*'Waste results'!$S$19, "data missing"),
IF('Field information 2'!$Q$5="",
   IF(Calc!BD88=0,
     IF('Waste results'!$S$19&lt;&gt;"data missing", Calc!BC88*'Waste results'!$S$19, "data missing"),
   IF(Calc!BC88=0,
     IF('Waste results'!$S$55&lt;&gt;"data missing", Calc!BD88*'Waste results'!$S$55, "data missing"),
   IF(OR('Waste results'!$S$19&lt;&gt;"data missing", 'Waste results'!$S$55&lt;&gt;"data missing"), Calc!BC88*'Waste results'!$S$19+ Calc!BD88*'Waste results'!$S$55, "data missing"))),
IF(AND('Field information 2'!$M$5&lt;&gt;"", 'Field information 2'!$O$5&lt;&gt;"", 'Field information 2'!$Q$5&lt;&gt;""),
   IF(AND(Calc!BD88=0,Calc!BE88=0),
     IF('Waste results'!$S$19&lt;&gt;"data missing", Calc!BC88*'Waste results'!$S$19, "data missing"),
   IF(AND(Calc!BC88=0,Calc!BE88=0),
     IF('Waste results'!$S$55&lt;&gt;"data missing", Calc!BD88*'Waste results'!$S$55, "data missing"),
   IF(AND(Calc!BC88=0,Calc!BD88=0),
     IF('Waste results'!$S$91&lt;&gt;"data missing", Calc!BE88*'Waste results'!$S$91, "data missing"),
   IF(Calc!BE88=0,
     IF(OR('Waste results'!$S$19&lt;&gt;"data missing", 'Waste results'!$S$55&lt;&gt;"data missing"), Calc!BC88*'Waste results'!$S$19+ Calc!BD88*'Waste results'!$S$55, "data missing"),
   IF(Calc!BD88=0,
     IF(OR('Waste results'!$S$19&lt;&gt;"data missing", 'Waste results'!$S$91&lt;&gt;"data missing"), Calc!BC88*'Waste results'!$S$19+ Calc!BE88*'Waste results'!$S$91, "data missing"),
   IF(Calc!BC88=0,
     IF(OR('Waste results'!$S$55&lt;&gt;"data missing", 'Waste results'!$S$91&lt;&gt;"data missing"), Calc!BD88*'Waste results'!$S$55+Calc!BE88*'Waste results'!$S$91, "data missing"),
   IF(OR('Waste results'!$S$19&lt;&gt;"data missing", 'Waste results'!$S$55&lt;&gt;"data missing", 'Waste results'!$S$91&lt;&gt;"data missing"), Calc!BC88*'Waste results'!$S$19+Calc!BD88*'Waste results'!$S$55+ Calc!BE88*'Waste results'!$S$91, "data missing")))))))))))</f>
        <v/>
      </c>
      <c r="P90" s="91" t="str">
        <f ca="1">IF(B90="","",
IF(OR(ISBLANK('Soil results'!H$7),ISBLANK('Soil results'!H93)),"data missing",
IF(OR(AND('Soil results'!H$7="ammonium nitrate (ADAS)",'Soil results'!H93&gt;400),AND('Soil results'!H$7="modified Morgan (SAC)",'Soil results'!H93&gt;400)),0,
IF(OR(AND('Soil results'!H$7="ammonium nitrate (ADAS)",'Soil results'!H93&gt;=121,'Soil results'!H93&lt;=180),AND('Soil results'!H$7="modified Morgan (SAC)",'Soil results'!H93&gt;=76,'Soil results'!H93&lt;=140)),VLOOKUP(Calc!BI88,'Fertiliser recommendations'!$A$4:$Z$63,26,FALSE),
IF(OR(AND('Soil results'!H$7="ammonium nitrate (ADAS)",'Soil results'!H93&lt;61),AND('Soil results'!H$7="modified Morgan (SAC)",'Soil results'!H93&lt;40)),VLOOKUP(Calc!BI88,'Fertiliser recommendations'!$A$4:$Z$63,26,FALSE)+VLOOKUP(Calc!BI88,'Fertiliser recommendations'!$A$4:$AA$63,27,FALSE),
IF(OR(AND('Soil results'!H$7="ammonium nitrate (ADAS)",'Soil results'!H93&lt;121),AND('Soil results'!H$7="modified Morgan (SAC)",'Soil results'!H93&lt;76)),VLOOKUP(Calc!BI88,'Fertiliser recommendations'!$A$4:$Z$63,26,FALSE)+VLOOKUP(Calc!BI88,'Fertiliser recommendations'!$A$4:$AB$63,28,FALSE),
IF(OR(AND('Soil results'!H$7="ammonium nitrate (ADAS)",'Soil results'!H93&lt;241),AND('Soil results'!H$7="modified Morgan (SAC)",'Soil results'!H93&lt;201)),VLOOKUP(Calc!BI88,'Fertiliser recommendations'!$A$4:$Z$63,26,FALSE)+VLOOKUP(Calc!BI88,'Fertiliser recommendations'!$A$4:$AC$63,29,FALSE),
IF(OR(AND('Soil results'!H$7="ammonium nitrate (ADAS)",'Soil results'!H93&lt;=400),AND('Soil results'!H$7="modified Morgan (SAC)",'Soil results'!H93&lt;=400)),VLOOKUP(Calc!BI88,'Fertiliser recommendations'!$A$4:$Z$63,26,FALSE)+VLOOKUP(Calc!BI88,'Fertiliser recommendations'!$A$4:$AD$63,30,FALSE),
"??"))))))))</f>
        <v/>
      </c>
      <c r="Q90" s="91" t="str">
        <f t="shared" ca="1" si="19"/>
        <v/>
      </c>
      <c r="R90" s="9" t="str">
        <f ca="1">IF(B90="","",
IF(OR(O90="data missing",P90="data missing"),"data missing",
IF(Calc!BF88=0,"n/a",
IF(P90=0, "no requirement",
IF(O90&lt;0.1*P90,"no benefit",
IF(O90&lt;0.3*P90,"limited benefit",
IF(O90&gt;1.25*P90,"excessive",
"benefit")))))))</f>
        <v/>
      </c>
      <c r="T90" s="91" t="str">
        <f ca="1">IF(B90="","",
IF(AND('Field information 2'!$O$5="", 'Field information 2'!$Q$5=""),
   IF('Waste results'!$S$21&lt;&gt;"data missing", Calc!BC88*'Waste results'!$S$21, "data missing"),
IF('Field information 2'!$Q$5="",
   IF(Calc!BD88=0,
     IF('Waste results'!$S$21&lt;&gt;"data missing", Calc!BC88*'Waste results'!$S$21, "data missing"),
   IF(Calc!BC88=0,
     IF('Waste results'!$S$57&lt;&gt;"data missing", Calc!BD88*'Waste results'!$S$57, "data missing"),
   IF(OR('Waste results'!$S$21&lt;&gt;"data missing", 'Waste results'!$S$57&lt;&gt;"data missing"), Calc!BC88*'Waste results'!$S$21+ Calc!BD88*'Waste results'!$S$57, "data missing"))),
IF(AND('Field information 2'!$M$5&lt;&gt;"", 'Field information 2'!$O$5&lt;&gt;"", 'Field information 2'!$Q$5&lt;&gt;""),
   IF(AND(Calc!BD88=0,Calc!BE88=0),
     IF('Waste results'!$S$21&lt;&gt;"data missing", Calc!BC88*'Waste results'!$S$21, "data missing"),
   IF(AND(Calc!BC88=0,Calc!BE88=0),
     IF('Waste results'!$S$57&lt;&gt;"data missing", Calc!BD88*'Waste results'!$S$57, "data missing"),
   IF(AND(Calc!BC88=0,Calc!BD88=0),
     IF('Waste results'!$S$93&lt;&gt;"data missing", Calc!BE88*'Waste results'!$S$93, "data missing"),
   IF(Calc!BE88=0,
     IF(OR('Waste results'!$S$21&lt;&gt;"data missing", 'Waste results'!$S$57&lt;&gt;"data missing"), Calc!BC88*'Waste results'!$S$21+ Calc!BD88*'Waste results'!$S$57, "data missing"),
   IF(Calc!BD88=0,
     IF(OR('Waste results'!$S$21&lt;&gt;"data missing", 'Waste results'!$S$93&lt;&gt;"data missing"), Calc!BC88*'Waste results'!$S$21+ Calc!BE88*'Waste results'!$S$93, "data missing"),
   IF(Calc!BC88=0,
     IF(OR('Waste results'!$S$57&lt;&gt;"data missing", 'Waste results'!$S$93&lt;&gt;"data missing"), Calc!BD88*'Waste results'!$S$57+Calc!BE88*'Waste results'!$S$93, "data missing"),
   IF(OR('Waste results'!$S$21&lt;&gt;"data missing", 'Waste results'!$S$57&lt;&gt;"data missing", 'Waste results'!$S$93&lt;&gt;"data missing"), Calc!BC88*'Waste results'!$S$21+Calc!BD88*'Waste results'!$S$57+ Calc!BE88*'Waste results'!$S$93, "data missing")))))))))))</f>
        <v/>
      </c>
      <c r="U90" s="7" t="str">
        <f ca="1">IF(B90="","",
IF(OR(ISBLANK('Soil results'!I$7),ISBLANK('Soil results'!I93)),"data missing",
IF(OR(AND('Soil results'!I$7="ammonium nitrate (ADAS)",'Soil results'!I93&gt;51),AND('Soil results'!I$7="modified Morgan (SAC)",'Soil results'!I93&gt;61)),0,
IF(OR(AND('Soil results'!I$7="ammonium nitrate (ADAS)",'Soil results'!I93&lt;25),AND('Soil results'!I$7="modified Morgan (SAC)",'Soil results'!I93&lt;19)),VLOOKUP(Calc!BI88,'Fertiliser recommendations'!$A$4:$AH$63,34,FALSE),
IF(OR(AND('Soil results'!I$7="ammonium nitrate (ADAS)",'Soil results'!I93&lt;=51),AND('Soil results'!I$7="modified Morgan (SAC)",'Soil results'!I93&lt;=61)),VLOOKUP(Calc!BI88,'Fertiliser recommendations'!$A$4:$AI$63,35,FALSE),
"")))))</f>
        <v/>
      </c>
      <c r="V90" s="91" t="str">
        <f t="shared" ca="1" si="20"/>
        <v/>
      </c>
      <c r="W90" s="9" t="str">
        <f ca="1">IF(B90="","",
IF(OR(T90="data missing",U90="data missing"),"data missing",
IF(Calc!BF88=0,"n/a",
IF(U90=0,"no requirement",
IF(T90&lt;0.1*U90,"no benefit",
IF(T90&lt;0.3*U90,"limited benefit",
IF(OR(T90&gt;1.5*U90,AND(Calc!BJ88="g",T90&gt;100)),"excessive",
"benefit")))))))</f>
        <v/>
      </c>
      <c r="Y90" s="91" t="str">
        <f ca="1">IF(B90="","",
IF(AND('Field information 2'!$O$5="", 'Field information 2'!$Q$5=""),
   IF('Waste results'!$P$23&lt;&gt;"", Calc!BC88*'Waste results'!$P$23, "no data"),
IF('Field information 2'!$Q$5="",
   IF(Calc!BD88=0,
     IF('Waste results'!$P$23&lt;&gt;"", Calc!BC88*'Waste results'!$P$23, "no data"),
   IF(Calc!BC88=0,
     IF('Waste results'!$P$59&lt;&gt;"", Calc!BD88*'Waste results'!$P$59, "no data"),
   IF(OR('Waste results'!$P$23&lt;&gt;"", 'Waste results'!$P$59&lt;&gt;""), Calc!BC88*'Waste results'!$P$23+ Calc!BD88*'Waste results'!$P$59, "no data"))),
IF(AND('Field information 2'!$M$5&lt;&gt;"", 'Field information 2'!$O$5&lt;&gt;"", 'Field information 2'!$Q$5&lt;&gt;""),
   IF(AND(Calc!BD88=0,Calc!BE88=0),
     IF('Waste results'!$P$23&lt;&gt;"", Calc!BC88*'Waste results'!$P$23, "no data"),
   IF(AND(Calc!BC88=0,Calc!BE88=0),
     IF('Waste results'!$P$59&lt;&gt;"", Calc!BD88*'Waste results'!$P$59, "no data"),
   IF(AND(Calc!BC88=0,Calc!BD88=0),
     IF('Waste results'!$P$95&lt;&gt;"", Calc!BE88*'Waste results'!$P$95, "no data"),
   IF(Calc!BE88=0,
     IF(OR('Waste results'!$P$23&lt;&gt;"", 'Waste results'!$P$59&lt;&gt;""), Calc!BC88*'Waste results'!$P$23+ Calc!BD88*'Waste results'!$P$59, "no data"),
   IF(Calc!BD88=0,
     IF(OR('Waste results'!$P$23&lt;&gt;"", 'Waste results'!$P$95&lt;&gt;""), Calc!BC88*'Waste results'!$P$23+ Calc!BE88*'Waste results'!$P$95, "no data"),
   IF(Calc!BC88=0,
     IF(OR('Waste results'!$P$59&lt;&gt;"", 'Waste results'!$P$95&lt;&gt;""), Calc!BD88*'Waste results'!$P$59+Calc!BE88*'Waste results'!$P$95, "no data"),
   IF(OR('Waste results'!$P$23&lt;&gt;"", 'Waste results'!$P$59&lt;&gt;"", 'Waste results'!$P$95&lt;&gt;""), Calc!BC88*'Waste results'!$P$23+Calc!BD88*'Waste results'!$P$59+ Calc!BE88*'Waste results'!$P$95, "no data")))))))))))</f>
        <v/>
      </c>
      <c r="Z90" s="7" t="str">
        <f ca="1">IF(OR(ISBLANK('Soil results'!I$7),ISBLANK('Soil results'!I93),'Soil results'!B93=""),"",
VLOOKUP(Calc!BI88,'Fertiliser recommendations'!$A$4:$AM$63,39,FALSE))</f>
        <v/>
      </c>
      <c r="AA90" s="91" t="str">
        <f t="shared" ca="1" si="21"/>
        <v/>
      </c>
      <c r="AB90" s="9" t="str">
        <f t="shared" ca="1" si="22"/>
        <v/>
      </c>
      <c r="AD90" s="48" t="str">
        <f>IF(ISBLANK('Soil results'!F93),"",'Soil results'!F93)</f>
        <v/>
      </c>
      <c r="AE90" s="49" t="str">
        <f ca="1">IF(B90="","",
IF(AND(Calc!BJ88="g", VLOOKUP(LEFT($B90,LEN($B90)-2),'Field information 2'!$B$12:$P$111,9,FALSE)&lt;&gt;"yes"),
 IF(Calc!BG88="10-25% OM", 5.9, IF(Calc!BG88="&gt;25% OM", 5.5, 6.2)),
IF(OR(Calc!BJ88="a", VLOOKUP(LEFT($B90,LEN($B90)-2),'Field information 2'!$B$12:$P$111,9,FALSE)="yes"),
 IF(Calc!BG88="10-25% OM", 6.4, IF(Calc!BG88="&gt;25% OM", 6, 6.7)), "")))</f>
        <v/>
      </c>
      <c r="AF90" s="91" t="str">
        <f ca="1">IF(B90="","",
IF('Waste results'!$Q$33="","no (significant) liming properties",
IF('Waste results'!Q$33&gt;100,"no (significant) liming properties",
IF(AD90="","",
IF(AD90&gt;=AE90,0,ROUNDDOWN((AE90-AD90)*Calc!BK88*'Waste results'!$Q$33+0.2,0))))))</f>
        <v/>
      </c>
      <c r="AG90" s="9" t="str">
        <f ca="1">IF(B90="","",
IF(T90=0,"n/a",
IF(AD90="","data missing",
IF(AND(AD90&lt;5,AF90="no (significant) liming properties"),"no waste application - pH too low",
IF(AND(AD90&gt;5.1,AF90="no (significant) liming properties",Calc!BH88&gt;25, LEFT(Calc!BI88,4)="graz"),"ok",
IF(AND(AD90&lt;=5.2,AF90="no (significant) liming properties"),"liming highly recommended",
IF(AF90=0,"no waste application - liming not required",
IF(AF90&lt;Calc!BC88,"application rate too high - exceeds liming requirement",
"ok"))))))))</f>
        <v/>
      </c>
      <c r="AI90" s="91" t="str">
        <f ca="1">IF(B90="","",
IF(AND('Field information 2'!$O$5="", 'Field information 2'!$Q$5=""),
   IF('Waste results'!$P$10&lt;&gt;"data missing", Calc!BC88*'Waste results'!$P$10, "data missing"),
IF('Field information 2'!$Q$5="",
   IF(Calc!BD88=0,
     IF('Waste results'!$P$10&lt;&gt;"data missing", Calc!BC88*'Waste results'!$P$10, "data missing"),
   IF(Calc!BC88=0,
     IF('Waste results'!$P$45&lt;&gt;"data missing", Calc!BD88*'Waste results'!$P$45, "data missing"),
   IF(OR('Waste results'!$P$10&lt;&gt;"data missing", 'Waste results'!$P$45&lt;&gt;"data missing"), Calc!BC88*'Waste results'!$P$10+ Calc!BD88*'Waste results'!$P$45, "data missing"))),
IF(AND('Field information 2'!$M$5&lt;&gt;"", 'Field information 2'!$O$5&lt;&gt;"", 'Field information 2'!$Q$5&lt;&gt;""),
   IF(AND(Calc!BD88=0,Calc!BE88=0),
     IF('Waste results'!$P$10&lt;&gt;"data missing", Calc!BC88*'Waste results'!$P$10, "data missing"),
   IF(AND(Calc!BC88=0,Calc!BE88=0),
     IF('Waste results'!$P$45&lt;&gt;"data missing", Calc!BD88*'Waste results'!$P$45, "data missing"),
   IF(AND(Calc!BC88=0,Calc!BD88=0),
     IF('Waste results'!$P$82&lt;&gt;"data missing", Calc!BE88*'Waste results'!$P$82, "data missing"),
   IF(Calc!BE88=0,
     IF(OR('Waste results'!$P$10&lt;&gt;"data missing", 'Waste results'!$P$45&lt;&gt;"data missing"), Calc!BC88*'Waste results'!$P$10+ Calc!BD88*'Waste results'!$P$45, "data missing"),
   IF(Calc!BD88=0,
     IF(OR('Waste results'!$P$10&lt;&gt;"data missing", 'Waste results'!$P$82&lt;&gt;"data missing"), Calc!BC88*'Waste results'!$P$10+ Calc!BE88*'Waste results'!$P$82, "data missing"),
   IF(Calc!BC88=0,
     IF(OR('Waste results'!$P$45&lt;&gt;"data missing", 'Waste results'!$P$82&lt;&gt;"data missing"), Calc!BD88*'Waste results'!$P$45+Calc!BE88*'Waste results'!$P$82, "data missing"),
   IF(OR('Waste results'!$P$10&lt;&gt;"data missing", 'Waste results'!$P$45&lt;&gt;"data missing", 'Waste results'!$P$82&lt;&gt;"data missing"), Calc!BC88*'Waste results'!$P$10+Calc!BD88*'Waste results'!$P$45+ Calc!BE88*'Waste results'!$P$82, "data missing")))))))))))</f>
        <v/>
      </c>
      <c r="AJ90" s="237" t="str">
        <f ca="1">IF(B90="","",
IF(AI90="data missing","data missing",
IF(Calc!BF88=0,"n/a",
IF(AND(Calc!BH88&gt;=8,AI90&lt;500),"no benefit",
IF(OR(AND(Calc!BH88&lt;=4,AI90&gt;=500),AND(Calc!BH88&lt;8,AI90&gt;5000)),"benefit",
"limited benefit")))))</f>
        <v/>
      </c>
      <c r="AL90" s="238" t="str">
        <f ca="1">IF(B90="","",
IF(AND('Field information 2'!$O$5="", 'Field information 2'!$Q$5=""),
   IF('Waste results'!$S$25&lt;&gt;"data missing", Calc!BC88*'Waste results'!$S$25, "data missing"),
IF('Field information 2'!$Q$5="",
   IF(Calc!BD88=0,
     IF('Waste results'!$S$25&lt;&gt;"data missing", Calc!BC88*'Waste results'!$S$25, "data missing"),
   IF(Calc!BC88=0,
     IF('Waste results'!$S$61&lt;&gt;"data missing", Calc!BD88*'Waste results'!$S$61, "data missing"),
   IF(OR('Waste results'!$S$25&lt;&gt;"data missing", 'Waste results'!$S$61&lt;&gt;"data missing"), Calc!BC88*'Waste results'!$S$25+ Calc!BD88*'Waste results'!$S$61, "data missing"))),
IF(AND('Field information 2'!$M$5&lt;&gt;"", 'Field information 2'!$O$5&lt;&gt;"", 'Field information 2'!$Q$5&lt;&gt;""),
   IF(AND(Calc!BD88=0,Calc!BE88=0),
     IF('Waste results'!$S$25&lt;&gt;"data missing", Calc!BC88*'Waste results'!$S$25, "data missing"),
   IF(AND(Calc!BC88=0,Calc!BE88=0),
     IF('Waste results'!$S$61&lt;&gt;"data missing", Calc!BD88*'Waste results'!$S$61, "data missing"),
   IF(AND(Calc!BC88=0,Calc!BD88=0),
     IF('Waste results'!$S$97&lt;&gt;"data missing", Calc!BE88*'Waste results'!$S$97, "data missing"),
   IF(Calc!BE88=0,
     IF(OR('Waste results'!$S$25&lt;&gt;"data missing", 'Waste results'!$S$61&lt;&gt;"data missing"), Calc!BC88*'Waste results'!$S$25+ Calc!BD88*'Waste results'!$S$61, "data missing"),
   IF(Calc!BD88=0,
     IF(OR('Waste results'!$S$25&lt;&gt;"data missing", 'Waste results'!$S$97&lt;&gt;"data missing"), Calc!BC88*'Waste results'!$S$25+ Calc!BE88*'Waste results'!$S$97, "data missing"),
   IF(Calc!BC88=0,
     IF(OR('Waste results'!$S$61&lt;&gt;"data missing", 'Waste results'!$S$97&lt;&gt;"data missing"), Calc!BD88*'Waste results'!$S$61+Calc!BE88*'Waste results'!$S$97, "data missing"),
   IF(OR('Waste results'!$S$25&lt;&gt;"data missing", 'Waste results'!$S$61&lt;&gt;"data missing", 'Waste results'!$S$97&lt;&gt;"data missing"), Calc!BC88*'Waste results'!$S$25+Calc!BD88*'Waste results'!$S$61+ Calc!BE88*'Waste results'!$S$97, "data missing")))))))))))</f>
        <v/>
      </c>
      <c r="AM90" s="239" t="str">
        <f ca="1">IF($B90="","",
IF(ISBLANK('Soil results'!K93),"data missing",'Soil results'!K93))</f>
        <v/>
      </c>
      <c r="AN90" s="239" t="str">
        <f t="shared" ca="1" si="23"/>
        <v/>
      </c>
      <c r="AO90" s="9" t="str">
        <f t="shared" ca="1" si="24"/>
        <v/>
      </c>
      <c r="AQ90" s="240" t="str">
        <f ca="1">IF(B90="","",
IF(AND('Field information 2'!$O$5="", 'Field information 2'!$Q$5=""),
   IF('Waste results'!$S$26&lt;&gt;"data missing", Calc!BC88*'Waste results'!$S$26, "data missing"),
IF('Field information 2'!$Q$5="",
   IF(Calc!BD88=0,
     IF('Waste results'!$S$26&lt;&gt;"data missing", Calc!BC88*'Waste results'!$S$26, "data missing"),
   IF(Calc!BC88=0,
     IF('Waste results'!$S$62&lt;&gt;"data missing", Calc!BD88*'Waste results'!$S$62, "data missing"),
   IF(OR('Waste results'!$S$26&lt;&gt;"data missing", 'Waste results'!$S$62&lt;&gt;"data missing"), Calc!BC88*'Waste results'!$S$26+ Calc!BD88*'Waste results'!$S$62, "data missing"))),
IF(AND('Field information 2'!$M$5&lt;&gt;"", 'Field information 2'!$O$5&lt;&gt;"", 'Field information 2'!$Q$5&lt;&gt;""),
   IF(AND(Calc!BD88=0,Calc!BE88=0),
     IF('Waste results'!$S$26&lt;&gt;"data missing", Calc!BC88*'Waste results'!$S$26, "data missing"),
   IF(AND(Calc!BC88=0,Calc!BE88=0),
     IF('Waste results'!$S$62&lt;&gt;"data missing", Calc!BD88*'Waste results'!$S$62, "data missing"),
   IF(AND(Calc!BC88=0,Calc!BD88=0),
     IF('Waste results'!$S$98&lt;&gt;"data missing", Calc!BE88*'Waste results'!$S$98, "data missing"),
   IF(Calc!BE88=0,
     IF(OR('Waste results'!$S$26&lt;&gt;"data missing", 'Waste results'!$S$62&lt;&gt;"data missing"), Calc!BC88*'Waste results'!$S$26+ Calc!BD88*'Waste results'!$S$62, "data missing"),
   IF(Calc!BD88=0,
     IF(OR('Waste results'!$S$26&lt;&gt;"data missing", 'Waste results'!$S$98&lt;&gt;"data missing"), Calc!BC88*'Waste results'!$S$26+ Calc!BE88*'Waste results'!$S$98, "data missing"),
   IF(Calc!BC88=0,
     IF(OR('Waste results'!$S$62&lt;&gt;"data missing", 'Waste results'!$S$98&lt;&gt;"data missing"), Calc!BD88*'Waste results'!$S$62+Calc!BE88*'Waste results'!$S$98, "data missing"),
   IF(OR('Waste results'!$S$26&lt;&gt;"data missing", 'Waste results'!$S$62&lt;&gt;"data missing", 'Waste results'!$S$98&lt;&gt;"data missing"), Calc!BC88*'Waste results'!$S$26+Calc!BD88*'Waste results'!$S$62+ Calc!BE88*'Waste results'!$S$98, "data missing")))))))))))</f>
        <v/>
      </c>
      <c r="AR90" s="241" t="str">
        <f ca="1">IF($B90="","",
IF(ISBLANK('Soil results'!L93),"data missing",'Soil results'!L93))</f>
        <v/>
      </c>
      <c r="AS90" s="241" t="str">
        <f t="shared" ca="1" si="25"/>
        <v/>
      </c>
      <c r="AT90" s="66" t="str">
        <f t="shared" ca="1" si="26"/>
        <v/>
      </c>
      <c r="AV90" s="238" t="str">
        <f ca="1">IF(B90="","",
IF(AND('Field information 2'!$O$5="", 'Field information 2'!$Q$5=""),
   IF('Waste results'!$S$27&lt;&gt;"data missing", Calc!BC88*'Waste results'!$S$27, "data missing"),
IF('Field information 2'!$Q$5="",
   IF(Calc!BD88=0,
     IF('Waste results'!$S$27&lt;&gt;"data missing", Calc!BC88*'Waste results'!$S$27, "data missing"),
   IF(Calc!BC88=0,
     IF('Waste results'!$S$63&lt;&gt;"data missing", Calc!BD88*'Waste results'!$S$63, "data missing"),
   IF(OR('Waste results'!$S$27&lt;&gt;"data missing", 'Waste results'!$S$63&lt;&gt;"data missing"), Calc!BC88*'Waste results'!$S$27+ Calc!BD88*'Waste results'!$S$63, "data missing"))),
IF(AND('Field information 2'!$M$5&lt;&gt;"", 'Field information 2'!$O$5&lt;&gt;"", 'Field information 2'!$Q$5&lt;&gt;""),
   IF(AND(Calc!BD88=0,Calc!BE88=0),
     IF('Waste results'!$S$27&lt;&gt;"data missing", Calc!BC88*'Waste results'!$S$27, "data missing"),
   IF(AND(Calc!BC88=0,Calc!BE88=0),
     IF('Waste results'!$S$63&lt;&gt;"data missing", Calc!BD88*'Waste results'!$S$63, "data missing"),
   IF(AND(Calc!BC88=0,Calc!BD88=0),
     IF('Waste results'!$S$99&lt;&gt;"data missing", Calc!BE88*'Waste results'!$S$99, "data missing"),
   IF(Calc!BE88=0,
     IF(OR('Waste results'!$S$27&lt;&gt;"data missing", 'Waste results'!$S$63&lt;&gt;"data missing"), Calc!BC88*'Waste results'!$S$27+ Calc!BD88*'Waste results'!$S$63, "data missing"),
   IF(Calc!BD88=0,
     IF(OR('Waste results'!$S$27&lt;&gt;"data missing", 'Waste results'!$S$99&lt;&gt;"data missing"), Calc!BC88*'Waste results'!$S$27+ Calc!BE88*'Waste results'!$S$99, "data missing"),
   IF(Calc!BC88=0,
     IF(OR('Waste results'!$S$63&lt;&gt;"data missing", 'Waste results'!$S$99&lt;&gt;"data missing"), Calc!BD88*'Waste results'!$S$63+Calc!BE88*'Waste results'!$S$99, "data missing"),
   IF(OR('Waste results'!$S$27&lt;&gt;"data missing", 'Waste results'!$S$63&lt;&gt;"data missing", 'Waste results'!$S$99&lt;&gt;"data missing"), Calc!BC88*'Waste results'!$S$27+Calc!BD88*'Waste results'!$S$63+ Calc!BE88*'Waste results'!$S$99, "data missing")))))))))))</f>
        <v/>
      </c>
      <c r="AW90" s="239" t="str">
        <f ca="1">IF($B90="","",
IF(ISBLANK('Soil results'!M93),"data missing",'Soil results'!M93))</f>
        <v/>
      </c>
      <c r="AX90" s="239" t="str">
        <f t="shared" ca="1" si="27"/>
        <v/>
      </c>
      <c r="AY90" s="9" t="str">
        <f ca="1">IF(B90="","",
IF(AV90=0,"n/a",
IF(OR(AV90="data missing",AW90="data missing"),"data missing",
IF(AV90&gt;7.5,"application rate too high - permissible rate exceeds limit",
IF('Soil results'!$F93&lt;=5.5,
  IF(AW90&gt;80,"no application - soil conc. already above limit",
  IF(AX90&gt;80,"application rate too high - soil conc. will exceed limit",
  IF(AW90&gt;80*0.9,"soil conc. is at or above 90% of the limit",
  IF(10*AV90*1000/3000+AW90&gt;80,"soil limit likely to be exceeded in 10yrs",
  IF(50*AV90*1000/3000+AW90&gt;80,"soil limit likely to be exceeded in 50yrs","ok"))))),
IF('Soil results'!$F93&lt;=6,
  IF(AW90&gt;100,"no application - soil conc. already above limit",
  IF(AX90&gt;100,"application rate too high - soil conc. will exceed limit",
  IF(AW90&gt;100*0.9,"soil conc. is at or above 90% of the limit",
  IF(10*AV90*1000/3000+AW90&gt;100,"soil limit likely to be exceeded in 10yrs",
  IF(50*AV90*1000/3000+AW90&gt;100,"soil limit likely to be exceeded in 50yrs","ok"))))),
IF('Soil results'!$F93&lt;=7,
  IF(AW90&gt;135,"no application - soil conc. already above limit",
  IF(AX90&gt;135,"application rate too high - soil conc. will exceed limit",
  IF(AW90&gt;135*0.9,"soil conc. is at or above 90% of the limit",
  IF(10*AV90*1000/3000+AW90&gt;135,"soil limit likely to be exceeded in 10yrs",
  IF(50*AV90*1000/3000+AW90&gt;135,"soil limit likely to be exceeded in 50yrs","ok"))))),
IF('Soil results'!$F93&gt;7,
  IF(AW90&gt;200,"no application - soil conc. already above limit",
  IF(AX90&gt;200,"application too high - soil conc. will exceed limit",
  IF(AW90&gt;200*0.9,"soil conc. is at or above 90% of the limit",
  IF(10*AV90*1000/3000+AW90&gt;200,"soil limit likely to be exceeded in 10yrs",
  IF(50*AV90*1000/3000+AW90&gt;200,"soil limit likely to be exceeded in 50yrs","ok")))))
))))))))</f>
        <v/>
      </c>
      <c r="BA90" s="238" t="str">
        <f ca="1">IF(B90="","",
IF(AND('Field information 2'!$O$5="", 'Field information 2'!$Q$5=""),
   IF('Waste results'!$S$28&lt;&gt;"data missing", Calc!BC88*'Waste results'!$S$28, "data missing"),
IF('Field information 2'!$Q$5="",
   IF(Calc!BD88=0,
     IF('Waste results'!$S$28&lt;&gt;"data missing", Calc!BC88*'Waste results'!$S$28, "data missing"),
   IF(Calc!BC88=0,
     IF('Waste results'!$S$64&lt;&gt;"data missing", Calc!BD88*'Waste results'!$S$64, "data missing"),
   IF(OR('Waste results'!$S$28&lt;&gt;"data missing", 'Waste results'!$S$64&lt;&gt;"data missing"), Calc!BC88*'Waste results'!$S$28+ Calc!BD88*'Waste results'!$S$64, "data missing"))),
IF(AND('Field information 2'!$M$5&lt;&gt;"", 'Field information 2'!$O$5&lt;&gt;"", 'Field information 2'!$Q$5&lt;&gt;""),
   IF(AND(Calc!BD88=0,Calc!BE88=0),
     IF('Waste results'!$S$28&lt;&gt;"data missing", Calc!BC88*'Waste results'!$S$28, "data missing"),
   IF(AND(Calc!BC88=0,Calc!BE88=0),
     IF('Waste results'!$S$64&lt;&gt;"data missing", Calc!BD88*'Waste results'!$S$64, "data missing"),
   IF(AND(Calc!BC88=0,Calc!BD88=0),
     IF('Waste results'!$S$100&lt;&gt;"data missing", Calc!BE88*'Waste results'!$S$100, "data missing"),
   IF(Calc!BE88=0,
     IF(OR('Waste results'!$S$28&lt;&gt;"data missing", 'Waste results'!$S$64&lt;&gt;"data missing"), Calc!BC88*'Waste results'!$S$28+ Calc!BD88*'Waste results'!$S$64, "data missing"),
   IF(Calc!BD88=0,
     IF(OR('Waste results'!$S$28&lt;&gt;"data missing", 'Waste results'!$S$100&lt;&gt;"data missing"), Calc!BC88*'Waste results'!$S$28+ Calc!BE88*'Waste results'!$S$100, "data missing"),
   IF(Calc!BC88=0,
     IF(OR('Waste results'!$S$64&lt;&gt;"data missing", 'Waste results'!$S$100&lt;&gt;"data missing"), Calc!BD88*'Waste results'!$S$64+Calc!BE88*'Waste results'!$S$100, "data missing"),
   IF(OR('Waste results'!$S$28&lt;&gt;"data missing", 'Waste results'!$S$64&lt;&gt;"data missing", 'Waste results'!$S$100&lt;&gt;"data missing"), Calc!BC88*'Waste results'!$S$28+Calc!BD88*'Waste results'!$S$64+ Calc!BE88*'Waste results'!$S$100, "data missing")))))))))))</f>
        <v/>
      </c>
      <c r="BB90" s="239" t="str">
        <f ca="1">IF($B90="","",
IF(ISBLANK('Soil results'!N93),"data missing",'Soil results'!N93))</f>
        <v/>
      </c>
      <c r="BC90" s="239" t="str">
        <f t="shared" ca="1" si="28"/>
        <v/>
      </c>
      <c r="BD90" s="9" t="str">
        <f t="shared" ca="1" si="29"/>
        <v/>
      </c>
      <c r="BF90" s="238" t="str">
        <f ca="1">IF(B90="","",
IF(AND('Field information 2'!$O$5="", 'Field information 2'!$Q$5=""),
   IF('Waste results'!$S$29&lt;&gt;"data missing", Calc!BC88*'Waste results'!$S$29, "data missing"),
IF('Field information 2'!$Q$5="",
   IF(Calc!BD88=0,
     IF('Waste results'!$S$29&lt;&gt;"data missing", Calc!BC88*'Waste results'!$S$29, "data missing"),
   IF(Calc!BC88=0,
     IF('Waste results'!$S$65&lt;&gt;"data missing", Calc!BD88*'Waste results'!$S$65, "data missing"),
   IF(OR('Waste results'!$S$29&lt;&gt;"data missing", 'Waste results'!$S$65&lt;&gt;"data missing"), Calc!BC88*'Waste results'!$S$29+ Calc!BD88*'Waste results'!$S$65, "data missing"))),
IF(AND('Field information 2'!$M$5&lt;&gt;"", 'Field information 2'!$O$5&lt;&gt;"", 'Field information 2'!$Q$5&lt;&gt;""),
   IF(AND(Calc!BD88=0,Calc!BE88=0),
     IF('Waste results'!$S$29&lt;&gt;"data missing", Calc!BC88*'Waste results'!$S$29, "data missing"),
   IF(AND(Calc!BC88=0,Calc!BE88=0),
     IF('Waste results'!$S$65&lt;&gt;"data missing", Calc!BD88*'Waste results'!$S$65, "data missing"),
   IF(AND(Calc!BC88=0,Calc!BD88=0),
     IF('Waste results'!$S$101&lt;&gt;"data missing", Calc!BE88*'Waste results'!$S$101, "data missing"),
   IF(Calc!BE88=0,
     IF(OR('Waste results'!$S$29&lt;&gt;"data missing", 'Waste results'!$S$65&lt;&gt;"data missing"), Calc!BC88*'Waste results'!$S$29+ Calc!BD88*'Waste results'!$S$65, "data missing"),
   IF(Calc!BD88=0,
     IF(OR('Waste results'!$S$29&lt;&gt;"data missing", 'Waste results'!$S$101&lt;&gt;"data missing"), Calc!BC88*'Waste results'!$S$29+ Calc!BE88*'Waste results'!$S$101, "data missing"),
   IF(Calc!BC88=0,
     IF(OR('Waste results'!$S$65&lt;&gt;"data missing", 'Waste results'!$S$101&lt;&gt;"data missing"), Calc!BD88*'Waste results'!$S$65+Calc!BE88*'Waste results'!$S$101, "data missing"),
   IF(OR('Waste results'!$S$29&lt;&gt;"data missing", 'Waste results'!$S$65&lt;&gt;"data missing", 'Waste results'!$S$101&lt;&gt;"data missing"), Calc!BC88*'Waste results'!$S$29+Calc!BD88*'Waste results'!$S$65+ Calc!BE88*'Waste results'!$S$101, "data missing")))))))))))</f>
        <v/>
      </c>
      <c r="BG90" s="239" t="str">
        <f ca="1">IF($B90="","",
IF(ISBLANK('Soil results'!O93),"data missing",'Soil results'!O93))</f>
        <v/>
      </c>
      <c r="BH90" s="239" t="str">
        <f t="shared" ca="1" si="30"/>
        <v/>
      </c>
      <c r="BI90" s="9" t="str">
        <f ca="1">IF(B90="","",
IF(BF90=0,"n/a",
IF(OR(BF90="data missing",BG90="data missing"),"data missing",
IF(BF90&gt;3,"application rate too high - permissible rate exceeds limit",
IF('Soil results'!F93&lt;=5.5,
  IF(BG90&gt;50,"no application - soil conc. already above limit",
  IF(BH90&gt;50,"application rate too high - soil conc. will exceed limit",
  IF(BG90&gt;50*0.9,"soil conc. is at or above 90% of the limit",
  IF(10*BF90*1000/3000+BG90&gt;50,"soil limit likely to be exceeded in 10yrs",
  IF(50*BF90*1000/3000+BG90&gt;50,"soil limit likely to be exceeded in 50yrs","ok"))))),
IF('Soil results'!F93&lt;=6,
  IF(BG90&gt;60,"no application - soil conc. already above limit",
  IF(BH90&gt;60,"application rate too high - soil conc. will exceed limit",
  IF(BG90&gt;60*0.9,"soil conc. is at or above 90% of the limit",
  IF(10*BF90*1000/3000+BG90&gt;60,"soil limit likely to be exceeded in 10yrs",
  IF(50*BF90*1000/3000+BG90&gt;60,"soil limit likely to be exceeded in 50yrs","ok"))))),
IF('Soil results'!F93&lt;=7,
  IF(BG90&gt;75,"no application - soil conc. already above limit",
  IF(BH90&gt;75,"application rate too high - soil conc. will exceed limit",
  IF(BG90&gt;75*0.9,"soil conc. is at or above 90% of the limit",
  IF(10*BF90*1000/3000+BG90&gt;75,"soil limit likely to be exceeded in 10yrs",
  IF(50*BF90*1000/3000+BG90&gt;75,"soil limit likely to be exceeded in 50yrs","ok"))))),
IF('Soil results'!F93&gt;7,
  IF(BG90&gt;100,"no application - soil conc. already above limit",
  IF(BH90&gt;100,"application rate too high - soil conc. will exceed limit",
  IF(BG90&gt;100*0.9,"soil conc. is at or above 90% of the limit",
  IF(10*BF90*1000/3000+BG90&gt;100,"soil limit likely to be exceeded in 10yrs",
  IF(50*BF90*1000/3000+BG90&gt;100,"soil limit likely to beexceeded in 50yrs","ok")))))
))))))))</f>
        <v/>
      </c>
      <c r="BK90" s="240" t="str">
        <f ca="1">IF(B90="","",
IF(AND('Field information 2'!$O$5="", 'Field information 2'!$Q$5=""),
   IF('Waste results'!$S$30&lt;&gt;"data missing", Calc!BC88*'Waste results'!$S$30, "data missing"),
IF('Field information 2'!$Q$5="",
   IF(Calc!BD88=0,
     IF('Waste results'!$S$30&lt;&gt;"data missing", Calc!BC88*'Waste results'!$S$30, "data missing"),
   IF(Calc!BC88=0,
     IF('Waste results'!$S$66&lt;&gt;"data missing", Calc!BD88*'Waste results'!$S$66, "data missing"),
   IF(OR('Waste results'!$S$30&lt;&gt;"data missing", 'Waste results'!$S$66&lt;&gt;"data missing"), Calc!BC88*'Waste results'!$S$30+ Calc!BD88*'Waste results'!$S$66, "data missing"))),
IF(AND('Field information 2'!$M$5&lt;&gt;"", 'Field information 2'!$O$5&lt;&gt;"", 'Field information 2'!$Q$5&lt;&gt;""),
   IF(AND(Calc!BD88=0,Calc!BE88=0),
     IF('Waste results'!$S$30&lt;&gt;"data missing", Calc!BC88*'Waste results'!$S$30, "data missing"),
   IF(AND(Calc!BC88=0,Calc!BE88=0),
     IF('Waste results'!$S$66&lt;&gt;"data missing", Calc!BD88*'Waste results'!$S$66, "data missing"),
   IF(AND(Calc!BC88=0,Calc!BD88=0),
     IF('Waste results'!$S$102&lt;&gt;"data missing", Calc!BE88*'Waste results'!$S$102, "data missing"),
   IF(Calc!BE88=0,
     IF(OR('Waste results'!$S$30&lt;&gt;"data missing", 'Waste results'!$S$66&lt;&gt;"data missing"), Calc!BC88*'Waste results'!$S$30+ Calc!BD88*'Waste results'!$S$66, "data missing"),
   IF(Calc!BD88=0,
     IF(OR('Waste results'!$S$30&lt;&gt;"data missing", 'Waste results'!$S$102&lt;&gt;"data missing"), Calc!BC88*'Waste results'!$S$30+ Calc!BE88*'Waste results'!$S$102, "data missing"),
   IF(Calc!BC88=0,
     IF(OR('Waste results'!$S$66&lt;&gt;"data missing", 'Waste results'!$S$102&lt;&gt;"data missing"), Calc!BD88*'Waste results'!$S$66+Calc!BE88*'Waste results'!$S$102, "data missing"),
   IF(OR('Waste results'!$S$30&lt;&gt;"data missing", 'Waste results'!$S$66&lt;&gt;"data missing", 'Waste results'!$S$102&lt;&gt;"data missing"), Calc!BC88*'Waste results'!$S$30+Calc!BD88*'Waste results'!$S$66+ Calc!BE88*'Waste results'!$S$102, "data missing")))))))))))</f>
        <v/>
      </c>
      <c r="BL90" s="241" t="str">
        <f ca="1">IF($B90="","",
IF(ISBLANK('Soil results'!P93),"data missing",'Soil results'!P93))</f>
        <v/>
      </c>
      <c r="BM90" s="241" t="str">
        <f t="shared" ca="1" si="31"/>
        <v/>
      </c>
      <c r="BN90" s="66" t="str">
        <f t="shared" ca="1" si="32"/>
        <v/>
      </c>
      <c r="BP90" s="238" t="str">
        <f ca="1">IF(B90="","",
IF(AND('Field information 2'!$O$5="", 'Field information 2'!$Q$5=""),
   IF('Waste results'!$S$31&lt;&gt;"data missing", Calc!BC88*'Waste results'!$S$31, "data missing"),
IF('Field information 2'!$Q$5="",
   IF(Calc!BD88=0,
     IF('Waste results'!$S$31&lt;&gt;"data missing", Calc!BC88*'Waste results'!$S$31, "data missing"),
   IF(Calc!BC88=0,
     IF('Waste results'!$S$67&lt;&gt;"data missing", Calc!BD88*'Waste results'!$S$67, "data missing"),
   IF(OR('Waste results'!$S$31&lt;&gt;"data missing", 'Waste results'!$S$67&lt;&gt;"data missing"), Calc!BC88*'Waste results'!$S$31+ Calc!BD88*'Waste results'!$S$67, "data missing"))),
IF(AND('Field information 2'!$M$5&lt;&gt;"", 'Field information 2'!$O$5&lt;&gt;"", 'Field information 2'!$Q$5&lt;&gt;""),
   IF(AND(Calc!BD88=0,Calc!BE88=0),
     IF('Waste results'!$S$31&lt;&gt;"data missing", Calc!BC88*'Waste results'!$S$31, "data missing"),
   IF(AND(Calc!BC88=0,Calc!BE88=0),
     IF('Waste results'!$S$67&lt;&gt;"data missing", Calc!BD88*'Waste results'!$S$67, "data missing"),
   IF(AND(Calc!BC88=0,Calc!BD88=0),
     IF('Waste results'!$S$103&lt;&gt;"data missing", Calc!BE88*'Waste results'!$S$103, "data missing"),
   IF(Calc!BE88=0,
     IF(OR('Waste results'!$S$31&lt;&gt;"data missing", 'Waste results'!$S$67&lt;&gt;"data missing"), Calc!BC88*'Waste results'!$S$31+ Calc!BD88*'Waste results'!$S$67, "data missing"),
   IF(Calc!BD88=0,
     IF(OR('Waste results'!$S$31&lt;&gt;"data missing", 'Waste results'!$S$103&lt;&gt;"data missing"), Calc!BC88*'Waste results'!$S$31+ Calc!BE88*'Waste results'!$S$103, "data missing"),
   IF(Calc!BC88=0,
     IF(OR('Waste results'!$S$67&lt;&gt;"data missing", 'Waste results'!$S$103&lt;&gt;"data missing"), Calc!BD88*'Waste results'!$S$67+Calc!BE88*'Waste results'!$S$103, "data missing"),
   IF(OR('Waste results'!$S$31&lt;&gt;"data missing", 'Waste results'!$S$67&lt;&gt;"data missing", 'Waste results'!$S$103&lt;&gt;"data missing"), Calc!BC88*'Waste results'!$S$31+Calc!BD88*'Waste results'!$S$67+ Calc!BE88*'Waste results'!$S$103, "data missing")))))))))))</f>
        <v/>
      </c>
      <c r="BQ90" s="239" t="str">
        <f ca="1">IF($B90="","",
IF(ISBLANK('Soil results'!Q93),"data missing",'Soil results'!Q93))</f>
        <v/>
      </c>
      <c r="BR90" s="239" t="str">
        <f t="shared" ca="1" si="33"/>
        <v/>
      </c>
      <c r="BS90" s="9" t="str">
        <f ca="1">IF(B90="","",
IF(BP90=0,"n/a",
IF(OR(BP90="data missing",BQ90=""),"data missing",
IF(BP90&gt;15,"application rate too high - permissible rate exceeds limit",
IF('Soil results'!F93&lt;=5.5,
  IF(BQ90&gt;200,"no application - soil conc. already above limit",
  IF(BR90&gt;200,"application rate too high - soil conc. will exceed limit",
  IF(BQ90&gt;200*0.9,"soil conc. is at or above 90% of the limit",
  IF(10*BP90*1000/3000+BQ90&gt;200,"soil limit likely to be exceeded in 10yrs",
  IF(50*BP90*1000/3000+BQ90&gt;200,"soil limit likely to be exceeded in 50yrs","ok"))))),
IF('Soil results'!F93&lt;=6,
  IF(BQ90&gt;250,"no application - soil conc. already above limit",
  IF(BR90&gt;250,"application rate too high - soil conc. will exceed limit",
  IF(BQ90&gt;250*0.9,"soil conc. is at or above 90% of the limit",
  IF(10*BP90*1000/3000+BQ90&gt;250,"soil limit likely to be exceeded in 10yrs",
  IF(50*BP90*1000/3000+BQ90&gt;250,"soil limit likely to be exceeded in 50yrs","ok"))))),
IF('Soil results'!F93&lt;=7,
  IF(BQ90&gt;300,"no application - soil conc. already above limit",
  IF(BR90&gt;300,"application rate too high - soil conc. will exceed limit",
  IF(BQ90&gt;300*0.9,"soil conc. is at or above 90% of the limit",
  IF(10*BP90*1000/3000+BQ90&gt;300,"soil limit likey to be exceeded in 10yrs",
  IF(50*BP90*1000/3000+BQ90&gt;300,"soil limit likely to be exceeded in 50yrs","ok"))))),
IF('Soil results'!F93&gt;7,
  IF(BQ90&gt;450,"no application - soil conc. already above limit",
  IF(BR90&gt;450,"application rate too high - soil conc. will exceed limit",
  IF(AW90&gt;450*0.9,"soil conc. is at or above 90% of the limit",
  IF(10*BP90*1000/3000+BQ90&gt;450,"soil limit likely to be exceeded in 10yrs",
  IF(50*BP90*1000/3000+BQ90&gt;450,"soil limit likely to be exceeded in 50yrs","ok")))))
))))))))</f>
        <v/>
      </c>
    </row>
    <row r="91" spans="2:71" s="9" customFormat="1" ht="15" x14ac:dyDescent="0.25">
      <c r="B91" s="236" t="str">
        <f ca="1">'Soil results'!B94</f>
        <v/>
      </c>
      <c r="C91" s="91" t="str">
        <f ca="1">IF(B91="","",
IF(AND('Field information 2'!$O$5="", 'Field information 2'!$Q$5=""),
   IF('Waste results'!$S$12&lt;&gt;"data missing", Calc!BC89*'Waste results'!$S$12, "data missing"),
IF('Field information 2'!$Q$5="",
   IF(Calc!BD89=0,
     IF('Waste results'!$S$12&lt;&gt;"data missing", Calc!BC89*'Waste results'!$S$12, "data missing"),
   IF(Calc!BC89=0,
     IF('Waste results'!$S$48&lt;&gt;"data missing", Calc!BD89*'Waste results'!$S$48, "data missing"),
   IF(OR('Waste results'!$S$12&lt;&gt;"data missing", 'Waste results'!$S$48&lt;&gt;"data missing"), Calc!BC89*'Waste results'!$S$12+ Calc!BD89*'Waste results'!$S$48, "data missing"))),
IF(AND('Field information 2'!$M$5&lt;&gt;"", 'Field information 2'!$O$5&lt;&gt;"", 'Field information 2'!$Q$5&lt;&gt;""),
   IF(AND(Calc!BD89=0,Calc!BE89=0),
     IF('Waste results'!$S$12&lt;&gt;"data missing", Calc!BC89*'Waste results'!$S$12, "data missing"),
   IF(AND(Calc!BC89=0,Calc!BE89=0),
     IF('Waste results'!$S$48&lt;&gt;"data missing", Calc!BD89*'Waste results'!$S$48, "data missing"),
   IF(AND(Calc!BC89=0,Calc!BD89=0),
     IF('Waste results'!$S$84&lt;&gt;"data missing", Calc!BE89*'Waste results'!$S$84, "data missing"),
   IF(Calc!BE89=0,
     IF(OR('Waste results'!$S$12&lt;&gt;"data missing", 'Waste results'!$S$48&lt;&gt;"data missing"), Calc!BC89*'Waste results'!$S$12+ Calc!BD89*'Waste results'!$S$48, "data missing"),
   IF(Calc!BD89=0,
     IF(OR('Waste results'!$S$12&lt;&gt;"data missing", 'Waste results'!$S$84&lt;&gt;"data missing"), Calc!BC89*'Waste results'!$S$12+ Calc!BE89*'Waste results'!$S$84, "data missing"),
   IF(Calc!BC89=0,
     IF(OR('Waste results'!$S$48&lt;&gt;"data missing", 'Waste results'!$S$84&lt;&gt;"data missing"), Calc!BD89*'Waste results'!$S$48+Calc!BE89*'Waste results'!$S$84, "data missing"),
   IF(OR('Waste results'!$S$12&lt;&gt;"data missing", 'Waste results'!$S$48&lt;&gt;"data missing", 'Waste results'!$S$84&lt;&gt;"data missing"), Calc!BC89*'Waste results'!$S$12+Calc!BD89*'Waste results'!$S$48+ Calc!BE89*'Waste results'!$S$84, "data missing")))))))))))</f>
        <v/>
      </c>
      <c r="D91" s="161" t="str">
        <f ca="1">IF(B91="","",
IF(Calc!BG89="","soil texture missing",
IF(OR(Calc!BG89="SL; SZL; ZL",Calc!BG89="SCL; CL; ZCL; SC; ZC; C"),VLOOKUP(Calc!BI89,'Fertiliser recommendations'!$A$4:$C$63,3,FALSE),
IF(Calc!BG89="S; LS",VLOOKUP(Calc!BI89,'Fertiliser recommendations'!$A$4:$C$63,3,FALSE)+VLOOKUP(Calc!BI89,'Fertiliser recommendations'!$A$4:$D$63,4,FALSE),
IF(Calc!BG89="10-25% OM",VLOOKUP(Calc!BI89,'Fertiliser recommendations'!$A$4:$C$63,3,FALSE)+VLOOKUP(Calc!BI89,'Fertiliser recommendations'!$A$4:$E$63,5,FALSE),
IF(Calc!BG89="&gt;25% OM",VLOOKUP(Calc!BI89,'Fertiliser recommendations'!$A$4:$C$63,3,FALSE)+VLOOKUP(Calc!BI89,'Fertiliser recommendations'!$A$4:$F$63,6,FALSE),
""))))))</f>
        <v/>
      </c>
      <c r="E91" s="91" t="str">
        <f t="shared" ca="1" si="17"/>
        <v/>
      </c>
      <c r="F91" s="9" t="str">
        <f ca="1">IF(B91="","",
IF(OR(C91="data missing",D91="soil texture missing"),"data missing",
IF(Calc!BF89=0,"n/a",
IF(C91&lt;0.1*D91,"no benefit",
IF(C91&lt;0.3*D91,"limited benefit",
IF(C91&gt;250,"exceeds limit",
IF(OR(AND(D91=0,C91&gt;75),C91&gt;1.25*D91),"excessive",
IF(D91=0, "no requirement",
"benefit"))))))))</f>
        <v/>
      </c>
      <c r="H91" s="91" t="str">
        <f ca="1">IF(B91="","",
IF(AND('Field information 2'!$O$5="", 'Field information 2'!$Q$5=""),
   IF('Waste results'!$S$17&lt;&gt;"data missing", Calc!BC89*'Waste results'!$S$17, "data missing"),
IF('Field information 2'!$Q$5="",
   IF(Calc!BD89=0,
     IF('Waste results'!$S$17&lt;&gt;"data missing", Calc!BC89*'Waste results'!$S$17, "data missing"),
   IF(Calc!BC89=0,
     IF('Waste results'!$S$53&lt;&gt;"data missing", Calc!BD89*'Waste results'!$S$53, "data missing"),
   IF(OR('Waste results'!$S$17&lt;&gt;"data missing", 'Waste results'!$S$53&lt;&gt;"data missing"), Calc!BC89*'Waste results'!$S$17+ Calc!BD89*'Waste results'!$S$53, "data missing"))),
IF(AND('Field information 2'!$M$5&lt;&gt;"", 'Field information 2'!$O$5&lt;&gt;"", 'Field information 2'!$Q$5&lt;&gt;""),
   IF(AND(Calc!BD89=0,Calc!BE89=0),
     IF('Waste results'!$S$17&lt;&gt;"data missing", Calc!BC89*'Waste results'!$S$17, "data missing"),
   IF(AND(Calc!BC89=0,Calc!BE89=0),
     IF('Waste results'!$S$53&lt;&gt;"data missing", Calc!BD89*'Waste results'!$S$53, "data missing"),
   IF(AND(Calc!BC89=0,Calc!BD89=0),
     IF('Waste results'!$S$89&lt;&gt;"data missing", Calc!BE89*'Waste results'!$S$89, "data missing"),
   IF(Calc!BE89=0,
     IF(OR('Waste results'!$S$17&lt;&gt;"data missing", 'Waste results'!$S$53&lt;&gt;"data missing"), Calc!BC89*'Waste results'!$S$17+ Calc!BD89*'Waste results'!$S$53, "data missing"),
   IF(Calc!BD89=0,
     IF(OR('Waste results'!$S$17&lt;&gt;"data missing", 'Waste results'!$S$89&lt;&gt;"data missing"), Calc!BC89*'Waste results'!$S$17+ Calc!BE89*'Waste results'!$S$89, "data missing"),
   IF(Calc!BC89=0,
     IF(OR('Waste results'!$S$53&lt;&gt;"data missing", 'Waste results'!$S$89&lt;&gt;"data missing"), Calc!BD89*'Waste results'!$S$53+Calc!BE89*'Waste results'!$S$89, "data missing"),
   IF(OR('Waste results'!$S$17&lt;&gt;"data missing", 'Waste results'!$S$53&lt;&gt;"data missing", 'Waste results'!$S$89&lt;&gt;"data missing"), Calc!BC89*'Waste results'!$S$17+Calc!BD89*'Waste results'!$S$53+ Calc!BE89*'Waste results'!$S$89, "data missing")))))))))))</f>
        <v/>
      </c>
      <c r="I91" s="195" t="str">
        <f ca="1">IF(B91="","",
IF(OR(ISBLANK('Soil results'!G94), ISBLANK('Soil results'!G$7)),"data missing",
IF(OR(AND('Soil results'!G$7="Olsen (ADAS)",'Soil results'!G94&lt;16),AND('Soil results'!G$7="modified Morgan (SAC)",'Soil results'!G94&lt;4.5)),50,100)))</f>
        <v/>
      </c>
      <c r="J91" s="49" t="str">
        <f ca="1">IF(B91="","",
IF(OR(ISBLANK('Soil results'!G$7),ISBLANK('Soil results'!G94)),"data missing",
IF(OR(AND('Soil results'!G$7="Olsen (ADAS)",'Soil results'!G94&gt;45),AND('Soil results'!G$7="modified Morgan (SAC)",'Soil results'!G94&gt;30)),0,
IF(OR(AND('Soil results'!G$7="Olsen (ADAS)",'Soil results'!G94&gt;=16,'Soil results'!G94&lt;=20),AND('Soil results'!G$7="modified Morgan (SAC)",'Soil results'!G94&gt;=4.5,'Soil results'!G94&lt;=9.4)),VLOOKUP(Calc!BI89,'Fertiliser recommendations'!$A$4:$I$63,9,FALSE),
IF(OR(AND('Soil results'!G$7="Olsen (ADAS)",'Soil results'!G94&lt;10),AND('Soil results'!G$7="modified Morgan (SAC)",'Soil results'!G94&lt;1.8)),VLOOKUP(Calc!BI89,'Fertiliser recommendations'!$A$4:$I$63,9,FALSE)+VLOOKUP(Calc!BI89,'Fertiliser recommendations'!$A$4:$J$63,10,FALSE),
IF(OR(AND('Soil results'!G$7="Olsen (ADAS)",'Soil results'!G94&lt;16),AND('Soil results'!G$7="modified Morgan (SAC)",'Soil results'!G94&lt;4.5)),VLOOKUP(Calc!BI89,'Fertiliser recommendations'!$A$4:$I$63,9,FALSE)+VLOOKUP(Calc!BI89,'Fertiliser recommendations'!$A$4:$K$63,11,FALSE),
IF(OR(AND('Soil results'!G$7="Olsen (ADAS)",'Soil results'!G94&lt;26),AND('Soil results'!G$7="modified Morgan (SAC)",'Soil results'!G94&lt;13.5)),VLOOKUP(Calc!BI89,'Fertiliser recommendations'!$A$4:$I$63,9,FALSE)+VLOOKUP(Calc!BI89,'Fertiliser recommendations'!$A$4:$L$63,12,FALSE),
IF(OR(AND('Soil results'!G$7="Olsen (ADAS)",'Soil results'!G94&lt;=45),AND('Soil results'!G$7="modified Morgan (SAC)",'Soil results'!G94&lt;=30)),VLOOKUP(Calc!BI89,'Fertiliser recommendations'!$A$4:$I$63,9,FALSE)+VLOOKUP(Calc!BI89,'Fertiliser recommendations'!$A$4:$M$63,13,FALSE),
""))))))))</f>
        <v/>
      </c>
      <c r="K91" s="161" t="str">
        <f t="shared" ca="1" si="18"/>
        <v/>
      </c>
      <c r="L91" s="47" t="str">
        <f ca="1">IF(OR(ISBLANK('Soil results'!G$7),ISBLANK('Soil results'!G94),B91="", H91="data missing"),"",
IF('Soil results'!G$7="Olsen (ADAS)",
IF(((H91*Calc!BM89/2.291-(VLOOKUP(Calc!BI89,'Fertiliser recommendations'!$A$4:$I$63,9,FALSE))/2.291)*10/(400/2.291)+'Soil results'!G94)&lt;10,"0 (VL)",
IF(((H91*Calc!BM89/2.291-(VLOOKUP(Calc!BI89,'Fertiliser recommendations'!$A$4:$I$63,9,FALSE))/2.291)*10/(400/2.291)+'Soil results'!G94)&lt;16,"1 (L)",
IF(((H91*Calc!BM89/2.291-(VLOOKUP(Calc!BI89,'Fertiliser recommendations'!$A$4:$I$63,9,FALSE))/2.291)*10/(400/2.291)+'Soil results'!G94)&lt;21,"2 (M-)",
IF(((H91*Calc!BM89/2.291-(VLOOKUP(Calc!BI89,'Fertiliser recommendations'!$A$4:$I$63,9,FALSE))/2.291)*10/(400/2.291)+'Soil results'!G94)&lt;26,"2 (M+)",
IF(((H91*Calc!BM89/2.291-(VLOOKUP(Calc!BI89,'Fertiliser recommendations'!$A$4:$I$63,9,FALSE))/2.291)*10/(400/2.291)+'Soil results'!G94)&lt;45,"3 (H)","&gt;3 (VH)"))))),
IF('Soil results'!G$7="modified Morgan (SAC)",
IF('Soil results'!G94&gt;=6,
IF(((H91*Calc!BM89/2.291-(VLOOKUP(Calc!BI89,'Fertiliser recommendations'!$A$4:$I$63,9,FALSE))/2.291)*5/(147/2.291)+'Soil results'!G94)&lt;9.5,"2 (M-)",
IF(((H91*Calc!BM89/2.291-(VLOOKUP(Calc!BI89,'Fertiliser recommendations'!$A$4:$I$63,9,FALSE))/2.291)*5/(147/2.291)+'Soil results'!G94)&lt;13.5,"2 (M+)",
IF(((H91*Calc!BM89/2.291-(VLOOKUP(Calc!BI89,'Fertiliser recommendations'!$A$4:$I$63,9,FALSE))/2.291)*5/(147/2.291)+'Soil results'!G94)&lt;30,"3 (H)","4 (VH)"))),
IF(((H91*Calc!BM89/2.291-(VLOOKUP(Calc!BI89,'Fertiliser recommendations'!$A$4:$I$63,9,FALSE))/2.291)*5/(346/2.291)+'Soil results'!G94)&lt;1.8,"0 (VL)",
IF(((H91*Calc!BM89/2.291-(VLOOKUP(Calc!BI89,'Fertiliser recommendations'!$A$4:$I$63,9,FALSE))/2.291)*5/(147/2.291)+'Soil results'!G94)&lt;4.5,"1 (L)","2 (M-)"))))))</f>
        <v/>
      </c>
      <c r="M91" s="9" t="str">
        <f ca="1">IF(B91="","",
IF(OR(H91="data missing",I91="data missing",J91="data missing"),"data missing",
IF(Calc!BF89=0,"n/a",
IF(OR(AND('Soil results'!G$7="Olsen (ADAS)",'Soil results'!G94&gt;45),AND('Soil results'!G$7="modified Morgan (SAC)",'Soil results'!G94&gt;30)),
IF(H91&gt;2,"too high, not acceptable","no requirement"),IF(OR(AND('Soil results'!G$7="Olsen (ADAS)",'Soil results'!G94&gt;25),AND('Soil results'!G$7="modified Morgan (SAC)",'Soil results'!G94&gt;13.4)),
IF(H91*(I91/100)&lt;0.1*J91,"no benefit",
IF(H91*(I91/100)&lt;0.3*J91,"limited benefit",
IF(H91*(I91/100)&lt;1.1*J91,"benefit",
IF(H91*(I91/100)&lt;0.7*VLOOKUP(Calc!BI89,'Fertiliser recommendations'!$A$4:$I$63,9,FALSE),"excessive","too high, not acceptable")))),
IF(OR(AND('Soil results'!G$7="Olsen (ADAS)",'Soil results'!G94&gt;20),AND('Soil results'!G$7="modified Morgan (SAC)",'Soil results'!G94&gt;9.4)),
IF(H91*Calc!BM89*(I91/100)&lt;0.1*J91,"no benefit",
IF(H91*Calc!BM89*(I91/100)&lt;0.3*J91,"limited benefit",
IF(H91*Calc!BM89*(I91/100)&lt;1.1*J91,"benefit",
IF(L91="3 (H)","too high, not acceptable","excessive")))),
IF(OR(AND('Soil results'!G$7="Olsen (ADAS)",'Soil results'!G94&gt;15),AND('Soil results'!G$7="modified Morgan (SAC)",'Soil results'!G94&gt;4.4)),
IF(H91*Calc!BM89*(I91/100)&lt;0.1*VLOOKUP(Calc!BI89,'Fertiliser recommendations'!$A$4:$I$63,9,FALSE),"no benefit",
IF(H91*Calc!BM89*(I91/100)&lt;0.3*VLOOKUP(Calc!BI89,'Fertiliser recommendations'!$A$4:$I$63,9,FALSE),"limited benefit",
IF(H91*Calc!BM89*(I91/100)&lt;1.1*VLOOKUP(Calc!BI89,'Fertiliser recommendations'!$A$4:$I$63,9,FALSE),"benefit",
IF(L91="3 (H)", "too high, not acceptable", "excessive")))),
IF(OR(AND('Soil results'!G$7="Olsen (ADAS)",'Soil results'!G94&lt;=15),AND('Soil results'!G$7="modified Morgan (SAC)",'Soil results'!G94&lt;=4.4)),
IF(H91*Calc!BM89*(I91/100)&lt;0.1*VLOOKUP(Calc!BI89,'Fertiliser recommendations'!$A$4:$I$63,9,FALSE),"no benefit",
IF(H91*Calc!BM89*(I91/100)&lt;0.3*VLOOKUP(Calc!BI89,'Fertiliser recommendations'!$A$4:$I$63,9,FALSE),"limited benefit",
IF(H91*Calc!BM89*(I91/100)&lt;1.1*J91,"benefit","excessive")))))))))))</f>
        <v/>
      </c>
      <c r="O91" s="91" t="str">
        <f ca="1">IF(B91="","",
IF(AND('Field information 2'!$O$5="", 'Field information 2'!$Q$5=""),
   IF('Waste results'!$S$19&lt;&gt;"data missing", Calc!BC89*'Waste results'!$S$19, "data missing"),
IF('Field information 2'!$Q$5="",
   IF(Calc!BD89=0,
     IF('Waste results'!$S$19&lt;&gt;"data missing", Calc!BC89*'Waste results'!$S$19, "data missing"),
   IF(Calc!BC89=0,
     IF('Waste results'!$S$55&lt;&gt;"data missing", Calc!BD89*'Waste results'!$S$55, "data missing"),
   IF(OR('Waste results'!$S$19&lt;&gt;"data missing", 'Waste results'!$S$55&lt;&gt;"data missing"), Calc!BC89*'Waste results'!$S$19+ Calc!BD89*'Waste results'!$S$55, "data missing"))),
IF(AND('Field information 2'!$M$5&lt;&gt;"", 'Field information 2'!$O$5&lt;&gt;"", 'Field information 2'!$Q$5&lt;&gt;""),
   IF(AND(Calc!BD89=0,Calc!BE89=0),
     IF('Waste results'!$S$19&lt;&gt;"data missing", Calc!BC89*'Waste results'!$S$19, "data missing"),
   IF(AND(Calc!BC89=0,Calc!BE89=0),
     IF('Waste results'!$S$55&lt;&gt;"data missing", Calc!BD89*'Waste results'!$S$55, "data missing"),
   IF(AND(Calc!BC89=0,Calc!BD89=0),
     IF('Waste results'!$S$91&lt;&gt;"data missing", Calc!BE89*'Waste results'!$S$91, "data missing"),
   IF(Calc!BE89=0,
     IF(OR('Waste results'!$S$19&lt;&gt;"data missing", 'Waste results'!$S$55&lt;&gt;"data missing"), Calc!BC89*'Waste results'!$S$19+ Calc!BD89*'Waste results'!$S$55, "data missing"),
   IF(Calc!BD89=0,
     IF(OR('Waste results'!$S$19&lt;&gt;"data missing", 'Waste results'!$S$91&lt;&gt;"data missing"), Calc!BC89*'Waste results'!$S$19+ Calc!BE89*'Waste results'!$S$91, "data missing"),
   IF(Calc!BC89=0,
     IF(OR('Waste results'!$S$55&lt;&gt;"data missing", 'Waste results'!$S$91&lt;&gt;"data missing"), Calc!BD89*'Waste results'!$S$55+Calc!BE89*'Waste results'!$S$91, "data missing"),
   IF(OR('Waste results'!$S$19&lt;&gt;"data missing", 'Waste results'!$S$55&lt;&gt;"data missing", 'Waste results'!$S$91&lt;&gt;"data missing"), Calc!BC89*'Waste results'!$S$19+Calc!BD89*'Waste results'!$S$55+ Calc!BE89*'Waste results'!$S$91, "data missing")))))))))))</f>
        <v/>
      </c>
      <c r="P91" s="91" t="str">
        <f ca="1">IF(B91="","",
IF(OR(ISBLANK('Soil results'!H$7),ISBLANK('Soil results'!H94)),"data missing",
IF(OR(AND('Soil results'!H$7="ammonium nitrate (ADAS)",'Soil results'!H94&gt;400),AND('Soil results'!H$7="modified Morgan (SAC)",'Soil results'!H94&gt;400)),0,
IF(OR(AND('Soil results'!H$7="ammonium nitrate (ADAS)",'Soil results'!H94&gt;=121,'Soil results'!H94&lt;=180),AND('Soil results'!H$7="modified Morgan (SAC)",'Soil results'!H94&gt;=76,'Soil results'!H94&lt;=140)),VLOOKUP(Calc!BI89,'Fertiliser recommendations'!$A$4:$Z$63,26,FALSE),
IF(OR(AND('Soil results'!H$7="ammonium nitrate (ADAS)",'Soil results'!H94&lt;61),AND('Soil results'!H$7="modified Morgan (SAC)",'Soil results'!H94&lt;40)),VLOOKUP(Calc!BI89,'Fertiliser recommendations'!$A$4:$Z$63,26,FALSE)+VLOOKUP(Calc!BI89,'Fertiliser recommendations'!$A$4:$AA$63,27,FALSE),
IF(OR(AND('Soil results'!H$7="ammonium nitrate (ADAS)",'Soil results'!H94&lt;121),AND('Soil results'!H$7="modified Morgan (SAC)",'Soil results'!H94&lt;76)),VLOOKUP(Calc!BI89,'Fertiliser recommendations'!$A$4:$Z$63,26,FALSE)+VLOOKUP(Calc!BI89,'Fertiliser recommendations'!$A$4:$AB$63,28,FALSE),
IF(OR(AND('Soil results'!H$7="ammonium nitrate (ADAS)",'Soil results'!H94&lt;241),AND('Soil results'!H$7="modified Morgan (SAC)",'Soil results'!H94&lt;201)),VLOOKUP(Calc!BI89,'Fertiliser recommendations'!$A$4:$Z$63,26,FALSE)+VLOOKUP(Calc!BI89,'Fertiliser recommendations'!$A$4:$AC$63,29,FALSE),
IF(OR(AND('Soil results'!H$7="ammonium nitrate (ADAS)",'Soil results'!H94&lt;=400),AND('Soil results'!H$7="modified Morgan (SAC)",'Soil results'!H94&lt;=400)),VLOOKUP(Calc!BI89,'Fertiliser recommendations'!$A$4:$Z$63,26,FALSE)+VLOOKUP(Calc!BI89,'Fertiliser recommendations'!$A$4:$AD$63,30,FALSE),
"??"))))))))</f>
        <v/>
      </c>
      <c r="Q91" s="91" t="str">
        <f t="shared" ca="1" si="19"/>
        <v/>
      </c>
      <c r="R91" s="9" t="str">
        <f ca="1">IF(B91="","",
IF(OR(O91="data missing",P91="data missing"),"data missing",
IF(Calc!BF89=0,"n/a",
IF(P91=0, "no requirement",
IF(O91&lt;0.1*P91,"no benefit",
IF(O91&lt;0.3*P91,"limited benefit",
IF(O91&gt;1.25*P91,"excessive",
"benefit")))))))</f>
        <v/>
      </c>
      <c r="T91" s="91" t="str">
        <f ca="1">IF(B91="","",
IF(AND('Field information 2'!$O$5="", 'Field information 2'!$Q$5=""),
   IF('Waste results'!$S$21&lt;&gt;"data missing", Calc!BC89*'Waste results'!$S$21, "data missing"),
IF('Field information 2'!$Q$5="",
   IF(Calc!BD89=0,
     IF('Waste results'!$S$21&lt;&gt;"data missing", Calc!BC89*'Waste results'!$S$21, "data missing"),
   IF(Calc!BC89=0,
     IF('Waste results'!$S$57&lt;&gt;"data missing", Calc!BD89*'Waste results'!$S$57, "data missing"),
   IF(OR('Waste results'!$S$21&lt;&gt;"data missing", 'Waste results'!$S$57&lt;&gt;"data missing"), Calc!BC89*'Waste results'!$S$21+ Calc!BD89*'Waste results'!$S$57, "data missing"))),
IF(AND('Field information 2'!$M$5&lt;&gt;"", 'Field information 2'!$O$5&lt;&gt;"", 'Field information 2'!$Q$5&lt;&gt;""),
   IF(AND(Calc!BD89=0,Calc!BE89=0),
     IF('Waste results'!$S$21&lt;&gt;"data missing", Calc!BC89*'Waste results'!$S$21, "data missing"),
   IF(AND(Calc!BC89=0,Calc!BE89=0),
     IF('Waste results'!$S$57&lt;&gt;"data missing", Calc!BD89*'Waste results'!$S$57, "data missing"),
   IF(AND(Calc!BC89=0,Calc!BD89=0),
     IF('Waste results'!$S$93&lt;&gt;"data missing", Calc!BE89*'Waste results'!$S$93, "data missing"),
   IF(Calc!BE89=0,
     IF(OR('Waste results'!$S$21&lt;&gt;"data missing", 'Waste results'!$S$57&lt;&gt;"data missing"), Calc!BC89*'Waste results'!$S$21+ Calc!BD89*'Waste results'!$S$57, "data missing"),
   IF(Calc!BD89=0,
     IF(OR('Waste results'!$S$21&lt;&gt;"data missing", 'Waste results'!$S$93&lt;&gt;"data missing"), Calc!BC89*'Waste results'!$S$21+ Calc!BE89*'Waste results'!$S$93, "data missing"),
   IF(Calc!BC89=0,
     IF(OR('Waste results'!$S$57&lt;&gt;"data missing", 'Waste results'!$S$93&lt;&gt;"data missing"), Calc!BD89*'Waste results'!$S$57+Calc!BE89*'Waste results'!$S$93, "data missing"),
   IF(OR('Waste results'!$S$21&lt;&gt;"data missing", 'Waste results'!$S$57&lt;&gt;"data missing", 'Waste results'!$S$93&lt;&gt;"data missing"), Calc!BC89*'Waste results'!$S$21+Calc!BD89*'Waste results'!$S$57+ Calc!BE89*'Waste results'!$S$93, "data missing")))))))))))</f>
        <v/>
      </c>
      <c r="U91" s="7" t="str">
        <f ca="1">IF(B91="","",
IF(OR(ISBLANK('Soil results'!I$7),ISBLANK('Soil results'!I94)),"data missing",
IF(OR(AND('Soil results'!I$7="ammonium nitrate (ADAS)",'Soil results'!I94&gt;51),AND('Soil results'!I$7="modified Morgan (SAC)",'Soil results'!I94&gt;61)),0,
IF(OR(AND('Soil results'!I$7="ammonium nitrate (ADAS)",'Soil results'!I94&lt;25),AND('Soil results'!I$7="modified Morgan (SAC)",'Soil results'!I94&lt;19)),VLOOKUP(Calc!BI89,'Fertiliser recommendations'!$A$4:$AH$63,34,FALSE),
IF(OR(AND('Soil results'!I$7="ammonium nitrate (ADAS)",'Soil results'!I94&lt;=51),AND('Soil results'!I$7="modified Morgan (SAC)",'Soil results'!I94&lt;=61)),VLOOKUP(Calc!BI89,'Fertiliser recommendations'!$A$4:$AI$63,35,FALSE),
"")))))</f>
        <v/>
      </c>
      <c r="V91" s="91" t="str">
        <f t="shared" ca="1" si="20"/>
        <v/>
      </c>
      <c r="W91" s="9" t="str">
        <f ca="1">IF(B91="","",
IF(OR(T91="data missing",U91="data missing"),"data missing",
IF(Calc!BF89=0,"n/a",
IF(U91=0,"no requirement",
IF(T91&lt;0.1*U91,"no benefit",
IF(T91&lt;0.3*U91,"limited benefit",
IF(OR(T91&gt;1.5*U91,AND(Calc!BJ89="g",T91&gt;100)),"excessive",
"benefit")))))))</f>
        <v/>
      </c>
      <c r="Y91" s="91" t="str">
        <f ca="1">IF(B91="","",
IF(AND('Field information 2'!$O$5="", 'Field information 2'!$Q$5=""),
   IF('Waste results'!$P$23&lt;&gt;"", Calc!BC89*'Waste results'!$P$23, "no data"),
IF('Field information 2'!$Q$5="",
   IF(Calc!BD89=0,
     IF('Waste results'!$P$23&lt;&gt;"", Calc!BC89*'Waste results'!$P$23, "no data"),
   IF(Calc!BC89=0,
     IF('Waste results'!$P$59&lt;&gt;"", Calc!BD89*'Waste results'!$P$59, "no data"),
   IF(OR('Waste results'!$P$23&lt;&gt;"", 'Waste results'!$P$59&lt;&gt;""), Calc!BC89*'Waste results'!$P$23+ Calc!BD89*'Waste results'!$P$59, "no data"))),
IF(AND('Field information 2'!$M$5&lt;&gt;"", 'Field information 2'!$O$5&lt;&gt;"", 'Field information 2'!$Q$5&lt;&gt;""),
   IF(AND(Calc!BD89=0,Calc!BE89=0),
     IF('Waste results'!$P$23&lt;&gt;"", Calc!BC89*'Waste results'!$P$23, "no data"),
   IF(AND(Calc!BC89=0,Calc!BE89=0),
     IF('Waste results'!$P$59&lt;&gt;"", Calc!BD89*'Waste results'!$P$59, "no data"),
   IF(AND(Calc!BC89=0,Calc!BD89=0),
     IF('Waste results'!$P$95&lt;&gt;"", Calc!BE89*'Waste results'!$P$95, "no data"),
   IF(Calc!BE89=0,
     IF(OR('Waste results'!$P$23&lt;&gt;"", 'Waste results'!$P$59&lt;&gt;""), Calc!BC89*'Waste results'!$P$23+ Calc!BD89*'Waste results'!$P$59, "no data"),
   IF(Calc!BD89=0,
     IF(OR('Waste results'!$P$23&lt;&gt;"", 'Waste results'!$P$95&lt;&gt;""), Calc!BC89*'Waste results'!$P$23+ Calc!BE89*'Waste results'!$P$95, "no data"),
   IF(Calc!BC89=0,
     IF(OR('Waste results'!$P$59&lt;&gt;"", 'Waste results'!$P$95&lt;&gt;""), Calc!BD89*'Waste results'!$P$59+Calc!BE89*'Waste results'!$P$95, "no data"),
   IF(OR('Waste results'!$P$23&lt;&gt;"", 'Waste results'!$P$59&lt;&gt;"", 'Waste results'!$P$95&lt;&gt;""), Calc!BC89*'Waste results'!$P$23+Calc!BD89*'Waste results'!$P$59+ Calc!BE89*'Waste results'!$P$95, "no data")))))))))))</f>
        <v/>
      </c>
      <c r="Z91" s="7" t="str">
        <f ca="1">IF(OR(ISBLANK('Soil results'!I$7),ISBLANK('Soil results'!I94),'Soil results'!B94=""),"",
VLOOKUP(Calc!BI89,'Fertiliser recommendations'!$A$4:$AM$63,39,FALSE))</f>
        <v/>
      </c>
      <c r="AA91" s="91" t="str">
        <f t="shared" ca="1" si="21"/>
        <v/>
      </c>
      <c r="AB91" s="9" t="str">
        <f t="shared" ca="1" si="22"/>
        <v/>
      </c>
      <c r="AD91" s="48" t="str">
        <f>IF(ISBLANK('Soil results'!F94),"",'Soil results'!F94)</f>
        <v/>
      </c>
      <c r="AE91" s="49" t="str">
        <f ca="1">IF(B91="","",
IF(AND(Calc!BJ89="g", VLOOKUP(LEFT($B91,LEN($B91)-2),'Field information 2'!$B$12:$P$111,9,FALSE)&lt;&gt;"yes"),
 IF(Calc!BG89="10-25% OM", 5.9, IF(Calc!BG89="&gt;25% OM", 5.5, 6.2)),
IF(OR(Calc!BJ89="a", VLOOKUP(LEFT($B91,LEN($B91)-2),'Field information 2'!$B$12:$P$111,9,FALSE)="yes"),
 IF(Calc!BG89="10-25% OM", 6.4, IF(Calc!BG89="&gt;25% OM", 6, 6.7)), "")))</f>
        <v/>
      </c>
      <c r="AF91" s="91" t="str">
        <f ca="1">IF(B91="","",
IF('Waste results'!$Q$33="","no (significant) liming properties",
IF('Waste results'!Q$33&gt;100,"no (significant) liming properties",
IF(AD91="","",
IF(AD91&gt;=AE91,0,ROUNDDOWN((AE91-AD91)*Calc!BK89*'Waste results'!$Q$33+0.2,0))))))</f>
        <v/>
      </c>
      <c r="AG91" s="9" t="str">
        <f ca="1">IF(B91="","",
IF(T91=0,"n/a",
IF(AD91="","data missing",
IF(AND(AD91&lt;5,AF91="no (significant) liming properties"),"no waste application - pH too low",
IF(AND(AD91&gt;5.1,AF91="no (significant) liming properties",Calc!BH89&gt;25, LEFT(Calc!BI89,4)="graz"),"ok",
IF(AND(AD91&lt;=5.2,AF91="no (significant) liming properties"),"liming highly recommended",
IF(AF91=0,"no waste application - liming not required",
IF(AF91&lt;Calc!BC89,"application rate too high - exceeds liming requirement",
"ok"))))))))</f>
        <v/>
      </c>
      <c r="AI91" s="91" t="str">
        <f ca="1">IF(B91="","",
IF(AND('Field information 2'!$O$5="", 'Field information 2'!$Q$5=""),
   IF('Waste results'!$P$10&lt;&gt;"data missing", Calc!BC89*'Waste results'!$P$10, "data missing"),
IF('Field information 2'!$Q$5="",
   IF(Calc!BD89=0,
     IF('Waste results'!$P$10&lt;&gt;"data missing", Calc!BC89*'Waste results'!$P$10, "data missing"),
   IF(Calc!BC89=0,
     IF('Waste results'!$P$45&lt;&gt;"data missing", Calc!BD89*'Waste results'!$P$45, "data missing"),
   IF(OR('Waste results'!$P$10&lt;&gt;"data missing", 'Waste results'!$P$45&lt;&gt;"data missing"), Calc!BC89*'Waste results'!$P$10+ Calc!BD89*'Waste results'!$P$45, "data missing"))),
IF(AND('Field information 2'!$M$5&lt;&gt;"", 'Field information 2'!$O$5&lt;&gt;"", 'Field information 2'!$Q$5&lt;&gt;""),
   IF(AND(Calc!BD89=0,Calc!BE89=0),
     IF('Waste results'!$P$10&lt;&gt;"data missing", Calc!BC89*'Waste results'!$P$10, "data missing"),
   IF(AND(Calc!BC89=0,Calc!BE89=0),
     IF('Waste results'!$P$45&lt;&gt;"data missing", Calc!BD89*'Waste results'!$P$45, "data missing"),
   IF(AND(Calc!BC89=0,Calc!BD89=0),
     IF('Waste results'!$P$82&lt;&gt;"data missing", Calc!BE89*'Waste results'!$P$82, "data missing"),
   IF(Calc!BE89=0,
     IF(OR('Waste results'!$P$10&lt;&gt;"data missing", 'Waste results'!$P$45&lt;&gt;"data missing"), Calc!BC89*'Waste results'!$P$10+ Calc!BD89*'Waste results'!$P$45, "data missing"),
   IF(Calc!BD89=0,
     IF(OR('Waste results'!$P$10&lt;&gt;"data missing", 'Waste results'!$P$82&lt;&gt;"data missing"), Calc!BC89*'Waste results'!$P$10+ Calc!BE89*'Waste results'!$P$82, "data missing"),
   IF(Calc!BC89=0,
     IF(OR('Waste results'!$P$45&lt;&gt;"data missing", 'Waste results'!$P$82&lt;&gt;"data missing"), Calc!BD89*'Waste results'!$P$45+Calc!BE89*'Waste results'!$P$82, "data missing"),
   IF(OR('Waste results'!$P$10&lt;&gt;"data missing", 'Waste results'!$P$45&lt;&gt;"data missing", 'Waste results'!$P$82&lt;&gt;"data missing"), Calc!BC89*'Waste results'!$P$10+Calc!BD89*'Waste results'!$P$45+ Calc!BE89*'Waste results'!$P$82, "data missing")))))))))))</f>
        <v/>
      </c>
      <c r="AJ91" s="237" t="str">
        <f ca="1">IF(B91="","",
IF(AI91="data missing","data missing",
IF(Calc!BF89=0,"n/a",
IF(AND(Calc!BH89&gt;=8,AI91&lt;500),"no benefit",
IF(OR(AND(Calc!BH89&lt;=4,AI91&gt;=500),AND(Calc!BH89&lt;8,AI91&gt;5000)),"benefit",
"limited benefit")))))</f>
        <v/>
      </c>
      <c r="AL91" s="238" t="str">
        <f ca="1">IF(B91="","",
IF(AND('Field information 2'!$O$5="", 'Field information 2'!$Q$5=""),
   IF('Waste results'!$S$25&lt;&gt;"data missing", Calc!BC89*'Waste results'!$S$25, "data missing"),
IF('Field information 2'!$Q$5="",
   IF(Calc!BD89=0,
     IF('Waste results'!$S$25&lt;&gt;"data missing", Calc!BC89*'Waste results'!$S$25, "data missing"),
   IF(Calc!BC89=0,
     IF('Waste results'!$S$61&lt;&gt;"data missing", Calc!BD89*'Waste results'!$S$61, "data missing"),
   IF(OR('Waste results'!$S$25&lt;&gt;"data missing", 'Waste results'!$S$61&lt;&gt;"data missing"), Calc!BC89*'Waste results'!$S$25+ Calc!BD89*'Waste results'!$S$61, "data missing"))),
IF(AND('Field information 2'!$M$5&lt;&gt;"", 'Field information 2'!$O$5&lt;&gt;"", 'Field information 2'!$Q$5&lt;&gt;""),
   IF(AND(Calc!BD89=0,Calc!BE89=0),
     IF('Waste results'!$S$25&lt;&gt;"data missing", Calc!BC89*'Waste results'!$S$25, "data missing"),
   IF(AND(Calc!BC89=0,Calc!BE89=0),
     IF('Waste results'!$S$61&lt;&gt;"data missing", Calc!BD89*'Waste results'!$S$61, "data missing"),
   IF(AND(Calc!BC89=0,Calc!BD89=0),
     IF('Waste results'!$S$97&lt;&gt;"data missing", Calc!BE89*'Waste results'!$S$97, "data missing"),
   IF(Calc!BE89=0,
     IF(OR('Waste results'!$S$25&lt;&gt;"data missing", 'Waste results'!$S$61&lt;&gt;"data missing"), Calc!BC89*'Waste results'!$S$25+ Calc!BD89*'Waste results'!$S$61, "data missing"),
   IF(Calc!BD89=0,
     IF(OR('Waste results'!$S$25&lt;&gt;"data missing", 'Waste results'!$S$97&lt;&gt;"data missing"), Calc!BC89*'Waste results'!$S$25+ Calc!BE89*'Waste results'!$S$97, "data missing"),
   IF(Calc!BC89=0,
     IF(OR('Waste results'!$S$61&lt;&gt;"data missing", 'Waste results'!$S$97&lt;&gt;"data missing"), Calc!BD89*'Waste results'!$S$61+Calc!BE89*'Waste results'!$S$97, "data missing"),
   IF(OR('Waste results'!$S$25&lt;&gt;"data missing", 'Waste results'!$S$61&lt;&gt;"data missing", 'Waste results'!$S$97&lt;&gt;"data missing"), Calc!BC89*'Waste results'!$S$25+Calc!BD89*'Waste results'!$S$61+ Calc!BE89*'Waste results'!$S$97, "data missing")))))))))))</f>
        <v/>
      </c>
      <c r="AM91" s="239" t="str">
        <f ca="1">IF($B91="","",
IF(ISBLANK('Soil results'!K94),"data missing",'Soil results'!K94))</f>
        <v/>
      </c>
      <c r="AN91" s="239" t="str">
        <f t="shared" ca="1" si="23"/>
        <v/>
      </c>
      <c r="AO91" s="9" t="str">
        <f t="shared" ca="1" si="24"/>
        <v/>
      </c>
      <c r="AQ91" s="240" t="str">
        <f ca="1">IF(B91="","",
IF(AND('Field information 2'!$O$5="", 'Field information 2'!$Q$5=""),
   IF('Waste results'!$S$26&lt;&gt;"data missing", Calc!BC89*'Waste results'!$S$26, "data missing"),
IF('Field information 2'!$Q$5="",
   IF(Calc!BD89=0,
     IF('Waste results'!$S$26&lt;&gt;"data missing", Calc!BC89*'Waste results'!$S$26, "data missing"),
   IF(Calc!BC89=0,
     IF('Waste results'!$S$62&lt;&gt;"data missing", Calc!BD89*'Waste results'!$S$62, "data missing"),
   IF(OR('Waste results'!$S$26&lt;&gt;"data missing", 'Waste results'!$S$62&lt;&gt;"data missing"), Calc!BC89*'Waste results'!$S$26+ Calc!BD89*'Waste results'!$S$62, "data missing"))),
IF(AND('Field information 2'!$M$5&lt;&gt;"", 'Field information 2'!$O$5&lt;&gt;"", 'Field information 2'!$Q$5&lt;&gt;""),
   IF(AND(Calc!BD89=0,Calc!BE89=0),
     IF('Waste results'!$S$26&lt;&gt;"data missing", Calc!BC89*'Waste results'!$S$26, "data missing"),
   IF(AND(Calc!BC89=0,Calc!BE89=0),
     IF('Waste results'!$S$62&lt;&gt;"data missing", Calc!BD89*'Waste results'!$S$62, "data missing"),
   IF(AND(Calc!BC89=0,Calc!BD89=0),
     IF('Waste results'!$S$98&lt;&gt;"data missing", Calc!BE89*'Waste results'!$S$98, "data missing"),
   IF(Calc!BE89=0,
     IF(OR('Waste results'!$S$26&lt;&gt;"data missing", 'Waste results'!$S$62&lt;&gt;"data missing"), Calc!BC89*'Waste results'!$S$26+ Calc!BD89*'Waste results'!$S$62, "data missing"),
   IF(Calc!BD89=0,
     IF(OR('Waste results'!$S$26&lt;&gt;"data missing", 'Waste results'!$S$98&lt;&gt;"data missing"), Calc!BC89*'Waste results'!$S$26+ Calc!BE89*'Waste results'!$S$98, "data missing"),
   IF(Calc!BC89=0,
     IF(OR('Waste results'!$S$62&lt;&gt;"data missing", 'Waste results'!$S$98&lt;&gt;"data missing"), Calc!BD89*'Waste results'!$S$62+Calc!BE89*'Waste results'!$S$98, "data missing"),
   IF(OR('Waste results'!$S$26&lt;&gt;"data missing", 'Waste results'!$S$62&lt;&gt;"data missing", 'Waste results'!$S$98&lt;&gt;"data missing"), Calc!BC89*'Waste results'!$S$26+Calc!BD89*'Waste results'!$S$62+ Calc!BE89*'Waste results'!$S$98, "data missing")))))))))))</f>
        <v/>
      </c>
      <c r="AR91" s="241" t="str">
        <f ca="1">IF($B91="","",
IF(ISBLANK('Soil results'!L94),"data missing",'Soil results'!L94))</f>
        <v/>
      </c>
      <c r="AS91" s="241" t="str">
        <f t="shared" ca="1" si="25"/>
        <v/>
      </c>
      <c r="AT91" s="66" t="str">
        <f t="shared" ca="1" si="26"/>
        <v/>
      </c>
      <c r="AV91" s="238" t="str">
        <f ca="1">IF(B91="","",
IF(AND('Field information 2'!$O$5="", 'Field information 2'!$Q$5=""),
   IF('Waste results'!$S$27&lt;&gt;"data missing", Calc!BC89*'Waste results'!$S$27, "data missing"),
IF('Field information 2'!$Q$5="",
   IF(Calc!BD89=0,
     IF('Waste results'!$S$27&lt;&gt;"data missing", Calc!BC89*'Waste results'!$S$27, "data missing"),
   IF(Calc!BC89=0,
     IF('Waste results'!$S$63&lt;&gt;"data missing", Calc!BD89*'Waste results'!$S$63, "data missing"),
   IF(OR('Waste results'!$S$27&lt;&gt;"data missing", 'Waste results'!$S$63&lt;&gt;"data missing"), Calc!BC89*'Waste results'!$S$27+ Calc!BD89*'Waste results'!$S$63, "data missing"))),
IF(AND('Field information 2'!$M$5&lt;&gt;"", 'Field information 2'!$O$5&lt;&gt;"", 'Field information 2'!$Q$5&lt;&gt;""),
   IF(AND(Calc!BD89=0,Calc!BE89=0),
     IF('Waste results'!$S$27&lt;&gt;"data missing", Calc!BC89*'Waste results'!$S$27, "data missing"),
   IF(AND(Calc!BC89=0,Calc!BE89=0),
     IF('Waste results'!$S$63&lt;&gt;"data missing", Calc!BD89*'Waste results'!$S$63, "data missing"),
   IF(AND(Calc!BC89=0,Calc!BD89=0),
     IF('Waste results'!$S$99&lt;&gt;"data missing", Calc!BE89*'Waste results'!$S$99, "data missing"),
   IF(Calc!BE89=0,
     IF(OR('Waste results'!$S$27&lt;&gt;"data missing", 'Waste results'!$S$63&lt;&gt;"data missing"), Calc!BC89*'Waste results'!$S$27+ Calc!BD89*'Waste results'!$S$63, "data missing"),
   IF(Calc!BD89=0,
     IF(OR('Waste results'!$S$27&lt;&gt;"data missing", 'Waste results'!$S$99&lt;&gt;"data missing"), Calc!BC89*'Waste results'!$S$27+ Calc!BE89*'Waste results'!$S$99, "data missing"),
   IF(Calc!BC89=0,
     IF(OR('Waste results'!$S$63&lt;&gt;"data missing", 'Waste results'!$S$99&lt;&gt;"data missing"), Calc!BD89*'Waste results'!$S$63+Calc!BE89*'Waste results'!$S$99, "data missing"),
   IF(OR('Waste results'!$S$27&lt;&gt;"data missing", 'Waste results'!$S$63&lt;&gt;"data missing", 'Waste results'!$S$99&lt;&gt;"data missing"), Calc!BC89*'Waste results'!$S$27+Calc!BD89*'Waste results'!$S$63+ Calc!BE89*'Waste results'!$S$99, "data missing")))))))))))</f>
        <v/>
      </c>
      <c r="AW91" s="239" t="str">
        <f ca="1">IF($B91="","",
IF(ISBLANK('Soil results'!M94),"data missing",'Soil results'!M94))</f>
        <v/>
      </c>
      <c r="AX91" s="239" t="str">
        <f t="shared" ca="1" si="27"/>
        <v/>
      </c>
      <c r="AY91" s="9" t="str">
        <f ca="1">IF(B91="","",
IF(AV91=0,"n/a",
IF(OR(AV91="data missing",AW91="data missing"),"data missing",
IF(AV91&gt;7.5,"application rate too high - permissible rate exceeds limit",
IF('Soil results'!$F94&lt;=5.5,
  IF(AW91&gt;80,"no application - soil conc. already above limit",
  IF(AX91&gt;80,"application rate too high - soil conc. will exceed limit",
  IF(AW91&gt;80*0.9,"soil conc. is at or above 90% of the limit",
  IF(10*AV91*1000/3000+AW91&gt;80,"soil limit likely to be exceeded in 10yrs",
  IF(50*AV91*1000/3000+AW91&gt;80,"soil limit likely to be exceeded in 50yrs","ok"))))),
IF('Soil results'!$F94&lt;=6,
  IF(AW91&gt;100,"no application - soil conc. already above limit",
  IF(AX91&gt;100,"application rate too high - soil conc. will exceed limit",
  IF(AW91&gt;100*0.9,"soil conc. is at or above 90% of the limit",
  IF(10*AV91*1000/3000+AW91&gt;100,"soil limit likely to be exceeded in 10yrs",
  IF(50*AV91*1000/3000+AW91&gt;100,"soil limit likely to be exceeded in 50yrs","ok"))))),
IF('Soil results'!$F94&lt;=7,
  IF(AW91&gt;135,"no application - soil conc. already above limit",
  IF(AX91&gt;135,"application rate too high - soil conc. will exceed limit",
  IF(AW91&gt;135*0.9,"soil conc. is at or above 90% of the limit",
  IF(10*AV91*1000/3000+AW91&gt;135,"soil limit likely to be exceeded in 10yrs",
  IF(50*AV91*1000/3000+AW91&gt;135,"soil limit likely to be exceeded in 50yrs","ok"))))),
IF('Soil results'!$F94&gt;7,
  IF(AW91&gt;200,"no application - soil conc. already above limit",
  IF(AX91&gt;200,"application too high - soil conc. will exceed limit",
  IF(AW91&gt;200*0.9,"soil conc. is at or above 90% of the limit",
  IF(10*AV91*1000/3000+AW91&gt;200,"soil limit likely to be exceeded in 10yrs",
  IF(50*AV91*1000/3000+AW91&gt;200,"soil limit likely to be exceeded in 50yrs","ok")))))
))))))))</f>
        <v/>
      </c>
      <c r="BA91" s="238" t="str">
        <f ca="1">IF(B91="","",
IF(AND('Field information 2'!$O$5="", 'Field information 2'!$Q$5=""),
   IF('Waste results'!$S$28&lt;&gt;"data missing", Calc!BC89*'Waste results'!$S$28, "data missing"),
IF('Field information 2'!$Q$5="",
   IF(Calc!BD89=0,
     IF('Waste results'!$S$28&lt;&gt;"data missing", Calc!BC89*'Waste results'!$S$28, "data missing"),
   IF(Calc!BC89=0,
     IF('Waste results'!$S$64&lt;&gt;"data missing", Calc!BD89*'Waste results'!$S$64, "data missing"),
   IF(OR('Waste results'!$S$28&lt;&gt;"data missing", 'Waste results'!$S$64&lt;&gt;"data missing"), Calc!BC89*'Waste results'!$S$28+ Calc!BD89*'Waste results'!$S$64, "data missing"))),
IF(AND('Field information 2'!$M$5&lt;&gt;"", 'Field information 2'!$O$5&lt;&gt;"", 'Field information 2'!$Q$5&lt;&gt;""),
   IF(AND(Calc!BD89=0,Calc!BE89=0),
     IF('Waste results'!$S$28&lt;&gt;"data missing", Calc!BC89*'Waste results'!$S$28, "data missing"),
   IF(AND(Calc!BC89=0,Calc!BE89=0),
     IF('Waste results'!$S$64&lt;&gt;"data missing", Calc!BD89*'Waste results'!$S$64, "data missing"),
   IF(AND(Calc!BC89=0,Calc!BD89=0),
     IF('Waste results'!$S$100&lt;&gt;"data missing", Calc!BE89*'Waste results'!$S$100, "data missing"),
   IF(Calc!BE89=0,
     IF(OR('Waste results'!$S$28&lt;&gt;"data missing", 'Waste results'!$S$64&lt;&gt;"data missing"), Calc!BC89*'Waste results'!$S$28+ Calc!BD89*'Waste results'!$S$64, "data missing"),
   IF(Calc!BD89=0,
     IF(OR('Waste results'!$S$28&lt;&gt;"data missing", 'Waste results'!$S$100&lt;&gt;"data missing"), Calc!BC89*'Waste results'!$S$28+ Calc!BE89*'Waste results'!$S$100, "data missing"),
   IF(Calc!BC89=0,
     IF(OR('Waste results'!$S$64&lt;&gt;"data missing", 'Waste results'!$S$100&lt;&gt;"data missing"), Calc!BD89*'Waste results'!$S$64+Calc!BE89*'Waste results'!$S$100, "data missing"),
   IF(OR('Waste results'!$S$28&lt;&gt;"data missing", 'Waste results'!$S$64&lt;&gt;"data missing", 'Waste results'!$S$100&lt;&gt;"data missing"), Calc!BC89*'Waste results'!$S$28+Calc!BD89*'Waste results'!$S$64+ Calc!BE89*'Waste results'!$S$100, "data missing")))))))))))</f>
        <v/>
      </c>
      <c r="BB91" s="239" t="str">
        <f ca="1">IF($B91="","",
IF(ISBLANK('Soil results'!N94),"data missing",'Soil results'!N94))</f>
        <v/>
      </c>
      <c r="BC91" s="239" t="str">
        <f t="shared" ca="1" si="28"/>
        <v/>
      </c>
      <c r="BD91" s="9" t="str">
        <f t="shared" ca="1" si="29"/>
        <v/>
      </c>
      <c r="BF91" s="238" t="str">
        <f ca="1">IF(B91="","",
IF(AND('Field information 2'!$O$5="", 'Field information 2'!$Q$5=""),
   IF('Waste results'!$S$29&lt;&gt;"data missing", Calc!BC89*'Waste results'!$S$29, "data missing"),
IF('Field information 2'!$Q$5="",
   IF(Calc!BD89=0,
     IF('Waste results'!$S$29&lt;&gt;"data missing", Calc!BC89*'Waste results'!$S$29, "data missing"),
   IF(Calc!BC89=0,
     IF('Waste results'!$S$65&lt;&gt;"data missing", Calc!BD89*'Waste results'!$S$65, "data missing"),
   IF(OR('Waste results'!$S$29&lt;&gt;"data missing", 'Waste results'!$S$65&lt;&gt;"data missing"), Calc!BC89*'Waste results'!$S$29+ Calc!BD89*'Waste results'!$S$65, "data missing"))),
IF(AND('Field information 2'!$M$5&lt;&gt;"", 'Field information 2'!$O$5&lt;&gt;"", 'Field information 2'!$Q$5&lt;&gt;""),
   IF(AND(Calc!BD89=0,Calc!BE89=0),
     IF('Waste results'!$S$29&lt;&gt;"data missing", Calc!BC89*'Waste results'!$S$29, "data missing"),
   IF(AND(Calc!BC89=0,Calc!BE89=0),
     IF('Waste results'!$S$65&lt;&gt;"data missing", Calc!BD89*'Waste results'!$S$65, "data missing"),
   IF(AND(Calc!BC89=0,Calc!BD89=0),
     IF('Waste results'!$S$101&lt;&gt;"data missing", Calc!BE89*'Waste results'!$S$101, "data missing"),
   IF(Calc!BE89=0,
     IF(OR('Waste results'!$S$29&lt;&gt;"data missing", 'Waste results'!$S$65&lt;&gt;"data missing"), Calc!BC89*'Waste results'!$S$29+ Calc!BD89*'Waste results'!$S$65, "data missing"),
   IF(Calc!BD89=0,
     IF(OR('Waste results'!$S$29&lt;&gt;"data missing", 'Waste results'!$S$101&lt;&gt;"data missing"), Calc!BC89*'Waste results'!$S$29+ Calc!BE89*'Waste results'!$S$101, "data missing"),
   IF(Calc!BC89=0,
     IF(OR('Waste results'!$S$65&lt;&gt;"data missing", 'Waste results'!$S$101&lt;&gt;"data missing"), Calc!BD89*'Waste results'!$S$65+Calc!BE89*'Waste results'!$S$101, "data missing"),
   IF(OR('Waste results'!$S$29&lt;&gt;"data missing", 'Waste results'!$S$65&lt;&gt;"data missing", 'Waste results'!$S$101&lt;&gt;"data missing"), Calc!BC89*'Waste results'!$S$29+Calc!BD89*'Waste results'!$S$65+ Calc!BE89*'Waste results'!$S$101, "data missing")))))))))))</f>
        <v/>
      </c>
      <c r="BG91" s="239" t="str">
        <f ca="1">IF($B91="","",
IF(ISBLANK('Soil results'!O94),"data missing",'Soil results'!O94))</f>
        <v/>
      </c>
      <c r="BH91" s="239" t="str">
        <f t="shared" ca="1" si="30"/>
        <v/>
      </c>
      <c r="BI91" s="9" t="str">
        <f ca="1">IF(B91="","",
IF(BF91=0,"n/a",
IF(OR(BF91="data missing",BG91="data missing"),"data missing",
IF(BF91&gt;3,"application rate too high - permissible rate exceeds limit",
IF('Soil results'!F94&lt;=5.5,
  IF(BG91&gt;50,"no application - soil conc. already above limit",
  IF(BH91&gt;50,"application rate too high - soil conc. will exceed limit",
  IF(BG91&gt;50*0.9,"soil conc. is at or above 90% of the limit",
  IF(10*BF91*1000/3000+BG91&gt;50,"soil limit likely to be exceeded in 10yrs",
  IF(50*BF91*1000/3000+BG91&gt;50,"soil limit likely to be exceeded in 50yrs","ok"))))),
IF('Soil results'!F94&lt;=6,
  IF(BG91&gt;60,"no application - soil conc. already above limit",
  IF(BH91&gt;60,"application rate too high - soil conc. will exceed limit",
  IF(BG91&gt;60*0.9,"soil conc. is at or above 90% of the limit",
  IF(10*BF91*1000/3000+BG91&gt;60,"soil limit likely to be exceeded in 10yrs",
  IF(50*BF91*1000/3000+BG91&gt;60,"soil limit likely to be exceeded in 50yrs","ok"))))),
IF('Soil results'!F94&lt;=7,
  IF(BG91&gt;75,"no application - soil conc. already above limit",
  IF(BH91&gt;75,"application rate too high - soil conc. will exceed limit",
  IF(BG91&gt;75*0.9,"soil conc. is at or above 90% of the limit",
  IF(10*BF91*1000/3000+BG91&gt;75,"soil limit likely to be exceeded in 10yrs",
  IF(50*BF91*1000/3000+BG91&gt;75,"soil limit likely to be exceeded in 50yrs","ok"))))),
IF('Soil results'!F94&gt;7,
  IF(BG91&gt;100,"no application - soil conc. already above limit",
  IF(BH91&gt;100,"application rate too high - soil conc. will exceed limit",
  IF(BG91&gt;100*0.9,"soil conc. is at or above 90% of the limit",
  IF(10*BF91*1000/3000+BG91&gt;100,"soil limit likely to be exceeded in 10yrs",
  IF(50*BF91*1000/3000+BG91&gt;100,"soil limit likely to beexceeded in 50yrs","ok")))))
))))))))</f>
        <v/>
      </c>
      <c r="BK91" s="240" t="str">
        <f ca="1">IF(B91="","",
IF(AND('Field information 2'!$O$5="", 'Field information 2'!$Q$5=""),
   IF('Waste results'!$S$30&lt;&gt;"data missing", Calc!BC89*'Waste results'!$S$30, "data missing"),
IF('Field information 2'!$Q$5="",
   IF(Calc!BD89=0,
     IF('Waste results'!$S$30&lt;&gt;"data missing", Calc!BC89*'Waste results'!$S$30, "data missing"),
   IF(Calc!BC89=0,
     IF('Waste results'!$S$66&lt;&gt;"data missing", Calc!BD89*'Waste results'!$S$66, "data missing"),
   IF(OR('Waste results'!$S$30&lt;&gt;"data missing", 'Waste results'!$S$66&lt;&gt;"data missing"), Calc!BC89*'Waste results'!$S$30+ Calc!BD89*'Waste results'!$S$66, "data missing"))),
IF(AND('Field information 2'!$M$5&lt;&gt;"", 'Field information 2'!$O$5&lt;&gt;"", 'Field information 2'!$Q$5&lt;&gt;""),
   IF(AND(Calc!BD89=0,Calc!BE89=0),
     IF('Waste results'!$S$30&lt;&gt;"data missing", Calc!BC89*'Waste results'!$S$30, "data missing"),
   IF(AND(Calc!BC89=0,Calc!BE89=0),
     IF('Waste results'!$S$66&lt;&gt;"data missing", Calc!BD89*'Waste results'!$S$66, "data missing"),
   IF(AND(Calc!BC89=0,Calc!BD89=0),
     IF('Waste results'!$S$102&lt;&gt;"data missing", Calc!BE89*'Waste results'!$S$102, "data missing"),
   IF(Calc!BE89=0,
     IF(OR('Waste results'!$S$30&lt;&gt;"data missing", 'Waste results'!$S$66&lt;&gt;"data missing"), Calc!BC89*'Waste results'!$S$30+ Calc!BD89*'Waste results'!$S$66, "data missing"),
   IF(Calc!BD89=0,
     IF(OR('Waste results'!$S$30&lt;&gt;"data missing", 'Waste results'!$S$102&lt;&gt;"data missing"), Calc!BC89*'Waste results'!$S$30+ Calc!BE89*'Waste results'!$S$102, "data missing"),
   IF(Calc!BC89=0,
     IF(OR('Waste results'!$S$66&lt;&gt;"data missing", 'Waste results'!$S$102&lt;&gt;"data missing"), Calc!BD89*'Waste results'!$S$66+Calc!BE89*'Waste results'!$S$102, "data missing"),
   IF(OR('Waste results'!$S$30&lt;&gt;"data missing", 'Waste results'!$S$66&lt;&gt;"data missing", 'Waste results'!$S$102&lt;&gt;"data missing"), Calc!BC89*'Waste results'!$S$30+Calc!BD89*'Waste results'!$S$66+ Calc!BE89*'Waste results'!$S$102, "data missing")))))))))))</f>
        <v/>
      </c>
      <c r="BL91" s="241" t="str">
        <f ca="1">IF($B91="","",
IF(ISBLANK('Soil results'!P94),"data missing",'Soil results'!P94))</f>
        <v/>
      </c>
      <c r="BM91" s="241" t="str">
        <f t="shared" ca="1" si="31"/>
        <v/>
      </c>
      <c r="BN91" s="66" t="str">
        <f t="shared" ca="1" si="32"/>
        <v/>
      </c>
      <c r="BP91" s="238" t="str">
        <f ca="1">IF(B91="","",
IF(AND('Field information 2'!$O$5="", 'Field information 2'!$Q$5=""),
   IF('Waste results'!$S$31&lt;&gt;"data missing", Calc!BC89*'Waste results'!$S$31, "data missing"),
IF('Field information 2'!$Q$5="",
   IF(Calc!BD89=0,
     IF('Waste results'!$S$31&lt;&gt;"data missing", Calc!BC89*'Waste results'!$S$31, "data missing"),
   IF(Calc!BC89=0,
     IF('Waste results'!$S$67&lt;&gt;"data missing", Calc!BD89*'Waste results'!$S$67, "data missing"),
   IF(OR('Waste results'!$S$31&lt;&gt;"data missing", 'Waste results'!$S$67&lt;&gt;"data missing"), Calc!BC89*'Waste results'!$S$31+ Calc!BD89*'Waste results'!$S$67, "data missing"))),
IF(AND('Field information 2'!$M$5&lt;&gt;"", 'Field information 2'!$O$5&lt;&gt;"", 'Field information 2'!$Q$5&lt;&gt;""),
   IF(AND(Calc!BD89=0,Calc!BE89=0),
     IF('Waste results'!$S$31&lt;&gt;"data missing", Calc!BC89*'Waste results'!$S$31, "data missing"),
   IF(AND(Calc!BC89=0,Calc!BE89=0),
     IF('Waste results'!$S$67&lt;&gt;"data missing", Calc!BD89*'Waste results'!$S$67, "data missing"),
   IF(AND(Calc!BC89=0,Calc!BD89=0),
     IF('Waste results'!$S$103&lt;&gt;"data missing", Calc!BE89*'Waste results'!$S$103, "data missing"),
   IF(Calc!BE89=0,
     IF(OR('Waste results'!$S$31&lt;&gt;"data missing", 'Waste results'!$S$67&lt;&gt;"data missing"), Calc!BC89*'Waste results'!$S$31+ Calc!BD89*'Waste results'!$S$67, "data missing"),
   IF(Calc!BD89=0,
     IF(OR('Waste results'!$S$31&lt;&gt;"data missing", 'Waste results'!$S$103&lt;&gt;"data missing"), Calc!BC89*'Waste results'!$S$31+ Calc!BE89*'Waste results'!$S$103, "data missing"),
   IF(Calc!BC89=0,
     IF(OR('Waste results'!$S$67&lt;&gt;"data missing", 'Waste results'!$S$103&lt;&gt;"data missing"), Calc!BD89*'Waste results'!$S$67+Calc!BE89*'Waste results'!$S$103, "data missing"),
   IF(OR('Waste results'!$S$31&lt;&gt;"data missing", 'Waste results'!$S$67&lt;&gt;"data missing", 'Waste results'!$S$103&lt;&gt;"data missing"), Calc!BC89*'Waste results'!$S$31+Calc!BD89*'Waste results'!$S$67+ Calc!BE89*'Waste results'!$S$103, "data missing")))))))))))</f>
        <v/>
      </c>
      <c r="BQ91" s="239" t="str">
        <f ca="1">IF($B91="","",
IF(ISBLANK('Soil results'!Q94),"data missing",'Soil results'!Q94))</f>
        <v/>
      </c>
      <c r="BR91" s="239" t="str">
        <f t="shared" ca="1" si="33"/>
        <v/>
      </c>
      <c r="BS91" s="9" t="str">
        <f ca="1">IF(B91="","",
IF(BP91=0,"n/a",
IF(OR(BP91="data missing",BQ91=""),"data missing",
IF(BP91&gt;15,"application rate too high - permissible rate exceeds limit",
IF('Soil results'!F94&lt;=5.5,
  IF(BQ91&gt;200,"no application - soil conc. already above limit",
  IF(BR91&gt;200,"application rate too high - soil conc. will exceed limit",
  IF(BQ91&gt;200*0.9,"soil conc. is at or above 90% of the limit",
  IF(10*BP91*1000/3000+BQ91&gt;200,"soil limit likely to be exceeded in 10yrs",
  IF(50*BP91*1000/3000+BQ91&gt;200,"soil limit likely to be exceeded in 50yrs","ok"))))),
IF('Soil results'!F94&lt;=6,
  IF(BQ91&gt;250,"no application - soil conc. already above limit",
  IF(BR91&gt;250,"application rate too high - soil conc. will exceed limit",
  IF(BQ91&gt;250*0.9,"soil conc. is at or above 90% of the limit",
  IF(10*BP91*1000/3000+BQ91&gt;250,"soil limit likely to be exceeded in 10yrs",
  IF(50*BP91*1000/3000+BQ91&gt;250,"soil limit likely to be exceeded in 50yrs","ok"))))),
IF('Soil results'!F94&lt;=7,
  IF(BQ91&gt;300,"no application - soil conc. already above limit",
  IF(BR91&gt;300,"application rate too high - soil conc. will exceed limit",
  IF(BQ91&gt;300*0.9,"soil conc. is at or above 90% of the limit",
  IF(10*BP91*1000/3000+BQ91&gt;300,"soil limit likey to be exceeded in 10yrs",
  IF(50*BP91*1000/3000+BQ91&gt;300,"soil limit likely to be exceeded in 50yrs","ok"))))),
IF('Soil results'!F94&gt;7,
  IF(BQ91&gt;450,"no application - soil conc. already above limit",
  IF(BR91&gt;450,"application rate too high - soil conc. will exceed limit",
  IF(AW91&gt;450*0.9,"soil conc. is at or above 90% of the limit",
  IF(10*BP91*1000/3000+BQ91&gt;450,"soil limit likely to be exceeded in 10yrs",
  IF(50*BP91*1000/3000+BQ91&gt;450,"soil limit likely to be exceeded in 50yrs","ok")))))
))))))))</f>
        <v/>
      </c>
    </row>
    <row r="92" spans="2:71" s="9" customFormat="1" ht="15" x14ac:dyDescent="0.25">
      <c r="B92" s="236" t="str">
        <f ca="1">'Soil results'!B95</f>
        <v/>
      </c>
      <c r="C92" s="91" t="str">
        <f ca="1">IF(B92="","",
IF(AND('Field information 2'!$O$5="", 'Field information 2'!$Q$5=""),
   IF('Waste results'!$S$12&lt;&gt;"data missing", Calc!BC90*'Waste results'!$S$12, "data missing"),
IF('Field information 2'!$Q$5="",
   IF(Calc!BD90=0,
     IF('Waste results'!$S$12&lt;&gt;"data missing", Calc!BC90*'Waste results'!$S$12, "data missing"),
   IF(Calc!BC90=0,
     IF('Waste results'!$S$48&lt;&gt;"data missing", Calc!BD90*'Waste results'!$S$48, "data missing"),
   IF(OR('Waste results'!$S$12&lt;&gt;"data missing", 'Waste results'!$S$48&lt;&gt;"data missing"), Calc!BC90*'Waste results'!$S$12+ Calc!BD90*'Waste results'!$S$48, "data missing"))),
IF(AND('Field information 2'!$M$5&lt;&gt;"", 'Field information 2'!$O$5&lt;&gt;"", 'Field information 2'!$Q$5&lt;&gt;""),
   IF(AND(Calc!BD90=0,Calc!BE90=0),
     IF('Waste results'!$S$12&lt;&gt;"data missing", Calc!BC90*'Waste results'!$S$12, "data missing"),
   IF(AND(Calc!BC90=0,Calc!BE90=0),
     IF('Waste results'!$S$48&lt;&gt;"data missing", Calc!BD90*'Waste results'!$S$48, "data missing"),
   IF(AND(Calc!BC90=0,Calc!BD90=0),
     IF('Waste results'!$S$84&lt;&gt;"data missing", Calc!BE90*'Waste results'!$S$84, "data missing"),
   IF(Calc!BE90=0,
     IF(OR('Waste results'!$S$12&lt;&gt;"data missing", 'Waste results'!$S$48&lt;&gt;"data missing"), Calc!BC90*'Waste results'!$S$12+ Calc!BD90*'Waste results'!$S$48, "data missing"),
   IF(Calc!BD90=0,
     IF(OR('Waste results'!$S$12&lt;&gt;"data missing", 'Waste results'!$S$84&lt;&gt;"data missing"), Calc!BC90*'Waste results'!$S$12+ Calc!BE90*'Waste results'!$S$84, "data missing"),
   IF(Calc!BC90=0,
     IF(OR('Waste results'!$S$48&lt;&gt;"data missing", 'Waste results'!$S$84&lt;&gt;"data missing"), Calc!BD90*'Waste results'!$S$48+Calc!BE90*'Waste results'!$S$84, "data missing"),
   IF(OR('Waste results'!$S$12&lt;&gt;"data missing", 'Waste results'!$S$48&lt;&gt;"data missing", 'Waste results'!$S$84&lt;&gt;"data missing"), Calc!BC90*'Waste results'!$S$12+Calc!BD90*'Waste results'!$S$48+ Calc!BE90*'Waste results'!$S$84, "data missing")))))))))))</f>
        <v/>
      </c>
      <c r="D92" s="161" t="str">
        <f ca="1">IF(B92="","",
IF(Calc!BG90="","soil texture missing",
IF(OR(Calc!BG90="SL; SZL; ZL",Calc!BG90="SCL; CL; ZCL; SC; ZC; C"),VLOOKUP(Calc!BI90,'Fertiliser recommendations'!$A$4:$C$63,3,FALSE),
IF(Calc!BG90="S; LS",VLOOKUP(Calc!BI90,'Fertiliser recommendations'!$A$4:$C$63,3,FALSE)+VLOOKUP(Calc!BI90,'Fertiliser recommendations'!$A$4:$D$63,4,FALSE),
IF(Calc!BG90="10-25% OM",VLOOKUP(Calc!BI90,'Fertiliser recommendations'!$A$4:$C$63,3,FALSE)+VLOOKUP(Calc!BI90,'Fertiliser recommendations'!$A$4:$E$63,5,FALSE),
IF(Calc!BG90="&gt;25% OM",VLOOKUP(Calc!BI90,'Fertiliser recommendations'!$A$4:$C$63,3,FALSE)+VLOOKUP(Calc!BI90,'Fertiliser recommendations'!$A$4:$F$63,6,FALSE),
""))))))</f>
        <v/>
      </c>
      <c r="E92" s="91" t="str">
        <f t="shared" ca="1" si="17"/>
        <v/>
      </c>
      <c r="F92" s="9" t="str">
        <f ca="1">IF(B92="","",
IF(OR(C92="data missing",D92="soil texture missing"),"data missing",
IF(Calc!BF90=0,"n/a",
IF(C92&lt;0.1*D92,"no benefit",
IF(C92&lt;0.3*D92,"limited benefit",
IF(C92&gt;250,"exceeds limit",
IF(OR(AND(D92=0,C92&gt;75),C92&gt;1.25*D92),"excessive",
IF(D92=0, "no requirement",
"benefit"))))))))</f>
        <v/>
      </c>
      <c r="H92" s="91" t="str">
        <f ca="1">IF(B92="","",
IF(AND('Field information 2'!$O$5="", 'Field information 2'!$Q$5=""),
   IF('Waste results'!$S$17&lt;&gt;"data missing", Calc!BC90*'Waste results'!$S$17, "data missing"),
IF('Field information 2'!$Q$5="",
   IF(Calc!BD90=0,
     IF('Waste results'!$S$17&lt;&gt;"data missing", Calc!BC90*'Waste results'!$S$17, "data missing"),
   IF(Calc!BC90=0,
     IF('Waste results'!$S$53&lt;&gt;"data missing", Calc!BD90*'Waste results'!$S$53, "data missing"),
   IF(OR('Waste results'!$S$17&lt;&gt;"data missing", 'Waste results'!$S$53&lt;&gt;"data missing"), Calc!BC90*'Waste results'!$S$17+ Calc!BD90*'Waste results'!$S$53, "data missing"))),
IF(AND('Field information 2'!$M$5&lt;&gt;"", 'Field information 2'!$O$5&lt;&gt;"", 'Field information 2'!$Q$5&lt;&gt;""),
   IF(AND(Calc!BD90=0,Calc!BE90=0),
     IF('Waste results'!$S$17&lt;&gt;"data missing", Calc!BC90*'Waste results'!$S$17, "data missing"),
   IF(AND(Calc!BC90=0,Calc!BE90=0),
     IF('Waste results'!$S$53&lt;&gt;"data missing", Calc!BD90*'Waste results'!$S$53, "data missing"),
   IF(AND(Calc!BC90=0,Calc!BD90=0),
     IF('Waste results'!$S$89&lt;&gt;"data missing", Calc!BE90*'Waste results'!$S$89, "data missing"),
   IF(Calc!BE90=0,
     IF(OR('Waste results'!$S$17&lt;&gt;"data missing", 'Waste results'!$S$53&lt;&gt;"data missing"), Calc!BC90*'Waste results'!$S$17+ Calc!BD90*'Waste results'!$S$53, "data missing"),
   IF(Calc!BD90=0,
     IF(OR('Waste results'!$S$17&lt;&gt;"data missing", 'Waste results'!$S$89&lt;&gt;"data missing"), Calc!BC90*'Waste results'!$S$17+ Calc!BE90*'Waste results'!$S$89, "data missing"),
   IF(Calc!BC90=0,
     IF(OR('Waste results'!$S$53&lt;&gt;"data missing", 'Waste results'!$S$89&lt;&gt;"data missing"), Calc!BD90*'Waste results'!$S$53+Calc!BE90*'Waste results'!$S$89, "data missing"),
   IF(OR('Waste results'!$S$17&lt;&gt;"data missing", 'Waste results'!$S$53&lt;&gt;"data missing", 'Waste results'!$S$89&lt;&gt;"data missing"), Calc!BC90*'Waste results'!$S$17+Calc!BD90*'Waste results'!$S$53+ Calc!BE90*'Waste results'!$S$89, "data missing")))))))))))</f>
        <v/>
      </c>
      <c r="I92" s="195" t="str">
        <f ca="1">IF(B92="","",
IF(OR(ISBLANK('Soil results'!G95), ISBLANK('Soil results'!G$7)),"data missing",
IF(OR(AND('Soil results'!G$7="Olsen (ADAS)",'Soil results'!G95&lt;16),AND('Soil results'!G$7="modified Morgan (SAC)",'Soil results'!G95&lt;4.5)),50,100)))</f>
        <v/>
      </c>
      <c r="J92" s="49" t="str">
        <f ca="1">IF(B92="","",
IF(OR(ISBLANK('Soil results'!G$7),ISBLANK('Soil results'!G95)),"data missing",
IF(OR(AND('Soil results'!G$7="Olsen (ADAS)",'Soil results'!G95&gt;45),AND('Soil results'!G$7="modified Morgan (SAC)",'Soil results'!G95&gt;30)),0,
IF(OR(AND('Soil results'!G$7="Olsen (ADAS)",'Soil results'!G95&gt;=16,'Soil results'!G95&lt;=20),AND('Soil results'!G$7="modified Morgan (SAC)",'Soil results'!G95&gt;=4.5,'Soil results'!G95&lt;=9.4)),VLOOKUP(Calc!BI90,'Fertiliser recommendations'!$A$4:$I$63,9,FALSE),
IF(OR(AND('Soil results'!G$7="Olsen (ADAS)",'Soil results'!G95&lt;10),AND('Soil results'!G$7="modified Morgan (SAC)",'Soil results'!G95&lt;1.8)),VLOOKUP(Calc!BI90,'Fertiliser recommendations'!$A$4:$I$63,9,FALSE)+VLOOKUP(Calc!BI90,'Fertiliser recommendations'!$A$4:$J$63,10,FALSE),
IF(OR(AND('Soil results'!G$7="Olsen (ADAS)",'Soil results'!G95&lt;16),AND('Soil results'!G$7="modified Morgan (SAC)",'Soil results'!G95&lt;4.5)),VLOOKUP(Calc!BI90,'Fertiliser recommendations'!$A$4:$I$63,9,FALSE)+VLOOKUP(Calc!BI90,'Fertiliser recommendations'!$A$4:$K$63,11,FALSE),
IF(OR(AND('Soil results'!G$7="Olsen (ADAS)",'Soil results'!G95&lt;26),AND('Soil results'!G$7="modified Morgan (SAC)",'Soil results'!G95&lt;13.5)),VLOOKUP(Calc!BI90,'Fertiliser recommendations'!$A$4:$I$63,9,FALSE)+VLOOKUP(Calc!BI90,'Fertiliser recommendations'!$A$4:$L$63,12,FALSE),
IF(OR(AND('Soil results'!G$7="Olsen (ADAS)",'Soil results'!G95&lt;=45),AND('Soil results'!G$7="modified Morgan (SAC)",'Soil results'!G95&lt;=30)),VLOOKUP(Calc!BI90,'Fertiliser recommendations'!$A$4:$I$63,9,FALSE)+VLOOKUP(Calc!BI90,'Fertiliser recommendations'!$A$4:$M$63,13,FALSE),
""))))))))</f>
        <v/>
      </c>
      <c r="K92" s="161" t="str">
        <f t="shared" ca="1" si="18"/>
        <v/>
      </c>
      <c r="L92" s="47" t="str">
        <f ca="1">IF(OR(ISBLANK('Soil results'!G$7),ISBLANK('Soil results'!G95),B92="", H92="data missing"),"",
IF('Soil results'!G$7="Olsen (ADAS)",
IF(((H92*Calc!BM90/2.291-(VLOOKUP(Calc!BI90,'Fertiliser recommendations'!$A$4:$I$63,9,FALSE))/2.291)*10/(400/2.291)+'Soil results'!G95)&lt;10,"0 (VL)",
IF(((H92*Calc!BM90/2.291-(VLOOKUP(Calc!BI90,'Fertiliser recommendations'!$A$4:$I$63,9,FALSE))/2.291)*10/(400/2.291)+'Soil results'!G95)&lt;16,"1 (L)",
IF(((H92*Calc!BM90/2.291-(VLOOKUP(Calc!BI90,'Fertiliser recommendations'!$A$4:$I$63,9,FALSE))/2.291)*10/(400/2.291)+'Soil results'!G95)&lt;21,"2 (M-)",
IF(((H92*Calc!BM90/2.291-(VLOOKUP(Calc!BI90,'Fertiliser recommendations'!$A$4:$I$63,9,FALSE))/2.291)*10/(400/2.291)+'Soil results'!G95)&lt;26,"2 (M+)",
IF(((H92*Calc!BM90/2.291-(VLOOKUP(Calc!BI90,'Fertiliser recommendations'!$A$4:$I$63,9,FALSE))/2.291)*10/(400/2.291)+'Soil results'!G95)&lt;45,"3 (H)","&gt;3 (VH)"))))),
IF('Soil results'!G$7="modified Morgan (SAC)",
IF('Soil results'!G95&gt;=6,
IF(((H92*Calc!BM90/2.291-(VLOOKUP(Calc!BI90,'Fertiliser recommendations'!$A$4:$I$63,9,FALSE))/2.291)*5/(147/2.291)+'Soil results'!G95)&lt;9.5,"2 (M-)",
IF(((H92*Calc!BM90/2.291-(VLOOKUP(Calc!BI90,'Fertiliser recommendations'!$A$4:$I$63,9,FALSE))/2.291)*5/(147/2.291)+'Soil results'!G95)&lt;13.5,"2 (M+)",
IF(((H92*Calc!BM90/2.291-(VLOOKUP(Calc!BI90,'Fertiliser recommendations'!$A$4:$I$63,9,FALSE))/2.291)*5/(147/2.291)+'Soil results'!G95)&lt;30,"3 (H)","4 (VH)"))),
IF(((H92*Calc!BM90/2.291-(VLOOKUP(Calc!BI90,'Fertiliser recommendations'!$A$4:$I$63,9,FALSE))/2.291)*5/(346/2.291)+'Soil results'!G95)&lt;1.8,"0 (VL)",
IF(((H92*Calc!BM90/2.291-(VLOOKUP(Calc!BI90,'Fertiliser recommendations'!$A$4:$I$63,9,FALSE))/2.291)*5/(147/2.291)+'Soil results'!G95)&lt;4.5,"1 (L)","2 (M-)"))))))</f>
        <v/>
      </c>
      <c r="M92" s="9" t="str">
        <f ca="1">IF(B92="","",
IF(OR(H92="data missing",I92="data missing",J92="data missing"),"data missing",
IF(Calc!BF90=0,"n/a",
IF(OR(AND('Soil results'!G$7="Olsen (ADAS)",'Soil results'!G95&gt;45),AND('Soil results'!G$7="modified Morgan (SAC)",'Soil results'!G95&gt;30)),
IF(H92&gt;2,"too high, not acceptable","no requirement"),IF(OR(AND('Soil results'!G$7="Olsen (ADAS)",'Soil results'!G95&gt;25),AND('Soil results'!G$7="modified Morgan (SAC)",'Soil results'!G95&gt;13.4)),
IF(H92*(I92/100)&lt;0.1*J92,"no benefit",
IF(H92*(I92/100)&lt;0.3*J92,"limited benefit",
IF(H92*(I92/100)&lt;1.1*J92,"benefit",
IF(H92*(I92/100)&lt;0.7*VLOOKUP(Calc!BI90,'Fertiliser recommendations'!$A$4:$I$63,9,FALSE),"excessive","too high, not acceptable")))),
IF(OR(AND('Soil results'!G$7="Olsen (ADAS)",'Soil results'!G95&gt;20),AND('Soil results'!G$7="modified Morgan (SAC)",'Soil results'!G95&gt;9.4)),
IF(H92*Calc!BM90*(I92/100)&lt;0.1*J92,"no benefit",
IF(H92*Calc!BM90*(I92/100)&lt;0.3*J92,"limited benefit",
IF(H92*Calc!BM90*(I92/100)&lt;1.1*J92,"benefit",
IF(L92="3 (H)","too high, not acceptable","excessive")))),
IF(OR(AND('Soil results'!G$7="Olsen (ADAS)",'Soil results'!G95&gt;15),AND('Soil results'!G$7="modified Morgan (SAC)",'Soil results'!G95&gt;4.4)),
IF(H92*Calc!BM90*(I92/100)&lt;0.1*VLOOKUP(Calc!BI90,'Fertiliser recommendations'!$A$4:$I$63,9,FALSE),"no benefit",
IF(H92*Calc!BM90*(I92/100)&lt;0.3*VLOOKUP(Calc!BI90,'Fertiliser recommendations'!$A$4:$I$63,9,FALSE),"limited benefit",
IF(H92*Calc!BM90*(I92/100)&lt;1.1*VLOOKUP(Calc!BI90,'Fertiliser recommendations'!$A$4:$I$63,9,FALSE),"benefit",
IF(L92="3 (H)", "too high, not acceptable", "excessive")))),
IF(OR(AND('Soil results'!G$7="Olsen (ADAS)",'Soil results'!G95&lt;=15),AND('Soil results'!G$7="modified Morgan (SAC)",'Soil results'!G95&lt;=4.4)),
IF(H92*Calc!BM90*(I92/100)&lt;0.1*VLOOKUP(Calc!BI90,'Fertiliser recommendations'!$A$4:$I$63,9,FALSE),"no benefit",
IF(H92*Calc!BM90*(I92/100)&lt;0.3*VLOOKUP(Calc!BI90,'Fertiliser recommendations'!$A$4:$I$63,9,FALSE),"limited benefit",
IF(H92*Calc!BM90*(I92/100)&lt;1.1*J92,"benefit","excessive")))))))))))</f>
        <v/>
      </c>
      <c r="O92" s="91" t="str">
        <f ca="1">IF(B92="","",
IF(AND('Field information 2'!$O$5="", 'Field information 2'!$Q$5=""),
   IF('Waste results'!$S$19&lt;&gt;"data missing", Calc!BC90*'Waste results'!$S$19, "data missing"),
IF('Field information 2'!$Q$5="",
   IF(Calc!BD90=0,
     IF('Waste results'!$S$19&lt;&gt;"data missing", Calc!BC90*'Waste results'!$S$19, "data missing"),
   IF(Calc!BC90=0,
     IF('Waste results'!$S$55&lt;&gt;"data missing", Calc!BD90*'Waste results'!$S$55, "data missing"),
   IF(OR('Waste results'!$S$19&lt;&gt;"data missing", 'Waste results'!$S$55&lt;&gt;"data missing"), Calc!BC90*'Waste results'!$S$19+ Calc!BD90*'Waste results'!$S$55, "data missing"))),
IF(AND('Field information 2'!$M$5&lt;&gt;"", 'Field information 2'!$O$5&lt;&gt;"", 'Field information 2'!$Q$5&lt;&gt;""),
   IF(AND(Calc!BD90=0,Calc!BE90=0),
     IF('Waste results'!$S$19&lt;&gt;"data missing", Calc!BC90*'Waste results'!$S$19, "data missing"),
   IF(AND(Calc!BC90=0,Calc!BE90=0),
     IF('Waste results'!$S$55&lt;&gt;"data missing", Calc!BD90*'Waste results'!$S$55, "data missing"),
   IF(AND(Calc!BC90=0,Calc!BD90=0),
     IF('Waste results'!$S$91&lt;&gt;"data missing", Calc!BE90*'Waste results'!$S$91, "data missing"),
   IF(Calc!BE90=0,
     IF(OR('Waste results'!$S$19&lt;&gt;"data missing", 'Waste results'!$S$55&lt;&gt;"data missing"), Calc!BC90*'Waste results'!$S$19+ Calc!BD90*'Waste results'!$S$55, "data missing"),
   IF(Calc!BD90=0,
     IF(OR('Waste results'!$S$19&lt;&gt;"data missing", 'Waste results'!$S$91&lt;&gt;"data missing"), Calc!BC90*'Waste results'!$S$19+ Calc!BE90*'Waste results'!$S$91, "data missing"),
   IF(Calc!BC90=0,
     IF(OR('Waste results'!$S$55&lt;&gt;"data missing", 'Waste results'!$S$91&lt;&gt;"data missing"), Calc!BD90*'Waste results'!$S$55+Calc!BE90*'Waste results'!$S$91, "data missing"),
   IF(OR('Waste results'!$S$19&lt;&gt;"data missing", 'Waste results'!$S$55&lt;&gt;"data missing", 'Waste results'!$S$91&lt;&gt;"data missing"), Calc!BC90*'Waste results'!$S$19+Calc!BD90*'Waste results'!$S$55+ Calc!BE90*'Waste results'!$S$91, "data missing")))))))))))</f>
        <v/>
      </c>
      <c r="P92" s="91" t="str">
        <f ca="1">IF(B92="","",
IF(OR(ISBLANK('Soil results'!H$7),ISBLANK('Soil results'!H95)),"data missing",
IF(OR(AND('Soil results'!H$7="ammonium nitrate (ADAS)",'Soil results'!H95&gt;400),AND('Soil results'!H$7="modified Morgan (SAC)",'Soil results'!H95&gt;400)),0,
IF(OR(AND('Soil results'!H$7="ammonium nitrate (ADAS)",'Soil results'!H95&gt;=121,'Soil results'!H95&lt;=180),AND('Soil results'!H$7="modified Morgan (SAC)",'Soil results'!H95&gt;=76,'Soil results'!H95&lt;=140)),VLOOKUP(Calc!BI90,'Fertiliser recommendations'!$A$4:$Z$63,26,FALSE),
IF(OR(AND('Soil results'!H$7="ammonium nitrate (ADAS)",'Soil results'!H95&lt;61),AND('Soil results'!H$7="modified Morgan (SAC)",'Soil results'!H95&lt;40)),VLOOKUP(Calc!BI90,'Fertiliser recommendations'!$A$4:$Z$63,26,FALSE)+VLOOKUP(Calc!BI90,'Fertiliser recommendations'!$A$4:$AA$63,27,FALSE),
IF(OR(AND('Soil results'!H$7="ammonium nitrate (ADAS)",'Soil results'!H95&lt;121),AND('Soil results'!H$7="modified Morgan (SAC)",'Soil results'!H95&lt;76)),VLOOKUP(Calc!BI90,'Fertiliser recommendations'!$A$4:$Z$63,26,FALSE)+VLOOKUP(Calc!BI90,'Fertiliser recommendations'!$A$4:$AB$63,28,FALSE),
IF(OR(AND('Soil results'!H$7="ammonium nitrate (ADAS)",'Soil results'!H95&lt;241),AND('Soil results'!H$7="modified Morgan (SAC)",'Soil results'!H95&lt;201)),VLOOKUP(Calc!BI90,'Fertiliser recommendations'!$A$4:$Z$63,26,FALSE)+VLOOKUP(Calc!BI90,'Fertiliser recommendations'!$A$4:$AC$63,29,FALSE),
IF(OR(AND('Soil results'!H$7="ammonium nitrate (ADAS)",'Soil results'!H95&lt;=400),AND('Soil results'!H$7="modified Morgan (SAC)",'Soil results'!H95&lt;=400)),VLOOKUP(Calc!BI90,'Fertiliser recommendations'!$A$4:$Z$63,26,FALSE)+VLOOKUP(Calc!BI90,'Fertiliser recommendations'!$A$4:$AD$63,30,FALSE),
"??"))))))))</f>
        <v/>
      </c>
      <c r="Q92" s="91" t="str">
        <f t="shared" ca="1" si="19"/>
        <v/>
      </c>
      <c r="R92" s="9" t="str">
        <f ca="1">IF(B92="","",
IF(OR(O92="data missing",P92="data missing"),"data missing",
IF(Calc!BF90=0,"n/a",
IF(P92=0, "no requirement",
IF(O92&lt;0.1*P92,"no benefit",
IF(O92&lt;0.3*P92,"limited benefit",
IF(O92&gt;1.25*P92,"excessive",
"benefit")))))))</f>
        <v/>
      </c>
      <c r="T92" s="91" t="str">
        <f ca="1">IF(B92="","",
IF(AND('Field information 2'!$O$5="", 'Field information 2'!$Q$5=""),
   IF('Waste results'!$S$21&lt;&gt;"data missing", Calc!BC90*'Waste results'!$S$21, "data missing"),
IF('Field information 2'!$Q$5="",
   IF(Calc!BD90=0,
     IF('Waste results'!$S$21&lt;&gt;"data missing", Calc!BC90*'Waste results'!$S$21, "data missing"),
   IF(Calc!BC90=0,
     IF('Waste results'!$S$57&lt;&gt;"data missing", Calc!BD90*'Waste results'!$S$57, "data missing"),
   IF(OR('Waste results'!$S$21&lt;&gt;"data missing", 'Waste results'!$S$57&lt;&gt;"data missing"), Calc!BC90*'Waste results'!$S$21+ Calc!BD90*'Waste results'!$S$57, "data missing"))),
IF(AND('Field information 2'!$M$5&lt;&gt;"", 'Field information 2'!$O$5&lt;&gt;"", 'Field information 2'!$Q$5&lt;&gt;""),
   IF(AND(Calc!BD90=0,Calc!BE90=0),
     IF('Waste results'!$S$21&lt;&gt;"data missing", Calc!BC90*'Waste results'!$S$21, "data missing"),
   IF(AND(Calc!BC90=0,Calc!BE90=0),
     IF('Waste results'!$S$57&lt;&gt;"data missing", Calc!BD90*'Waste results'!$S$57, "data missing"),
   IF(AND(Calc!BC90=0,Calc!BD90=0),
     IF('Waste results'!$S$93&lt;&gt;"data missing", Calc!BE90*'Waste results'!$S$93, "data missing"),
   IF(Calc!BE90=0,
     IF(OR('Waste results'!$S$21&lt;&gt;"data missing", 'Waste results'!$S$57&lt;&gt;"data missing"), Calc!BC90*'Waste results'!$S$21+ Calc!BD90*'Waste results'!$S$57, "data missing"),
   IF(Calc!BD90=0,
     IF(OR('Waste results'!$S$21&lt;&gt;"data missing", 'Waste results'!$S$93&lt;&gt;"data missing"), Calc!BC90*'Waste results'!$S$21+ Calc!BE90*'Waste results'!$S$93, "data missing"),
   IF(Calc!BC90=0,
     IF(OR('Waste results'!$S$57&lt;&gt;"data missing", 'Waste results'!$S$93&lt;&gt;"data missing"), Calc!BD90*'Waste results'!$S$57+Calc!BE90*'Waste results'!$S$93, "data missing"),
   IF(OR('Waste results'!$S$21&lt;&gt;"data missing", 'Waste results'!$S$57&lt;&gt;"data missing", 'Waste results'!$S$93&lt;&gt;"data missing"), Calc!BC90*'Waste results'!$S$21+Calc!BD90*'Waste results'!$S$57+ Calc!BE90*'Waste results'!$S$93, "data missing")))))))))))</f>
        <v/>
      </c>
      <c r="U92" s="7" t="str">
        <f ca="1">IF(B92="","",
IF(OR(ISBLANK('Soil results'!I$7),ISBLANK('Soil results'!I95)),"data missing",
IF(OR(AND('Soil results'!I$7="ammonium nitrate (ADAS)",'Soil results'!I95&gt;51),AND('Soil results'!I$7="modified Morgan (SAC)",'Soil results'!I95&gt;61)),0,
IF(OR(AND('Soil results'!I$7="ammonium nitrate (ADAS)",'Soil results'!I95&lt;25),AND('Soil results'!I$7="modified Morgan (SAC)",'Soil results'!I95&lt;19)),VLOOKUP(Calc!BI90,'Fertiliser recommendations'!$A$4:$AH$63,34,FALSE),
IF(OR(AND('Soil results'!I$7="ammonium nitrate (ADAS)",'Soil results'!I95&lt;=51),AND('Soil results'!I$7="modified Morgan (SAC)",'Soil results'!I95&lt;=61)),VLOOKUP(Calc!BI90,'Fertiliser recommendations'!$A$4:$AI$63,35,FALSE),
"")))))</f>
        <v/>
      </c>
      <c r="V92" s="91" t="str">
        <f t="shared" ca="1" si="20"/>
        <v/>
      </c>
      <c r="W92" s="9" t="str">
        <f ca="1">IF(B92="","",
IF(OR(T92="data missing",U92="data missing"),"data missing",
IF(Calc!BF90=0,"n/a",
IF(U92=0,"no requirement",
IF(T92&lt;0.1*U92,"no benefit",
IF(T92&lt;0.3*U92,"limited benefit",
IF(OR(T92&gt;1.5*U92,AND(Calc!BJ90="g",T92&gt;100)),"excessive",
"benefit")))))))</f>
        <v/>
      </c>
      <c r="Y92" s="91" t="str">
        <f ca="1">IF(B92="","",
IF(AND('Field information 2'!$O$5="", 'Field information 2'!$Q$5=""),
   IF('Waste results'!$P$23&lt;&gt;"", Calc!BC90*'Waste results'!$P$23, "no data"),
IF('Field information 2'!$Q$5="",
   IF(Calc!BD90=0,
     IF('Waste results'!$P$23&lt;&gt;"", Calc!BC90*'Waste results'!$P$23, "no data"),
   IF(Calc!BC90=0,
     IF('Waste results'!$P$59&lt;&gt;"", Calc!BD90*'Waste results'!$P$59, "no data"),
   IF(OR('Waste results'!$P$23&lt;&gt;"", 'Waste results'!$P$59&lt;&gt;""), Calc!BC90*'Waste results'!$P$23+ Calc!BD90*'Waste results'!$P$59, "no data"))),
IF(AND('Field information 2'!$M$5&lt;&gt;"", 'Field information 2'!$O$5&lt;&gt;"", 'Field information 2'!$Q$5&lt;&gt;""),
   IF(AND(Calc!BD90=0,Calc!BE90=0),
     IF('Waste results'!$P$23&lt;&gt;"", Calc!BC90*'Waste results'!$P$23, "no data"),
   IF(AND(Calc!BC90=0,Calc!BE90=0),
     IF('Waste results'!$P$59&lt;&gt;"", Calc!BD90*'Waste results'!$P$59, "no data"),
   IF(AND(Calc!BC90=0,Calc!BD90=0),
     IF('Waste results'!$P$95&lt;&gt;"", Calc!BE90*'Waste results'!$P$95, "no data"),
   IF(Calc!BE90=0,
     IF(OR('Waste results'!$P$23&lt;&gt;"", 'Waste results'!$P$59&lt;&gt;""), Calc!BC90*'Waste results'!$P$23+ Calc!BD90*'Waste results'!$P$59, "no data"),
   IF(Calc!BD90=0,
     IF(OR('Waste results'!$P$23&lt;&gt;"", 'Waste results'!$P$95&lt;&gt;""), Calc!BC90*'Waste results'!$P$23+ Calc!BE90*'Waste results'!$P$95, "no data"),
   IF(Calc!BC90=0,
     IF(OR('Waste results'!$P$59&lt;&gt;"", 'Waste results'!$P$95&lt;&gt;""), Calc!BD90*'Waste results'!$P$59+Calc!BE90*'Waste results'!$P$95, "no data"),
   IF(OR('Waste results'!$P$23&lt;&gt;"", 'Waste results'!$P$59&lt;&gt;"", 'Waste results'!$P$95&lt;&gt;""), Calc!BC90*'Waste results'!$P$23+Calc!BD90*'Waste results'!$P$59+ Calc!BE90*'Waste results'!$P$95, "no data")))))))))))</f>
        <v/>
      </c>
      <c r="Z92" s="7" t="str">
        <f ca="1">IF(OR(ISBLANK('Soil results'!I$7),ISBLANK('Soil results'!I95),'Soil results'!B95=""),"",
VLOOKUP(Calc!BI90,'Fertiliser recommendations'!$A$4:$AM$63,39,FALSE))</f>
        <v/>
      </c>
      <c r="AA92" s="91" t="str">
        <f t="shared" ca="1" si="21"/>
        <v/>
      </c>
      <c r="AB92" s="9" t="str">
        <f t="shared" ca="1" si="22"/>
        <v/>
      </c>
      <c r="AD92" s="48" t="str">
        <f>IF(ISBLANK('Soil results'!F95),"",'Soil results'!F95)</f>
        <v/>
      </c>
      <c r="AE92" s="49" t="str">
        <f ca="1">IF(B92="","",
IF(AND(Calc!BJ90="g", VLOOKUP(LEFT($B92,LEN($B92)-2),'Field information 2'!$B$12:$P$111,9,FALSE)&lt;&gt;"yes"),
 IF(Calc!BG90="10-25% OM", 5.9, IF(Calc!BG90="&gt;25% OM", 5.5, 6.2)),
IF(OR(Calc!BJ90="a", VLOOKUP(LEFT($B92,LEN($B92)-2),'Field information 2'!$B$12:$P$111,9,FALSE)="yes"),
 IF(Calc!BG90="10-25% OM", 6.4, IF(Calc!BG90="&gt;25% OM", 6, 6.7)), "")))</f>
        <v/>
      </c>
      <c r="AF92" s="91" t="str">
        <f ca="1">IF(B92="","",
IF('Waste results'!$Q$33="","no (significant) liming properties",
IF('Waste results'!Q$33&gt;100,"no (significant) liming properties",
IF(AD92="","",
IF(AD92&gt;=AE92,0,ROUNDDOWN((AE92-AD92)*Calc!BK90*'Waste results'!$Q$33+0.2,0))))))</f>
        <v/>
      </c>
      <c r="AG92" s="9" t="str">
        <f ca="1">IF(B92="","",
IF(T92=0,"n/a",
IF(AD92="","data missing",
IF(AND(AD92&lt;5,AF92="no (significant) liming properties"),"no waste application - pH too low",
IF(AND(AD92&gt;5.1,AF92="no (significant) liming properties",Calc!BH90&gt;25, LEFT(Calc!BI90,4)="graz"),"ok",
IF(AND(AD92&lt;=5.2,AF92="no (significant) liming properties"),"liming highly recommended",
IF(AF92=0,"no waste application - liming not required",
IF(AF92&lt;Calc!BC90,"application rate too high - exceeds liming requirement",
"ok"))))))))</f>
        <v/>
      </c>
      <c r="AI92" s="91" t="str">
        <f ca="1">IF(B92="","",
IF(AND('Field information 2'!$O$5="", 'Field information 2'!$Q$5=""),
   IF('Waste results'!$P$10&lt;&gt;"data missing", Calc!BC90*'Waste results'!$P$10, "data missing"),
IF('Field information 2'!$Q$5="",
   IF(Calc!BD90=0,
     IF('Waste results'!$P$10&lt;&gt;"data missing", Calc!BC90*'Waste results'!$P$10, "data missing"),
   IF(Calc!BC90=0,
     IF('Waste results'!$P$45&lt;&gt;"data missing", Calc!BD90*'Waste results'!$P$45, "data missing"),
   IF(OR('Waste results'!$P$10&lt;&gt;"data missing", 'Waste results'!$P$45&lt;&gt;"data missing"), Calc!BC90*'Waste results'!$P$10+ Calc!BD90*'Waste results'!$P$45, "data missing"))),
IF(AND('Field information 2'!$M$5&lt;&gt;"", 'Field information 2'!$O$5&lt;&gt;"", 'Field information 2'!$Q$5&lt;&gt;""),
   IF(AND(Calc!BD90=0,Calc!BE90=0),
     IF('Waste results'!$P$10&lt;&gt;"data missing", Calc!BC90*'Waste results'!$P$10, "data missing"),
   IF(AND(Calc!BC90=0,Calc!BE90=0),
     IF('Waste results'!$P$45&lt;&gt;"data missing", Calc!BD90*'Waste results'!$P$45, "data missing"),
   IF(AND(Calc!BC90=0,Calc!BD90=0),
     IF('Waste results'!$P$82&lt;&gt;"data missing", Calc!BE90*'Waste results'!$P$82, "data missing"),
   IF(Calc!BE90=0,
     IF(OR('Waste results'!$P$10&lt;&gt;"data missing", 'Waste results'!$P$45&lt;&gt;"data missing"), Calc!BC90*'Waste results'!$P$10+ Calc!BD90*'Waste results'!$P$45, "data missing"),
   IF(Calc!BD90=0,
     IF(OR('Waste results'!$P$10&lt;&gt;"data missing", 'Waste results'!$P$82&lt;&gt;"data missing"), Calc!BC90*'Waste results'!$P$10+ Calc!BE90*'Waste results'!$P$82, "data missing"),
   IF(Calc!BC90=0,
     IF(OR('Waste results'!$P$45&lt;&gt;"data missing", 'Waste results'!$P$82&lt;&gt;"data missing"), Calc!BD90*'Waste results'!$P$45+Calc!BE90*'Waste results'!$P$82, "data missing"),
   IF(OR('Waste results'!$P$10&lt;&gt;"data missing", 'Waste results'!$P$45&lt;&gt;"data missing", 'Waste results'!$P$82&lt;&gt;"data missing"), Calc!BC90*'Waste results'!$P$10+Calc!BD90*'Waste results'!$P$45+ Calc!BE90*'Waste results'!$P$82, "data missing")))))))))))</f>
        <v/>
      </c>
      <c r="AJ92" s="237" t="str">
        <f ca="1">IF(B92="","",
IF(AI92="data missing","data missing",
IF(Calc!BF90=0,"n/a",
IF(AND(Calc!BH90&gt;=8,AI92&lt;500),"no benefit",
IF(OR(AND(Calc!BH90&lt;=4,AI92&gt;=500),AND(Calc!BH90&lt;8,AI92&gt;5000)),"benefit",
"limited benefit")))))</f>
        <v/>
      </c>
      <c r="AL92" s="238" t="str">
        <f ca="1">IF(B92="","",
IF(AND('Field information 2'!$O$5="", 'Field information 2'!$Q$5=""),
   IF('Waste results'!$S$25&lt;&gt;"data missing", Calc!BC90*'Waste results'!$S$25, "data missing"),
IF('Field information 2'!$Q$5="",
   IF(Calc!BD90=0,
     IF('Waste results'!$S$25&lt;&gt;"data missing", Calc!BC90*'Waste results'!$S$25, "data missing"),
   IF(Calc!BC90=0,
     IF('Waste results'!$S$61&lt;&gt;"data missing", Calc!BD90*'Waste results'!$S$61, "data missing"),
   IF(OR('Waste results'!$S$25&lt;&gt;"data missing", 'Waste results'!$S$61&lt;&gt;"data missing"), Calc!BC90*'Waste results'!$S$25+ Calc!BD90*'Waste results'!$S$61, "data missing"))),
IF(AND('Field information 2'!$M$5&lt;&gt;"", 'Field information 2'!$O$5&lt;&gt;"", 'Field information 2'!$Q$5&lt;&gt;""),
   IF(AND(Calc!BD90=0,Calc!BE90=0),
     IF('Waste results'!$S$25&lt;&gt;"data missing", Calc!BC90*'Waste results'!$S$25, "data missing"),
   IF(AND(Calc!BC90=0,Calc!BE90=0),
     IF('Waste results'!$S$61&lt;&gt;"data missing", Calc!BD90*'Waste results'!$S$61, "data missing"),
   IF(AND(Calc!BC90=0,Calc!BD90=0),
     IF('Waste results'!$S$97&lt;&gt;"data missing", Calc!BE90*'Waste results'!$S$97, "data missing"),
   IF(Calc!BE90=0,
     IF(OR('Waste results'!$S$25&lt;&gt;"data missing", 'Waste results'!$S$61&lt;&gt;"data missing"), Calc!BC90*'Waste results'!$S$25+ Calc!BD90*'Waste results'!$S$61, "data missing"),
   IF(Calc!BD90=0,
     IF(OR('Waste results'!$S$25&lt;&gt;"data missing", 'Waste results'!$S$97&lt;&gt;"data missing"), Calc!BC90*'Waste results'!$S$25+ Calc!BE90*'Waste results'!$S$97, "data missing"),
   IF(Calc!BC90=0,
     IF(OR('Waste results'!$S$61&lt;&gt;"data missing", 'Waste results'!$S$97&lt;&gt;"data missing"), Calc!BD90*'Waste results'!$S$61+Calc!BE90*'Waste results'!$S$97, "data missing"),
   IF(OR('Waste results'!$S$25&lt;&gt;"data missing", 'Waste results'!$S$61&lt;&gt;"data missing", 'Waste results'!$S$97&lt;&gt;"data missing"), Calc!BC90*'Waste results'!$S$25+Calc!BD90*'Waste results'!$S$61+ Calc!BE90*'Waste results'!$S$97, "data missing")))))))))))</f>
        <v/>
      </c>
      <c r="AM92" s="239" t="str">
        <f ca="1">IF($B92="","",
IF(ISBLANK('Soil results'!K95),"data missing",'Soil results'!K95))</f>
        <v/>
      </c>
      <c r="AN92" s="239" t="str">
        <f t="shared" ca="1" si="23"/>
        <v/>
      </c>
      <c r="AO92" s="9" t="str">
        <f t="shared" ca="1" si="24"/>
        <v/>
      </c>
      <c r="AQ92" s="240" t="str">
        <f ca="1">IF(B92="","",
IF(AND('Field information 2'!$O$5="", 'Field information 2'!$Q$5=""),
   IF('Waste results'!$S$26&lt;&gt;"data missing", Calc!BC90*'Waste results'!$S$26, "data missing"),
IF('Field information 2'!$Q$5="",
   IF(Calc!BD90=0,
     IF('Waste results'!$S$26&lt;&gt;"data missing", Calc!BC90*'Waste results'!$S$26, "data missing"),
   IF(Calc!BC90=0,
     IF('Waste results'!$S$62&lt;&gt;"data missing", Calc!BD90*'Waste results'!$S$62, "data missing"),
   IF(OR('Waste results'!$S$26&lt;&gt;"data missing", 'Waste results'!$S$62&lt;&gt;"data missing"), Calc!BC90*'Waste results'!$S$26+ Calc!BD90*'Waste results'!$S$62, "data missing"))),
IF(AND('Field information 2'!$M$5&lt;&gt;"", 'Field information 2'!$O$5&lt;&gt;"", 'Field information 2'!$Q$5&lt;&gt;""),
   IF(AND(Calc!BD90=0,Calc!BE90=0),
     IF('Waste results'!$S$26&lt;&gt;"data missing", Calc!BC90*'Waste results'!$S$26, "data missing"),
   IF(AND(Calc!BC90=0,Calc!BE90=0),
     IF('Waste results'!$S$62&lt;&gt;"data missing", Calc!BD90*'Waste results'!$S$62, "data missing"),
   IF(AND(Calc!BC90=0,Calc!BD90=0),
     IF('Waste results'!$S$98&lt;&gt;"data missing", Calc!BE90*'Waste results'!$S$98, "data missing"),
   IF(Calc!BE90=0,
     IF(OR('Waste results'!$S$26&lt;&gt;"data missing", 'Waste results'!$S$62&lt;&gt;"data missing"), Calc!BC90*'Waste results'!$S$26+ Calc!BD90*'Waste results'!$S$62, "data missing"),
   IF(Calc!BD90=0,
     IF(OR('Waste results'!$S$26&lt;&gt;"data missing", 'Waste results'!$S$98&lt;&gt;"data missing"), Calc!BC90*'Waste results'!$S$26+ Calc!BE90*'Waste results'!$S$98, "data missing"),
   IF(Calc!BC90=0,
     IF(OR('Waste results'!$S$62&lt;&gt;"data missing", 'Waste results'!$S$98&lt;&gt;"data missing"), Calc!BD90*'Waste results'!$S$62+Calc!BE90*'Waste results'!$S$98, "data missing"),
   IF(OR('Waste results'!$S$26&lt;&gt;"data missing", 'Waste results'!$S$62&lt;&gt;"data missing", 'Waste results'!$S$98&lt;&gt;"data missing"), Calc!BC90*'Waste results'!$S$26+Calc!BD90*'Waste results'!$S$62+ Calc!BE90*'Waste results'!$S$98, "data missing")))))))))))</f>
        <v/>
      </c>
      <c r="AR92" s="241" t="str">
        <f ca="1">IF($B92="","",
IF(ISBLANK('Soil results'!L95),"data missing",'Soil results'!L95))</f>
        <v/>
      </c>
      <c r="AS92" s="241" t="str">
        <f t="shared" ca="1" si="25"/>
        <v/>
      </c>
      <c r="AT92" s="66" t="str">
        <f t="shared" ca="1" si="26"/>
        <v/>
      </c>
      <c r="AV92" s="238" t="str">
        <f ca="1">IF(B92="","",
IF(AND('Field information 2'!$O$5="", 'Field information 2'!$Q$5=""),
   IF('Waste results'!$S$27&lt;&gt;"data missing", Calc!BC90*'Waste results'!$S$27, "data missing"),
IF('Field information 2'!$Q$5="",
   IF(Calc!BD90=0,
     IF('Waste results'!$S$27&lt;&gt;"data missing", Calc!BC90*'Waste results'!$S$27, "data missing"),
   IF(Calc!BC90=0,
     IF('Waste results'!$S$63&lt;&gt;"data missing", Calc!BD90*'Waste results'!$S$63, "data missing"),
   IF(OR('Waste results'!$S$27&lt;&gt;"data missing", 'Waste results'!$S$63&lt;&gt;"data missing"), Calc!BC90*'Waste results'!$S$27+ Calc!BD90*'Waste results'!$S$63, "data missing"))),
IF(AND('Field information 2'!$M$5&lt;&gt;"", 'Field information 2'!$O$5&lt;&gt;"", 'Field information 2'!$Q$5&lt;&gt;""),
   IF(AND(Calc!BD90=0,Calc!BE90=0),
     IF('Waste results'!$S$27&lt;&gt;"data missing", Calc!BC90*'Waste results'!$S$27, "data missing"),
   IF(AND(Calc!BC90=0,Calc!BE90=0),
     IF('Waste results'!$S$63&lt;&gt;"data missing", Calc!BD90*'Waste results'!$S$63, "data missing"),
   IF(AND(Calc!BC90=0,Calc!BD90=0),
     IF('Waste results'!$S$99&lt;&gt;"data missing", Calc!BE90*'Waste results'!$S$99, "data missing"),
   IF(Calc!BE90=0,
     IF(OR('Waste results'!$S$27&lt;&gt;"data missing", 'Waste results'!$S$63&lt;&gt;"data missing"), Calc!BC90*'Waste results'!$S$27+ Calc!BD90*'Waste results'!$S$63, "data missing"),
   IF(Calc!BD90=0,
     IF(OR('Waste results'!$S$27&lt;&gt;"data missing", 'Waste results'!$S$99&lt;&gt;"data missing"), Calc!BC90*'Waste results'!$S$27+ Calc!BE90*'Waste results'!$S$99, "data missing"),
   IF(Calc!BC90=0,
     IF(OR('Waste results'!$S$63&lt;&gt;"data missing", 'Waste results'!$S$99&lt;&gt;"data missing"), Calc!BD90*'Waste results'!$S$63+Calc!BE90*'Waste results'!$S$99, "data missing"),
   IF(OR('Waste results'!$S$27&lt;&gt;"data missing", 'Waste results'!$S$63&lt;&gt;"data missing", 'Waste results'!$S$99&lt;&gt;"data missing"), Calc!BC90*'Waste results'!$S$27+Calc!BD90*'Waste results'!$S$63+ Calc!BE90*'Waste results'!$S$99, "data missing")))))))))))</f>
        <v/>
      </c>
      <c r="AW92" s="239" t="str">
        <f ca="1">IF($B92="","",
IF(ISBLANK('Soil results'!M95),"data missing",'Soil results'!M95))</f>
        <v/>
      </c>
      <c r="AX92" s="239" t="str">
        <f t="shared" ca="1" si="27"/>
        <v/>
      </c>
      <c r="AY92" s="9" t="str">
        <f ca="1">IF(B92="","",
IF(AV92=0,"n/a",
IF(OR(AV92="data missing",AW92="data missing"),"data missing",
IF(AV92&gt;7.5,"application rate too high - permissible rate exceeds limit",
IF('Soil results'!$F95&lt;=5.5,
  IF(AW92&gt;80,"no application - soil conc. already above limit",
  IF(AX92&gt;80,"application rate too high - soil conc. will exceed limit",
  IF(AW92&gt;80*0.9,"soil conc. is at or above 90% of the limit",
  IF(10*AV92*1000/3000+AW92&gt;80,"soil limit likely to be exceeded in 10yrs",
  IF(50*AV92*1000/3000+AW92&gt;80,"soil limit likely to be exceeded in 50yrs","ok"))))),
IF('Soil results'!$F95&lt;=6,
  IF(AW92&gt;100,"no application - soil conc. already above limit",
  IF(AX92&gt;100,"application rate too high - soil conc. will exceed limit",
  IF(AW92&gt;100*0.9,"soil conc. is at or above 90% of the limit",
  IF(10*AV92*1000/3000+AW92&gt;100,"soil limit likely to be exceeded in 10yrs",
  IF(50*AV92*1000/3000+AW92&gt;100,"soil limit likely to be exceeded in 50yrs","ok"))))),
IF('Soil results'!$F95&lt;=7,
  IF(AW92&gt;135,"no application - soil conc. already above limit",
  IF(AX92&gt;135,"application rate too high - soil conc. will exceed limit",
  IF(AW92&gt;135*0.9,"soil conc. is at or above 90% of the limit",
  IF(10*AV92*1000/3000+AW92&gt;135,"soil limit likely to be exceeded in 10yrs",
  IF(50*AV92*1000/3000+AW92&gt;135,"soil limit likely to be exceeded in 50yrs","ok"))))),
IF('Soil results'!$F95&gt;7,
  IF(AW92&gt;200,"no application - soil conc. already above limit",
  IF(AX92&gt;200,"application too high - soil conc. will exceed limit",
  IF(AW92&gt;200*0.9,"soil conc. is at or above 90% of the limit",
  IF(10*AV92*1000/3000+AW92&gt;200,"soil limit likely to be exceeded in 10yrs",
  IF(50*AV92*1000/3000+AW92&gt;200,"soil limit likely to be exceeded in 50yrs","ok")))))
))))))))</f>
        <v/>
      </c>
      <c r="BA92" s="238" t="str">
        <f ca="1">IF(B92="","",
IF(AND('Field information 2'!$O$5="", 'Field information 2'!$Q$5=""),
   IF('Waste results'!$S$28&lt;&gt;"data missing", Calc!BC90*'Waste results'!$S$28, "data missing"),
IF('Field information 2'!$Q$5="",
   IF(Calc!BD90=0,
     IF('Waste results'!$S$28&lt;&gt;"data missing", Calc!BC90*'Waste results'!$S$28, "data missing"),
   IF(Calc!BC90=0,
     IF('Waste results'!$S$64&lt;&gt;"data missing", Calc!BD90*'Waste results'!$S$64, "data missing"),
   IF(OR('Waste results'!$S$28&lt;&gt;"data missing", 'Waste results'!$S$64&lt;&gt;"data missing"), Calc!BC90*'Waste results'!$S$28+ Calc!BD90*'Waste results'!$S$64, "data missing"))),
IF(AND('Field information 2'!$M$5&lt;&gt;"", 'Field information 2'!$O$5&lt;&gt;"", 'Field information 2'!$Q$5&lt;&gt;""),
   IF(AND(Calc!BD90=0,Calc!BE90=0),
     IF('Waste results'!$S$28&lt;&gt;"data missing", Calc!BC90*'Waste results'!$S$28, "data missing"),
   IF(AND(Calc!BC90=0,Calc!BE90=0),
     IF('Waste results'!$S$64&lt;&gt;"data missing", Calc!BD90*'Waste results'!$S$64, "data missing"),
   IF(AND(Calc!BC90=0,Calc!BD90=0),
     IF('Waste results'!$S$100&lt;&gt;"data missing", Calc!BE90*'Waste results'!$S$100, "data missing"),
   IF(Calc!BE90=0,
     IF(OR('Waste results'!$S$28&lt;&gt;"data missing", 'Waste results'!$S$64&lt;&gt;"data missing"), Calc!BC90*'Waste results'!$S$28+ Calc!BD90*'Waste results'!$S$64, "data missing"),
   IF(Calc!BD90=0,
     IF(OR('Waste results'!$S$28&lt;&gt;"data missing", 'Waste results'!$S$100&lt;&gt;"data missing"), Calc!BC90*'Waste results'!$S$28+ Calc!BE90*'Waste results'!$S$100, "data missing"),
   IF(Calc!BC90=0,
     IF(OR('Waste results'!$S$64&lt;&gt;"data missing", 'Waste results'!$S$100&lt;&gt;"data missing"), Calc!BD90*'Waste results'!$S$64+Calc!BE90*'Waste results'!$S$100, "data missing"),
   IF(OR('Waste results'!$S$28&lt;&gt;"data missing", 'Waste results'!$S$64&lt;&gt;"data missing", 'Waste results'!$S$100&lt;&gt;"data missing"), Calc!BC90*'Waste results'!$S$28+Calc!BD90*'Waste results'!$S$64+ Calc!BE90*'Waste results'!$S$100, "data missing")))))))))))</f>
        <v/>
      </c>
      <c r="BB92" s="239" t="str">
        <f ca="1">IF($B92="","",
IF(ISBLANK('Soil results'!N95),"data missing",'Soil results'!N95))</f>
        <v/>
      </c>
      <c r="BC92" s="239" t="str">
        <f t="shared" ca="1" si="28"/>
        <v/>
      </c>
      <c r="BD92" s="9" t="str">
        <f t="shared" ca="1" si="29"/>
        <v/>
      </c>
      <c r="BF92" s="238" t="str">
        <f ca="1">IF(B92="","",
IF(AND('Field information 2'!$O$5="", 'Field information 2'!$Q$5=""),
   IF('Waste results'!$S$29&lt;&gt;"data missing", Calc!BC90*'Waste results'!$S$29, "data missing"),
IF('Field information 2'!$Q$5="",
   IF(Calc!BD90=0,
     IF('Waste results'!$S$29&lt;&gt;"data missing", Calc!BC90*'Waste results'!$S$29, "data missing"),
   IF(Calc!BC90=0,
     IF('Waste results'!$S$65&lt;&gt;"data missing", Calc!BD90*'Waste results'!$S$65, "data missing"),
   IF(OR('Waste results'!$S$29&lt;&gt;"data missing", 'Waste results'!$S$65&lt;&gt;"data missing"), Calc!BC90*'Waste results'!$S$29+ Calc!BD90*'Waste results'!$S$65, "data missing"))),
IF(AND('Field information 2'!$M$5&lt;&gt;"", 'Field information 2'!$O$5&lt;&gt;"", 'Field information 2'!$Q$5&lt;&gt;""),
   IF(AND(Calc!BD90=0,Calc!BE90=0),
     IF('Waste results'!$S$29&lt;&gt;"data missing", Calc!BC90*'Waste results'!$S$29, "data missing"),
   IF(AND(Calc!BC90=0,Calc!BE90=0),
     IF('Waste results'!$S$65&lt;&gt;"data missing", Calc!BD90*'Waste results'!$S$65, "data missing"),
   IF(AND(Calc!BC90=0,Calc!BD90=0),
     IF('Waste results'!$S$101&lt;&gt;"data missing", Calc!BE90*'Waste results'!$S$101, "data missing"),
   IF(Calc!BE90=0,
     IF(OR('Waste results'!$S$29&lt;&gt;"data missing", 'Waste results'!$S$65&lt;&gt;"data missing"), Calc!BC90*'Waste results'!$S$29+ Calc!BD90*'Waste results'!$S$65, "data missing"),
   IF(Calc!BD90=0,
     IF(OR('Waste results'!$S$29&lt;&gt;"data missing", 'Waste results'!$S$101&lt;&gt;"data missing"), Calc!BC90*'Waste results'!$S$29+ Calc!BE90*'Waste results'!$S$101, "data missing"),
   IF(Calc!BC90=0,
     IF(OR('Waste results'!$S$65&lt;&gt;"data missing", 'Waste results'!$S$101&lt;&gt;"data missing"), Calc!BD90*'Waste results'!$S$65+Calc!BE90*'Waste results'!$S$101, "data missing"),
   IF(OR('Waste results'!$S$29&lt;&gt;"data missing", 'Waste results'!$S$65&lt;&gt;"data missing", 'Waste results'!$S$101&lt;&gt;"data missing"), Calc!BC90*'Waste results'!$S$29+Calc!BD90*'Waste results'!$S$65+ Calc!BE90*'Waste results'!$S$101, "data missing")))))))))))</f>
        <v/>
      </c>
      <c r="BG92" s="239" t="str">
        <f ca="1">IF($B92="","",
IF(ISBLANK('Soil results'!O95),"data missing",'Soil results'!O95))</f>
        <v/>
      </c>
      <c r="BH92" s="239" t="str">
        <f t="shared" ca="1" si="30"/>
        <v/>
      </c>
      <c r="BI92" s="9" t="str">
        <f ca="1">IF(B92="","",
IF(BF92=0,"n/a",
IF(OR(BF92="data missing",BG92="data missing"),"data missing",
IF(BF92&gt;3,"application rate too high - permissible rate exceeds limit",
IF('Soil results'!F95&lt;=5.5,
  IF(BG92&gt;50,"no application - soil conc. already above limit",
  IF(BH92&gt;50,"application rate too high - soil conc. will exceed limit",
  IF(BG92&gt;50*0.9,"soil conc. is at or above 90% of the limit",
  IF(10*BF92*1000/3000+BG92&gt;50,"soil limit likely to be exceeded in 10yrs",
  IF(50*BF92*1000/3000+BG92&gt;50,"soil limit likely to be exceeded in 50yrs","ok"))))),
IF('Soil results'!F95&lt;=6,
  IF(BG92&gt;60,"no application - soil conc. already above limit",
  IF(BH92&gt;60,"application rate too high - soil conc. will exceed limit",
  IF(BG92&gt;60*0.9,"soil conc. is at or above 90% of the limit",
  IF(10*BF92*1000/3000+BG92&gt;60,"soil limit likely to be exceeded in 10yrs",
  IF(50*BF92*1000/3000+BG92&gt;60,"soil limit likely to be exceeded in 50yrs","ok"))))),
IF('Soil results'!F95&lt;=7,
  IF(BG92&gt;75,"no application - soil conc. already above limit",
  IF(BH92&gt;75,"application rate too high - soil conc. will exceed limit",
  IF(BG92&gt;75*0.9,"soil conc. is at or above 90% of the limit",
  IF(10*BF92*1000/3000+BG92&gt;75,"soil limit likely to be exceeded in 10yrs",
  IF(50*BF92*1000/3000+BG92&gt;75,"soil limit likely to be exceeded in 50yrs","ok"))))),
IF('Soil results'!F95&gt;7,
  IF(BG92&gt;100,"no application - soil conc. already above limit",
  IF(BH92&gt;100,"application rate too high - soil conc. will exceed limit",
  IF(BG92&gt;100*0.9,"soil conc. is at or above 90% of the limit",
  IF(10*BF92*1000/3000+BG92&gt;100,"soil limit likely to be exceeded in 10yrs",
  IF(50*BF92*1000/3000+BG92&gt;100,"soil limit likely to beexceeded in 50yrs","ok")))))
))))))))</f>
        <v/>
      </c>
      <c r="BK92" s="240" t="str">
        <f ca="1">IF(B92="","",
IF(AND('Field information 2'!$O$5="", 'Field information 2'!$Q$5=""),
   IF('Waste results'!$S$30&lt;&gt;"data missing", Calc!BC90*'Waste results'!$S$30, "data missing"),
IF('Field information 2'!$Q$5="",
   IF(Calc!BD90=0,
     IF('Waste results'!$S$30&lt;&gt;"data missing", Calc!BC90*'Waste results'!$S$30, "data missing"),
   IF(Calc!BC90=0,
     IF('Waste results'!$S$66&lt;&gt;"data missing", Calc!BD90*'Waste results'!$S$66, "data missing"),
   IF(OR('Waste results'!$S$30&lt;&gt;"data missing", 'Waste results'!$S$66&lt;&gt;"data missing"), Calc!BC90*'Waste results'!$S$30+ Calc!BD90*'Waste results'!$S$66, "data missing"))),
IF(AND('Field information 2'!$M$5&lt;&gt;"", 'Field information 2'!$O$5&lt;&gt;"", 'Field information 2'!$Q$5&lt;&gt;""),
   IF(AND(Calc!BD90=0,Calc!BE90=0),
     IF('Waste results'!$S$30&lt;&gt;"data missing", Calc!BC90*'Waste results'!$S$30, "data missing"),
   IF(AND(Calc!BC90=0,Calc!BE90=0),
     IF('Waste results'!$S$66&lt;&gt;"data missing", Calc!BD90*'Waste results'!$S$66, "data missing"),
   IF(AND(Calc!BC90=0,Calc!BD90=0),
     IF('Waste results'!$S$102&lt;&gt;"data missing", Calc!BE90*'Waste results'!$S$102, "data missing"),
   IF(Calc!BE90=0,
     IF(OR('Waste results'!$S$30&lt;&gt;"data missing", 'Waste results'!$S$66&lt;&gt;"data missing"), Calc!BC90*'Waste results'!$S$30+ Calc!BD90*'Waste results'!$S$66, "data missing"),
   IF(Calc!BD90=0,
     IF(OR('Waste results'!$S$30&lt;&gt;"data missing", 'Waste results'!$S$102&lt;&gt;"data missing"), Calc!BC90*'Waste results'!$S$30+ Calc!BE90*'Waste results'!$S$102, "data missing"),
   IF(Calc!BC90=0,
     IF(OR('Waste results'!$S$66&lt;&gt;"data missing", 'Waste results'!$S$102&lt;&gt;"data missing"), Calc!BD90*'Waste results'!$S$66+Calc!BE90*'Waste results'!$S$102, "data missing"),
   IF(OR('Waste results'!$S$30&lt;&gt;"data missing", 'Waste results'!$S$66&lt;&gt;"data missing", 'Waste results'!$S$102&lt;&gt;"data missing"), Calc!BC90*'Waste results'!$S$30+Calc!BD90*'Waste results'!$S$66+ Calc!BE90*'Waste results'!$S$102, "data missing")))))))))))</f>
        <v/>
      </c>
      <c r="BL92" s="241" t="str">
        <f ca="1">IF($B92="","",
IF(ISBLANK('Soil results'!P95),"data missing",'Soil results'!P95))</f>
        <v/>
      </c>
      <c r="BM92" s="241" t="str">
        <f t="shared" ca="1" si="31"/>
        <v/>
      </c>
      <c r="BN92" s="66" t="str">
        <f t="shared" ca="1" si="32"/>
        <v/>
      </c>
      <c r="BP92" s="238" t="str">
        <f ca="1">IF(B92="","",
IF(AND('Field information 2'!$O$5="", 'Field information 2'!$Q$5=""),
   IF('Waste results'!$S$31&lt;&gt;"data missing", Calc!BC90*'Waste results'!$S$31, "data missing"),
IF('Field information 2'!$Q$5="",
   IF(Calc!BD90=0,
     IF('Waste results'!$S$31&lt;&gt;"data missing", Calc!BC90*'Waste results'!$S$31, "data missing"),
   IF(Calc!BC90=0,
     IF('Waste results'!$S$67&lt;&gt;"data missing", Calc!BD90*'Waste results'!$S$67, "data missing"),
   IF(OR('Waste results'!$S$31&lt;&gt;"data missing", 'Waste results'!$S$67&lt;&gt;"data missing"), Calc!BC90*'Waste results'!$S$31+ Calc!BD90*'Waste results'!$S$67, "data missing"))),
IF(AND('Field information 2'!$M$5&lt;&gt;"", 'Field information 2'!$O$5&lt;&gt;"", 'Field information 2'!$Q$5&lt;&gt;""),
   IF(AND(Calc!BD90=0,Calc!BE90=0),
     IF('Waste results'!$S$31&lt;&gt;"data missing", Calc!BC90*'Waste results'!$S$31, "data missing"),
   IF(AND(Calc!BC90=0,Calc!BE90=0),
     IF('Waste results'!$S$67&lt;&gt;"data missing", Calc!BD90*'Waste results'!$S$67, "data missing"),
   IF(AND(Calc!BC90=0,Calc!BD90=0),
     IF('Waste results'!$S$103&lt;&gt;"data missing", Calc!BE90*'Waste results'!$S$103, "data missing"),
   IF(Calc!BE90=0,
     IF(OR('Waste results'!$S$31&lt;&gt;"data missing", 'Waste results'!$S$67&lt;&gt;"data missing"), Calc!BC90*'Waste results'!$S$31+ Calc!BD90*'Waste results'!$S$67, "data missing"),
   IF(Calc!BD90=0,
     IF(OR('Waste results'!$S$31&lt;&gt;"data missing", 'Waste results'!$S$103&lt;&gt;"data missing"), Calc!BC90*'Waste results'!$S$31+ Calc!BE90*'Waste results'!$S$103, "data missing"),
   IF(Calc!BC90=0,
     IF(OR('Waste results'!$S$67&lt;&gt;"data missing", 'Waste results'!$S$103&lt;&gt;"data missing"), Calc!BD90*'Waste results'!$S$67+Calc!BE90*'Waste results'!$S$103, "data missing"),
   IF(OR('Waste results'!$S$31&lt;&gt;"data missing", 'Waste results'!$S$67&lt;&gt;"data missing", 'Waste results'!$S$103&lt;&gt;"data missing"), Calc!BC90*'Waste results'!$S$31+Calc!BD90*'Waste results'!$S$67+ Calc!BE90*'Waste results'!$S$103, "data missing")))))))))))</f>
        <v/>
      </c>
      <c r="BQ92" s="239" t="str">
        <f ca="1">IF($B92="","",
IF(ISBLANK('Soil results'!Q95),"data missing",'Soil results'!Q95))</f>
        <v/>
      </c>
      <c r="BR92" s="239" t="str">
        <f t="shared" ca="1" si="33"/>
        <v/>
      </c>
      <c r="BS92" s="9" t="str">
        <f ca="1">IF(B92="","",
IF(BP92=0,"n/a",
IF(OR(BP92="data missing",BQ92=""),"data missing",
IF(BP92&gt;15,"application rate too high - permissible rate exceeds limit",
IF('Soil results'!F95&lt;=5.5,
  IF(BQ92&gt;200,"no application - soil conc. already above limit",
  IF(BR92&gt;200,"application rate too high - soil conc. will exceed limit",
  IF(BQ92&gt;200*0.9,"soil conc. is at or above 90% of the limit",
  IF(10*BP92*1000/3000+BQ92&gt;200,"soil limit likely to be exceeded in 10yrs",
  IF(50*BP92*1000/3000+BQ92&gt;200,"soil limit likely to be exceeded in 50yrs","ok"))))),
IF('Soil results'!F95&lt;=6,
  IF(BQ92&gt;250,"no application - soil conc. already above limit",
  IF(BR92&gt;250,"application rate too high - soil conc. will exceed limit",
  IF(BQ92&gt;250*0.9,"soil conc. is at or above 90% of the limit",
  IF(10*BP92*1000/3000+BQ92&gt;250,"soil limit likely to be exceeded in 10yrs",
  IF(50*BP92*1000/3000+BQ92&gt;250,"soil limit likely to be exceeded in 50yrs","ok"))))),
IF('Soil results'!F95&lt;=7,
  IF(BQ92&gt;300,"no application - soil conc. already above limit",
  IF(BR92&gt;300,"application rate too high - soil conc. will exceed limit",
  IF(BQ92&gt;300*0.9,"soil conc. is at or above 90% of the limit",
  IF(10*BP92*1000/3000+BQ92&gt;300,"soil limit likey to be exceeded in 10yrs",
  IF(50*BP92*1000/3000+BQ92&gt;300,"soil limit likely to be exceeded in 50yrs","ok"))))),
IF('Soil results'!F95&gt;7,
  IF(BQ92&gt;450,"no application - soil conc. already above limit",
  IF(BR92&gt;450,"application rate too high - soil conc. will exceed limit",
  IF(AW92&gt;450*0.9,"soil conc. is at or above 90% of the limit",
  IF(10*BP92*1000/3000+BQ92&gt;450,"soil limit likely to be exceeded in 10yrs",
  IF(50*BP92*1000/3000+BQ92&gt;450,"soil limit likely to be exceeded in 50yrs","ok")))))
))))))))</f>
        <v/>
      </c>
    </row>
    <row r="93" spans="2:71" s="9" customFormat="1" ht="15" x14ac:dyDescent="0.25">
      <c r="B93" s="236" t="str">
        <f ca="1">'Soil results'!B96</f>
        <v/>
      </c>
      <c r="C93" s="91" t="str">
        <f ca="1">IF(B93="","",
IF(AND('Field information 2'!$O$5="", 'Field information 2'!$Q$5=""),
   IF('Waste results'!$S$12&lt;&gt;"data missing", Calc!BC91*'Waste results'!$S$12, "data missing"),
IF('Field information 2'!$Q$5="",
   IF(Calc!BD91=0,
     IF('Waste results'!$S$12&lt;&gt;"data missing", Calc!BC91*'Waste results'!$S$12, "data missing"),
   IF(Calc!BC91=0,
     IF('Waste results'!$S$48&lt;&gt;"data missing", Calc!BD91*'Waste results'!$S$48, "data missing"),
   IF(OR('Waste results'!$S$12&lt;&gt;"data missing", 'Waste results'!$S$48&lt;&gt;"data missing"), Calc!BC91*'Waste results'!$S$12+ Calc!BD91*'Waste results'!$S$48, "data missing"))),
IF(AND('Field information 2'!$M$5&lt;&gt;"", 'Field information 2'!$O$5&lt;&gt;"", 'Field information 2'!$Q$5&lt;&gt;""),
   IF(AND(Calc!BD91=0,Calc!BE91=0),
     IF('Waste results'!$S$12&lt;&gt;"data missing", Calc!BC91*'Waste results'!$S$12, "data missing"),
   IF(AND(Calc!BC91=0,Calc!BE91=0),
     IF('Waste results'!$S$48&lt;&gt;"data missing", Calc!BD91*'Waste results'!$S$48, "data missing"),
   IF(AND(Calc!BC91=0,Calc!BD91=0),
     IF('Waste results'!$S$84&lt;&gt;"data missing", Calc!BE91*'Waste results'!$S$84, "data missing"),
   IF(Calc!BE91=0,
     IF(OR('Waste results'!$S$12&lt;&gt;"data missing", 'Waste results'!$S$48&lt;&gt;"data missing"), Calc!BC91*'Waste results'!$S$12+ Calc!BD91*'Waste results'!$S$48, "data missing"),
   IF(Calc!BD91=0,
     IF(OR('Waste results'!$S$12&lt;&gt;"data missing", 'Waste results'!$S$84&lt;&gt;"data missing"), Calc!BC91*'Waste results'!$S$12+ Calc!BE91*'Waste results'!$S$84, "data missing"),
   IF(Calc!BC91=0,
     IF(OR('Waste results'!$S$48&lt;&gt;"data missing", 'Waste results'!$S$84&lt;&gt;"data missing"), Calc!BD91*'Waste results'!$S$48+Calc!BE91*'Waste results'!$S$84, "data missing"),
   IF(OR('Waste results'!$S$12&lt;&gt;"data missing", 'Waste results'!$S$48&lt;&gt;"data missing", 'Waste results'!$S$84&lt;&gt;"data missing"), Calc!BC91*'Waste results'!$S$12+Calc!BD91*'Waste results'!$S$48+ Calc!BE91*'Waste results'!$S$84, "data missing")))))))))))</f>
        <v/>
      </c>
      <c r="D93" s="161" t="str">
        <f ca="1">IF(B93="","",
IF(Calc!BG91="","soil texture missing",
IF(OR(Calc!BG91="SL; SZL; ZL",Calc!BG91="SCL; CL; ZCL; SC; ZC; C"),VLOOKUP(Calc!BI91,'Fertiliser recommendations'!$A$4:$C$63,3,FALSE),
IF(Calc!BG91="S; LS",VLOOKUP(Calc!BI91,'Fertiliser recommendations'!$A$4:$C$63,3,FALSE)+VLOOKUP(Calc!BI91,'Fertiliser recommendations'!$A$4:$D$63,4,FALSE),
IF(Calc!BG91="10-25% OM",VLOOKUP(Calc!BI91,'Fertiliser recommendations'!$A$4:$C$63,3,FALSE)+VLOOKUP(Calc!BI91,'Fertiliser recommendations'!$A$4:$E$63,5,FALSE),
IF(Calc!BG91="&gt;25% OM",VLOOKUP(Calc!BI91,'Fertiliser recommendations'!$A$4:$C$63,3,FALSE)+VLOOKUP(Calc!BI91,'Fertiliser recommendations'!$A$4:$F$63,6,FALSE),
""))))))</f>
        <v/>
      </c>
      <c r="E93" s="91" t="str">
        <f t="shared" ca="1" si="17"/>
        <v/>
      </c>
      <c r="F93" s="9" t="str">
        <f ca="1">IF(B93="","",
IF(OR(C93="data missing",D93="soil texture missing"),"data missing",
IF(Calc!BF91=0,"n/a",
IF(C93&lt;0.1*D93,"no benefit",
IF(C93&lt;0.3*D93,"limited benefit",
IF(C93&gt;250,"exceeds limit",
IF(OR(AND(D93=0,C93&gt;75),C93&gt;1.25*D93),"excessive",
IF(D93=0, "no requirement",
"benefit"))))))))</f>
        <v/>
      </c>
      <c r="H93" s="91" t="str">
        <f ca="1">IF(B93="","",
IF(AND('Field information 2'!$O$5="", 'Field information 2'!$Q$5=""),
   IF('Waste results'!$S$17&lt;&gt;"data missing", Calc!BC91*'Waste results'!$S$17, "data missing"),
IF('Field information 2'!$Q$5="",
   IF(Calc!BD91=0,
     IF('Waste results'!$S$17&lt;&gt;"data missing", Calc!BC91*'Waste results'!$S$17, "data missing"),
   IF(Calc!BC91=0,
     IF('Waste results'!$S$53&lt;&gt;"data missing", Calc!BD91*'Waste results'!$S$53, "data missing"),
   IF(OR('Waste results'!$S$17&lt;&gt;"data missing", 'Waste results'!$S$53&lt;&gt;"data missing"), Calc!BC91*'Waste results'!$S$17+ Calc!BD91*'Waste results'!$S$53, "data missing"))),
IF(AND('Field information 2'!$M$5&lt;&gt;"", 'Field information 2'!$O$5&lt;&gt;"", 'Field information 2'!$Q$5&lt;&gt;""),
   IF(AND(Calc!BD91=0,Calc!BE91=0),
     IF('Waste results'!$S$17&lt;&gt;"data missing", Calc!BC91*'Waste results'!$S$17, "data missing"),
   IF(AND(Calc!BC91=0,Calc!BE91=0),
     IF('Waste results'!$S$53&lt;&gt;"data missing", Calc!BD91*'Waste results'!$S$53, "data missing"),
   IF(AND(Calc!BC91=0,Calc!BD91=0),
     IF('Waste results'!$S$89&lt;&gt;"data missing", Calc!BE91*'Waste results'!$S$89, "data missing"),
   IF(Calc!BE91=0,
     IF(OR('Waste results'!$S$17&lt;&gt;"data missing", 'Waste results'!$S$53&lt;&gt;"data missing"), Calc!BC91*'Waste results'!$S$17+ Calc!BD91*'Waste results'!$S$53, "data missing"),
   IF(Calc!BD91=0,
     IF(OR('Waste results'!$S$17&lt;&gt;"data missing", 'Waste results'!$S$89&lt;&gt;"data missing"), Calc!BC91*'Waste results'!$S$17+ Calc!BE91*'Waste results'!$S$89, "data missing"),
   IF(Calc!BC91=0,
     IF(OR('Waste results'!$S$53&lt;&gt;"data missing", 'Waste results'!$S$89&lt;&gt;"data missing"), Calc!BD91*'Waste results'!$S$53+Calc!BE91*'Waste results'!$S$89, "data missing"),
   IF(OR('Waste results'!$S$17&lt;&gt;"data missing", 'Waste results'!$S$53&lt;&gt;"data missing", 'Waste results'!$S$89&lt;&gt;"data missing"), Calc!BC91*'Waste results'!$S$17+Calc!BD91*'Waste results'!$S$53+ Calc!BE91*'Waste results'!$S$89, "data missing")))))))))))</f>
        <v/>
      </c>
      <c r="I93" s="195" t="str">
        <f ca="1">IF(B93="","",
IF(OR(ISBLANK('Soil results'!G96), ISBLANK('Soil results'!G$7)),"data missing",
IF(OR(AND('Soil results'!G$7="Olsen (ADAS)",'Soil results'!G96&lt;16),AND('Soil results'!G$7="modified Morgan (SAC)",'Soil results'!G96&lt;4.5)),50,100)))</f>
        <v/>
      </c>
      <c r="J93" s="49" t="str">
        <f ca="1">IF(B93="","",
IF(OR(ISBLANK('Soil results'!G$7),ISBLANK('Soil results'!G96)),"data missing",
IF(OR(AND('Soil results'!G$7="Olsen (ADAS)",'Soil results'!G96&gt;45),AND('Soil results'!G$7="modified Morgan (SAC)",'Soil results'!G96&gt;30)),0,
IF(OR(AND('Soil results'!G$7="Olsen (ADAS)",'Soil results'!G96&gt;=16,'Soil results'!G96&lt;=20),AND('Soil results'!G$7="modified Morgan (SAC)",'Soil results'!G96&gt;=4.5,'Soil results'!G96&lt;=9.4)),VLOOKUP(Calc!BI91,'Fertiliser recommendations'!$A$4:$I$63,9,FALSE),
IF(OR(AND('Soil results'!G$7="Olsen (ADAS)",'Soil results'!G96&lt;10),AND('Soil results'!G$7="modified Morgan (SAC)",'Soil results'!G96&lt;1.8)),VLOOKUP(Calc!BI91,'Fertiliser recommendations'!$A$4:$I$63,9,FALSE)+VLOOKUP(Calc!BI91,'Fertiliser recommendations'!$A$4:$J$63,10,FALSE),
IF(OR(AND('Soil results'!G$7="Olsen (ADAS)",'Soil results'!G96&lt;16),AND('Soil results'!G$7="modified Morgan (SAC)",'Soil results'!G96&lt;4.5)),VLOOKUP(Calc!BI91,'Fertiliser recommendations'!$A$4:$I$63,9,FALSE)+VLOOKUP(Calc!BI91,'Fertiliser recommendations'!$A$4:$K$63,11,FALSE),
IF(OR(AND('Soil results'!G$7="Olsen (ADAS)",'Soil results'!G96&lt;26),AND('Soil results'!G$7="modified Morgan (SAC)",'Soil results'!G96&lt;13.5)),VLOOKUP(Calc!BI91,'Fertiliser recommendations'!$A$4:$I$63,9,FALSE)+VLOOKUP(Calc!BI91,'Fertiliser recommendations'!$A$4:$L$63,12,FALSE),
IF(OR(AND('Soil results'!G$7="Olsen (ADAS)",'Soil results'!G96&lt;=45),AND('Soil results'!G$7="modified Morgan (SAC)",'Soil results'!G96&lt;=30)),VLOOKUP(Calc!BI91,'Fertiliser recommendations'!$A$4:$I$63,9,FALSE)+VLOOKUP(Calc!BI91,'Fertiliser recommendations'!$A$4:$M$63,13,FALSE),
""))))))))</f>
        <v/>
      </c>
      <c r="K93" s="161" t="str">
        <f t="shared" ca="1" si="18"/>
        <v/>
      </c>
      <c r="L93" s="47" t="str">
        <f ca="1">IF(OR(ISBLANK('Soil results'!G$7),ISBLANK('Soil results'!G96),B93="", H93="data missing"),"",
IF('Soil results'!G$7="Olsen (ADAS)",
IF(((H93*Calc!BM91/2.291-(VLOOKUP(Calc!BI91,'Fertiliser recommendations'!$A$4:$I$63,9,FALSE))/2.291)*10/(400/2.291)+'Soil results'!G96)&lt;10,"0 (VL)",
IF(((H93*Calc!BM91/2.291-(VLOOKUP(Calc!BI91,'Fertiliser recommendations'!$A$4:$I$63,9,FALSE))/2.291)*10/(400/2.291)+'Soil results'!G96)&lt;16,"1 (L)",
IF(((H93*Calc!BM91/2.291-(VLOOKUP(Calc!BI91,'Fertiliser recommendations'!$A$4:$I$63,9,FALSE))/2.291)*10/(400/2.291)+'Soil results'!G96)&lt;21,"2 (M-)",
IF(((H93*Calc!BM91/2.291-(VLOOKUP(Calc!BI91,'Fertiliser recommendations'!$A$4:$I$63,9,FALSE))/2.291)*10/(400/2.291)+'Soil results'!G96)&lt;26,"2 (M+)",
IF(((H93*Calc!BM91/2.291-(VLOOKUP(Calc!BI91,'Fertiliser recommendations'!$A$4:$I$63,9,FALSE))/2.291)*10/(400/2.291)+'Soil results'!G96)&lt;45,"3 (H)","&gt;3 (VH)"))))),
IF('Soil results'!G$7="modified Morgan (SAC)",
IF('Soil results'!G96&gt;=6,
IF(((H93*Calc!BM91/2.291-(VLOOKUP(Calc!BI91,'Fertiliser recommendations'!$A$4:$I$63,9,FALSE))/2.291)*5/(147/2.291)+'Soil results'!G96)&lt;9.5,"2 (M-)",
IF(((H93*Calc!BM91/2.291-(VLOOKUP(Calc!BI91,'Fertiliser recommendations'!$A$4:$I$63,9,FALSE))/2.291)*5/(147/2.291)+'Soil results'!G96)&lt;13.5,"2 (M+)",
IF(((H93*Calc!BM91/2.291-(VLOOKUP(Calc!BI91,'Fertiliser recommendations'!$A$4:$I$63,9,FALSE))/2.291)*5/(147/2.291)+'Soil results'!G96)&lt;30,"3 (H)","4 (VH)"))),
IF(((H93*Calc!BM91/2.291-(VLOOKUP(Calc!BI91,'Fertiliser recommendations'!$A$4:$I$63,9,FALSE))/2.291)*5/(346/2.291)+'Soil results'!G96)&lt;1.8,"0 (VL)",
IF(((H93*Calc!BM91/2.291-(VLOOKUP(Calc!BI91,'Fertiliser recommendations'!$A$4:$I$63,9,FALSE))/2.291)*5/(147/2.291)+'Soil results'!G96)&lt;4.5,"1 (L)","2 (M-)"))))))</f>
        <v/>
      </c>
      <c r="M93" s="9" t="str">
        <f ca="1">IF(B93="","",
IF(OR(H93="data missing",I93="data missing",J93="data missing"),"data missing",
IF(Calc!BF91=0,"n/a",
IF(OR(AND('Soil results'!G$7="Olsen (ADAS)",'Soil results'!G96&gt;45),AND('Soil results'!G$7="modified Morgan (SAC)",'Soil results'!G96&gt;30)),
IF(H93&gt;2,"too high, not acceptable","no requirement"),IF(OR(AND('Soil results'!G$7="Olsen (ADAS)",'Soil results'!G96&gt;25),AND('Soil results'!G$7="modified Morgan (SAC)",'Soil results'!G96&gt;13.4)),
IF(H93*(I93/100)&lt;0.1*J93,"no benefit",
IF(H93*(I93/100)&lt;0.3*J93,"limited benefit",
IF(H93*(I93/100)&lt;1.1*J93,"benefit",
IF(H93*(I93/100)&lt;0.7*VLOOKUP(Calc!BI91,'Fertiliser recommendations'!$A$4:$I$63,9,FALSE),"excessive","too high, not acceptable")))),
IF(OR(AND('Soil results'!G$7="Olsen (ADAS)",'Soil results'!G96&gt;20),AND('Soil results'!G$7="modified Morgan (SAC)",'Soil results'!G96&gt;9.4)),
IF(H93*Calc!BM91*(I93/100)&lt;0.1*J93,"no benefit",
IF(H93*Calc!BM91*(I93/100)&lt;0.3*J93,"limited benefit",
IF(H93*Calc!BM91*(I93/100)&lt;1.1*J93,"benefit",
IF(L93="3 (H)","too high, not acceptable","excessive")))),
IF(OR(AND('Soil results'!G$7="Olsen (ADAS)",'Soil results'!G96&gt;15),AND('Soil results'!G$7="modified Morgan (SAC)",'Soil results'!G96&gt;4.4)),
IF(H93*Calc!BM91*(I93/100)&lt;0.1*VLOOKUP(Calc!BI91,'Fertiliser recommendations'!$A$4:$I$63,9,FALSE),"no benefit",
IF(H93*Calc!BM91*(I93/100)&lt;0.3*VLOOKUP(Calc!BI91,'Fertiliser recommendations'!$A$4:$I$63,9,FALSE),"limited benefit",
IF(H93*Calc!BM91*(I93/100)&lt;1.1*VLOOKUP(Calc!BI91,'Fertiliser recommendations'!$A$4:$I$63,9,FALSE),"benefit",
IF(L93="3 (H)", "too high, not acceptable", "excessive")))),
IF(OR(AND('Soil results'!G$7="Olsen (ADAS)",'Soil results'!G96&lt;=15),AND('Soil results'!G$7="modified Morgan (SAC)",'Soil results'!G96&lt;=4.4)),
IF(H93*Calc!BM91*(I93/100)&lt;0.1*VLOOKUP(Calc!BI91,'Fertiliser recommendations'!$A$4:$I$63,9,FALSE),"no benefit",
IF(H93*Calc!BM91*(I93/100)&lt;0.3*VLOOKUP(Calc!BI91,'Fertiliser recommendations'!$A$4:$I$63,9,FALSE),"limited benefit",
IF(H93*Calc!BM91*(I93/100)&lt;1.1*J93,"benefit","excessive")))))))))))</f>
        <v/>
      </c>
      <c r="O93" s="91" t="str">
        <f ca="1">IF(B93="","",
IF(AND('Field information 2'!$O$5="", 'Field information 2'!$Q$5=""),
   IF('Waste results'!$S$19&lt;&gt;"data missing", Calc!BC91*'Waste results'!$S$19, "data missing"),
IF('Field information 2'!$Q$5="",
   IF(Calc!BD91=0,
     IF('Waste results'!$S$19&lt;&gt;"data missing", Calc!BC91*'Waste results'!$S$19, "data missing"),
   IF(Calc!BC91=0,
     IF('Waste results'!$S$55&lt;&gt;"data missing", Calc!BD91*'Waste results'!$S$55, "data missing"),
   IF(OR('Waste results'!$S$19&lt;&gt;"data missing", 'Waste results'!$S$55&lt;&gt;"data missing"), Calc!BC91*'Waste results'!$S$19+ Calc!BD91*'Waste results'!$S$55, "data missing"))),
IF(AND('Field information 2'!$M$5&lt;&gt;"", 'Field information 2'!$O$5&lt;&gt;"", 'Field information 2'!$Q$5&lt;&gt;""),
   IF(AND(Calc!BD91=0,Calc!BE91=0),
     IF('Waste results'!$S$19&lt;&gt;"data missing", Calc!BC91*'Waste results'!$S$19, "data missing"),
   IF(AND(Calc!BC91=0,Calc!BE91=0),
     IF('Waste results'!$S$55&lt;&gt;"data missing", Calc!BD91*'Waste results'!$S$55, "data missing"),
   IF(AND(Calc!BC91=0,Calc!BD91=0),
     IF('Waste results'!$S$91&lt;&gt;"data missing", Calc!BE91*'Waste results'!$S$91, "data missing"),
   IF(Calc!BE91=0,
     IF(OR('Waste results'!$S$19&lt;&gt;"data missing", 'Waste results'!$S$55&lt;&gt;"data missing"), Calc!BC91*'Waste results'!$S$19+ Calc!BD91*'Waste results'!$S$55, "data missing"),
   IF(Calc!BD91=0,
     IF(OR('Waste results'!$S$19&lt;&gt;"data missing", 'Waste results'!$S$91&lt;&gt;"data missing"), Calc!BC91*'Waste results'!$S$19+ Calc!BE91*'Waste results'!$S$91, "data missing"),
   IF(Calc!BC91=0,
     IF(OR('Waste results'!$S$55&lt;&gt;"data missing", 'Waste results'!$S$91&lt;&gt;"data missing"), Calc!BD91*'Waste results'!$S$55+Calc!BE91*'Waste results'!$S$91, "data missing"),
   IF(OR('Waste results'!$S$19&lt;&gt;"data missing", 'Waste results'!$S$55&lt;&gt;"data missing", 'Waste results'!$S$91&lt;&gt;"data missing"), Calc!BC91*'Waste results'!$S$19+Calc!BD91*'Waste results'!$S$55+ Calc!BE91*'Waste results'!$S$91, "data missing")))))))))))</f>
        <v/>
      </c>
      <c r="P93" s="91" t="str">
        <f ca="1">IF(B93="","",
IF(OR(ISBLANK('Soil results'!H$7),ISBLANK('Soil results'!H96)),"data missing",
IF(OR(AND('Soil results'!H$7="ammonium nitrate (ADAS)",'Soil results'!H96&gt;400),AND('Soil results'!H$7="modified Morgan (SAC)",'Soil results'!H96&gt;400)),0,
IF(OR(AND('Soil results'!H$7="ammonium nitrate (ADAS)",'Soil results'!H96&gt;=121,'Soil results'!H96&lt;=180),AND('Soil results'!H$7="modified Morgan (SAC)",'Soil results'!H96&gt;=76,'Soil results'!H96&lt;=140)),VLOOKUP(Calc!BI91,'Fertiliser recommendations'!$A$4:$Z$63,26,FALSE),
IF(OR(AND('Soil results'!H$7="ammonium nitrate (ADAS)",'Soil results'!H96&lt;61),AND('Soil results'!H$7="modified Morgan (SAC)",'Soil results'!H96&lt;40)),VLOOKUP(Calc!BI91,'Fertiliser recommendations'!$A$4:$Z$63,26,FALSE)+VLOOKUP(Calc!BI91,'Fertiliser recommendations'!$A$4:$AA$63,27,FALSE),
IF(OR(AND('Soil results'!H$7="ammonium nitrate (ADAS)",'Soil results'!H96&lt;121),AND('Soil results'!H$7="modified Morgan (SAC)",'Soil results'!H96&lt;76)),VLOOKUP(Calc!BI91,'Fertiliser recommendations'!$A$4:$Z$63,26,FALSE)+VLOOKUP(Calc!BI91,'Fertiliser recommendations'!$A$4:$AB$63,28,FALSE),
IF(OR(AND('Soil results'!H$7="ammonium nitrate (ADAS)",'Soil results'!H96&lt;241),AND('Soil results'!H$7="modified Morgan (SAC)",'Soil results'!H96&lt;201)),VLOOKUP(Calc!BI91,'Fertiliser recommendations'!$A$4:$Z$63,26,FALSE)+VLOOKUP(Calc!BI91,'Fertiliser recommendations'!$A$4:$AC$63,29,FALSE),
IF(OR(AND('Soil results'!H$7="ammonium nitrate (ADAS)",'Soil results'!H96&lt;=400),AND('Soil results'!H$7="modified Morgan (SAC)",'Soil results'!H96&lt;=400)),VLOOKUP(Calc!BI91,'Fertiliser recommendations'!$A$4:$Z$63,26,FALSE)+VLOOKUP(Calc!BI91,'Fertiliser recommendations'!$A$4:$AD$63,30,FALSE),
"??"))))))))</f>
        <v/>
      </c>
      <c r="Q93" s="91" t="str">
        <f t="shared" ca="1" si="19"/>
        <v/>
      </c>
      <c r="R93" s="9" t="str">
        <f ca="1">IF(B93="","",
IF(OR(O93="data missing",P93="data missing"),"data missing",
IF(Calc!BF91=0,"n/a",
IF(P93=0, "no requirement",
IF(O93&lt;0.1*P93,"no benefit",
IF(O93&lt;0.3*P93,"limited benefit",
IF(O93&gt;1.25*P93,"excessive",
"benefit")))))))</f>
        <v/>
      </c>
      <c r="T93" s="91" t="str">
        <f ca="1">IF(B93="","",
IF(AND('Field information 2'!$O$5="", 'Field information 2'!$Q$5=""),
   IF('Waste results'!$S$21&lt;&gt;"data missing", Calc!BC91*'Waste results'!$S$21, "data missing"),
IF('Field information 2'!$Q$5="",
   IF(Calc!BD91=0,
     IF('Waste results'!$S$21&lt;&gt;"data missing", Calc!BC91*'Waste results'!$S$21, "data missing"),
   IF(Calc!BC91=0,
     IF('Waste results'!$S$57&lt;&gt;"data missing", Calc!BD91*'Waste results'!$S$57, "data missing"),
   IF(OR('Waste results'!$S$21&lt;&gt;"data missing", 'Waste results'!$S$57&lt;&gt;"data missing"), Calc!BC91*'Waste results'!$S$21+ Calc!BD91*'Waste results'!$S$57, "data missing"))),
IF(AND('Field information 2'!$M$5&lt;&gt;"", 'Field information 2'!$O$5&lt;&gt;"", 'Field information 2'!$Q$5&lt;&gt;""),
   IF(AND(Calc!BD91=0,Calc!BE91=0),
     IF('Waste results'!$S$21&lt;&gt;"data missing", Calc!BC91*'Waste results'!$S$21, "data missing"),
   IF(AND(Calc!BC91=0,Calc!BE91=0),
     IF('Waste results'!$S$57&lt;&gt;"data missing", Calc!BD91*'Waste results'!$S$57, "data missing"),
   IF(AND(Calc!BC91=0,Calc!BD91=0),
     IF('Waste results'!$S$93&lt;&gt;"data missing", Calc!BE91*'Waste results'!$S$93, "data missing"),
   IF(Calc!BE91=0,
     IF(OR('Waste results'!$S$21&lt;&gt;"data missing", 'Waste results'!$S$57&lt;&gt;"data missing"), Calc!BC91*'Waste results'!$S$21+ Calc!BD91*'Waste results'!$S$57, "data missing"),
   IF(Calc!BD91=0,
     IF(OR('Waste results'!$S$21&lt;&gt;"data missing", 'Waste results'!$S$93&lt;&gt;"data missing"), Calc!BC91*'Waste results'!$S$21+ Calc!BE91*'Waste results'!$S$93, "data missing"),
   IF(Calc!BC91=0,
     IF(OR('Waste results'!$S$57&lt;&gt;"data missing", 'Waste results'!$S$93&lt;&gt;"data missing"), Calc!BD91*'Waste results'!$S$57+Calc!BE91*'Waste results'!$S$93, "data missing"),
   IF(OR('Waste results'!$S$21&lt;&gt;"data missing", 'Waste results'!$S$57&lt;&gt;"data missing", 'Waste results'!$S$93&lt;&gt;"data missing"), Calc!BC91*'Waste results'!$S$21+Calc!BD91*'Waste results'!$S$57+ Calc!BE91*'Waste results'!$S$93, "data missing")))))))))))</f>
        <v/>
      </c>
      <c r="U93" s="7" t="str">
        <f ca="1">IF(B93="","",
IF(OR(ISBLANK('Soil results'!I$7),ISBLANK('Soil results'!I96)),"data missing",
IF(OR(AND('Soil results'!I$7="ammonium nitrate (ADAS)",'Soil results'!I96&gt;51),AND('Soil results'!I$7="modified Morgan (SAC)",'Soil results'!I96&gt;61)),0,
IF(OR(AND('Soil results'!I$7="ammonium nitrate (ADAS)",'Soil results'!I96&lt;25),AND('Soil results'!I$7="modified Morgan (SAC)",'Soil results'!I96&lt;19)),VLOOKUP(Calc!BI91,'Fertiliser recommendations'!$A$4:$AH$63,34,FALSE),
IF(OR(AND('Soil results'!I$7="ammonium nitrate (ADAS)",'Soil results'!I96&lt;=51),AND('Soil results'!I$7="modified Morgan (SAC)",'Soil results'!I96&lt;=61)),VLOOKUP(Calc!BI91,'Fertiliser recommendations'!$A$4:$AI$63,35,FALSE),
"")))))</f>
        <v/>
      </c>
      <c r="V93" s="91" t="str">
        <f t="shared" ca="1" si="20"/>
        <v/>
      </c>
      <c r="W93" s="9" t="str">
        <f ca="1">IF(B93="","",
IF(OR(T93="data missing",U93="data missing"),"data missing",
IF(Calc!BF91=0,"n/a",
IF(U93=0,"no requirement",
IF(T93&lt;0.1*U93,"no benefit",
IF(T93&lt;0.3*U93,"limited benefit",
IF(OR(T93&gt;1.5*U93,AND(Calc!BJ91="g",T93&gt;100)),"excessive",
"benefit")))))))</f>
        <v/>
      </c>
      <c r="Y93" s="91" t="str">
        <f ca="1">IF(B93="","",
IF(AND('Field information 2'!$O$5="", 'Field information 2'!$Q$5=""),
   IF('Waste results'!$P$23&lt;&gt;"", Calc!BC91*'Waste results'!$P$23, "no data"),
IF('Field information 2'!$Q$5="",
   IF(Calc!BD91=0,
     IF('Waste results'!$P$23&lt;&gt;"", Calc!BC91*'Waste results'!$P$23, "no data"),
   IF(Calc!BC91=0,
     IF('Waste results'!$P$59&lt;&gt;"", Calc!BD91*'Waste results'!$P$59, "no data"),
   IF(OR('Waste results'!$P$23&lt;&gt;"", 'Waste results'!$P$59&lt;&gt;""), Calc!BC91*'Waste results'!$P$23+ Calc!BD91*'Waste results'!$P$59, "no data"))),
IF(AND('Field information 2'!$M$5&lt;&gt;"", 'Field information 2'!$O$5&lt;&gt;"", 'Field information 2'!$Q$5&lt;&gt;""),
   IF(AND(Calc!BD91=0,Calc!BE91=0),
     IF('Waste results'!$P$23&lt;&gt;"", Calc!BC91*'Waste results'!$P$23, "no data"),
   IF(AND(Calc!BC91=0,Calc!BE91=0),
     IF('Waste results'!$P$59&lt;&gt;"", Calc!BD91*'Waste results'!$P$59, "no data"),
   IF(AND(Calc!BC91=0,Calc!BD91=0),
     IF('Waste results'!$P$95&lt;&gt;"", Calc!BE91*'Waste results'!$P$95, "no data"),
   IF(Calc!BE91=0,
     IF(OR('Waste results'!$P$23&lt;&gt;"", 'Waste results'!$P$59&lt;&gt;""), Calc!BC91*'Waste results'!$P$23+ Calc!BD91*'Waste results'!$P$59, "no data"),
   IF(Calc!BD91=0,
     IF(OR('Waste results'!$P$23&lt;&gt;"", 'Waste results'!$P$95&lt;&gt;""), Calc!BC91*'Waste results'!$P$23+ Calc!BE91*'Waste results'!$P$95, "no data"),
   IF(Calc!BC91=0,
     IF(OR('Waste results'!$P$59&lt;&gt;"", 'Waste results'!$P$95&lt;&gt;""), Calc!BD91*'Waste results'!$P$59+Calc!BE91*'Waste results'!$P$95, "no data"),
   IF(OR('Waste results'!$P$23&lt;&gt;"", 'Waste results'!$P$59&lt;&gt;"", 'Waste results'!$P$95&lt;&gt;""), Calc!BC91*'Waste results'!$P$23+Calc!BD91*'Waste results'!$P$59+ Calc!BE91*'Waste results'!$P$95, "no data")))))))))))</f>
        <v/>
      </c>
      <c r="Z93" s="7" t="str">
        <f ca="1">IF(OR(ISBLANK('Soil results'!I$7),ISBLANK('Soil results'!I96),'Soil results'!B96=""),"",
VLOOKUP(Calc!BI91,'Fertiliser recommendations'!$A$4:$AM$63,39,FALSE))</f>
        <v/>
      </c>
      <c r="AA93" s="91" t="str">
        <f t="shared" ca="1" si="21"/>
        <v/>
      </c>
      <c r="AB93" s="9" t="str">
        <f t="shared" ca="1" si="22"/>
        <v/>
      </c>
      <c r="AD93" s="48" t="str">
        <f>IF(ISBLANK('Soil results'!F96),"",'Soil results'!F96)</f>
        <v/>
      </c>
      <c r="AE93" s="49" t="str">
        <f ca="1">IF(B93="","",
IF(AND(Calc!BJ91="g", VLOOKUP(LEFT($B93,LEN($B93)-2),'Field information 2'!$B$12:$P$111,9,FALSE)&lt;&gt;"yes"),
 IF(Calc!BG91="10-25% OM", 5.9, IF(Calc!BG91="&gt;25% OM", 5.5, 6.2)),
IF(OR(Calc!BJ91="a", VLOOKUP(LEFT($B93,LEN($B93)-2),'Field information 2'!$B$12:$P$111,9,FALSE)="yes"),
 IF(Calc!BG91="10-25% OM", 6.4, IF(Calc!BG91="&gt;25% OM", 6, 6.7)), "")))</f>
        <v/>
      </c>
      <c r="AF93" s="91" t="str">
        <f ca="1">IF(B93="","",
IF('Waste results'!$Q$33="","no (significant) liming properties",
IF('Waste results'!Q$33&gt;100,"no (significant) liming properties",
IF(AD93="","",
IF(AD93&gt;=AE93,0,ROUNDDOWN((AE93-AD93)*Calc!BK91*'Waste results'!$Q$33+0.2,0))))))</f>
        <v/>
      </c>
      <c r="AG93" s="9" t="str">
        <f ca="1">IF(B93="","",
IF(T93=0,"n/a",
IF(AD93="","data missing",
IF(AND(AD93&lt;5,AF93="no (significant) liming properties"),"no waste application - pH too low",
IF(AND(AD93&gt;5.1,AF93="no (significant) liming properties",Calc!BH91&gt;25, LEFT(Calc!BI91,4)="graz"),"ok",
IF(AND(AD93&lt;=5.2,AF93="no (significant) liming properties"),"liming highly recommended",
IF(AF93=0,"no waste application - liming not required",
IF(AF93&lt;Calc!BC91,"application rate too high - exceeds liming requirement",
"ok"))))))))</f>
        <v/>
      </c>
      <c r="AI93" s="91" t="str">
        <f ca="1">IF(B93="","",
IF(AND('Field information 2'!$O$5="", 'Field information 2'!$Q$5=""),
   IF('Waste results'!$P$10&lt;&gt;"data missing", Calc!BC91*'Waste results'!$P$10, "data missing"),
IF('Field information 2'!$Q$5="",
   IF(Calc!BD91=0,
     IF('Waste results'!$P$10&lt;&gt;"data missing", Calc!BC91*'Waste results'!$P$10, "data missing"),
   IF(Calc!BC91=0,
     IF('Waste results'!$P$45&lt;&gt;"data missing", Calc!BD91*'Waste results'!$P$45, "data missing"),
   IF(OR('Waste results'!$P$10&lt;&gt;"data missing", 'Waste results'!$P$45&lt;&gt;"data missing"), Calc!BC91*'Waste results'!$P$10+ Calc!BD91*'Waste results'!$P$45, "data missing"))),
IF(AND('Field information 2'!$M$5&lt;&gt;"", 'Field information 2'!$O$5&lt;&gt;"", 'Field information 2'!$Q$5&lt;&gt;""),
   IF(AND(Calc!BD91=0,Calc!BE91=0),
     IF('Waste results'!$P$10&lt;&gt;"data missing", Calc!BC91*'Waste results'!$P$10, "data missing"),
   IF(AND(Calc!BC91=0,Calc!BE91=0),
     IF('Waste results'!$P$45&lt;&gt;"data missing", Calc!BD91*'Waste results'!$P$45, "data missing"),
   IF(AND(Calc!BC91=0,Calc!BD91=0),
     IF('Waste results'!$P$82&lt;&gt;"data missing", Calc!BE91*'Waste results'!$P$82, "data missing"),
   IF(Calc!BE91=0,
     IF(OR('Waste results'!$P$10&lt;&gt;"data missing", 'Waste results'!$P$45&lt;&gt;"data missing"), Calc!BC91*'Waste results'!$P$10+ Calc!BD91*'Waste results'!$P$45, "data missing"),
   IF(Calc!BD91=0,
     IF(OR('Waste results'!$P$10&lt;&gt;"data missing", 'Waste results'!$P$82&lt;&gt;"data missing"), Calc!BC91*'Waste results'!$P$10+ Calc!BE91*'Waste results'!$P$82, "data missing"),
   IF(Calc!BC91=0,
     IF(OR('Waste results'!$P$45&lt;&gt;"data missing", 'Waste results'!$P$82&lt;&gt;"data missing"), Calc!BD91*'Waste results'!$P$45+Calc!BE91*'Waste results'!$P$82, "data missing"),
   IF(OR('Waste results'!$P$10&lt;&gt;"data missing", 'Waste results'!$P$45&lt;&gt;"data missing", 'Waste results'!$P$82&lt;&gt;"data missing"), Calc!BC91*'Waste results'!$P$10+Calc!BD91*'Waste results'!$P$45+ Calc!BE91*'Waste results'!$P$82, "data missing")))))))))))</f>
        <v/>
      </c>
      <c r="AJ93" s="237" t="str">
        <f ca="1">IF(B93="","",
IF(AI93="data missing","data missing",
IF(Calc!BF91=0,"n/a",
IF(AND(Calc!BH91&gt;=8,AI93&lt;500),"no benefit",
IF(OR(AND(Calc!BH91&lt;=4,AI93&gt;=500),AND(Calc!BH91&lt;8,AI93&gt;5000)),"benefit",
"limited benefit")))))</f>
        <v/>
      </c>
      <c r="AL93" s="238" t="str">
        <f ca="1">IF(B93="","",
IF(AND('Field information 2'!$O$5="", 'Field information 2'!$Q$5=""),
   IF('Waste results'!$S$25&lt;&gt;"data missing", Calc!BC91*'Waste results'!$S$25, "data missing"),
IF('Field information 2'!$Q$5="",
   IF(Calc!BD91=0,
     IF('Waste results'!$S$25&lt;&gt;"data missing", Calc!BC91*'Waste results'!$S$25, "data missing"),
   IF(Calc!BC91=0,
     IF('Waste results'!$S$61&lt;&gt;"data missing", Calc!BD91*'Waste results'!$S$61, "data missing"),
   IF(OR('Waste results'!$S$25&lt;&gt;"data missing", 'Waste results'!$S$61&lt;&gt;"data missing"), Calc!BC91*'Waste results'!$S$25+ Calc!BD91*'Waste results'!$S$61, "data missing"))),
IF(AND('Field information 2'!$M$5&lt;&gt;"", 'Field information 2'!$O$5&lt;&gt;"", 'Field information 2'!$Q$5&lt;&gt;""),
   IF(AND(Calc!BD91=0,Calc!BE91=0),
     IF('Waste results'!$S$25&lt;&gt;"data missing", Calc!BC91*'Waste results'!$S$25, "data missing"),
   IF(AND(Calc!BC91=0,Calc!BE91=0),
     IF('Waste results'!$S$61&lt;&gt;"data missing", Calc!BD91*'Waste results'!$S$61, "data missing"),
   IF(AND(Calc!BC91=0,Calc!BD91=0),
     IF('Waste results'!$S$97&lt;&gt;"data missing", Calc!BE91*'Waste results'!$S$97, "data missing"),
   IF(Calc!BE91=0,
     IF(OR('Waste results'!$S$25&lt;&gt;"data missing", 'Waste results'!$S$61&lt;&gt;"data missing"), Calc!BC91*'Waste results'!$S$25+ Calc!BD91*'Waste results'!$S$61, "data missing"),
   IF(Calc!BD91=0,
     IF(OR('Waste results'!$S$25&lt;&gt;"data missing", 'Waste results'!$S$97&lt;&gt;"data missing"), Calc!BC91*'Waste results'!$S$25+ Calc!BE91*'Waste results'!$S$97, "data missing"),
   IF(Calc!BC91=0,
     IF(OR('Waste results'!$S$61&lt;&gt;"data missing", 'Waste results'!$S$97&lt;&gt;"data missing"), Calc!BD91*'Waste results'!$S$61+Calc!BE91*'Waste results'!$S$97, "data missing"),
   IF(OR('Waste results'!$S$25&lt;&gt;"data missing", 'Waste results'!$S$61&lt;&gt;"data missing", 'Waste results'!$S$97&lt;&gt;"data missing"), Calc!BC91*'Waste results'!$S$25+Calc!BD91*'Waste results'!$S$61+ Calc!BE91*'Waste results'!$S$97, "data missing")))))))))))</f>
        <v/>
      </c>
      <c r="AM93" s="239" t="str">
        <f ca="1">IF($B93="","",
IF(ISBLANK('Soil results'!K96),"data missing",'Soil results'!K96))</f>
        <v/>
      </c>
      <c r="AN93" s="239" t="str">
        <f t="shared" ca="1" si="23"/>
        <v/>
      </c>
      <c r="AO93" s="9" t="str">
        <f t="shared" ca="1" si="24"/>
        <v/>
      </c>
      <c r="AQ93" s="240" t="str">
        <f ca="1">IF(B93="","",
IF(AND('Field information 2'!$O$5="", 'Field information 2'!$Q$5=""),
   IF('Waste results'!$S$26&lt;&gt;"data missing", Calc!BC91*'Waste results'!$S$26, "data missing"),
IF('Field information 2'!$Q$5="",
   IF(Calc!BD91=0,
     IF('Waste results'!$S$26&lt;&gt;"data missing", Calc!BC91*'Waste results'!$S$26, "data missing"),
   IF(Calc!BC91=0,
     IF('Waste results'!$S$62&lt;&gt;"data missing", Calc!BD91*'Waste results'!$S$62, "data missing"),
   IF(OR('Waste results'!$S$26&lt;&gt;"data missing", 'Waste results'!$S$62&lt;&gt;"data missing"), Calc!BC91*'Waste results'!$S$26+ Calc!BD91*'Waste results'!$S$62, "data missing"))),
IF(AND('Field information 2'!$M$5&lt;&gt;"", 'Field information 2'!$O$5&lt;&gt;"", 'Field information 2'!$Q$5&lt;&gt;""),
   IF(AND(Calc!BD91=0,Calc!BE91=0),
     IF('Waste results'!$S$26&lt;&gt;"data missing", Calc!BC91*'Waste results'!$S$26, "data missing"),
   IF(AND(Calc!BC91=0,Calc!BE91=0),
     IF('Waste results'!$S$62&lt;&gt;"data missing", Calc!BD91*'Waste results'!$S$62, "data missing"),
   IF(AND(Calc!BC91=0,Calc!BD91=0),
     IF('Waste results'!$S$98&lt;&gt;"data missing", Calc!BE91*'Waste results'!$S$98, "data missing"),
   IF(Calc!BE91=0,
     IF(OR('Waste results'!$S$26&lt;&gt;"data missing", 'Waste results'!$S$62&lt;&gt;"data missing"), Calc!BC91*'Waste results'!$S$26+ Calc!BD91*'Waste results'!$S$62, "data missing"),
   IF(Calc!BD91=0,
     IF(OR('Waste results'!$S$26&lt;&gt;"data missing", 'Waste results'!$S$98&lt;&gt;"data missing"), Calc!BC91*'Waste results'!$S$26+ Calc!BE91*'Waste results'!$S$98, "data missing"),
   IF(Calc!BC91=0,
     IF(OR('Waste results'!$S$62&lt;&gt;"data missing", 'Waste results'!$S$98&lt;&gt;"data missing"), Calc!BD91*'Waste results'!$S$62+Calc!BE91*'Waste results'!$S$98, "data missing"),
   IF(OR('Waste results'!$S$26&lt;&gt;"data missing", 'Waste results'!$S$62&lt;&gt;"data missing", 'Waste results'!$S$98&lt;&gt;"data missing"), Calc!BC91*'Waste results'!$S$26+Calc!BD91*'Waste results'!$S$62+ Calc!BE91*'Waste results'!$S$98, "data missing")))))))))))</f>
        <v/>
      </c>
      <c r="AR93" s="241" t="str">
        <f ca="1">IF($B93="","",
IF(ISBLANK('Soil results'!L96),"data missing",'Soil results'!L96))</f>
        <v/>
      </c>
      <c r="AS93" s="241" t="str">
        <f t="shared" ca="1" si="25"/>
        <v/>
      </c>
      <c r="AT93" s="66" t="str">
        <f t="shared" ca="1" si="26"/>
        <v/>
      </c>
      <c r="AV93" s="238" t="str">
        <f ca="1">IF(B93="","",
IF(AND('Field information 2'!$O$5="", 'Field information 2'!$Q$5=""),
   IF('Waste results'!$S$27&lt;&gt;"data missing", Calc!BC91*'Waste results'!$S$27, "data missing"),
IF('Field information 2'!$Q$5="",
   IF(Calc!BD91=0,
     IF('Waste results'!$S$27&lt;&gt;"data missing", Calc!BC91*'Waste results'!$S$27, "data missing"),
   IF(Calc!BC91=0,
     IF('Waste results'!$S$63&lt;&gt;"data missing", Calc!BD91*'Waste results'!$S$63, "data missing"),
   IF(OR('Waste results'!$S$27&lt;&gt;"data missing", 'Waste results'!$S$63&lt;&gt;"data missing"), Calc!BC91*'Waste results'!$S$27+ Calc!BD91*'Waste results'!$S$63, "data missing"))),
IF(AND('Field information 2'!$M$5&lt;&gt;"", 'Field information 2'!$O$5&lt;&gt;"", 'Field information 2'!$Q$5&lt;&gt;""),
   IF(AND(Calc!BD91=0,Calc!BE91=0),
     IF('Waste results'!$S$27&lt;&gt;"data missing", Calc!BC91*'Waste results'!$S$27, "data missing"),
   IF(AND(Calc!BC91=0,Calc!BE91=0),
     IF('Waste results'!$S$63&lt;&gt;"data missing", Calc!BD91*'Waste results'!$S$63, "data missing"),
   IF(AND(Calc!BC91=0,Calc!BD91=0),
     IF('Waste results'!$S$99&lt;&gt;"data missing", Calc!BE91*'Waste results'!$S$99, "data missing"),
   IF(Calc!BE91=0,
     IF(OR('Waste results'!$S$27&lt;&gt;"data missing", 'Waste results'!$S$63&lt;&gt;"data missing"), Calc!BC91*'Waste results'!$S$27+ Calc!BD91*'Waste results'!$S$63, "data missing"),
   IF(Calc!BD91=0,
     IF(OR('Waste results'!$S$27&lt;&gt;"data missing", 'Waste results'!$S$99&lt;&gt;"data missing"), Calc!BC91*'Waste results'!$S$27+ Calc!BE91*'Waste results'!$S$99, "data missing"),
   IF(Calc!BC91=0,
     IF(OR('Waste results'!$S$63&lt;&gt;"data missing", 'Waste results'!$S$99&lt;&gt;"data missing"), Calc!BD91*'Waste results'!$S$63+Calc!BE91*'Waste results'!$S$99, "data missing"),
   IF(OR('Waste results'!$S$27&lt;&gt;"data missing", 'Waste results'!$S$63&lt;&gt;"data missing", 'Waste results'!$S$99&lt;&gt;"data missing"), Calc!BC91*'Waste results'!$S$27+Calc!BD91*'Waste results'!$S$63+ Calc!BE91*'Waste results'!$S$99, "data missing")))))))))))</f>
        <v/>
      </c>
      <c r="AW93" s="239" t="str">
        <f ca="1">IF($B93="","",
IF(ISBLANK('Soil results'!M96),"data missing",'Soil results'!M96))</f>
        <v/>
      </c>
      <c r="AX93" s="239" t="str">
        <f t="shared" ca="1" si="27"/>
        <v/>
      </c>
      <c r="AY93" s="9" t="str">
        <f ca="1">IF(B93="","",
IF(AV93=0,"n/a",
IF(OR(AV93="data missing",AW93="data missing"),"data missing",
IF(AV93&gt;7.5,"application rate too high - permissible rate exceeds limit",
IF('Soil results'!$F96&lt;=5.5,
  IF(AW93&gt;80,"no application - soil conc. already above limit",
  IF(AX93&gt;80,"application rate too high - soil conc. will exceed limit",
  IF(AW93&gt;80*0.9,"soil conc. is at or above 90% of the limit",
  IF(10*AV93*1000/3000+AW93&gt;80,"soil limit likely to be exceeded in 10yrs",
  IF(50*AV93*1000/3000+AW93&gt;80,"soil limit likely to be exceeded in 50yrs","ok"))))),
IF('Soil results'!$F96&lt;=6,
  IF(AW93&gt;100,"no application - soil conc. already above limit",
  IF(AX93&gt;100,"application rate too high - soil conc. will exceed limit",
  IF(AW93&gt;100*0.9,"soil conc. is at or above 90% of the limit",
  IF(10*AV93*1000/3000+AW93&gt;100,"soil limit likely to be exceeded in 10yrs",
  IF(50*AV93*1000/3000+AW93&gt;100,"soil limit likely to be exceeded in 50yrs","ok"))))),
IF('Soil results'!$F96&lt;=7,
  IF(AW93&gt;135,"no application - soil conc. already above limit",
  IF(AX93&gt;135,"application rate too high - soil conc. will exceed limit",
  IF(AW93&gt;135*0.9,"soil conc. is at or above 90% of the limit",
  IF(10*AV93*1000/3000+AW93&gt;135,"soil limit likely to be exceeded in 10yrs",
  IF(50*AV93*1000/3000+AW93&gt;135,"soil limit likely to be exceeded in 50yrs","ok"))))),
IF('Soil results'!$F96&gt;7,
  IF(AW93&gt;200,"no application - soil conc. already above limit",
  IF(AX93&gt;200,"application too high - soil conc. will exceed limit",
  IF(AW93&gt;200*0.9,"soil conc. is at or above 90% of the limit",
  IF(10*AV93*1000/3000+AW93&gt;200,"soil limit likely to be exceeded in 10yrs",
  IF(50*AV93*1000/3000+AW93&gt;200,"soil limit likely to be exceeded in 50yrs","ok")))))
))))))))</f>
        <v/>
      </c>
      <c r="BA93" s="238" t="str">
        <f ca="1">IF(B93="","",
IF(AND('Field information 2'!$O$5="", 'Field information 2'!$Q$5=""),
   IF('Waste results'!$S$28&lt;&gt;"data missing", Calc!BC91*'Waste results'!$S$28, "data missing"),
IF('Field information 2'!$Q$5="",
   IF(Calc!BD91=0,
     IF('Waste results'!$S$28&lt;&gt;"data missing", Calc!BC91*'Waste results'!$S$28, "data missing"),
   IF(Calc!BC91=0,
     IF('Waste results'!$S$64&lt;&gt;"data missing", Calc!BD91*'Waste results'!$S$64, "data missing"),
   IF(OR('Waste results'!$S$28&lt;&gt;"data missing", 'Waste results'!$S$64&lt;&gt;"data missing"), Calc!BC91*'Waste results'!$S$28+ Calc!BD91*'Waste results'!$S$64, "data missing"))),
IF(AND('Field information 2'!$M$5&lt;&gt;"", 'Field information 2'!$O$5&lt;&gt;"", 'Field information 2'!$Q$5&lt;&gt;""),
   IF(AND(Calc!BD91=0,Calc!BE91=0),
     IF('Waste results'!$S$28&lt;&gt;"data missing", Calc!BC91*'Waste results'!$S$28, "data missing"),
   IF(AND(Calc!BC91=0,Calc!BE91=0),
     IF('Waste results'!$S$64&lt;&gt;"data missing", Calc!BD91*'Waste results'!$S$64, "data missing"),
   IF(AND(Calc!BC91=0,Calc!BD91=0),
     IF('Waste results'!$S$100&lt;&gt;"data missing", Calc!BE91*'Waste results'!$S$100, "data missing"),
   IF(Calc!BE91=0,
     IF(OR('Waste results'!$S$28&lt;&gt;"data missing", 'Waste results'!$S$64&lt;&gt;"data missing"), Calc!BC91*'Waste results'!$S$28+ Calc!BD91*'Waste results'!$S$64, "data missing"),
   IF(Calc!BD91=0,
     IF(OR('Waste results'!$S$28&lt;&gt;"data missing", 'Waste results'!$S$100&lt;&gt;"data missing"), Calc!BC91*'Waste results'!$S$28+ Calc!BE91*'Waste results'!$S$100, "data missing"),
   IF(Calc!BC91=0,
     IF(OR('Waste results'!$S$64&lt;&gt;"data missing", 'Waste results'!$S$100&lt;&gt;"data missing"), Calc!BD91*'Waste results'!$S$64+Calc!BE91*'Waste results'!$S$100, "data missing"),
   IF(OR('Waste results'!$S$28&lt;&gt;"data missing", 'Waste results'!$S$64&lt;&gt;"data missing", 'Waste results'!$S$100&lt;&gt;"data missing"), Calc!BC91*'Waste results'!$S$28+Calc!BD91*'Waste results'!$S$64+ Calc!BE91*'Waste results'!$S$100, "data missing")))))))))))</f>
        <v/>
      </c>
      <c r="BB93" s="239" t="str">
        <f ca="1">IF($B93="","",
IF(ISBLANK('Soil results'!N96),"data missing",'Soil results'!N96))</f>
        <v/>
      </c>
      <c r="BC93" s="239" t="str">
        <f t="shared" ca="1" si="28"/>
        <v/>
      </c>
      <c r="BD93" s="9" t="str">
        <f t="shared" ca="1" si="29"/>
        <v/>
      </c>
      <c r="BF93" s="238" t="str">
        <f ca="1">IF(B93="","",
IF(AND('Field information 2'!$O$5="", 'Field information 2'!$Q$5=""),
   IF('Waste results'!$S$29&lt;&gt;"data missing", Calc!BC91*'Waste results'!$S$29, "data missing"),
IF('Field information 2'!$Q$5="",
   IF(Calc!BD91=0,
     IF('Waste results'!$S$29&lt;&gt;"data missing", Calc!BC91*'Waste results'!$S$29, "data missing"),
   IF(Calc!BC91=0,
     IF('Waste results'!$S$65&lt;&gt;"data missing", Calc!BD91*'Waste results'!$S$65, "data missing"),
   IF(OR('Waste results'!$S$29&lt;&gt;"data missing", 'Waste results'!$S$65&lt;&gt;"data missing"), Calc!BC91*'Waste results'!$S$29+ Calc!BD91*'Waste results'!$S$65, "data missing"))),
IF(AND('Field information 2'!$M$5&lt;&gt;"", 'Field information 2'!$O$5&lt;&gt;"", 'Field information 2'!$Q$5&lt;&gt;""),
   IF(AND(Calc!BD91=0,Calc!BE91=0),
     IF('Waste results'!$S$29&lt;&gt;"data missing", Calc!BC91*'Waste results'!$S$29, "data missing"),
   IF(AND(Calc!BC91=0,Calc!BE91=0),
     IF('Waste results'!$S$65&lt;&gt;"data missing", Calc!BD91*'Waste results'!$S$65, "data missing"),
   IF(AND(Calc!BC91=0,Calc!BD91=0),
     IF('Waste results'!$S$101&lt;&gt;"data missing", Calc!BE91*'Waste results'!$S$101, "data missing"),
   IF(Calc!BE91=0,
     IF(OR('Waste results'!$S$29&lt;&gt;"data missing", 'Waste results'!$S$65&lt;&gt;"data missing"), Calc!BC91*'Waste results'!$S$29+ Calc!BD91*'Waste results'!$S$65, "data missing"),
   IF(Calc!BD91=0,
     IF(OR('Waste results'!$S$29&lt;&gt;"data missing", 'Waste results'!$S$101&lt;&gt;"data missing"), Calc!BC91*'Waste results'!$S$29+ Calc!BE91*'Waste results'!$S$101, "data missing"),
   IF(Calc!BC91=0,
     IF(OR('Waste results'!$S$65&lt;&gt;"data missing", 'Waste results'!$S$101&lt;&gt;"data missing"), Calc!BD91*'Waste results'!$S$65+Calc!BE91*'Waste results'!$S$101, "data missing"),
   IF(OR('Waste results'!$S$29&lt;&gt;"data missing", 'Waste results'!$S$65&lt;&gt;"data missing", 'Waste results'!$S$101&lt;&gt;"data missing"), Calc!BC91*'Waste results'!$S$29+Calc!BD91*'Waste results'!$S$65+ Calc!BE91*'Waste results'!$S$101, "data missing")))))))))))</f>
        <v/>
      </c>
      <c r="BG93" s="239" t="str">
        <f ca="1">IF($B93="","",
IF(ISBLANK('Soil results'!O96),"data missing",'Soil results'!O96))</f>
        <v/>
      </c>
      <c r="BH93" s="239" t="str">
        <f t="shared" ca="1" si="30"/>
        <v/>
      </c>
      <c r="BI93" s="9" t="str">
        <f ca="1">IF(B93="","",
IF(BF93=0,"n/a",
IF(OR(BF93="data missing",BG93="data missing"),"data missing",
IF(BF93&gt;3,"application rate too high - permissible rate exceeds limit",
IF('Soil results'!F96&lt;=5.5,
  IF(BG93&gt;50,"no application - soil conc. already above limit",
  IF(BH93&gt;50,"application rate too high - soil conc. will exceed limit",
  IF(BG93&gt;50*0.9,"soil conc. is at or above 90% of the limit",
  IF(10*BF93*1000/3000+BG93&gt;50,"soil limit likely to be exceeded in 10yrs",
  IF(50*BF93*1000/3000+BG93&gt;50,"soil limit likely to be exceeded in 50yrs","ok"))))),
IF('Soil results'!F96&lt;=6,
  IF(BG93&gt;60,"no application - soil conc. already above limit",
  IF(BH93&gt;60,"application rate too high - soil conc. will exceed limit",
  IF(BG93&gt;60*0.9,"soil conc. is at or above 90% of the limit",
  IF(10*BF93*1000/3000+BG93&gt;60,"soil limit likely to be exceeded in 10yrs",
  IF(50*BF93*1000/3000+BG93&gt;60,"soil limit likely to be exceeded in 50yrs","ok"))))),
IF('Soil results'!F96&lt;=7,
  IF(BG93&gt;75,"no application - soil conc. already above limit",
  IF(BH93&gt;75,"application rate too high - soil conc. will exceed limit",
  IF(BG93&gt;75*0.9,"soil conc. is at or above 90% of the limit",
  IF(10*BF93*1000/3000+BG93&gt;75,"soil limit likely to be exceeded in 10yrs",
  IF(50*BF93*1000/3000+BG93&gt;75,"soil limit likely to be exceeded in 50yrs","ok"))))),
IF('Soil results'!F96&gt;7,
  IF(BG93&gt;100,"no application - soil conc. already above limit",
  IF(BH93&gt;100,"application rate too high - soil conc. will exceed limit",
  IF(BG93&gt;100*0.9,"soil conc. is at or above 90% of the limit",
  IF(10*BF93*1000/3000+BG93&gt;100,"soil limit likely to be exceeded in 10yrs",
  IF(50*BF93*1000/3000+BG93&gt;100,"soil limit likely to beexceeded in 50yrs","ok")))))
))))))))</f>
        <v/>
      </c>
      <c r="BK93" s="240" t="str">
        <f ca="1">IF(B93="","",
IF(AND('Field information 2'!$O$5="", 'Field information 2'!$Q$5=""),
   IF('Waste results'!$S$30&lt;&gt;"data missing", Calc!BC91*'Waste results'!$S$30, "data missing"),
IF('Field information 2'!$Q$5="",
   IF(Calc!BD91=0,
     IF('Waste results'!$S$30&lt;&gt;"data missing", Calc!BC91*'Waste results'!$S$30, "data missing"),
   IF(Calc!BC91=0,
     IF('Waste results'!$S$66&lt;&gt;"data missing", Calc!BD91*'Waste results'!$S$66, "data missing"),
   IF(OR('Waste results'!$S$30&lt;&gt;"data missing", 'Waste results'!$S$66&lt;&gt;"data missing"), Calc!BC91*'Waste results'!$S$30+ Calc!BD91*'Waste results'!$S$66, "data missing"))),
IF(AND('Field information 2'!$M$5&lt;&gt;"", 'Field information 2'!$O$5&lt;&gt;"", 'Field information 2'!$Q$5&lt;&gt;""),
   IF(AND(Calc!BD91=0,Calc!BE91=0),
     IF('Waste results'!$S$30&lt;&gt;"data missing", Calc!BC91*'Waste results'!$S$30, "data missing"),
   IF(AND(Calc!BC91=0,Calc!BE91=0),
     IF('Waste results'!$S$66&lt;&gt;"data missing", Calc!BD91*'Waste results'!$S$66, "data missing"),
   IF(AND(Calc!BC91=0,Calc!BD91=0),
     IF('Waste results'!$S$102&lt;&gt;"data missing", Calc!BE91*'Waste results'!$S$102, "data missing"),
   IF(Calc!BE91=0,
     IF(OR('Waste results'!$S$30&lt;&gt;"data missing", 'Waste results'!$S$66&lt;&gt;"data missing"), Calc!BC91*'Waste results'!$S$30+ Calc!BD91*'Waste results'!$S$66, "data missing"),
   IF(Calc!BD91=0,
     IF(OR('Waste results'!$S$30&lt;&gt;"data missing", 'Waste results'!$S$102&lt;&gt;"data missing"), Calc!BC91*'Waste results'!$S$30+ Calc!BE91*'Waste results'!$S$102, "data missing"),
   IF(Calc!BC91=0,
     IF(OR('Waste results'!$S$66&lt;&gt;"data missing", 'Waste results'!$S$102&lt;&gt;"data missing"), Calc!BD91*'Waste results'!$S$66+Calc!BE91*'Waste results'!$S$102, "data missing"),
   IF(OR('Waste results'!$S$30&lt;&gt;"data missing", 'Waste results'!$S$66&lt;&gt;"data missing", 'Waste results'!$S$102&lt;&gt;"data missing"), Calc!BC91*'Waste results'!$S$30+Calc!BD91*'Waste results'!$S$66+ Calc!BE91*'Waste results'!$S$102, "data missing")))))))))))</f>
        <v/>
      </c>
      <c r="BL93" s="241" t="str">
        <f ca="1">IF($B93="","",
IF(ISBLANK('Soil results'!P96),"data missing",'Soil results'!P96))</f>
        <v/>
      </c>
      <c r="BM93" s="241" t="str">
        <f t="shared" ca="1" si="31"/>
        <v/>
      </c>
      <c r="BN93" s="66" t="str">
        <f t="shared" ca="1" si="32"/>
        <v/>
      </c>
      <c r="BP93" s="238" t="str">
        <f ca="1">IF(B93="","",
IF(AND('Field information 2'!$O$5="", 'Field information 2'!$Q$5=""),
   IF('Waste results'!$S$31&lt;&gt;"data missing", Calc!BC91*'Waste results'!$S$31, "data missing"),
IF('Field information 2'!$Q$5="",
   IF(Calc!BD91=0,
     IF('Waste results'!$S$31&lt;&gt;"data missing", Calc!BC91*'Waste results'!$S$31, "data missing"),
   IF(Calc!BC91=0,
     IF('Waste results'!$S$67&lt;&gt;"data missing", Calc!BD91*'Waste results'!$S$67, "data missing"),
   IF(OR('Waste results'!$S$31&lt;&gt;"data missing", 'Waste results'!$S$67&lt;&gt;"data missing"), Calc!BC91*'Waste results'!$S$31+ Calc!BD91*'Waste results'!$S$67, "data missing"))),
IF(AND('Field information 2'!$M$5&lt;&gt;"", 'Field information 2'!$O$5&lt;&gt;"", 'Field information 2'!$Q$5&lt;&gt;""),
   IF(AND(Calc!BD91=0,Calc!BE91=0),
     IF('Waste results'!$S$31&lt;&gt;"data missing", Calc!BC91*'Waste results'!$S$31, "data missing"),
   IF(AND(Calc!BC91=0,Calc!BE91=0),
     IF('Waste results'!$S$67&lt;&gt;"data missing", Calc!BD91*'Waste results'!$S$67, "data missing"),
   IF(AND(Calc!BC91=0,Calc!BD91=0),
     IF('Waste results'!$S$103&lt;&gt;"data missing", Calc!BE91*'Waste results'!$S$103, "data missing"),
   IF(Calc!BE91=0,
     IF(OR('Waste results'!$S$31&lt;&gt;"data missing", 'Waste results'!$S$67&lt;&gt;"data missing"), Calc!BC91*'Waste results'!$S$31+ Calc!BD91*'Waste results'!$S$67, "data missing"),
   IF(Calc!BD91=0,
     IF(OR('Waste results'!$S$31&lt;&gt;"data missing", 'Waste results'!$S$103&lt;&gt;"data missing"), Calc!BC91*'Waste results'!$S$31+ Calc!BE91*'Waste results'!$S$103, "data missing"),
   IF(Calc!BC91=0,
     IF(OR('Waste results'!$S$67&lt;&gt;"data missing", 'Waste results'!$S$103&lt;&gt;"data missing"), Calc!BD91*'Waste results'!$S$67+Calc!BE91*'Waste results'!$S$103, "data missing"),
   IF(OR('Waste results'!$S$31&lt;&gt;"data missing", 'Waste results'!$S$67&lt;&gt;"data missing", 'Waste results'!$S$103&lt;&gt;"data missing"), Calc!BC91*'Waste results'!$S$31+Calc!BD91*'Waste results'!$S$67+ Calc!BE91*'Waste results'!$S$103, "data missing")))))))))))</f>
        <v/>
      </c>
      <c r="BQ93" s="239" t="str">
        <f ca="1">IF($B93="","",
IF(ISBLANK('Soil results'!Q96),"data missing",'Soil results'!Q96))</f>
        <v/>
      </c>
      <c r="BR93" s="239" t="str">
        <f t="shared" ca="1" si="33"/>
        <v/>
      </c>
      <c r="BS93" s="9" t="str">
        <f ca="1">IF(B93="","",
IF(BP93=0,"n/a",
IF(OR(BP93="data missing",BQ93=""),"data missing",
IF(BP93&gt;15,"application rate too high - permissible rate exceeds limit",
IF('Soil results'!F96&lt;=5.5,
  IF(BQ93&gt;200,"no application - soil conc. already above limit",
  IF(BR93&gt;200,"application rate too high - soil conc. will exceed limit",
  IF(BQ93&gt;200*0.9,"soil conc. is at or above 90% of the limit",
  IF(10*BP93*1000/3000+BQ93&gt;200,"soil limit likely to be exceeded in 10yrs",
  IF(50*BP93*1000/3000+BQ93&gt;200,"soil limit likely to be exceeded in 50yrs","ok"))))),
IF('Soil results'!F96&lt;=6,
  IF(BQ93&gt;250,"no application - soil conc. already above limit",
  IF(BR93&gt;250,"application rate too high - soil conc. will exceed limit",
  IF(BQ93&gt;250*0.9,"soil conc. is at or above 90% of the limit",
  IF(10*BP93*1000/3000+BQ93&gt;250,"soil limit likely to be exceeded in 10yrs",
  IF(50*BP93*1000/3000+BQ93&gt;250,"soil limit likely to be exceeded in 50yrs","ok"))))),
IF('Soil results'!F96&lt;=7,
  IF(BQ93&gt;300,"no application - soil conc. already above limit",
  IF(BR93&gt;300,"application rate too high - soil conc. will exceed limit",
  IF(BQ93&gt;300*0.9,"soil conc. is at or above 90% of the limit",
  IF(10*BP93*1000/3000+BQ93&gt;300,"soil limit likey to be exceeded in 10yrs",
  IF(50*BP93*1000/3000+BQ93&gt;300,"soil limit likely to be exceeded in 50yrs","ok"))))),
IF('Soil results'!F96&gt;7,
  IF(BQ93&gt;450,"no application - soil conc. already above limit",
  IF(BR93&gt;450,"application rate too high - soil conc. will exceed limit",
  IF(AW93&gt;450*0.9,"soil conc. is at or above 90% of the limit",
  IF(10*BP93*1000/3000+BQ93&gt;450,"soil limit likely to be exceeded in 10yrs",
  IF(50*BP93*1000/3000+BQ93&gt;450,"soil limit likely to be exceeded in 50yrs","ok")))))
))))))))</f>
        <v/>
      </c>
    </row>
    <row r="94" spans="2:71" s="9" customFormat="1" ht="15" x14ac:dyDescent="0.25">
      <c r="B94" s="236" t="str">
        <f ca="1">'Soil results'!B97</f>
        <v/>
      </c>
      <c r="C94" s="91" t="str">
        <f ca="1">IF(B94="","",
IF(AND('Field information 2'!$O$5="", 'Field information 2'!$Q$5=""),
   IF('Waste results'!$S$12&lt;&gt;"data missing", Calc!BC92*'Waste results'!$S$12, "data missing"),
IF('Field information 2'!$Q$5="",
   IF(Calc!BD92=0,
     IF('Waste results'!$S$12&lt;&gt;"data missing", Calc!BC92*'Waste results'!$S$12, "data missing"),
   IF(Calc!BC92=0,
     IF('Waste results'!$S$48&lt;&gt;"data missing", Calc!BD92*'Waste results'!$S$48, "data missing"),
   IF(OR('Waste results'!$S$12&lt;&gt;"data missing", 'Waste results'!$S$48&lt;&gt;"data missing"), Calc!BC92*'Waste results'!$S$12+ Calc!BD92*'Waste results'!$S$48, "data missing"))),
IF(AND('Field information 2'!$M$5&lt;&gt;"", 'Field information 2'!$O$5&lt;&gt;"", 'Field information 2'!$Q$5&lt;&gt;""),
   IF(AND(Calc!BD92=0,Calc!BE92=0),
     IF('Waste results'!$S$12&lt;&gt;"data missing", Calc!BC92*'Waste results'!$S$12, "data missing"),
   IF(AND(Calc!BC92=0,Calc!BE92=0),
     IF('Waste results'!$S$48&lt;&gt;"data missing", Calc!BD92*'Waste results'!$S$48, "data missing"),
   IF(AND(Calc!BC92=0,Calc!BD92=0),
     IF('Waste results'!$S$84&lt;&gt;"data missing", Calc!BE92*'Waste results'!$S$84, "data missing"),
   IF(Calc!BE92=0,
     IF(OR('Waste results'!$S$12&lt;&gt;"data missing", 'Waste results'!$S$48&lt;&gt;"data missing"), Calc!BC92*'Waste results'!$S$12+ Calc!BD92*'Waste results'!$S$48, "data missing"),
   IF(Calc!BD92=0,
     IF(OR('Waste results'!$S$12&lt;&gt;"data missing", 'Waste results'!$S$84&lt;&gt;"data missing"), Calc!BC92*'Waste results'!$S$12+ Calc!BE92*'Waste results'!$S$84, "data missing"),
   IF(Calc!BC92=0,
     IF(OR('Waste results'!$S$48&lt;&gt;"data missing", 'Waste results'!$S$84&lt;&gt;"data missing"), Calc!BD92*'Waste results'!$S$48+Calc!BE92*'Waste results'!$S$84, "data missing"),
   IF(OR('Waste results'!$S$12&lt;&gt;"data missing", 'Waste results'!$S$48&lt;&gt;"data missing", 'Waste results'!$S$84&lt;&gt;"data missing"), Calc!BC92*'Waste results'!$S$12+Calc!BD92*'Waste results'!$S$48+ Calc!BE92*'Waste results'!$S$84, "data missing")))))))))))</f>
        <v/>
      </c>
      <c r="D94" s="161" t="str">
        <f ca="1">IF(B94="","",
IF(Calc!BG92="","soil texture missing",
IF(OR(Calc!BG92="SL; SZL; ZL",Calc!BG92="SCL; CL; ZCL; SC; ZC; C"),VLOOKUP(Calc!BI92,'Fertiliser recommendations'!$A$4:$C$63,3,FALSE),
IF(Calc!BG92="S; LS",VLOOKUP(Calc!BI92,'Fertiliser recommendations'!$A$4:$C$63,3,FALSE)+VLOOKUP(Calc!BI92,'Fertiliser recommendations'!$A$4:$D$63,4,FALSE),
IF(Calc!BG92="10-25% OM",VLOOKUP(Calc!BI92,'Fertiliser recommendations'!$A$4:$C$63,3,FALSE)+VLOOKUP(Calc!BI92,'Fertiliser recommendations'!$A$4:$E$63,5,FALSE),
IF(Calc!BG92="&gt;25% OM",VLOOKUP(Calc!BI92,'Fertiliser recommendations'!$A$4:$C$63,3,FALSE)+VLOOKUP(Calc!BI92,'Fertiliser recommendations'!$A$4:$F$63,6,FALSE),
""))))))</f>
        <v/>
      </c>
      <c r="E94" s="91" t="str">
        <f t="shared" ca="1" si="17"/>
        <v/>
      </c>
      <c r="F94" s="9" t="str">
        <f ca="1">IF(B94="","",
IF(OR(C94="data missing",D94="soil texture missing"),"data missing",
IF(Calc!BF92=0,"n/a",
IF(C94&lt;0.1*D94,"no benefit",
IF(C94&lt;0.3*D94,"limited benefit",
IF(C94&gt;250,"exceeds limit",
IF(OR(AND(D94=0,C94&gt;75),C94&gt;1.25*D94),"excessive",
IF(D94=0, "no requirement",
"benefit"))))))))</f>
        <v/>
      </c>
      <c r="H94" s="91" t="str">
        <f ca="1">IF(B94="","",
IF(AND('Field information 2'!$O$5="", 'Field information 2'!$Q$5=""),
   IF('Waste results'!$S$17&lt;&gt;"data missing", Calc!BC92*'Waste results'!$S$17, "data missing"),
IF('Field information 2'!$Q$5="",
   IF(Calc!BD92=0,
     IF('Waste results'!$S$17&lt;&gt;"data missing", Calc!BC92*'Waste results'!$S$17, "data missing"),
   IF(Calc!BC92=0,
     IF('Waste results'!$S$53&lt;&gt;"data missing", Calc!BD92*'Waste results'!$S$53, "data missing"),
   IF(OR('Waste results'!$S$17&lt;&gt;"data missing", 'Waste results'!$S$53&lt;&gt;"data missing"), Calc!BC92*'Waste results'!$S$17+ Calc!BD92*'Waste results'!$S$53, "data missing"))),
IF(AND('Field information 2'!$M$5&lt;&gt;"", 'Field information 2'!$O$5&lt;&gt;"", 'Field information 2'!$Q$5&lt;&gt;""),
   IF(AND(Calc!BD92=0,Calc!BE92=0),
     IF('Waste results'!$S$17&lt;&gt;"data missing", Calc!BC92*'Waste results'!$S$17, "data missing"),
   IF(AND(Calc!BC92=0,Calc!BE92=0),
     IF('Waste results'!$S$53&lt;&gt;"data missing", Calc!BD92*'Waste results'!$S$53, "data missing"),
   IF(AND(Calc!BC92=0,Calc!BD92=0),
     IF('Waste results'!$S$89&lt;&gt;"data missing", Calc!BE92*'Waste results'!$S$89, "data missing"),
   IF(Calc!BE92=0,
     IF(OR('Waste results'!$S$17&lt;&gt;"data missing", 'Waste results'!$S$53&lt;&gt;"data missing"), Calc!BC92*'Waste results'!$S$17+ Calc!BD92*'Waste results'!$S$53, "data missing"),
   IF(Calc!BD92=0,
     IF(OR('Waste results'!$S$17&lt;&gt;"data missing", 'Waste results'!$S$89&lt;&gt;"data missing"), Calc!BC92*'Waste results'!$S$17+ Calc!BE92*'Waste results'!$S$89, "data missing"),
   IF(Calc!BC92=0,
     IF(OR('Waste results'!$S$53&lt;&gt;"data missing", 'Waste results'!$S$89&lt;&gt;"data missing"), Calc!BD92*'Waste results'!$S$53+Calc!BE92*'Waste results'!$S$89, "data missing"),
   IF(OR('Waste results'!$S$17&lt;&gt;"data missing", 'Waste results'!$S$53&lt;&gt;"data missing", 'Waste results'!$S$89&lt;&gt;"data missing"), Calc!BC92*'Waste results'!$S$17+Calc!BD92*'Waste results'!$S$53+ Calc!BE92*'Waste results'!$S$89, "data missing")))))))))))</f>
        <v/>
      </c>
      <c r="I94" s="195" t="str">
        <f ca="1">IF(B94="","",
IF(OR(ISBLANK('Soil results'!G97), ISBLANK('Soil results'!G$7)),"data missing",
IF(OR(AND('Soil results'!G$7="Olsen (ADAS)",'Soil results'!G97&lt;16),AND('Soil results'!G$7="modified Morgan (SAC)",'Soil results'!G97&lt;4.5)),50,100)))</f>
        <v/>
      </c>
      <c r="J94" s="49" t="str">
        <f ca="1">IF(B94="","",
IF(OR(ISBLANK('Soil results'!G$7),ISBLANK('Soil results'!G97)),"data missing",
IF(OR(AND('Soil results'!G$7="Olsen (ADAS)",'Soil results'!G97&gt;45),AND('Soil results'!G$7="modified Morgan (SAC)",'Soil results'!G97&gt;30)),0,
IF(OR(AND('Soil results'!G$7="Olsen (ADAS)",'Soil results'!G97&gt;=16,'Soil results'!G97&lt;=20),AND('Soil results'!G$7="modified Morgan (SAC)",'Soil results'!G97&gt;=4.5,'Soil results'!G97&lt;=9.4)),VLOOKUP(Calc!BI92,'Fertiliser recommendations'!$A$4:$I$63,9,FALSE),
IF(OR(AND('Soil results'!G$7="Olsen (ADAS)",'Soil results'!G97&lt;10),AND('Soil results'!G$7="modified Morgan (SAC)",'Soil results'!G97&lt;1.8)),VLOOKUP(Calc!BI92,'Fertiliser recommendations'!$A$4:$I$63,9,FALSE)+VLOOKUP(Calc!BI92,'Fertiliser recommendations'!$A$4:$J$63,10,FALSE),
IF(OR(AND('Soil results'!G$7="Olsen (ADAS)",'Soil results'!G97&lt;16),AND('Soil results'!G$7="modified Morgan (SAC)",'Soil results'!G97&lt;4.5)),VLOOKUP(Calc!BI92,'Fertiliser recommendations'!$A$4:$I$63,9,FALSE)+VLOOKUP(Calc!BI92,'Fertiliser recommendations'!$A$4:$K$63,11,FALSE),
IF(OR(AND('Soil results'!G$7="Olsen (ADAS)",'Soil results'!G97&lt;26),AND('Soil results'!G$7="modified Morgan (SAC)",'Soil results'!G97&lt;13.5)),VLOOKUP(Calc!BI92,'Fertiliser recommendations'!$A$4:$I$63,9,FALSE)+VLOOKUP(Calc!BI92,'Fertiliser recommendations'!$A$4:$L$63,12,FALSE),
IF(OR(AND('Soil results'!G$7="Olsen (ADAS)",'Soil results'!G97&lt;=45),AND('Soil results'!G$7="modified Morgan (SAC)",'Soil results'!G97&lt;=30)),VLOOKUP(Calc!BI92,'Fertiliser recommendations'!$A$4:$I$63,9,FALSE)+VLOOKUP(Calc!BI92,'Fertiliser recommendations'!$A$4:$M$63,13,FALSE),
""))))))))</f>
        <v/>
      </c>
      <c r="K94" s="161" t="str">
        <f t="shared" ca="1" si="18"/>
        <v/>
      </c>
      <c r="L94" s="47" t="str">
        <f ca="1">IF(OR(ISBLANK('Soil results'!G$7),ISBLANK('Soil results'!G97),B94="", H94="data missing"),"",
IF('Soil results'!G$7="Olsen (ADAS)",
IF(((H94*Calc!BM92/2.291-(VLOOKUP(Calc!BI92,'Fertiliser recommendations'!$A$4:$I$63,9,FALSE))/2.291)*10/(400/2.291)+'Soil results'!G97)&lt;10,"0 (VL)",
IF(((H94*Calc!BM92/2.291-(VLOOKUP(Calc!BI92,'Fertiliser recommendations'!$A$4:$I$63,9,FALSE))/2.291)*10/(400/2.291)+'Soil results'!G97)&lt;16,"1 (L)",
IF(((H94*Calc!BM92/2.291-(VLOOKUP(Calc!BI92,'Fertiliser recommendations'!$A$4:$I$63,9,FALSE))/2.291)*10/(400/2.291)+'Soil results'!G97)&lt;21,"2 (M-)",
IF(((H94*Calc!BM92/2.291-(VLOOKUP(Calc!BI92,'Fertiliser recommendations'!$A$4:$I$63,9,FALSE))/2.291)*10/(400/2.291)+'Soil results'!G97)&lt;26,"2 (M+)",
IF(((H94*Calc!BM92/2.291-(VLOOKUP(Calc!BI92,'Fertiliser recommendations'!$A$4:$I$63,9,FALSE))/2.291)*10/(400/2.291)+'Soil results'!G97)&lt;45,"3 (H)","&gt;3 (VH)"))))),
IF('Soil results'!G$7="modified Morgan (SAC)",
IF('Soil results'!G97&gt;=6,
IF(((H94*Calc!BM92/2.291-(VLOOKUP(Calc!BI92,'Fertiliser recommendations'!$A$4:$I$63,9,FALSE))/2.291)*5/(147/2.291)+'Soil results'!G97)&lt;9.5,"2 (M-)",
IF(((H94*Calc!BM92/2.291-(VLOOKUP(Calc!BI92,'Fertiliser recommendations'!$A$4:$I$63,9,FALSE))/2.291)*5/(147/2.291)+'Soil results'!G97)&lt;13.5,"2 (M+)",
IF(((H94*Calc!BM92/2.291-(VLOOKUP(Calc!BI92,'Fertiliser recommendations'!$A$4:$I$63,9,FALSE))/2.291)*5/(147/2.291)+'Soil results'!G97)&lt;30,"3 (H)","4 (VH)"))),
IF(((H94*Calc!BM92/2.291-(VLOOKUP(Calc!BI92,'Fertiliser recommendations'!$A$4:$I$63,9,FALSE))/2.291)*5/(346/2.291)+'Soil results'!G97)&lt;1.8,"0 (VL)",
IF(((H94*Calc!BM92/2.291-(VLOOKUP(Calc!BI92,'Fertiliser recommendations'!$A$4:$I$63,9,FALSE))/2.291)*5/(147/2.291)+'Soil results'!G97)&lt;4.5,"1 (L)","2 (M-)"))))))</f>
        <v/>
      </c>
      <c r="M94" s="9" t="str">
        <f ca="1">IF(B94="","",
IF(OR(H94="data missing",I94="data missing",J94="data missing"),"data missing",
IF(Calc!BF92=0,"n/a",
IF(OR(AND('Soil results'!G$7="Olsen (ADAS)",'Soil results'!G97&gt;45),AND('Soil results'!G$7="modified Morgan (SAC)",'Soil results'!G97&gt;30)),
IF(H94&gt;2,"too high, not acceptable","no requirement"),IF(OR(AND('Soil results'!G$7="Olsen (ADAS)",'Soil results'!G97&gt;25),AND('Soil results'!G$7="modified Morgan (SAC)",'Soil results'!G97&gt;13.4)),
IF(H94*(I94/100)&lt;0.1*J94,"no benefit",
IF(H94*(I94/100)&lt;0.3*J94,"limited benefit",
IF(H94*(I94/100)&lt;1.1*J94,"benefit",
IF(H94*(I94/100)&lt;0.7*VLOOKUP(Calc!BI92,'Fertiliser recommendations'!$A$4:$I$63,9,FALSE),"excessive","too high, not acceptable")))),
IF(OR(AND('Soil results'!G$7="Olsen (ADAS)",'Soil results'!G97&gt;20),AND('Soil results'!G$7="modified Morgan (SAC)",'Soil results'!G97&gt;9.4)),
IF(H94*Calc!BM92*(I94/100)&lt;0.1*J94,"no benefit",
IF(H94*Calc!BM92*(I94/100)&lt;0.3*J94,"limited benefit",
IF(H94*Calc!BM92*(I94/100)&lt;1.1*J94,"benefit",
IF(L94="3 (H)","too high, not acceptable","excessive")))),
IF(OR(AND('Soil results'!G$7="Olsen (ADAS)",'Soil results'!G97&gt;15),AND('Soil results'!G$7="modified Morgan (SAC)",'Soil results'!G97&gt;4.4)),
IF(H94*Calc!BM92*(I94/100)&lt;0.1*VLOOKUP(Calc!BI92,'Fertiliser recommendations'!$A$4:$I$63,9,FALSE),"no benefit",
IF(H94*Calc!BM92*(I94/100)&lt;0.3*VLOOKUP(Calc!BI92,'Fertiliser recommendations'!$A$4:$I$63,9,FALSE),"limited benefit",
IF(H94*Calc!BM92*(I94/100)&lt;1.1*VLOOKUP(Calc!BI92,'Fertiliser recommendations'!$A$4:$I$63,9,FALSE),"benefit",
IF(L94="3 (H)", "too high, not acceptable", "excessive")))),
IF(OR(AND('Soil results'!G$7="Olsen (ADAS)",'Soil results'!G97&lt;=15),AND('Soil results'!G$7="modified Morgan (SAC)",'Soil results'!G97&lt;=4.4)),
IF(H94*Calc!BM92*(I94/100)&lt;0.1*VLOOKUP(Calc!BI92,'Fertiliser recommendations'!$A$4:$I$63,9,FALSE),"no benefit",
IF(H94*Calc!BM92*(I94/100)&lt;0.3*VLOOKUP(Calc!BI92,'Fertiliser recommendations'!$A$4:$I$63,9,FALSE),"limited benefit",
IF(H94*Calc!BM92*(I94/100)&lt;1.1*J94,"benefit","excessive")))))))))))</f>
        <v/>
      </c>
      <c r="O94" s="91" t="str">
        <f ca="1">IF(B94="","",
IF(AND('Field information 2'!$O$5="", 'Field information 2'!$Q$5=""),
   IF('Waste results'!$S$19&lt;&gt;"data missing", Calc!BC92*'Waste results'!$S$19, "data missing"),
IF('Field information 2'!$Q$5="",
   IF(Calc!BD92=0,
     IF('Waste results'!$S$19&lt;&gt;"data missing", Calc!BC92*'Waste results'!$S$19, "data missing"),
   IF(Calc!BC92=0,
     IF('Waste results'!$S$55&lt;&gt;"data missing", Calc!BD92*'Waste results'!$S$55, "data missing"),
   IF(OR('Waste results'!$S$19&lt;&gt;"data missing", 'Waste results'!$S$55&lt;&gt;"data missing"), Calc!BC92*'Waste results'!$S$19+ Calc!BD92*'Waste results'!$S$55, "data missing"))),
IF(AND('Field information 2'!$M$5&lt;&gt;"", 'Field information 2'!$O$5&lt;&gt;"", 'Field information 2'!$Q$5&lt;&gt;""),
   IF(AND(Calc!BD92=0,Calc!BE92=0),
     IF('Waste results'!$S$19&lt;&gt;"data missing", Calc!BC92*'Waste results'!$S$19, "data missing"),
   IF(AND(Calc!BC92=0,Calc!BE92=0),
     IF('Waste results'!$S$55&lt;&gt;"data missing", Calc!BD92*'Waste results'!$S$55, "data missing"),
   IF(AND(Calc!BC92=0,Calc!BD92=0),
     IF('Waste results'!$S$91&lt;&gt;"data missing", Calc!BE92*'Waste results'!$S$91, "data missing"),
   IF(Calc!BE92=0,
     IF(OR('Waste results'!$S$19&lt;&gt;"data missing", 'Waste results'!$S$55&lt;&gt;"data missing"), Calc!BC92*'Waste results'!$S$19+ Calc!BD92*'Waste results'!$S$55, "data missing"),
   IF(Calc!BD92=0,
     IF(OR('Waste results'!$S$19&lt;&gt;"data missing", 'Waste results'!$S$91&lt;&gt;"data missing"), Calc!BC92*'Waste results'!$S$19+ Calc!BE92*'Waste results'!$S$91, "data missing"),
   IF(Calc!BC92=0,
     IF(OR('Waste results'!$S$55&lt;&gt;"data missing", 'Waste results'!$S$91&lt;&gt;"data missing"), Calc!BD92*'Waste results'!$S$55+Calc!BE92*'Waste results'!$S$91, "data missing"),
   IF(OR('Waste results'!$S$19&lt;&gt;"data missing", 'Waste results'!$S$55&lt;&gt;"data missing", 'Waste results'!$S$91&lt;&gt;"data missing"), Calc!BC92*'Waste results'!$S$19+Calc!BD92*'Waste results'!$S$55+ Calc!BE92*'Waste results'!$S$91, "data missing")))))))))))</f>
        <v/>
      </c>
      <c r="P94" s="91" t="str">
        <f ca="1">IF(B94="","",
IF(OR(ISBLANK('Soil results'!H$7),ISBLANK('Soil results'!H97)),"data missing",
IF(OR(AND('Soil results'!H$7="ammonium nitrate (ADAS)",'Soil results'!H97&gt;400),AND('Soil results'!H$7="modified Morgan (SAC)",'Soil results'!H97&gt;400)),0,
IF(OR(AND('Soil results'!H$7="ammonium nitrate (ADAS)",'Soil results'!H97&gt;=121,'Soil results'!H97&lt;=180),AND('Soil results'!H$7="modified Morgan (SAC)",'Soil results'!H97&gt;=76,'Soil results'!H97&lt;=140)),VLOOKUP(Calc!BI92,'Fertiliser recommendations'!$A$4:$Z$63,26,FALSE),
IF(OR(AND('Soil results'!H$7="ammonium nitrate (ADAS)",'Soil results'!H97&lt;61),AND('Soil results'!H$7="modified Morgan (SAC)",'Soil results'!H97&lt;40)),VLOOKUP(Calc!BI92,'Fertiliser recommendations'!$A$4:$Z$63,26,FALSE)+VLOOKUP(Calc!BI92,'Fertiliser recommendations'!$A$4:$AA$63,27,FALSE),
IF(OR(AND('Soil results'!H$7="ammonium nitrate (ADAS)",'Soil results'!H97&lt;121),AND('Soil results'!H$7="modified Morgan (SAC)",'Soil results'!H97&lt;76)),VLOOKUP(Calc!BI92,'Fertiliser recommendations'!$A$4:$Z$63,26,FALSE)+VLOOKUP(Calc!BI92,'Fertiliser recommendations'!$A$4:$AB$63,28,FALSE),
IF(OR(AND('Soil results'!H$7="ammonium nitrate (ADAS)",'Soil results'!H97&lt;241),AND('Soil results'!H$7="modified Morgan (SAC)",'Soil results'!H97&lt;201)),VLOOKUP(Calc!BI92,'Fertiliser recommendations'!$A$4:$Z$63,26,FALSE)+VLOOKUP(Calc!BI92,'Fertiliser recommendations'!$A$4:$AC$63,29,FALSE),
IF(OR(AND('Soil results'!H$7="ammonium nitrate (ADAS)",'Soil results'!H97&lt;=400),AND('Soil results'!H$7="modified Morgan (SAC)",'Soil results'!H97&lt;=400)),VLOOKUP(Calc!BI92,'Fertiliser recommendations'!$A$4:$Z$63,26,FALSE)+VLOOKUP(Calc!BI92,'Fertiliser recommendations'!$A$4:$AD$63,30,FALSE),
"??"))))))))</f>
        <v/>
      </c>
      <c r="Q94" s="91" t="str">
        <f t="shared" ca="1" si="19"/>
        <v/>
      </c>
      <c r="R94" s="9" t="str">
        <f ca="1">IF(B94="","",
IF(OR(O94="data missing",P94="data missing"),"data missing",
IF(Calc!BF92=0,"n/a",
IF(P94=0, "no requirement",
IF(O94&lt;0.1*P94,"no benefit",
IF(O94&lt;0.3*P94,"limited benefit",
IF(O94&gt;1.25*P94,"excessive",
"benefit")))))))</f>
        <v/>
      </c>
      <c r="T94" s="91" t="str">
        <f ca="1">IF(B94="","",
IF(AND('Field information 2'!$O$5="", 'Field information 2'!$Q$5=""),
   IF('Waste results'!$S$21&lt;&gt;"data missing", Calc!BC92*'Waste results'!$S$21, "data missing"),
IF('Field information 2'!$Q$5="",
   IF(Calc!BD92=0,
     IF('Waste results'!$S$21&lt;&gt;"data missing", Calc!BC92*'Waste results'!$S$21, "data missing"),
   IF(Calc!BC92=0,
     IF('Waste results'!$S$57&lt;&gt;"data missing", Calc!BD92*'Waste results'!$S$57, "data missing"),
   IF(OR('Waste results'!$S$21&lt;&gt;"data missing", 'Waste results'!$S$57&lt;&gt;"data missing"), Calc!BC92*'Waste results'!$S$21+ Calc!BD92*'Waste results'!$S$57, "data missing"))),
IF(AND('Field information 2'!$M$5&lt;&gt;"", 'Field information 2'!$O$5&lt;&gt;"", 'Field information 2'!$Q$5&lt;&gt;""),
   IF(AND(Calc!BD92=0,Calc!BE92=0),
     IF('Waste results'!$S$21&lt;&gt;"data missing", Calc!BC92*'Waste results'!$S$21, "data missing"),
   IF(AND(Calc!BC92=0,Calc!BE92=0),
     IF('Waste results'!$S$57&lt;&gt;"data missing", Calc!BD92*'Waste results'!$S$57, "data missing"),
   IF(AND(Calc!BC92=0,Calc!BD92=0),
     IF('Waste results'!$S$93&lt;&gt;"data missing", Calc!BE92*'Waste results'!$S$93, "data missing"),
   IF(Calc!BE92=0,
     IF(OR('Waste results'!$S$21&lt;&gt;"data missing", 'Waste results'!$S$57&lt;&gt;"data missing"), Calc!BC92*'Waste results'!$S$21+ Calc!BD92*'Waste results'!$S$57, "data missing"),
   IF(Calc!BD92=0,
     IF(OR('Waste results'!$S$21&lt;&gt;"data missing", 'Waste results'!$S$93&lt;&gt;"data missing"), Calc!BC92*'Waste results'!$S$21+ Calc!BE92*'Waste results'!$S$93, "data missing"),
   IF(Calc!BC92=0,
     IF(OR('Waste results'!$S$57&lt;&gt;"data missing", 'Waste results'!$S$93&lt;&gt;"data missing"), Calc!BD92*'Waste results'!$S$57+Calc!BE92*'Waste results'!$S$93, "data missing"),
   IF(OR('Waste results'!$S$21&lt;&gt;"data missing", 'Waste results'!$S$57&lt;&gt;"data missing", 'Waste results'!$S$93&lt;&gt;"data missing"), Calc!BC92*'Waste results'!$S$21+Calc!BD92*'Waste results'!$S$57+ Calc!BE92*'Waste results'!$S$93, "data missing")))))))))))</f>
        <v/>
      </c>
      <c r="U94" s="7" t="str">
        <f ca="1">IF(B94="","",
IF(OR(ISBLANK('Soil results'!I$7),ISBLANK('Soil results'!I97)),"data missing",
IF(OR(AND('Soil results'!I$7="ammonium nitrate (ADAS)",'Soil results'!I97&gt;51),AND('Soil results'!I$7="modified Morgan (SAC)",'Soil results'!I97&gt;61)),0,
IF(OR(AND('Soil results'!I$7="ammonium nitrate (ADAS)",'Soil results'!I97&lt;25),AND('Soil results'!I$7="modified Morgan (SAC)",'Soil results'!I97&lt;19)),VLOOKUP(Calc!BI92,'Fertiliser recommendations'!$A$4:$AH$63,34,FALSE),
IF(OR(AND('Soil results'!I$7="ammonium nitrate (ADAS)",'Soil results'!I97&lt;=51),AND('Soil results'!I$7="modified Morgan (SAC)",'Soil results'!I97&lt;=61)),VLOOKUP(Calc!BI92,'Fertiliser recommendations'!$A$4:$AI$63,35,FALSE),
"")))))</f>
        <v/>
      </c>
      <c r="V94" s="91" t="str">
        <f t="shared" ca="1" si="20"/>
        <v/>
      </c>
      <c r="W94" s="9" t="str">
        <f ca="1">IF(B94="","",
IF(OR(T94="data missing",U94="data missing"),"data missing",
IF(Calc!BF92=0,"n/a",
IF(U94=0,"no requirement",
IF(T94&lt;0.1*U94,"no benefit",
IF(T94&lt;0.3*U94,"limited benefit",
IF(OR(T94&gt;1.5*U94,AND(Calc!BJ92="g",T94&gt;100)),"excessive",
"benefit")))))))</f>
        <v/>
      </c>
      <c r="Y94" s="91" t="str">
        <f ca="1">IF(B94="","",
IF(AND('Field information 2'!$O$5="", 'Field information 2'!$Q$5=""),
   IF('Waste results'!$P$23&lt;&gt;"", Calc!BC92*'Waste results'!$P$23, "no data"),
IF('Field information 2'!$Q$5="",
   IF(Calc!BD92=0,
     IF('Waste results'!$P$23&lt;&gt;"", Calc!BC92*'Waste results'!$P$23, "no data"),
   IF(Calc!BC92=0,
     IF('Waste results'!$P$59&lt;&gt;"", Calc!BD92*'Waste results'!$P$59, "no data"),
   IF(OR('Waste results'!$P$23&lt;&gt;"", 'Waste results'!$P$59&lt;&gt;""), Calc!BC92*'Waste results'!$P$23+ Calc!BD92*'Waste results'!$P$59, "no data"))),
IF(AND('Field information 2'!$M$5&lt;&gt;"", 'Field information 2'!$O$5&lt;&gt;"", 'Field information 2'!$Q$5&lt;&gt;""),
   IF(AND(Calc!BD92=0,Calc!BE92=0),
     IF('Waste results'!$P$23&lt;&gt;"", Calc!BC92*'Waste results'!$P$23, "no data"),
   IF(AND(Calc!BC92=0,Calc!BE92=0),
     IF('Waste results'!$P$59&lt;&gt;"", Calc!BD92*'Waste results'!$P$59, "no data"),
   IF(AND(Calc!BC92=0,Calc!BD92=0),
     IF('Waste results'!$P$95&lt;&gt;"", Calc!BE92*'Waste results'!$P$95, "no data"),
   IF(Calc!BE92=0,
     IF(OR('Waste results'!$P$23&lt;&gt;"", 'Waste results'!$P$59&lt;&gt;""), Calc!BC92*'Waste results'!$P$23+ Calc!BD92*'Waste results'!$P$59, "no data"),
   IF(Calc!BD92=0,
     IF(OR('Waste results'!$P$23&lt;&gt;"", 'Waste results'!$P$95&lt;&gt;""), Calc!BC92*'Waste results'!$P$23+ Calc!BE92*'Waste results'!$P$95, "no data"),
   IF(Calc!BC92=0,
     IF(OR('Waste results'!$P$59&lt;&gt;"", 'Waste results'!$P$95&lt;&gt;""), Calc!BD92*'Waste results'!$P$59+Calc!BE92*'Waste results'!$P$95, "no data"),
   IF(OR('Waste results'!$P$23&lt;&gt;"", 'Waste results'!$P$59&lt;&gt;"", 'Waste results'!$P$95&lt;&gt;""), Calc!BC92*'Waste results'!$P$23+Calc!BD92*'Waste results'!$P$59+ Calc!BE92*'Waste results'!$P$95, "no data")))))))))))</f>
        <v/>
      </c>
      <c r="Z94" s="7" t="str">
        <f ca="1">IF(OR(ISBLANK('Soil results'!I$7),ISBLANK('Soil results'!I97),'Soil results'!B97=""),"",
VLOOKUP(Calc!BI92,'Fertiliser recommendations'!$A$4:$AM$63,39,FALSE))</f>
        <v/>
      </c>
      <c r="AA94" s="91" t="str">
        <f t="shared" ca="1" si="21"/>
        <v/>
      </c>
      <c r="AB94" s="9" t="str">
        <f t="shared" ca="1" si="22"/>
        <v/>
      </c>
      <c r="AD94" s="48" t="str">
        <f>IF(ISBLANK('Soil results'!F97),"",'Soil results'!F97)</f>
        <v/>
      </c>
      <c r="AE94" s="49" t="str">
        <f ca="1">IF(B94="","",
IF(AND(Calc!BJ92="g", VLOOKUP(LEFT($B94,LEN($B94)-2),'Field information 2'!$B$12:$P$111,9,FALSE)&lt;&gt;"yes"),
 IF(Calc!BG92="10-25% OM", 5.9, IF(Calc!BG92="&gt;25% OM", 5.5, 6.2)),
IF(OR(Calc!BJ92="a", VLOOKUP(LEFT($B94,LEN($B94)-2),'Field information 2'!$B$12:$P$111,9,FALSE)="yes"),
 IF(Calc!BG92="10-25% OM", 6.4, IF(Calc!BG92="&gt;25% OM", 6, 6.7)), "")))</f>
        <v/>
      </c>
      <c r="AF94" s="91" t="str">
        <f ca="1">IF(B94="","",
IF('Waste results'!$Q$33="","no (significant) liming properties",
IF('Waste results'!Q$33&gt;100,"no (significant) liming properties",
IF(AD94="","",
IF(AD94&gt;=AE94,0,ROUNDDOWN((AE94-AD94)*Calc!BK92*'Waste results'!$Q$33+0.2,0))))))</f>
        <v/>
      </c>
      <c r="AG94" s="9" t="str">
        <f ca="1">IF(B94="","",
IF(T94=0,"n/a",
IF(AD94="","data missing",
IF(AND(AD94&lt;5,AF94="no (significant) liming properties"),"no waste application - pH too low",
IF(AND(AD94&gt;5.1,AF94="no (significant) liming properties",Calc!BH92&gt;25, LEFT(Calc!BI92,4)="graz"),"ok",
IF(AND(AD94&lt;=5.2,AF94="no (significant) liming properties"),"liming highly recommended",
IF(AF94=0,"no waste application - liming not required",
IF(AF94&lt;Calc!BC92,"application rate too high - exceeds liming requirement",
"ok"))))))))</f>
        <v/>
      </c>
      <c r="AI94" s="91" t="str">
        <f ca="1">IF(B94="","",
IF(AND('Field information 2'!$O$5="", 'Field information 2'!$Q$5=""),
   IF('Waste results'!$P$10&lt;&gt;"data missing", Calc!BC92*'Waste results'!$P$10, "data missing"),
IF('Field information 2'!$Q$5="",
   IF(Calc!BD92=0,
     IF('Waste results'!$P$10&lt;&gt;"data missing", Calc!BC92*'Waste results'!$P$10, "data missing"),
   IF(Calc!BC92=0,
     IF('Waste results'!$P$45&lt;&gt;"data missing", Calc!BD92*'Waste results'!$P$45, "data missing"),
   IF(OR('Waste results'!$P$10&lt;&gt;"data missing", 'Waste results'!$P$45&lt;&gt;"data missing"), Calc!BC92*'Waste results'!$P$10+ Calc!BD92*'Waste results'!$P$45, "data missing"))),
IF(AND('Field information 2'!$M$5&lt;&gt;"", 'Field information 2'!$O$5&lt;&gt;"", 'Field information 2'!$Q$5&lt;&gt;""),
   IF(AND(Calc!BD92=0,Calc!BE92=0),
     IF('Waste results'!$P$10&lt;&gt;"data missing", Calc!BC92*'Waste results'!$P$10, "data missing"),
   IF(AND(Calc!BC92=0,Calc!BE92=0),
     IF('Waste results'!$P$45&lt;&gt;"data missing", Calc!BD92*'Waste results'!$P$45, "data missing"),
   IF(AND(Calc!BC92=0,Calc!BD92=0),
     IF('Waste results'!$P$82&lt;&gt;"data missing", Calc!BE92*'Waste results'!$P$82, "data missing"),
   IF(Calc!BE92=0,
     IF(OR('Waste results'!$P$10&lt;&gt;"data missing", 'Waste results'!$P$45&lt;&gt;"data missing"), Calc!BC92*'Waste results'!$P$10+ Calc!BD92*'Waste results'!$P$45, "data missing"),
   IF(Calc!BD92=0,
     IF(OR('Waste results'!$P$10&lt;&gt;"data missing", 'Waste results'!$P$82&lt;&gt;"data missing"), Calc!BC92*'Waste results'!$P$10+ Calc!BE92*'Waste results'!$P$82, "data missing"),
   IF(Calc!BC92=0,
     IF(OR('Waste results'!$P$45&lt;&gt;"data missing", 'Waste results'!$P$82&lt;&gt;"data missing"), Calc!BD92*'Waste results'!$P$45+Calc!BE92*'Waste results'!$P$82, "data missing"),
   IF(OR('Waste results'!$P$10&lt;&gt;"data missing", 'Waste results'!$P$45&lt;&gt;"data missing", 'Waste results'!$P$82&lt;&gt;"data missing"), Calc!BC92*'Waste results'!$P$10+Calc!BD92*'Waste results'!$P$45+ Calc!BE92*'Waste results'!$P$82, "data missing")))))))))))</f>
        <v/>
      </c>
      <c r="AJ94" s="237" t="str">
        <f ca="1">IF(B94="","",
IF(AI94="data missing","data missing",
IF(Calc!BF92=0,"n/a",
IF(AND(Calc!BH92&gt;=8,AI94&lt;500),"no benefit",
IF(OR(AND(Calc!BH92&lt;=4,AI94&gt;=500),AND(Calc!BH92&lt;8,AI94&gt;5000)),"benefit",
"limited benefit")))))</f>
        <v/>
      </c>
      <c r="AL94" s="238" t="str">
        <f ca="1">IF(B94="","",
IF(AND('Field information 2'!$O$5="", 'Field information 2'!$Q$5=""),
   IF('Waste results'!$S$25&lt;&gt;"data missing", Calc!BC92*'Waste results'!$S$25, "data missing"),
IF('Field information 2'!$Q$5="",
   IF(Calc!BD92=0,
     IF('Waste results'!$S$25&lt;&gt;"data missing", Calc!BC92*'Waste results'!$S$25, "data missing"),
   IF(Calc!BC92=0,
     IF('Waste results'!$S$61&lt;&gt;"data missing", Calc!BD92*'Waste results'!$S$61, "data missing"),
   IF(OR('Waste results'!$S$25&lt;&gt;"data missing", 'Waste results'!$S$61&lt;&gt;"data missing"), Calc!BC92*'Waste results'!$S$25+ Calc!BD92*'Waste results'!$S$61, "data missing"))),
IF(AND('Field information 2'!$M$5&lt;&gt;"", 'Field information 2'!$O$5&lt;&gt;"", 'Field information 2'!$Q$5&lt;&gt;""),
   IF(AND(Calc!BD92=0,Calc!BE92=0),
     IF('Waste results'!$S$25&lt;&gt;"data missing", Calc!BC92*'Waste results'!$S$25, "data missing"),
   IF(AND(Calc!BC92=0,Calc!BE92=0),
     IF('Waste results'!$S$61&lt;&gt;"data missing", Calc!BD92*'Waste results'!$S$61, "data missing"),
   IF(AND(Calc!BC92=0,Calc!BD92=0),
     IF('Waste results'!$S$97&lt;&gt;"data missing", Calc!BE92*'Waste results'!$S$97, "data missing"),
   IF(Calc!BE92=0,
     IF(OR('Waste results'!$S$25&lt;&gt;"data missing", 'Waste results'!$S$61&lt;&gt;"data missing"), Calc!BC92*'Waste results'!$S$25+ Calc!BD92*'Waste results'!$S$61, "data missing"),
   IF(Calc!BD92=0,
     IF(OR('Waste results'!$S$25&lt;&gt;"data missing", 'Waste results'!$S$97&lt;&gt;"data missing"), Calc!BC92*'Waste results'!$S$25+ Calc!BE92*'Waste results'!$S$97, "data missing"),
   IF(Calc!BC92=0,
     IF(OR('Waste results'!$S$61&lt;&gt;"data missing", 'Waste results'!$S$97&lt;&gt;"data missing"), Calc!BD92*'Waste results'!$S$61+Calc!BE92*'Waste results'!$S$97, "data missing"),
   IF(OR('Waste results'!$S$25&lt;&gt;"data missing", 'Waste results'!$S$61&lt;&gt;"data missing", 'Waste results'!$S$97&lt;&gt;"data missing"), Calc!BC92*'Waste results'!$S$25+Calc!BD92*'Waste results'!$S$61+ Calc!BE92*'Waste results'!$S$97, "data missing")))))))))))</f>
        <v/>
      </c>
      <c r="AM94" s="239" t="str">
        <f ca="1">IF($B94="","",
IF(ISBLANK('Soil results'!K97),"data missing",'Soil results'!K97))</f>
        <v/>
      </c>
      <c r="AN94" s="239" t="str">
        <f t="shared" ca="1" si="23"/>
        <v/>
      </c>
      <c r="AO94" s="9" t="str">
        <f t="shared" ca="1" si="24"/>
        <v/>
      </c>
      <c r="AQ94" s="240" t="str">
        <f ca="1">IF(B94="","",
IF(AND('Field information 2'!$O$5="", 'Field information 2'!$Q$5=""),
   IF('Waste results'!$S$26&lt;&gt;"data missing", Calc!BC92*'Waste results'!$S$26, "data missing"),
IF('Field information 2'!$Q$5="",
   IF(Calc!BD92=0,
     IF('Waste results'!$S$26&lt;&gt;"data missing", Calc!BC92*'Waste results'!$S$26, "data missing"),
   IF(Calc!BC92=0,
     IF('Waste results'!$S$62&lt;&gt;"data missing", Calc!BD92*'Waste results'!$S$62, "data missing"),
   IF(OR('Waste results'!$S$26&lt;&gt;"data missing", 'Waste results'!$S$62&lt;&gt;"data missing"), Calc!BC92*'Waste results'!$S$26+ Calc!BD92*'Waste results'!$S$62, "data missing"))),
IF(AND('Field information 2'!$M$5&lt;&gt;"", 'Field information 2'!$O$5&lt;&gt;"", 'Field information 2'!$Q$5&lt;&gt;""),
   IF(AND(Calc!BD92=0,Calc!BE92=0),
     IF('Waste results'!$S$26&lt;&gt;"data missing", Calc!BC92*'Waste results'!$S$26, "data missing"),
   IF(AND(Calc!BC92=0,Calc!BE92=0),
     IF('Waste results'!$S$62&lt;&gt;"data missing", Calc!BD92*'Waste results'!$S$62, "data missing"),
   IF(AND(Calc!BC92=0,Calc!BD92=0),
     IF('Waste results'!$S$98&lt;&gt;"data missing", Calc!BE92*'Waste results'!$S$98, "data missing"),
   IF(Calc!BE92=0,
     IF(OR('Waste results'!$S$26&lt;&gt;"data missing", 'Waste results'!$S$62&lt;&gt;"data missing"), Calc!BC92*'Waste results'!$S$26+ Calc!BD92*'Waste results'!$S$62, "data missing"),
   IF(Calc!BD92=0,
     IF(OR('Waste results'!$S$26&lt;&gt;"data missing", 'Waste results'!$S$98&lt;&gt;"data missing"), Calc!BC92*'Waste results'!$S$26+ Calc!BE92*'Waste results'!$S$98, "data missing"),
   IF(Calc!BC92=0,
     IF(OR('Waste results'!$S$62&lt;&gt;"data missing", 'Waste results'!$S$98&lt;&gt;"data missing"), Calc!BD92*'Waste results'!$S$62+Calc!BE92*'Waste results'!$S$98, "data missing"),
   IF(OR('Waste results'!$S$26&lt;&gt;"data missing", 'Waste results'!$S$62&lt;&gt;"data missing", 'Waste results'!$S$98&lt;&gt;"data missing"), Calc!BC92*'Waste results'!$S$26+Calc!BD92*'Waste results'!$S$62+ Calc!BE92*'Waste results'!$S$98, "data missing")))))))))))</f>
        <v/>
      </c>
      <c r="AR94" s="241" t="str">
        <f ca="1">IF($B94="","",
IF(ISBLANK('Soil results'!L97),"data missing",'Soil results'!L97))</f>
        <v/>
      </c>
      <c r="AS94" s="241" t="str">
        <f t="shared" ca="1" si="25"/>
        <v/>
      </c>
      <c r="AT94" s="66" t="str">
        <f t="shared" ca="1" si="26"/>
        <v/>
      </c>
      <c r="AV94" s="238" t="str">
        <f ca="1">IF(B94="","",
IF(AND('Field information 2'!$O$5="", 'Field information 2'!$Q$5=""),
   IF('Waste results'!$S$27&lt;&gt;"data missing", Calc!BC92*'Waste results'!$S$27, "data missing"),
IF('Field information 2'!$Q$5="",
   IF(Calc!BD92=0,
     IF('Waste results'!$S$27&lt;&gt;"data missing", Calc!BC92*'Waste results'!$S$27, "data missing"),
   IF(Calc!BC92=0,
     IF('Waste results'!$S$63&lt;&gt;"data missing", Calc!BD92*'Waste results'!$S$63, "data missing"),
   IF(OR('Waste results'!$S$27&lt;&gt;"data missing", 'Waste results'!$S$63&lt;&gt;"data missing"), Calc!BC92*'Waste results'!$S$27+ Calc!BD92*'Waste results'!$S$63, "data missing"))),
IF(AND('Field information 2'!$M$5&lt;&gt;"", 'Field information 2'!$O$5&lt;&gt;"", 'Field information 2'!$Q$5&lt;&gt;""),
   IF(AND(Calc!BD92=0,Calc!BE92=0),
     IF('Waste results'!$S$27&lt;&gt;"data missing", Calc!BC92*'Waste results'!$S$27, "data missing"),
   IF(AND(Calc!BC92=0,Calc!BE92=0),
     IF('Waste results'!$S$63&lt;&gt;"data missing", Calc!BD92*'Waste results'!$S$63, "data missing"),
   IF(AND(Calc!BC92=0,Calc!BD92=0),
     IF('Waste results'!$S$99&lt;&gt;"data missing", Calc!BE92*'Waste results'!$S$99, "data missing"),
   IF(Calc!BE92=0,
     IF(OR('Waste results'!$S$27&lt;&gt;"data missing", 'Waste results'!$S$63&lt;&gt;"data missing"), Calc!BC92*'Waste results'!$S$27+ Calc!BD92*'Waste results'!$S$63, "data missing"),
   IF(Calc!BD92=0,
     IF(OR('Waste results'!$S$27&lt;&gt;"data missing", 'Waste results'!$S$99&lt;&gt;"data missing"), Calc!BC92*'Waste results'!$S$27+ Calc!BE92*'Waste results'!$S$99, "data missing"),
   IF(Calc!BC92=0,
     IF(OR('Waste results'!$S$63&lt;&gt;"data missing", 'Waste results'!$S$99&lt;&gt;"data missing"), Calc!BD92*'Waste results'!$S$63+Calc!BE92*'Waste results'!$S$99, "data missing"),
   IF(OR('Waste results'!$S$27&lt;&gt;"data missing", 'Waste results'!$S$63&lt;&gt;"data missing", 'Waste results'!$S$99&lt;&gt;"data missing"), Calc!BC92*'Waste results'!$S$27+Calc!BD92*'Waste results'!$S$63+ Calc!BE92*'Waste results'!$S$99, "data missing")))))))))))</f>
        <v/>
      </c>
      <c r="AW94" s="239" t="str">
        <f ca="1">IF($B94="","",
IF(ISBLANK('Soil results'!M97),"data missing",'Soil results'!M97))</f>
        <v/>
      </c>
      <c r="AX94" s="239" t="str">
        <f t="shared" ca="1" si="27"/>
        <v/>
      </c>
      <c r="AY94" s="9" t="str">
        <f ca="1">IF(B94="","",
IF(AV94=0,"n/a",
IF(OR(AV94="data missing",AW94="data missing"),"data missing",
IF(AV94&gt;7.5,"application rate too high - permissible rate exceeds limit",
IF('Soil results'!$F97&lt;=5.5,
  IF(AW94&gt;80,"no application - soil conc. already above limit",
  IF(AX94&gt;80,"application rate too high - soil conc. will exceed limit",
  IF(AW94&gt;80*0.9,"soil conc. is at or above 90% of the limit",
  IF(10*AV94*1000/3000+AW94&gt;80,"soil limit likely to be exceeded in 10yrs",
  IF(50*AV94*1000/3000+AW94&gt;80,"soil limit likely to be exceeded in 50yrs","ok"))))),
IF('Soil results'!$F97&lt;=6,
  IF(AW94&gt;100,"no application - soil conc. already above limit",
  IF(AX94&gt;100,"application rate too high - soil conc. will exceed limit",
  IF(AW94&gt;100*0.9,"soil conc. is at or above 90% of the limit",
  IF(10*AV94*1000/3000+AW94&gt;100,"soil limit likely to be exceeded in 10yrs",
  IF(50*AV94*1000/3000+AW94&gt;100,"soil limit likely to be exceeded in 50yrs","ok"))))),
IF('Soil results'!$F97&lt;=7,
  IF(AW94&gt;135,"no application - soil conc. already above limit",
  IF(AX94&gt;135,"application rate too high - soil conc. will exceed limit",
  IF(AW94&gt;135*0.9,"soil conc. is at or above 90% of the limit",
  IF(10*AV94*1000/3000+AW94&gt;135,"soil limit likely to be exceeded in 10yrs",
  IF(50*AV94*1000/3000+AW94&gt;135,"soil limit likely to be exceeded in 50yrs","ok"))))),
IF('Soil results'!$F97&gt;7,
  IF(AW94&gt;200,"no application - soil conc. already above limit",
  IF(AX94&gt;200,"application too high - soil conc. will exceed limit",
  IF(AW94&gt;200*0.9,"soil conc. is at or above 90% of the limit",
  IF(10*AV94*1000/3000+AW94&gt;200,"soil limit likely to be exceeded in 10yrs",
  IF(50*AV94*1000/3000+AW94&gt;200,"soil limit likely to be exceeded in 50yrs","ok")))))
))))))))</f>
        <v/>
      </c>
      <c r="BA94" s="238" t="str">
        <f ca="1">IF(B94="","",
IF(AND('Field information 2'!$O$5="", 'Field information 2'!$Q$5=""),
   IF('Waste results'!$S$28&lt;&gt;"data missing", Calc!BC92*'Waste results'!$S$28, "data missing"),
IF('Field information 2'!$Q$5="",
   IF(Calc!BD92=0,
     IF('Waste results'!$S$28&lt;&gt;"data missing", Calc!BC92*'Waste results'!$S$28, "data missing"),
   IF(Calc!BC92=0,
     IF('Waste results'!$S$64&lt;&gt;"data missing", Calc!BD92*'Waste results'!$S$64, "data missing"),
   IF(OR('Waste results'!$S$28&lt;&gt;"data missing", 'Waste results'!$S$64&lt;&gt;"data missing"), Calc!BC92*'Waste results'!$S$28+ Calc!BD92*'Waste results'!$S$64, "data missing"))),
IF(AND('Field information 2'!$M$5&lt;&gt;"", 'Field information 2'!$O$5&lt;&gt;"", 'Field information 2'!$Q$5&lt;&gt;""),
   IF(AND(Calc!BD92=0,Calc!BE92=0),
     IF('Waste results'!$S$28&lt;&gt;"data missing", Calc!BC92*'Waste results'!$S$28, "data missing"),
   IF(AND(Calc!BC92=0,Calc!BE92=0),
     IF('Waste results'!$S$64&lt;&gt;"data missing", Calc!BD92*'Waste results'!$S$64, "data missing"),
   IF(AND(Calc!BC92=0,Calc!BD92=0),
     IF('Waste results'!$S$100&lt;&gt;"data missing", Calc!BE92*'Waste results'!$S$100, "data missing"),
   IF(Calc!BE92=0,
     IF(OR('Waste results'!$S$28&lt;&gt;"data missing", 'Waste results'!$S$64&lt;&gt;"data missing"), Calc!BC92*'Waste results'!$S$28+ Calc!BD92*'Waste results'!$S$64, "data missing"),
   IF(Calc!BD92=0,
     IF(OR('Waste results'!$S$28&lt;&gt;"data missing", 'Waste results'!$S$100&lt;&gt;"data missing"), Calc!BC92*'Waste results'!$S$28+ Calc!BE92*'Waste results'!$S$100, "data missing"),
   IF(Calc!BC92=0,
     IF(OR('Waste results'!$S$64&lt;&gt;"data missing", 'Waste results'!$S$100&lt;&gt;"data missing"), Calc!BD92*'Waste results'!$S$64+Calc!BE92*'Waste results'!$S$100, "data missing"),
   IF(OR('Waste results'!$S$28&lt;&gt;"data missing", 'Waste results'!$S$64&lt;&gt;"data missing", 'Waste results'!$S$100&lt;&gt;"data missing"), Calc!BC92*'Waste results'!$S$28+Calc!BD92*'Waste results'!$S$64+ Calc!BE92*'Waste results'!$S$100, "data missing")))))))))))</f>
        <v/>
      </c>
      <c r="BB94" s="239" t="str">
        <f ca="1">IF($B94="","",
IF(ISBLANK('Soil results'!N97),"data missing",'Soil results'!N97))</f>
        <v/>
      </c>
      <c r="BC94" s="239" t="str">
        <f t="shared" ca="1" si="28"/>
        <v/>
      </c>
      <c r="BD94" s="9" t="str">
        <f t="shared" ca="1" si="29"/>
        <v/>
      </c>
      <c r="BF94" s="238" t="str">
        <f ca="1">IF(B94="","",
IF(AND('Field information 2'!$O$5="", 'Field information 2'!$Q$5=""),
   IF('Waste results'!$S$29&lt;&gt;"data missing", Calc!BC92*'Waste results'!$S$29, "data missing"),
IF('Field information 2'!$Q$5="",
   IF(Calc!BD92=0,
     IF('Waste results'!$S$29&lt;&gt;"data missing", Calc!BC92*'Waste results'!$S$29, "data missing"),
   IF(Calc!BC92=0,
     IF('Waste results'!$S$65&lt;&gt;"data missing", Calc!BD92*'Waste results'!$S$65, "data missing"),
   IF(OR('Waste results'!$S$29&lt;&gt;"data missing", 'Waste results'!$S$65&lt;&gt;"data missing"), Calc!BC92*'Waste results'!$S$29+ Calc!BD92*'Waste results'!$S$65, "data missing"))),
IF(AND('Field information 2'!$M$5&lt;&gt;"", 'Field information 2'!$O$5&lt;&gt;"", 'Field information 2'!$Q$5&lt;&gt;""),
   IF(AND(Calc!BD92=0,Calc!BE92=0),
     IF('Waste results'!$S$29&lt;&gt;"data missing", Calc!BC92*'Waste results'!$S$29, "data missing"),
   IF(AND(Calc!BC92=0,Calc!BE92=0),
     IF('Waste results'!$S$65&lt;&gt;"data missing", Calc!BD92*'Waste results'!$S$65, "data missing"),
   IF(AND(Calc!BC92=0,Calc!BD92=0),
     IF('Waste results'!$S$101&lt;&gt;"data missing", Calc!BE92*'Waste results'!$S$101, "data missing"),
   IF(Calc!BE92=0,
     IF(OR('Waste results'!$S$29&lt;&gt;"data missing", 'Waste results'!$S$65&lt;&gt;"data missing"), Calc!BC92*'Waste results'!$S$29+ Calc!BD92*'Waste results'!$S$65, "data missing"),
   IF(Calc!BD92=0,
     IF(OR('Waste results'!$S$29&lt;&gt;"data missing", 'Waste results'!$S$101&lt;&gt;"data missing"), Calc!BC92*'Waste results'!$S$29+ Calc!BE92*'Waste results'!$S$101, "data missing"),
   IF(Calc!BC92=0,
     IF(OR('Waste results'!$S$65&lt;&gt;"data missing", 'Waste results'!$S$101&lt;&gt;"data missing"), Calc!BD92*'Waste results'!$S$65+Calc!BE92*'Waste results'!$S$101, "data missing"),
   IF(OR('Waste results'!$S$29&lt;&gt;"data missing", 'Waste results'!$S$65&lt;&gt;"data missing", 'Waste results'!$S$101&lt;&gt;"data missing"), Calc!BC92*'Waste results'!$S$29+Calc!BD92*'Waste results'!$S$65+ Calc!BE92*'Waste results'!$S$101, "data missing")))))))))))</f>
        <v/>
      </c>
      <c r="BG94" s="239" t="str">
        <f ca="1">IF($B94="","",
IF(ISBLANK('Soil results'!O97),"data missing",'Soil results'!O97))</f>
        <v/>
      </c>
      <c r="BH94" s="239" t="str">
        <f t="shared" ca="1" si="30"/>
        <v/>
      </c>
      <c r="BI94" s="9" t="str">
        <f ca="1">IF(B94="","",
IF(BF94=0,"n/a",
IF(OR(BF94="data missing",BG94="data missing"),"data missing",
IF(BF94&gt;3,"application rate too high - permissible rate exceeds limit",
IF('Soil results'!F97&lt;=5.5,
  IF(BG94&gt;50,"no application - soil conc. already above limit",
  IF(BH94&gt;50,"application rate too high - soil conc. will exceed limit",
  IF(BG94&gt;50*0.9,"soil conc. is at or above 90% of the limit",
  IF(10*BF94*1000/3000+BG94&gt;50,"soil limit likely to be exceeded in 10yrs",
  IF(50*BF94*1000/3000+BG94&gt;50,"soil limit likely to be exceeded in 50yrs","ok"))))),
IF('Soil results'!F97&lt;=6,
  IF(BG94&gt;60,"no application - soil conc. already above limit",
  IF(BH94&gt;60,"application rate too high - soil conc. will exceed limit",
  IF(BG94&gt;60*0.9,"soil conc. is at or above 90% of the limit",
  IF(10*BF94*1000/3000+BG94&gt;60,"soil limit likely to be exceeded in 10yrs",
  IF(50*BF94*1000/3000+BG94&gt;60,"soil limit likely to be exceeded in 50yrs","ok"))))),
IF('Soil results'!F97&lt;=7,
  IF(BG94&gt;75,"no application - soil conc. already above limit",
  IF(BH94&gt;75,"application rate too high - soil conc. will exceed limit",
  IF(BG94&gt;75*0.9,"soil conc. is at or above 90% of the limit",
  IF(10*BF94*1000/3000+BG94&gt;75,"soil limit likely to be exceeded in 10yrs",
  IF(50*BF94*1000/3000+BG94&gt;75,"soil limit likely to be exceeded in 50yrs","ok"))))),
IF('Soil results'!F97&gt;7,
  IF(BG94&gt;100,"no application - soil conc. already above limit",
  IF(BH94&gt;100,"application rate too high - soil conc. will exceed limit",
  IF(BG94&gt;100*0.9,"soil conc. is at or above 90% of the limit",
  IF(10*BF94*1000/3000+BG94&gt;100,"soil limit likely to be exceeded in 10yrs",
  IF(50*BF94*1000/3000+BG94&gt;100,"soil limit likely to beexceeded in 50yrs","ok")))))
))))))))</f>
        <v/>
      </c>
      <c r="BK94" s="240" t="str">
        <f ca="1">IF(B94="","",
IF(AND('Field information 2'!$O$5="", 'Field information 2'!$Q$5=""),
   IF('Waste results'!$S$30&lt;&gt;"data missing", Calc!BC92*'Waste results'!$S$30, "data missing"),
IF('Field information 2'!$Q$5="",
   IF(Calc!BD92=0,
     IF('Waste results'!$S$30&lt;&gt;"data missing", Calc!BC92*'Waste results'!$S$30, "data missing"),
   IF(Calc!BC92=0,
     IF('Waste results'!$S$66&lt;&gt;"data missing", Calc!BD92*'Waste results'!$S$66, "data missing"),
   IF(OR('Waste results'!$S$30&lt;&gt;"data missing", 'Waste results'!$S$66&lt;&gt;"data missing"), Calc!BC92*'Waste results'!$S$30+ Calc!BD92*'Waste results'!$S$66, "data missing"))),
IF(AND('Field information 2'!$M$5&lt;&gt;"", 'Field information 2'!$O$5&lt;&gt;"", 'Field information 2'!$Q$5&lt;&gt;""),
   IF(AND(Calc!BD92=0,Calc!BE92=0),
     IF('Waste results'!$S$30&lt;&gt;"data missing", Calc!BC92*'Waste results'!$S$30, "data missing"),
   IF(AND(Calc!BC92=0,Calc!BE92=0),
     IF('Waste results'!$S$66&lt;&gt;"data missing", Calc!BD92*'Waste results'!$S$66, "data missing"),
   IF(AND(Calc!BC92=0,Calc!BD92=0),
     IF('Waste results'!$S$102&lt;&gt;"data missing", Calc!BE92*'Waste results'!$S$102, "data missing"),
   IF(Calc!BE92=0,
     IF(OR('Waste results'!$S$30&lt;&gt;"data missing", 'Waste results'!$S$66&lt;&gt;"data missing"), Calc!BC92*'Waste results'!$S$30+ Calc!BD92*'Waste results'!$S$66, "data missing"),
   IF(Calc!BD92=0,
     IF(OR('Waste results'!$S$30&lt;&gt;"data missing", 'Waste results'!$S$102&lt;&gt;"data missing"), Calc!BC92*'Waste results'!$S$30+ Calc!BE92*'Waste results'!$S$102, "data missing"),
   IF(Calc!BC92=0,
     IF(OR('Waste results'!$S$66&lt;&gt;"data missing", 'Waste results'!$S$102&lt;&gt;"data missing"), Calc!BD92*'Waste results'!$S$66+Calc!BE92*'Waste results'!$S$102, "data missing"),
   IF(OR('Waste results'!$S$30&lt;&gt;"data missing", 'Waste results'!$S$66&lt;&gt;"data missing", 'Waste results'!$S$102&lt;&gt;"data missing"), Calc!BC92*'Waste results'!$S$30+Calc!BD92*'Waste results'!$S$66+ Calc!BE92*'Waste results'!$S$102, "data missing")))))))))))</f>
        <v/>
      </c>
      <c r="BL94" s="241" t="str">
        <f ca="1">IF($B94="","",
IF(ISBLANK('Soil results'!P97),"data missing",'Soil results'!P97))</f>
        <v/>
      </c>
      <c r="BM94" s="241" t="str">
        <f t="shared" ca="1" si="31"/>
        <v/>
      </c>
      <c r="BN94" s="66" t="str">
        <f t="shared" ca="1" si="32"/>
        <v/>
      </c>
      <c r="BP94" s="238" t="str">
        <f ca="1">IF(B94="","",
IF(AND('Field information 2'!$O$5="", 'Field information 2'!$Q$5=""),
   IF('Waste results'!$S$31&lt;&gt;"data missing", Calc!BC92*'Waste results'!$S$31, "data missing"),
IF('Field information 2'!$Q$5="",
   IF(Calc!BD92=0,
     IF('Waste results'!$S$31&lt;&gt;"data missing", Calc!BC92*'Waste results'!$S$31, "data missing"),
   IF(Calc!BC92=0,
     IF('Waste results'!$S$67&lt;&gt;"data missing", Calc!BD92*'Waste results'!$S$67, "data missing"),
   IF(OR('Waste results'!$S$31&lt;&gt;"data missing", 'Waste results'!$S$67&lt;&gt;"data missing"), Calc!BC92*'Waste results'!$S$31+ Calc!BD92*'Waste results'!$S$67, "data missing"))),
IF(AND('Field information 2'!$M$5&lt;&gt;"", 'Field information 2'!$O$5&lt;&gt;"", 'Field information 2'!$Q$5&lt;&gt;""),
   IF(AND(Calc!BD92=0,Calc!BE92=0),
     IF('Waste results'!$S$31&lt;&gt;"data missing", Calc!BC92*'Waste results'!$S$31, "data missing"),
   IF(AND(Calc!BC92=0,Calc!BE92=0),
     IF('Waste results'!$S$67&lt;&gt;"data missing", Calc!BD92*'Waste results'!$S$67, "data missing"),
   IF(AND(Calc!BC92=0,Calc!BD92=0),
     IF('Waste results'!$S$103&lt;&gt;"data missing", Calc!BE92*'Waste results'!$S$103, "data missing"),
   IF(Calc!BE92=0,
     IF(OR('Waste results'!$S$31&lt;&gt;"data missing", 'Waste results'!$S$67&lt;&gt;"data missing"), Calc!BC92*'Waste results'!$S$31+ Calc!BD92*'Waste results'!$S$67, "data missing"),
   IF(Calc!BD92=0,
     IF(OR('Waste results'!$S$31&lt;&gt;"data missing", 'Waste results'!$S$103&lt;&gt;"data missing"), Calc!BC92*'Waste results'!$S$31+ Calc!BE92*'Waste results'!$S$103, "data missing"),
   IF(Calc!BC92=0,
     IF(OR('Waste results'!$S$67&lt;&gt;"data missing", 'Waste results'!$S$103&lt;&gt;"data missing"), Calc!BD92*'Waste results'!$S$67+Calc!BE92*'Waste results'!$S$103, "data missing"),
   IF(OR('Waste results'!$S$31&lt;&gt;"data missing", 'Waste results'!$S$67&lt;&gt;"data missing", 'Waste results'!$S$103&lt;&gt;"data missing"), Calc!BC92*'Waste results'!$S$31+Calc!BD92*'Waste results'!$S$67+ Calc!BE92*'Waste results'!$S$103, "data missing")))))))))))</f>
        <v/>
      </c>
      <c r="BQ94" s="239" t="str">
        <f ca="1">IF($B94="","",
IF(ISBLANK('Soil results'!Q97),"data missing",'Soil results'!Q97))</f>
        <v/>
      </c>
      <c r="BR94" s="239" t="str">
        <f t="shared" ca="1" si="33"/>
        <v/>
      </c>
      <c r="BS94" s="9" t="str">
        <f ca="1">IF(B94="","",
IF(BP94=0,"n/a",
IF(OR(BP94="data missing",BQ94=""),"data missing",
IF(BP94&gt;15,"application rate too high - permissible rate exceeds limit",
IF('Soil results'!F97&lt;=5.5,
  IF(BQ94&gt;200,"no application - soil conc. already above limit",
  IF(BR94&gt;200,"application rate too high - soil conc. will exceed limit",
  IF(BQ94&gt;200*0.9,"soil conc. is at or above 90% of the limit",
  IF(10*BP94*1000/3000+BQ94&gt;200,"soil limit likely to be exceeded in 10yrs",
  IF(50*BP94*1000/3000+BQ94&gt;200,"soil limit likely to be exceeded in 50yrs","ok"))))),
IF('Soil results'!F97&lt;=6,
  IF(BQ94&gt;250,"no application - soil conc. already above limit",
  IF(BR94&gt;250,"application rate too high - soil conc. will exceed limit",
  IF(BQ94&gt;250*0.9,"soil conc. is at or above 90% of the limit",
  IF(10*BP94*1000/3000+BQ94&gt;250,"soil limit likely to be exceeded in 10yrs",
  IF(50*BP94*1000/3000+BQ94&gt;250,"soil limit likely to be exceeded in 50yrs","ok"))))),
IF('Soil results'!F97&lt;=7,
  IF(BQ94&gt;300,"no application - soil conc. already above limit",
  IF(BR94&gt;300,"application rate too high - soil conc. will exceed limit",
  IF(BQ94&gt;300*0.9,"soil conc. is at or above 90% of the limit",
  IF(10*BP94*1000/3000+BQ94&gt;300,"soil limit likey to be exceeded in 10yrs",
  IF(50*BP94*1000/3000+BQ94&gt;300,"soil limit likely to be exceeded in 50yrs","ok"))))),
IF('Soil results'!F97&gt;7,
  IF(BQ94&gt;450,"no application - soil conc. already above limit",
  IF(BR94&gt;450,"application rate too high - soil conc. will exceed limit",
  IF(AW94&gt;450*0.9,"soil conc. is at or above 90% of the limit",
  IF(10*BP94*1000/3000+BQ94&gt;450,"soil limit likely to be exceeded in 10yrs",
  IF(50*BP94*1000/3000+BQ94&gt;450,"soil limit likely to be exceeded in 50yrs","ok")))))
))))))))</f>
        <v/>
      </c>
    </row>
    <row r="95" spans="2:71" s="9" customFormat="1" ht="15" x14ac:dyDescent="0.25">
      <c r="B95" s="236" t="str">
        <f ca="1">'Soil results'!B98</f>
        <v/>
      </c>
      <c r="C95" s="91" t="str">
        <f ca="1">IF(B95="","",
IF(AND('Field information 2'!$O$5="", 'Field information 2'!$Q$5=""),
   IF('Waste results'!$S$12&lt;&gt;"data missing", Calc!BC93*'Waste results'!$S$12, "data missing"),
IF('Field information 2'!$Q$5="",
   IF(Calc!BD93=0,
     IF('Waste results'!$S$12&lt;&gt;"data missing", Calc!BC93*'Waste results'!$S$12, "data missing"),
   IF(Calc!BC93=0,
     IF('Waste results'!$S$48&lt;&gt;"data missing", Calc!BD93*'Waste results'!$S$48, "data missing"),
   IF(OR('Waste results'!$S$12&lt;&gt;"data missing", 'Waste results'!$S$48&lt;&gt;"data missing"), Calc!BC93*'Waste results'!$S$12+ Calc!BD93*'Waste results'!$S$48, "data missing"))),
IF(AND('Field information 2'!$M$5&lt;&gt;"", 'Field information 2'!$O$5&lt;&gt;"", 'Field information 2'!$Q$5&lt;&gt;""),
   IF(AND(Calc!BD93=0,Calc!BE93=0),
     IF('Waste results'!$S$12&lt;&gt;"data missing", Calc!BC93*'Waste results'!$S$12, "data missing"),
   IF(AND(Calc!BC93=0,Calc!BE93=0),
     IF('Waste results'!$S$48&lt;&gt;"data missing", Calc!BD93*'Waste results'!$S$48, "data missing"),
   IF(AND(Calc!BC93=0,Calc!BD93=0),
     IF('Waste results'!$S$84&lt;&gt;"data missing", Calc!BE93*'Waste results'!$S$84, "data missing"),
   IF(Calc!BE93=0,
     IF(OR('Waste results'!$S$12&lt;&gt;"data missing", 'Waste results'!$S$48&lt;&gt;"data missing"), Calc!BC93*'Waste results'!$S$12+ Calc!BD93*'Waste results'!$S$48, "data missing"),
   IF(Calc!BD93=0,
     IF(OR('Waste results'!$S$12&lt;&gt;"data missing", 'Waste results'!$S$84&lt;&gt;"data missing"), Calc!BC93*'Waste results'!$S$12+ Calc!BE93*'Waste results'!$S$84, "data missing"),
   IF(Calc!BC93=0,
     IF(OR('Waste results'!$S$48&lt;&gt;"data missing", 'Waste results'!$S$84&lt;&gt;"data missing"), Calc!BD93*'Waste results'!$S$48+Calc!BE93*'Waste results'!$S$84, "data missing"),
   IF(OR('Waste results'!$S$12&lt;&gt;"data missing", 'Waste results'!$S$48&lt;&gt;"data missing", 'Waste results'!$S$84&lt;&gt;"data missing"), Calc!BC93*'Waste results'!$S$12+Calc!BD93*'Waste results'!$S$48+ Calc!BE93*'Waste results'!$S$84, "data missing")))))))))))</f>
        <v/>
      </c>
      <c r="D95" s="161" t="str">
        <f ca="1">IF(B95="","",
IF(Calc!BG93="","soil texture missing",
IF(OR(Calc!BG93="SL; SZL; ZL",Calc!BG93="SCL; CL; ZCL; SC; ZC; C"),VLOOKUP(Calc!BI93,'Fertiliser recommendations'!$A$4:$C$63,3,FALSE),
IF(Calc!BG93="S; LS",VLOOKUP(Calc!BI93,'Fertiliser recommendations'!$A$4:$C$63,3,FALSE)+VLOOKUP(Calc!BI93,'Fertiliser recommendations'!$A$4:$D$63,4,FALSE),
IF(Calc!BG93="10-25% OM",VLOOKUP(Calc!BI93,'Fertiliser recommendations'!$A$4:$C$63,3,FALSE)+VLOOKUP(Calc!BI93,'Fertiliser recommendations'!$A$4:$E$63,5,FALSE),
IF(Calc!BG93="&gt;25% OM",VLOOKUP(Calc!BI93,'Fertiliser recommendations'!$A$4:$C$63,3,FALSE)+VLOOKUP(Calc!BI93,'Fertiliser recommendations'!$A$4:$F$63,6,FALSE),
""))))))</f>
        <v/>
      </c>
      <c r="E95" s="91" t="str">
        <f t="shared" ca="1" si="17"/>
        <v/>
      </c>
      <c r="F95" s="9" t="str">
        <f ca="1">IF(B95="","",
IF(OR(C95="data missing",D95="soil texture missing"),"data missing",
IF(Calc!BF93=0,"n/a",
IF(C95&lt;0.1*D95,"no benefit",
IF(C95&lt;0.3*D95,"limited benefit",
IF(C95&gt;250,"exceeds limit",
IF(OR(AND(D95=0,C95&gt;75),C95&gt;1.25*D95),"excessive",
IF(D95=0, "no requirement",
"benefit"))))))))</f>
        <v/>
      </c>
      <c r="H95" s="91" t="str">
        <f ca="1">IF(B95="","",
IF(AND('Field information 2'!$O$5="", 'Field information 2'!$Q$5=""),
   IF('Waste results'!$S$17&lt;&gt;"data missing", Calc!BC93*'Waste results'!$S$17, "data missing"),
IF('Field information 2'!$Q$5="",
   IF(Calc!BD93=0,
     IF('Waste results'!$S$17&lt;&gt;"data missing", Calc!BC93*'Waste results'!$S$17, "data missing"),
   IF(Calc!BC93=0,
     IF('Waste results'!$S$53&lt;&gt;"data missing", Calc!BD93*'Waste results'!$S$53, "data missing"),
   IF(OR('Waste results'!$S$17&lt;&gt;"data missing", 'Waste results'!$S$53&lt;&gt;"data missing"), Calc!BC93*'Waste results'!$S$17+ Calc!BD93*'Waste results'!$S$53, "data missing"))),
IF(AND('Field information 2'!$M$5&lt;&gt;"", 'Field information 2'!$O$5&lt;&gt;"", 'Field information 2'!$Q$5&lt;&gt;""),
   IF(AND(Calc!BD93=0,Calc!BE93=0),
     IF('Waste results'!$S$17&lt;&gt;"data missing", Calc!BC93*'Waste results'!$S$17, "data missing"),
   IF(AND(Calc!BC93=0,Calc!BE93=0),
     IF('Waste results'!$S$53&lt;&gt;"data missing", Calc!BD93*'Waste results'!$S$53, "data missing"),
   IF(AND(Calc!BC93=0,Calc!BD93=0),
     IF('Waste results'!$S$89&lt;&gt;"data missing", Calc!BE93*'Waste results'!$S$89, "data missing"),
   IF(Calc!BE93=0,
     IF(OR('Waste results'!$S$17&lt;&gt;"data missing", 'Waste results'!$S$53&lt;&gt;"data missing"), Calc!BC93*'Waste results'!$S$17+ Calc!BD93*'Waste results'!$S$53, "data missing"),
   IF(Calc!BD93=0,
     IF(OR('Waste results'!$S$17&lt;&gt;"data missing", 'Waste results'!$S$89&lt;&gt;"data missing"), Calc!BC93*'Waste results'!$S$17+ Calc!BE93*'Waste results'!$S$89, "data missing"),
   IF(Calc!BC93=0,
     IF(OR('Waste results'!$S$53&lt;&gt;"data missing", 'Waste results'!$S$89&lt;&gt;"data missing"), Calc!BD93*'Waste results'!$S$53+Calc!BE93*'Waste results'!$S$89, "data missing"),
   IF(OR('Waste results'!$S$17&lt;&gt;"data missing", 'Waste results'!$S$53&lt;&gt;"data missing", 'Waste results'!$S$89&lt;&gt;"data missing"), Calc!BC93*'Waste results'!$S$17+Calc!BD93*'Waste results'!$S$53+ Calc!BE93*'Waste results'!$S$89, "data missing")))))))))))</f>
        <v/>
      </c>
      <c r="I95" s="195" t="str">
        <f ca="1">IF(B95="","",
IF(OR(ISBLANK('Soil results'!G98), ISBLANK('Soil results'!G$7)),"data missing",
IF(OR(AND('Soil results'!G$7="Olsen (ADAS)",'Soil results'!G98&lt;16),AND('Soil results'!G$7="modified Morgan (SAC)",'Soil results'!G98&lt;4.5)),50,100)))</f>
        <v/>
      </c>
      <c r="J95" s="49" t="str">
        <f ca="1">IF(B95="","",
IF(OR(ISBLANK('Soil results'!G$7),ISBLANK('Soil results'!G98)),"data missing",
IF(OR(AND('Soil results'!G$7="Olsen (ADAS)",'Soil results'!G98&gt;45),AND('Soil results'!G$7="modified Morgan (SAC)",'Soil results'!G98&gt;30)),0,
IF(OR(AND('Soil results'!G$7="Olsen (ADAS)",'Soil results'!G98&gt;=16,'Soil results'!G98&lt;=20),AND('Soil results'!G$7="modified Morgan (SAC)",'Soil results'!G98&gt;=4.5,'Soil results'!G98&lt;=9.4)),VLOOKUP(Calc!BI93,'Fertiliser recommendations'!$A$4:$I$63,9,FALSE),
IF(OR(AND('Soil results'!G$7="Olsen (ADAS)",'Soil results'!G98&lt;10),AND('Soil results'!G$7="modified Morgan (SAC)",'Soil results'!G98&lt;1.8)),VLOOKUP(Calc!BI93,'Fertiliser recommendations'!$A$4:$I$63,9,FALSE)+VLOOKUP(Calc!BI93,'Fertiliser recommendations'!$A$4:$J$63,10,FALSE),
IF(OR(AND('Soil results'!G$7="Olsen (ADAS)",'Soil results'!G98&lt;16),AND('Soil results'!G$7="modified Morgan (SAC)",'Soil results'!G98&lt;4.5)),VLOOKUP(Calc!BI93,'Fertiliser recommendations'!$A$4:$I$63,9,FALSE)+VLOOKUP(Calc!BI93,'Fertiliser recommendations'!$A$4:$K$63,11,FALSE),
IF(OR(AND('Soil results'!G$7="Olsen (ADAS)",'Soil results'!G98&lt;26),AND('Soil results'!G$7="modified Morgan (SAC)",'Soil results'!G98&lt;13.5)),VLOOKUP(Calc!BI93,'Fertiliser recommendations'!$A$4:$I$63,9,FALSE)+VLOOKUP(Calc!BI93,'Fertiliser recommendations'!$A$4:$L$63,12,FALSE),
IF(OR(AND('Soil results'!G$7="Olsen (ADAS)",'Soil results'!G98&lt;=45),AND('Soil results'!G$7="modified Morgan (SAC)",'Soil results'!G98&lt;=30)),VLOOKUP(Calc!BI93,'Fertiliser recommendations'!$A$4:$I$63,9,FALSE)+VLOOKUP(Calc!BI93,'Fertiliser recommendations'!$A$4:$M$63,13,FALSE),
""))))))))</f>
        <v/>
      </c>
      <c r="K95" s="161" t="str">
        <f t="shared" ca="1" si="18"/>
        <v/>
      </c>
      <c r="L95" s="47" t="str">
        <f ca="1">IF(OR(ISBLANK('Soil results'!G$7),ISBLANK('Soil results'!G98),B95="", H95="data missing"),"",
IF('Soil results'!G$7="Olsen (ADAS)",
IF(((H95*Calc!BM93/2.291-(VLOOKUP(Calc!BI93,'Fertiliser recommendations'!$A$4:$I$63,9,FALSE))/2.291)*10/(400/2.291)+'Soil results'!G98)&lt;10,"0 (VL)",
IF(((H95*Calc!BM93/2.291-(VLOOKUP(Calc!BI93,'Fertiliser recommendations'!$A$4:$I$63,9,FALSE))/2.291)*10/(400/2.291)+'Soil results'!G98)&lt;16,"1 (L)",
IF(((H95*Calc!BM93/2.291-(VLOOKUP(Calc!BI93,'Fertiliser recommendations'!$A$4:$I$63,9,FALSE))/2.291)*10/(400/2.291)+'Soil results'!G98)&lt;21,"2 (M-)",
IF(((H95*Calc!BM93/2.291-(VLOOKUP(Calc!BI93,'Fertiliser recommendations'!$A$4:$I$63,9,FALSE))/2.291)*10/(400/2.291)+'Soil results'!G98)&lt;26,"2 (M+)",
IF(((H95*Calc!BM93/2.291-(VLOOKUP(Calc!BI93,'Fertiliser recommendations'!$A$4:$I$63,9,FALSE))/2.291)*10/(400/2.291)+'Soil results'!G98)&lt;45,"3 (H)","&gt;3 (VH)"))))),
IF('Soil results'!G$7="modified Morgan (SAC)",
IF('Soil results'!G98&gt;=6,
IF(((H95*Calc!BM93/2.291-(VLOOKUP(Calc!BI93,'Fertiliser recommendations'!$A$4:$I$63,9,FALSE))/2.291)*5/(147/2.291)+'Soil results'!G98)&lt;9.5,"2 (M-)",
IF(((H95*Calc!BM93/2.291-(VLOOKUP(Calc!BI93,'Fertiliser recommendations'!$A$4:$I$63,9,FALSE))/2.291)*5/(147/2.291)+'Soil results'!G98)&lt;13.5,"2 (M+)",
IF(((H95*Calc!BM93/2.291-(VLOOKUP(Calc!BI93,'Fertiliser recommendations'!$A$4:$I$63,9,FALSE))/2.291)*5/(147/2.291)+'Soil results'!G98)&lt;30,"3 (H)","4 (VH)"))),
IF(((H95*Calc!BM93/2.291-(VLOOKUP(Calc!BI93,'Fertiliser recommendations'!$A$4:$I$63,9,FALSE))/2.291)*5/(346/2.291)+'Soil results'!G98)&lt;1.8,"0 (VL)",
IF(((H95*Calc!BM93/2.291-(VLOOKUP(Calc!BI93,'Fertiliser recommendations'!$A$4:$I$63,9,FALSE))/2.291)*5/(147/2.291)+'Soil results'!G98)&lt;4.5,"1 (L)","2 (M-)"))))))</f>
        <v/>
      </c>
      <c r="M95" s="9" t="str">
        <f ca="1">IF(B95="","",
IF(OR(H95="data missing",I95="data missing",J95="data missing"),"data missing",
IF(Calc!BF93=0,"n/a",
IF(OR(AND('Soil results'!G$7="Olsen (ADAS)",'Soil results'!G98&gt;45),AND('Soil results'!G$7="modified Morgan (SAC)",'Soil results'!G98&gt;30)),
IF(H95&gt;2,"too high, not acceptable","no requirement"),IF(OR(AND('Soil results'!G$7="Olsen (ADAS)",'Soil results'!G98&gt;25),AND('Soil results'!G$7="modified Morgan (SAC)",'Soil results'!G98&gt;13.4)),
IF(H95*(I95/100)&lt;0.1*J95,"no benefit",
IF(H95*(I95/100)&lt;0.3*J95,"limited benefit",
IF(H95*(I95/100)&lt;1.1*J95,"benefit",
IF(H95*(I95/100)&lt;0.7*VLOOKUP(Calc!BI93,'Fertiliser recommendations'!$A$4:$I$63,9,FALSE),"excessive","too high, not acceptable")))),
IF(OR(AND('Soil results'!G$7="Olsen (ADAS)",'Soil results'!G98&gt;20),AND('Soil results'!G$7="modified Morgan (SAC)",'Soil results'!G98&gt;9.4)),
IF(H95*Calc!BM93*(I95/100)&lt;0.1*J95,"no benefit",
IF(H95*Calc!BM93*(I95/100)&lt;0.3*J95,"limited benefit",
IF(H95*Calc!BM93*(I95/100)&lt;1.1*J95,"benefit",
IF(L95="3 (H)","too high, not acceptable","excessive")))),
IF(OR(AND('Soil results'!G$7="Olsen (ADAS)",'Soil results'!G98&gt;15),AND('Soil results'!G$7="modified Morgan (SAC)",'Soil results'!G98&gt;4.4)),
IF(H95*Calc!BM93*(I95/100)&lt;0.1*VLOOKUP(Calc!BI93,'Fertiliser recommendations'!$A$4:$I$63,9,FALSE),"no benefit",
IF(H95*Calc!BM93*(I95/100)&lt;0.3*VLOOKUP(Calc!BI93,'Fertiliser recommendations'!$A$4:$I$63,9,FALSE),"limited benefit",
IF(H95*Calc!BM93*(I95/100)&lt;1.1*VLOOKUP(Calc!BI93,'Fertiliser recommendations'!$A$4:$I$63,9,FALSE),"benefit",
IF(L95="3 (H)", "too high, not acceptable", "excessive")))),
IF(OR(AND('Soil results'!G$7="Olsen (ADAS)",'Soil results'!G98&lt;=15),AND('Soil results'!G$7="modified Morgan (SAC)",'Soil results'!G98&lt;=4.4)),
IF(H95*Calc!BM93*(I95/100)&lt;0.1*VLOOKUP(Calc!BI93,'Fertiliser recommendations'!$A$4:$I$63,9,FALSE),"no benefit",
IF(H95*Calc!BM93*(I95/100)&lt;0.3*VLOOKUP(Calc!BI93,'Fertiliser recommendations'!$A$4:$I$63,9,FALSE),"limited benefit",
IF(H95*Calc!BM93*(I95/100)&lt;1.1*J95,"benefit","excessive")))))))))))</f>
        <v/>
      </c>
      <c r="O95" s="91" t="str">
        <f ca="1">IF(B95="","",
IF(AND('Field information 2'!$O$5="", 'Field information 2'!$Q$5=""),
   IF('Waste results'!$S$19&lt;&gt;"data missing", Calc!BC93*'Waste results'!$S$19, "data missing"),
IF('Field information 2'!$Q$5="",
   IF(Calc!BD93=0,
     IF('Waste results'!$S$19&lt;&gt;"data missing", Calc!BC93*'Waste results'!$S$19, "data missing"),
   IF(Calc!BC93=0,
     IF('Waste results'!$S$55&lt;&gt;"data missing", Calc!BD93*'Waste results'!$S$55, "data missing"),
   IF(OR('Waste results'!$S$19&lt;&gt;"data missing", 'Waste results'!$S$55&lt;&gt;"data missing"), Calc!BC93*'Waste results'!$S$19+ Calc!BD93*'Waste results'!$S$55, "data missing"))),
IF(AND('Field information 2'!$M$5&lt;&gt;"", 'Field information 2'!$O$5&lt;&gt;"", 'Field information 2'!$Q$5&lt;&gt;""),
   IF(AND(Calc!BD93=0,Calc!BE93=0),
     IF('Waste results'!$S$19&lt;&gt;"data missing", Calc!BC93*'Waste results'!$S$19, "data missing"),
   IF(AND(Calc!BC93=0,Calc!BE93=0),
     IF('Waste results'!$S$55&lt;&gt;"data missing", Calc!BD93*'Waste results'!$S$55, "data missing"),
   IF(AND(Calc!BC93=0,Calc!BD93=0),
     IF('Waste results'!$S$91&lt;&gt;"data missing", Calc!BE93*'Waste results'!$S$91, "data missing"),
   IF(Calc!BE93=0,
     IF(OR('Waste results'!$S$19&lt;&gt;"data missing", 'Waste results'!$S$55&lt;&gt;"data missing"), Calc!BC93*'Waste results'!$S$19+ Calc!BD93*'Waste results'!$S$55, "data missing"),
   IF(Calc!BD93=0,
     IF(OR('Waste results'!$S$19&lt;&gt;"data missing", 'Waste results'!$S$91&lt;&gt;"data missing"), Calc!BC93*'Waste results'!$S$19+ Calc!BE93*'Waste results'!$S$91, "data missing"),
   IF(Calc!BC93=0,
     IF(OR('Waste results'!$S$55&lt;&gt;"data missing", 'Waste results'!$S$91&lt;&gt;"data missing"), Calc!BD93*'Waste results'!$S$55+Calc!BE93*'Waste results'!$S$91, "data missing"),
   IF(OR('Waste results'!$S$19&lt;&gt;"data missing", 'Waste results'!$S$55&lt;&gt;"data missing", 'Waste results'!$S$91&lt;&gt;"data missing"), Calc!BC93*'Waste results'!$S$19+Calc!BD93*'Waste results'!$S$55+ Calc!BE93*'Waste results'!$S$91, "data missing")))))))))))</f>
        <v/>
      </c>
      <c r="P95" s="91" t="str">
        <f ca="1">IF(B95="","",
IF(OR(ISBLANK('Soil results'!H$7),ISBLANK('Soil results'!H98)),"data missing",
IF(OR(AND('Soil results'!H$7="ammonium nitrate (ADAS)",'Soil results'!H98&gt;400),AND('Soil results'!H$7="modified Morgan (SAC)",'Soil results'!H98&gt;400)),0,
IF(OR(AND('Soil results'!H$7="ammonium nitrate (ADAS)",'Soil results'!H98&gt;=121,'Soil results'!H98&lt;=180),AND('Soil results'!H$7="modified Morgan (SAC)",'Soil results'!H98&gt;=76,'Soil results'!H98&lt;=140)),VLOOKUP(Calc!BI93,'Fertiliser recommendations'!$A$4:$Z$63,26,FALSE),
IF(OR(AND('Soil results'!H$7="ammonium nitrate (ADAS)",'Soil results'!H98&lt;61),AND('Soil results'!H$7="modified Morgan (SAC)",'Soil results'!H98&lt;40)),VLOOKUP(Calc!BI93,'Fertiliser recommendations'!$A$4:$Z$63,26,FALSE)+VLOOKUP(Calc!BI93,'Fertiliser recommendations'!$A$4:$AA$63,27,FALSE),
IF(OR(AND('Soil results'!H$7="ammonium nitrate (ADAS)",'Soil results'!H98&lt;121),AND('Soil results'!H$7="modified Morgan (SAC)",'Soil results'!H98&lt;76)),VLOOKUP(Calc!BI93,'Fertiliser recommendations'!$A$4:$Z$63,26,FALSE)+VLOOKUP(Calc!BI93,'Fertiliser recommendations'!$A$4:$AB$63,28,FALSE),
IF(OR(AND('Soil results'!H$7="ammonium nitrate (ADAS)",'Soil results'!H98&lt;241),AND('Soil results'!H$7="modified Morgan (SAC)",'Soil results'!H98&lt;201)),VLOOKUP(Calc!BI93,'Fertiliser recommendations'!$A$4:$Z$63,26,FALSE)+VLOOKUP(Calc!BI93,'Fertiliser recommendations'!$A$4:$AC$63,29,FALSE),
IF(OR(AND('Soil results'!H$7="ammonium nitrate (ADAS)",'Soil results'!H98&lt;=400),AND('Soil results'!H$7="modified Morgan (SAC)",'Soil results'!H98&lt;=400)),VLOOKUP(Calc!BI93,'Fertiliser recommendations'!$A$4:$Z$63,26,FALSE)+VLOOKUP(Calc!BI93,'Fertiliser recommendations'!$A$4:$AD$63,30,FALSE),
"??"))))))))</f>
        <v/>
      </c>
      <c r="Q95" s="91" t="str">
        <f t="shared" ca="1" si="19"/>
        <v/>
      </c>
      <c r="R95" s="9" t="str">
        <f ca="1">IF(B95="","",
IF(OR(O95="data missing",P95="data missing"),"data missing",
IF(Calc!BF93=0,"n/a",
IF(P95=0, "no requirement",
IF(O95&lt;0.1*P95,"no benefit",
IF(O95&lt;0.3*P95,"limited benefit",
IF(O95&gt;1.25*P95,"excessive",
"benefit")))))))</f>
        <v/>
      </c>
      <c r="T95" s="91" t="str">
        <f ca="1">IF(B95="","",
IF(AND('Field information 2'!$O$5="", 'Field information 2'!$Q$5=""),
   IF('Waste results'!$S$21&lt;&gt;"data missing", Calc!BC93*'Waste results'!$S$21, "data missing"),
IF('Field information 2'!$Q$5="",
   IF(Calc!BD93=0,
     IF('Waste results'!$S$21&lt;&gt;"data missing", Calc!BC93*'Waste results'!$S$21, "data missing"),
   IF(Calc!BC93=0,
     IF('Waste results'!$S$57&lt;&gt;"data missing", Calc!BD93*'Waste results'!$S$57, "data missing"),
   IF(OR('Waste results'!$S$21&lt;&gt;"data missing", 'Waste results'!$S$57&lt;&gt;"data missing"), Calc!BC93*'Waste results'!$S$21+ Calc!BD93*'Waste results'!$S$57, "data missing"))),
IF(AND('Field information 2'!$M$5&lt;&gt;"", 'Field information 2'!$O$5&lt;&gt;"", 'Field information 2'!$Q$5&lt;&gt;""),
   IF(AND(Calc!BD93=0,Calc!BE93=0),
     IF('Waste results'!$S$21&lt;&gt;"data missing", Calc!BC93*'Waste results'!$S$21, "data missing"),
   IF(AND(Calc!BC93=0,Calc!BE93=0),
     IF('Waste results'!$S$57&lt;&gt;"data missing", Calc!BD93*'Waste results'!$S$57, "data missing"),
   IF(AND(Calc!BC93=0,Calc!BD93=0),
     IF('Waste results'!$S$93&lt;&gt;"data missing", Calc!BE93*'Waste results'!$S$93, "data missing"),
   IF(Calc!BE93=0,
     IF(OR('Waste results'!$S$21&lt;&gt;"data missing", 'Waste results'!$S$57&lt;&gt;"data missing"), Calc!BC93*'Waste results'!$S$21+ Calc!BD93*'Waste results'!$S$57, "data missing"),
   IF(Calc!BD93=0,
     IF(OR('Waste results'!$S$21&lt;&gt;"data missing", 'Waste results'!$S$93&lt;&gt;"data missing"), Calc!BC93*'Waste results'!$S$21+ Calc!BE93*'Waste results'!$S$93, "data missing"),
   IF(Calc!BC93=0,
     IF(OR('Waste results'!$S$57&lt;&gt;"data missing", 'Waste results'!$S$93&lt;&gt;"data missing"), Calc!BD93*'Waste results'!$S$57+Calc!BE93*'Waste results'!$S$93, "data missing"),
   IF(OR('Waste results'!$S$21&lt;&gt;"data missing", 'Waste results'!$S$57&lt;&gt;"data missing", 'Waste results'!$S$93&lt;&gt;"data missing"), Calc!BC93*'Waste results'!$S$21+Calc!BD93*'Waste results'!$S$57+ Calc!BE93*'Waste results'!$S$93, "data missing")))))))))))</f>
        <v/>
      </c>
      <c r="U95" s="7" t="str">
        <f ca="1">IF(B95="","",
IF(OR(ISBLANK('Soil results'!I$7),ISBLANK('Soil results'!I98)),"data missing",
IF(OR(AND('Soil results'!I$7="ammonium nitrate (ADAS)",'Soil results'!I98&gt;51),AND('Soil results'!I$7="modified Morgan (SAC)",'Soil results'!I98&gt;61)),0,
IF(OR(AND('Soil results'!I$7="ammonium nitrate (ADAS)",'Soil results'!I98&lt;25),AND('Soil results'!I$7="modified Morgan (SAC)",'Soil results'!I98&lt;19)),VLOOKUP(Calc!BI93,'Fertiliser recommendations'!$A$4:$AH$63,34,FALSE),
IF(OR(AND('Soil results'!I$7="ammonium nitrate (ADAS)",'Soil results'!I98&lt;=51),AND('Soil results'!I$7="modified Morgan (SAC)",'Soil results'!I98&lt;=61)),VLOOKUP(Calc!BI93,'Fertiliser recommendations'!$A$4:$AI$63,35,FALSE),
"")))))</f>
        <v/>
      </c>
      <c r="V95" s="91" t="str">
        <f t="shared" ca="1" si="20"/>
        <v/>
      </c>
      <c r="W95" s="9" t="str">
        <f ca="1">IF(B95="","",
IF(OR(T95="data missing",U95="data missing"),"data missing",
IF(Calc!BF93=0,"n/a",
IF(U95=0,"no requirement",
IF(T95&lt;0.1*U95,"no benefit",
IF(T95&lt;0.3*U95,"limited benefit",
IF(OR(T95&gt;1.5*U95,AND(Calc!BJ93="g",T95&gt;100)),"excessive",
"benefit")))))))</f>
        <v/>
      </c>
      <c r="Y95" s="91" t="str">
        <f ca="1">IF(B95="","",
IF(AND('Field information 2'!$O$5="", 'Field information 2'!$Q$5=""),
   IF('Waste results'!$P$23&lt;&gt;"", Calc!BC93*'Waste results'!$P$23, "no data"),
IF('Field information 2'!$Q$5="",
   IF(Calc!BD93=0,
     IF('Waste results'!$P$23&lt;&gt;"", Calc!BC93*'Waste results'!$P$23, "no data"),
   IF(Calc!BC93=0,
     IF('Waste results'!$P$59&lt;&gt;"", Calc!BD93*'Waste results'!$P$59, "no data"),
   IF(OR('Waste results'!$P$23&lt;&gt;"", 'Waste results'!$P$59&lt;&gt;""), Calc!BC93*'Waste results'!$P$23+ Calc!BD93*'Waste results'!$P$59, "no data"))),
IF(AND('Field information 2'!$M$5&lt;&gt;"", 'Field information 2'!$O$5&lt;&gt;"", 'Field information 2'!$Q$5&lt;&gt;""),
   IF(AND(Calc!BD93=0,Calc!BE93=0),
     IF('Waste results'!$P$23&lt;&gt;"", Calc!BC93*'Waste results'!$P$23, "no data"),
   IF(AND(Calc!BC93=0,Calc!BE93=0),
     IF('Waste results'!$P$59&lt;&gt;"", Calc!BD93*'Waste results'!$P$59, "no data"),
   IF(AND(Calc!BC93=0,Calc!BD93=0),
     IF('Waste results'!$P$95&lt;&gt;"", Calc!BE93*'Waste results'!$P$95, "no data"),
   IF(Calc!BE93=0,
     IF(OR('Waste results'!$P$23&lt;&gt;"", 'Waste results'!$P$59&lt;&gt;""), Calc!BC93*'Waste results'!$P$23+ Calc!BD93*'Waste results'!$P$59, "no data"),
   IF(Calc!BD93=0,
     IF(OR('Waste results'!$P$23&lt;&gt;"", 'Waste results'!$P$95&lt;&gt;""), Calc!BC93*'Waste results'!$P$23+ Calc!BE93*'Waste results'!$P$95, "no data"),
   IF(Calc!BC93=0,
     IF(OR('Waste results'!$P$59&lt;&gt;"", 'Waste results'!$P$95&lt;&gt;""), Calc!BD93*'Waste results'!$P$59+Calc!BE93*'Waste results'!$P$95, "no data"),
   IF(OR('Waste results'!$P$23&lt;&gt;"", 'Waste results'!$P$59&lt;&gt;"", 'Waste results'!$P$95&lt;&gt;""), Calc!BC93*'Waste results'!$P$23+Calc!BD93*'Waste results'!$P$59+ Calc!BE93*'Waste results'!$P$95, "no data")))))))))))</f>
        <v/>
      </c>
      <c r="Z95" s="7" t="str">
        <f ca="1">IF(OR(ISBLANK('Soil results'!I$7),ISBLANK('Soil results'!I98),'Soil results'!B98=""),"",
VLOOKUP(Calc!BI93,'Fertiliser recommendations'!$A$4:$AM$63,39,FALSE))</f>
        <v/>
      </c>
      <c r="AA95" s="91" t="str">
        <f t="shared" ca="1" si="21"/>
        <v/>
      </c>
      <c r="AB95" s="9" t="str">
        <f t="shared" ca="1" si="22"/>
        <v/>
      </c>
      <c r="AD95" s="48" t="str">
        <f>IF(ISBLANK('Soil results'!F98),"",'Soil results'!F98)</f>
        <v/>
      </c>
      <c r="AE95" s="49" t="str">
        <f ca="1">IF(B95="","",
IF(AND(Calc!BJ93="g", VLOOKUP(LEFT($B95,LEN($B95)-2),'Field information 2'!$B$12:$P$111,9,FALSE)&lt;&gt;"yes"),
 IF(Calc!BG93="10-25% OM", 5.9, IF(Calc!BG93="&gt;25% OM", 5.5, 6.2)),
IF(OR(Calc!BJ93="a", VLOOKUP(LEFT($B95,LEN($B95)-2),'Field information 2'!$B$12:$P$111,9,FALSE)="yes"),
 IF(Calc!BG93="10-25% OM", 6.4, IF(Calc!BG93="&gt;25% OM", 6, 6.7)), "")))</f>
        <v/>
      </c>
      <c r="AF95" s="91" t="str">
        <f ca="1">IF(B95="","",
IF('Waste results'!$Q$33="","no (significant) liming properties",
IF('Waste results'!Q$33&gt;100,"no (significant) liming properties",
IF(AD95="","",
IF(AD95&gt;=AE95,0,ROUNDDOWN((AE95-AD95)*Calc!BK93*'Waste results'!$Q$33+0.2,0))))))</f>
        <v/>
      </c>
      <c r="AG95" s="9" t="str">
        <f ca="1">IF(B95="","",
IF(T95=0,"n/a",
IF(AD95="","data missing",
IF(AND(AD95&lt;5,AF95="no (significant) liming properties"),"no waste application - pH too low",
IF(AND(AD95&gt;5.1,AF95="no (significant) liming properties",Calc!BH93&gt;25, LEFT(Calc!BI93,4)="graz"),"ok",
IF(AND(AD95&lt;=5.2,AF95="no (significant) liming properties"),"liming highly recommended",
IF(AF95=0,"no waste application - liming not required",
IF(AF95&lt;Calc!BC93,"application rate too high - exceeds liming requirement",
"ok"))))))))</f>
        <v/>
      </c>
      <c r="AI95" s="91" t="str">
        <f ca="1">IF(B95="","",
IF(AND('Field information 2'!$O$5="", 'Field information 2'!$Q$5=""),
   IF('Waste results'!$P$10&lt;&gt;"data missing", Calc!BC93*'Waste results'!$P$10, "data missing"),
IF('Field information 2'!$Q$5="",
   IF(Calc!BD93=0,
     IF('Waste results'!$P$10&lt;&gt;"data missing", Calc!BC93*'Waste results'!$P$10, "data missing"),
   IF(Calc!BC93=0,
     IF('Waste results'!$P$45&lt;&gt;"data missing", Calc!BD93*'Waste results'!$P$45, "data missing"),
   IF(OR('Waste results'!$P$10&lt;&gt;"data missing", 'Waste results'!$P$45&lt;&gt;"data missing"), Calc!BC93*'Waste results'!$P$10+ Calc!BD93*'Waste results'!$P$45, "data missing"))),
IF(AND('Field information 2'!$M$5&lt;&gt;"", 'Field information 2'!$O$5&lt;&gt;"", 'Field information 2'!$Q$5&lt;&gt;""),
   IF(AND(Calc!BD93=0,Calc!BE93=0),
     IF('Waste results'!$P$10&lt;&gt;"data missing", Calc!BC93*'Waste results'!$P$10, "data missing"),
   IF(AND(Calc!BC93=0,Calc!BE93=0),
     IF('Waste results'!$P$45&lt;&gt;"data missing", Calc!BD93*'Waste results'!$P$45, "data missing"),
   IF(AND(Calc!BC93=0,Calc!BD93=0),
     IF('Waste results'!$P$82&lt;&gt;"data missing", Calc!BE93*'Waste results'!$P$82, "data missing"),
   IF(Calc!BE93=0,
     IF(OR('Waste results'!$P$10&lt;&gt;"data missing", 'Waste results'!$P$45&lt;&gt;"data missing"), Calc!BC93*'Waste results'!$P$10+ Calc!BD93*'Waste results'!$P$45, "data missing"),
   IF(Calc!BD93=0,
     IF(OR('Waste results'!$P$10&lt;&gt;"data missing", 'Waste results'!$P$82&lt;&gt;"data missing"), Calc!BC93*'Waste results'!$P$10+ Calc!BE93*'Waste results'!$P$82, "data missing"),
   IF(Calc!BC93=0,
     IF(OR('Waste results'!$P$45&lt;&gt;"data missing", 'Waste results'!$P$82&lt;&gt;"data missing"), Calc!BD93*'Waste results'!$P$45+Calc!BE93*'Waste results'!$P$82, "data missing"),
   IF(OR('Waste results'!$P$10&lt;&gt;"data missing", 'Waste results'!$P$45&lt;&gt;"data missing", 'Waste results'!$P$82&lt;&gt;"data missing"), Calc!BC93*'Waste results'!$P$10+Calc!BD93*'Waste results'!$P$45+ Calc!BE93*'Waste results'!$P$82, "data missing")))))))))))</f>
        <v/>
      </c>
      <c r="AJ95" s="237" t="str">
        <f ca="1">IF(B95="","",
IF(AI95="data missing","data missing",
IF(Calc!BF93=0,"n/a",
IF(AND(Calc!BH93&gt;=8,AI95&lt;500),"no benefit",
IF(OR(AND(Calc!BH93&lt;=4,AI95&gt;=500),AND(Calc!BH93&lt;8,AI95&gt;5000)),"benefit",
"limited benefit")))))</f>
        <v/>
      </c>
      <c r="AL95" s="238" t="str">
        <f ca="1">IF(B95="","",
IF(AND('Field information 2'!$O$5="", 'Field information 2'!$Q$5=""),
   IF('Waste results'!$S$25&lt;&gt;"data missing", Calc!BC93*'Waste results'!$S$25, "data missing"),
IF('Field information 2'!$Q$5="",
   IF(Calc!BD93=0,
     IF('Waste results'!$S$25&lt;&gt;"data missing", Calc!BC93*'Waste results'!$S$25, "data missing"),
   IF(Calc!BC93=0,
     IF('Waste results'!$S$61&lt;&gt;"data missing", Calc!BD93*'Waste results'!$S$61, "data missing"),
   IF(OR('Waste results'!$S$25&lt;&gt;"data missing", 'Waste results'!$S$61&lt;&gt;"data missing"), Calc!BC93*'Waste results'!$S$25+ Calc!BD93*'Waste results'!$S$61, "data missing"))),
IF(AND('Field information 2'!$M$5&lt;&gt;"", 'Field information 2'!$O$5&lt;&gt;"", 'Field information 2'!$Q$5&lt;&gt;""),
   IF(AND(Calc!BD93=0,Calc!BE93=0),
     IF('Waste results'!$S$25&lt;&gt;"data missing", Calc!BC93*'Waste results'!$S$25, "data missing"),
   IF(AND(Calc!BC93=0,Calc!BE93=0),
     IF('Waste results'!$S$61&lt;&gt;"data missing", Calc!BD93*'Waste results'!$S$61, "data missing"),
   IF(AND(Calc!BC93=0,Calc!BD93=0),
     IF('Waste results'!$S$97&lt;&gt;"data missing", Calc!BE93*'Waste results'!$S$97, "data missing"),
   IF(Calc!BE93=0,
     IF(OR('Waste results'!$S$25&lt;&gt;"data missing", 'Waste results'!$S$61&lt;&gt;"data missing"), Calc!BC93*'Waste results'!$S$25+ Calc!BD93*'Waste results'!$S$61, "data missing"),
   IF(Calc!BD93=0,
     IF(OR('Waste results'!$S$25&lt;&gt;"data missing", 'Waste results'!$S$97&lt;&gt;"data missing"), Calc!BC93*'Waste results'!$S$25+ Calc!BE93*'Waste results'!$S$97, "data missing"),
   IF(Calc!BC93=0,
     IF(OR('Waste results'!$S$61&lt;&gt;"data missing", 'Waste results'!$S$97&lt;&gt;"data missing"), Calc!BD93*'Waste results'!$S$61+Calc!BE93*'Waste results'!$S$97, "data missing"),
   IF(OR('Waste results'!$S$25&lt;&gt;"data missing", 'Waste results'!$S$61&lt;&gt;"data missing", 'Waste results'!$S$97&lt;&gt;"data missing"), Calc!BC93*'Waste results'!$S$25+Calc!BD93*'Waste results'!$S$61+ Calc!BE93*'Waste results'!$S$97, "data missing")))))))))))</f>
        <v/>
      </c>
      <c r="AM95" s="239" t="str">
        <f ca="1">IF($B95="","",
IF(ISBLANK('Soil results'!K98),"data missing",'Soil results'!K98))</f>
        <v/>
      </c>
      <c r="AN95" s="239" t="str">
        <f t="shared" ca="1" si="23"/>
        <v/>
      </c>
      <c r="AO95" s="9" t="str">
        <f t="shared" ca="1" si="24"/>
        <v/>
      </c>
      <c r="AQ95" s="240" t="str">
        <f ca="1">IF(B95="","",
IF(AND('Field information 2'!$O$5="", 'Field information 2'!$Q$5=""),
   IF('Waste results'!$S$26&lt;&gt;"data missing", Calc!BC93*'Waste results'!$S$26, "data missing"),
IF('Field information 2'!$Q$5="",
   IF(Calc!BD93=0,
     IF('Waste results'!$S$26&lt;&gt;"data missing", Calc!BC93*'Waste results'!$S$26, "data missing"),
   IF(Calc!BC93=0,
     IF('Waste results'!$S$62&lt;&gt;"data missing", Calc!BD93*'Waste results'!$S$62, "data missing"),
   IF(OR('Waste results'!$S$26&lt;&gt;"data missing", 'Waste results'!$S$62&lt;&gt;"data missing"), Calc!BC93*'Waste results'!$S$26+ Calc!BD93*'Waste results'!$S$62, "data missing"))),
IF(AND('Field information 2'!$M$5&lt;&gt;"", 'Field information 2'!$O$5&lt;&gt;"", 'Field information 2'!$Q$5&lt;&gt;""),
   IF(AND(Calc!BD93=0,Calc!BE93=0),
     IF('Waste results'!$S$26&lt;&gt;"data missing", Calc!BC93*'Waste results'!$S$26, "data missing"),
   IF(AND(Calc!BC93=0,Calc!BE93=0),
     IF('Waste results'!$S$62&lt;&gt;"data missing", Calc!BD93*'Waste results'!$S$62, "data missing"),
   IF(AND(Calc!BC93=0,Calc!BD93=0),
     IF('Waste results'!$S$98&lt;&gt;"data missing", Calc!BE93*'Waste results'!$S$98, "data missing"),
   IF(Calc!BE93=0,
     IF(OR('Waste results'!$S$26&lt;&gt;"data missing", 'Waste results'!$S$62&lt;&gt;"data missing"), Calc!BC93*'Waste results'!$S$26+ Calc!BD93*'Waste results'!$S$62, "data missing"),
   IF(Calc!BD93=0,
     IF(OR('Waste results'!$S$26&lt;&gt;"data missing", 'Waste results'!$S$98&lt;&gt;"data missing"), Calc!BC93*'Waste results'!$S$26+ Calc!BE93*'Waste results'!$S$98, "data missing"),
   IF(Calc!BC93=0,
     IF(OR('Waste results'!$S$62&lt;&gt;"data missing", 'Waste results'!$S$98&lt;&gt;"data missing"), Calc!BD93*'Waste results'!$S$62+Calc!BE93*'Waste results'!$S$98, "data missing"),
   IF(OR('Waste results'!$S$26&lt;&gt;"data missing", 'Waste results'!$S$62&lt;&gt;"data missing", 'Waste results'!$S$98&lt;&gt;"data missing"), Calc!BC93*'Waste results'!$S$26+Calc!BD93*'Waste results'!$S$62+ Calc!BE93*'Waste results'!$S$98, "data missing")))))))))))</f>
        <v/>
      </c>
      <c r="AR95" s="241" t="str">
        <f ca="1">IF($B95="","",
IF(ISBLANK('Soil results'!L98),"data missing",'Soil results'!L98))</f>
        <v/>
      </c>
      <c r="AS95" s="241" t="str">
        <f t="shared" ca="1" si="25"/>
        <v/>
      </c>
      <c r="AT95" s="66" t="str">
        <f t="shared" ca="1" si="26"/>
        <v/>
      </c>
      <c r="AV95" s="238" t="str">
        <f ca="1">IF(B95="","",
IF(AND('Field information 2'!$O$5="", 'Field information 2'!$Q$5=""),
   IF('Waste results'!$S$27&lt;&gt;"data missing", Calc!BC93*'Waste results'!$S$27, "data missing"),
IF('Field information 2'!$Q$5="",
   IF(Calc!BD93=0,
     IF('Waste results'!$S$27&lt;&gt;"data missing", Calc!BC93*'Waste results'!$S$27, "data missing"),
   IF(Calc!BC93=0,
     IF('Waste results'!$S$63&lt;&gt;"data missing", Calc!BD93*'Waste results'!$S$63, "data missing"),
   IF(OR('Waste results'!$S$27&lt;&gt;"data missing", 'Waste results'!$S$63&lt;&gt;"data missing"), Calc!BC93*'Waste results'!$S$27+ Calc!BD93*'Waste results'!$S$63, "data missing"))),
IF(AND('Field information 2'!$M$5&lt;&gt;"", 'Field information 2'!$O$5&lt;&gt;"", 'Field information 2'!$Q$5&lt;&gt;""),
   IF(AND(Calc!BD93=0,Calc!BE93=0),
     IF('Waste results'!$S$27&lt;&gt;"data missing", Calc!BC93*'Waste results'!$S$27, "data missing"),
   IF(AND(Calc!BC93=0,Calc!BE93=0),
     IF('Waste results'!$S$63&lt;&gt;"data missing", Calc!BD93*'Waste results'!$S$63, "data missing"),
   IF(AND(Calc!BC93=0,Calc!BD93=0),
     IF('Waste results'!$S$99&lt;&gt;"data missing", Calc!BE93*'Waste results'!$S$99, "data missing"),
   IF(Calc!BE93=0,
     IF(OR('Waste results'!$S$27&lt;&gt;"data missing", 'Waste results'!$S$63&lt;&gt;"data missing"), Calc!BC93*'Waste results'!$S$27+ Calc!BD93*'Waste results'!$S$63, "data missing"),
   IF(Calc!BD93=0,
     IF(OR('Waste results'!$S$27&lt;&gt;"data missing", 'Waste results'!$S$99&lt;&gt;"data missing"), Calc!BC93*'Waste results'!$S$27+ Calc!BE93*'Waste results'!$S$99, "data missing"),
   IF(Calc!BC93=0,
     IF(OR('Waste results'!$S$63&lt;&gt;"data missing", 'Waste results'!$S$99&lt;&gt;"data missing"), Calc!BD93*'Waste results'!$S$63+Calc!BE93*'Waste results'!$S$99, "data missing"),
   IF(OR('Waste results'!$S$27&lt;&gt;"data missing", 'Waste results'!$S$63&lt;&gt;"data missing", 'Waste results'!$S$99&lt;&gt;"data missing"), Calc!BC93*'Waste results'!$S$27+Calc!BD93*'Waste results'!$S$63+ Calc!BE93*'Waste results'!$S$99, "data missing")))))))))))</f>
        <v/>
      </c>
      <c r="AW95" s="239" t="str">
        <f ca="1">IF($B95="","",
IF(ISBLANK('Soil results'!M98),"data missing",'Soil results'!M98))</f>
        <v/>
      </c>
      <c r="AX95" s="239" t="str">
        <f t="shared" ca="1" si="27"/>
        <v/>
      </c>
      <c r="AY95" s="9" t="str">
        <f ca="1">IF(B95="","",
IF(AV95=0,"n/a",
IF(OR(AV95="data missing",AW95="data missing"),"data missing",
IF(AV95&gt;7.5,"application rate too high - permissible rate exceeds limit",
IF('Soil results'!$F98&lt;=5.5,
  IF(AW95&gt;80,"no application - soil conc. already above limit",
  IF(AX95&gt;80,"application rate too high - soil conc. will exceed limit",
  IF(AW95&gt;80*0.9,"soil conc. is at or above 90% of the limit",
  IF(10*AV95*1000/3000+AW95&gt;80,"soil limit likely to be exceeded in 10yrs",
  IF(50*AV95*1000/3000+AW95&gt;80,"soil limit likely to be exceeded in 50yrs","ok"))))),
IF('Soil results'!$F98&lt;=6,
  IF(AW95&gt;100,"no application - soil conc. already above limit",
  IF(AX95&gt;100,"application rate too high - soil conc. will exceed limit",
  IF(AW95&gt;100*0.9,"soil conc. is at or above 90% of the limit",
  IF(10*AV95*1000/3000+AW95&gt;100,"soil limit likely to be exceeded in 10yrs",
  IF(50*AV95*1000/3000+AW95&gt;100,"soil limit likely to be exceeded in 50yrs","ok"))))),
IF('Soil results'!$F98&lt;=7,
  IF(AW95&gt;135,"no application - soil conc. already above limit",
  IF(AX95&gt;135,"application rate too high - soil conc. will exceed limit",
  IF(AW95&gt;135*0.9,"soil conc. is at or above 90% of the limit",
  IF(10*AV95*1000/3000+AW95&gt;135,"soil limit likely to be exceeded in 10yrs",
  IF(50*AV95*1000/3000+AW95&gt;135,"soil limit likely to be exceeded in 50yrs","ok"))))),
IF('Soil results'!$F98&gt;7,
  IF(AW95&gt;200,"no application - soil conc. already above limit",
  IF(AX95&gt;200,"application too high - soil conc. will exceed limit",
  IF(AW95&gt;200*0.9,"soil conc. is at or above 90% of the limit",
  IF(10*AV95*1000/3000+AW95&gt;200,"soil limit likely to be exceeded in 10yrs",
  IF(50*AV95*1000/3000+AW95&gt;200,"soil limit likely to be exceeded in 50yrs","ok")))))
))))))))</f>
        <v/>
      </c>
      <c r="BA95" s="238" t="str">
        <f ca="1">IF(B95="","",
IF(AND('Field information 2'!$O$5="", 'Field information 2'!$Q$5=""),
   IF('Waste results'!$S$28&lt;&gt;"data missing", Calc!BC93*'Waste results'!$S$28, "data missing"),
IF('Field information 2'!$Q$5="",
   IF(Calc!BD93=0,
     IF('Waste results'!$S$28&lt;&gt;"data missing", Calc!BC93*'Waste results'!$S$28, "data missing"),
   IF(Calc!BC93=0,
     IF('Waste results'!$S$64&lt;&gt;"data missing", Calc!BD93*'Waste results'!$S$64, "data missing"),
   IF(OR('Waste results'!$S$28&lt;&gt;"data missing", 'Waste results'!$S$64&lt;&gt;"data missing"), Calc!BC93*'Waste results'!$S$28+ Calc!BD93*'Waste results'!$S$64, "data missing"))),
IF(AND('Field information 2'!$M$5&lt;&gt;"", 'Field information 2'!$O$5&lt;&gt;"", 'Field information 2'!$Q$5&lt;&gt;""),
   IF(AND(Calc!BD93=0,Calc!BE93=0),
     IF('Waste results'!$S$28&lt;&gt;"data missing", Calc!BC93*'Waste results'!$S$28, "data missing"),
   IF(AND(Calc!BC93=0,Calc!BE93=0),
     IF('Waste results'!$S$64&lt;&gt;"data missing", Calc!BD93*'Waste results'!$S$64, "data missing"),
   IF(AND(Calc!BC93=0,Calc!BD93=0),
     IF('Waste results'!$S$100&lt;&gt;"data missing", Calc!BE93*'Waste results'!$S$100, "data missing"),
   IF(Calc!BE93=0,
     IF(OR('Waste results'!$S$28&lt;&gt;"data missing", 'Waste results'!$S$64&lt;&gt;"data missing"), Calc!BC93*'Waste results'!$S$28+ Calc!BD93*'Waste results'!$S$64, "data missing"),
   IF(Calc!BD93=0,
     IF(OR('Waste results'!$S$28&lt;&gt;"data missing", 'Waste results'!$S$100&lt;&gt;"data missing"), Calc!BC93*'Waste results'!$S$28+ Calc!BE93*'Waste results'!$S$100, "data missing"),
   IF(Calc!BC93=0,
     IF(OR('Waste results'!$S$64&lt;&gt;"data missing", 'Waste results'!$S$100&lt;&gt;"data missing"), Calc!BD93*'Waste results'!$S$64+Calc!BE93*'Waste results'!$S$100, "data missing"),
   IF(OR('Waste results'!$S$28&lt;&gt;"data missing", 'Waste results'!$S$64&lt;&gt;"data missing", 'Waste results'!$S$100&lt;&gt;"data missing"), Calc!BC93*'Waste results'!$S$28+Calc!BD93*'Waste results'!$S$64+ Calc!BE93*'Waste results'!$S$100, "data missing")))))))))))</f>
        <v/>
      </c>
      <c r="BB95" s="239" t="str">
        <f ca="1">IF($B95="","",
IF(ISBLANK('Soil results'!N98),"data missing",'Soil results'!N98))</f>
        <v/>
      </c>
      <c r="BC95" s="239" t="str">
        <f t="shared" ca="1" si="28"/>
        <v/>
      </c>
      <c r="BD95" s="9" t="str">
        <f t="shared" ca="1" si="29"/>
        <v/>
      </c>
      <c r="BF95" s="238" t="str">
        <f ca="1">IF(B95="","",
IF(AND('Field information 2'!$O$5="", 'Field information 2'!$Q$5=""),
   IF('Waste results'!$S$29&lt;&gt;"data missing", Calc!BC93*'Waste results'!$S$29, "data missing"),
IF('Field information 2'!$Q$5="",
   IF(Calc!BD93=0,
     IF('Waste results'!$S$29&lt;&gt;"data missing", Calc!BC93*'Waste results'!$S$29, "data missing"),
   IF(Calc!BC93=0,
     IF('Waste results'!$S$65&lt;&gt;"data missing", Calc!BD93*'Waste results'!$S$65, "data missing"),
   IF(OR('Waste results'!$S$29&lt;&gt;"data missing", 'Waste results'!$S$65&lt;&gt;"data missing"), Calc!BC93*'Waste results'!$S$29+ Calc!BD93*'Waste results'!$S$65, "data missing"))),
IF(AND('Field information 2'!$M$5&lt;&gt;"", 'Field information 2'!$O$5&lt;&gt;"", 'Field information 2'!$Q$5&lt;&gt;""),
   IF(AND(Calc!BD93=0,Calc!BE93=0),
     IF('Waste results'!$S$29&lt;&gt;"data missing", Calc!BC93*'Waste results'!$S$29, "data missing"),
   IF(AND(Calc!BC93=0,Calc!BE93=0),
     IF('Waste results'!$S$65&lt;&gt;"data missing", Calc!BD93*'Waste results'!$S$65, "data missing"),
   IF(AND(Calc!BC93=0,Calc!BD93=0),
     IF('Waste results'!$S$101&lt;&gt;"data missing", Calc!BE93*'Waste results'!$S$101, "data missing"),
   IF(Calc!BE93=0,
     IF(OR('Waste results'!$S$29&lt;&gt;"data missing", 'Waste results'!$S$65&lt;&gt;"data missing"), Calc!BC93*'Waste results'!$S$29+ Calc!BD93*'Waste results'!$S$65, "data missing"),
   IF(Calc!BD93=0,
     IF(OR('Waste results'!$S$29&lt;&gt;"data missing", 'Waste results'!$S$101&lt;&gt;"data missing"), Calc!BC93*'Waste results'!$S$29+ Calc!BE93*'Waste results'!$S$101, "data missing"),
   IF(Calc!BC93=0,
     IF(OR('Waste results'!$S$65&lt;&gt;"data missing", 'Waste results'!$S$101&lt;&gt;"data missing"), Calc!BD93*'Waste results'!$S$65+Calc!BE93*'Waste results'!$S$101, "data missing"),
   IF(OR('Waste results'!$S$29&lt;&gt;"data missing", 'Waste results'!$S$65&lt;&gt;"data missing", 'Waste results'!$S$101&lt;&gt;"data missing"), Calc!BC93*'Waste results'!$S$29+Calc!BD93*'Waste results'!$S$65+ Calc!BE93*'Waste results'!$S$101, "data missing")))))))))))</f>
        <v/>
      </c>
      <c r="BG95" s="239" t="str">
        <f ca="1">IF($B95="","",
IF(ISBLANK('Soil results'!O98),"data missing",'Soil results'!O98))</f>
        <v/>
      </c>
      <c r="BH95" s="239" t="str">
        <f t="shared" ca="1" si="30"/>
        <v/>
      </c>
      <c r="BI95" s="9" t="str">
        <f ca="1">IF(B95="","",
IF(BF95=0,"n/a",
IF(OR(BF95="data missing",BG95="data missing"),"data missing",
IF(BF95&gt;3,"application rate too high - permissible rate exceeds limit",
IF('Soil results'!F98&lt;=5.5,
  IF(BG95&gt;50,"no application - soil conc. already above limit",
  IF(BH95&gt;50,"application rate too high - soil conc. will exceed limit",
  IF(BG95&gt;50*0.9,"soil conc. is at or above 90% of the limit",
  IF(10*BF95*1000/3000+BG95&gt;50,"soil limit likely to be exceeded in 10yrs",
  IF(50*BF95*1000/3000+BG95&gt;50,"soil limit likely to be exceeded in 50yrs","ok"))))),
IF('Soil results'!F98&lt;=6,
  IF(BG95&gt;60,"no application - soil conc. already above limit",
  IF(BH95&gt;60,"application rate too high - soil conc. will exceed limit",
  IF(BG95&gt;60*0.9,"soil conc. is at or above 90% of the limit",
  IF(10*BF95*1000/3000+BG95&gt;60,"soil limit likely to be exceeded in 10yrs",
  IF(50*BF95*1000/3000+BG95&gt;60,"soil limit likely to be exceeded in 50yrs","ok"))))),
IF('Soil results'!F98&lt;=7,
  IF(BG95&gt;75,"no application - soil conc. already above limit",
  IF(BH95&gt;75,"application rate too high - soil conc. will exceed limit",
  IF(BG95&gt;75*0.9,"soil conc. is at or above 90% of the limit",
  IF(10*BF95*1000/3000+BG95&gt;75,"soil limit likely to be exceeded in 10yrs",
  IF(50*BF95*1000/3000+BG95&gt;75,"soil limit likely to be exceeded in 50yrs","ok"))))),
IF('Soil results'!F98&gt;7,
  IF(BG95&gt;100,"no application - soil conc. already above limit",
  IF(BH95&gt;100,"application rate too high - soil conc. will exceed limit",
  IF(BG95&gt;100*0.9,"soil conc. is at or above 90% of the limit",
  IF(10*BF95*1000/3000+BG95&gt;100,"soil limit likely to be exceeded in 10yrs",
  IF(50*BF95*1000/3000+BG95&gt;100,"soil limit likely to beexceeded in 50yrs","ok")))))
))))))))</f>
        <v/>
      </c>
      <c r="BK95" s="240" t="str">
        <f ca="1">IF(B95="","",
IF(AND('Field information 2'!$O$5="", 'Field information 2'!$Q$5=""),
   IF('Waste results'!$S$30&lt;&gt;"data missing", Calc!BC93*'Waste results'!$S$30, "data missing"),
IF('Field information 2'!$Q$5="",
   IF(Calc!BD93=0,
     IF('Waste results'!$S$30&lt;&gt;"data missing", Calc!BC93*'Waste results'!$S$30, "data missing"),
   IF(Calc!BC93=0,
     IF('Waste results'!$S$66&lt;&gt;"data missing", Calc!BD93*'Waste results'!$S$66, "data missing"),
   IF(OR('Waste results'!$S$30&lt;&gt;"data missing", 'Waste results'!$S$66&lt;&gt;"data missing"), Calc!BC93*'Waste results'!$S$30+ Calc!BD93*'Waste results'!$S$66, "data missing"))),
IF(AND('Field information 2'!$M$5&lt;&gt;"", 'Field information 2'!$O$5&lt;&gt;"", 'Field information 2'!$Q$5&lt;&gt;""),
   IF(AND(Calc!BD93=0,Calc!BE93=0),
     IF('Waste results'!$S$30&lt;&gt;"data missing", Calc!BC93*'Waste results'!$S$30, "data missing"),
   IF(AND(Calc!BC93=0,Calc!BE93=0),
     IF('Waste results'!$S$66&lt;&gt;"data missing", Calc!BD93*'Waste results'!$S$66, "data missing"),
   IF(AND(Calc!BC93=0,Calc!BD93=0),
     IF('Waste results'!$S$102&lt;&gt;"data missing", Calc!BE93*'Waste results'!$S$102, "data missing"),
   IF(Calc!BE93=0,
     IF(OR('Waste results'!$S$30&lt;&gt;"data missing", 'Waste results'!$S$66&lt;&gt;"data missing"), Calc!BC93*'Waste results'!$S$30+ Calc!BD93*'Waste results'!$S$66, "data missing"),
   IF(Calc!BD93=0,
     IF(OR('Waste results'!$S$30&lt;&gt;"data missing", 'Waste results'!$S$102&lt;&gt;"data missing"), Calc!BC93*'Waste results'!$S$30+ Calc!BE93*'Waste results'!$S$102, "data missing"),
   IF(Calc!BC93=0,
     IF(OR('Waste results'!$S$66&lt;&gt;"data missing", 'Waste results'!$S$102&lt;&gt;"data missing"), Calc!BD93*'Waste results'!$S$66+Calc!BE93*'Waste results'!$S$102, "data missing"),
   IF(OR('Waste results'!$S$30&lt;&gt;"data missing", 'Waste results'!$S$66&lt;&gt;"data missing", 'Waste results'!$S$102&lt;&gt;"data missing"), Calc!BC93*'Waste results'!$S$30+Calc!BD93*'Waste results'!$S$66+ Calc!BE93*'Waste results'!$S$102, "data missing")))))))))))</f>
        <v/>
      </c>
      <c r="BL95" s="241" t="str">
        <f ca="1">IF($B95="","",
IF(ISBLANK('Soil results'!P98),"data missing",'Soil results'!P98))</f>
        <v/>
      </c>
      <c r="BM95" s="241" t="str">
        <f t="shared" ca="1" si="31"/>
        <v/>
      </c>
      <c r="BN95" s="66" t="str">
        <f t="shared" ca="1" si="32"/>
        <v/>
      </c>
      <c r="BP95" s="238" t="str">
        <f ca="1">IF(B95="","",
IF(AND('Field information 2'!$O$5="", 'Field information 2'!$Q$5=""),
   IF('Waste results'!$S$31&lt;&gt;"data missing", Calc!BC93*'Waste results'!$S$31, "data missing"),
IF('Field information 2'!$Q$5="",
   IF(Calc!BD93=0,
     IF('Waste results'!$S$31&lt;&gt;"data missing", Calc!BC93*'Waste results'!$S$31, "data missing"),
   IF(Calc!BC93=0,
     IF('Waste results'!$S$67&lt;&gt;"data missing", Calc!BD93*'Waste results'!$S$67, "data missing"),
   IF(OR('Waste results'!$S$31&lt;&gt;"data missing", 'Waste results'!$S$67&lt;&gt;"data missing"), Calc!BC93*'Waste results'!$S$31+ Calc!BD93*'Waste results'!$S$67, "data missing"))),
IF(AND('Field information 2'!$M$5&lt;&gt;"", 'Field information 2'!$O$5&lt;&gt;"", 'Field information 2'!$Q$5&lt;&gt;""),
   IF(AND(Calc!BD93=0,Calc!BE93=0),
     IF('Waste results'!$S$31&lt;&gt;"data missing", Calc!BC93*'Waste results'!$S$31, "data missing"),
   IF(AND(Calc!BC93=0,Calc!BE93=0),
     IF('Waste results'!$S$67&lt;&gt;"data missing", Calc!BD93*'Waste results'!$S$67, "data missing"),
   IF(AND(Calc!BC93=0,Calc!BD93=0),
     IF('Waste results'!$S$103&lt;&gt;"data missing", Calc!BE93*'Waste results'!$S$103, "data missing"),
   IF(Calc!BE93=0,
     IF(OR('Waste results'!$S$31&lt;&gt;"data missing", 'Waste results'!$S$67&lt;&gt;"data missing"), Calc!BC93*'Waste results'!$S$31+ Calc!BD93*'Waste results'!$S$67, "data missing"),
   IF(Calc!BD93=0,
     IF(OR('Waste results'!$S$31&lt;&gt;"data missing", 'Waste results'!$S$103&lt;&gt;"data missing"), Calc!BC93*'Waste results'!$S$31+ Calc!BE93*'Waste results'!$S$103, "data missing"),
   IF(Calc!BC93=0,
     IF(OR('Waste results'!$S$67&lt;&gt;"data missing", 'Waste results'!$S$103&lt;&gt;"data missing"), Calc!BD93*'Waste results'!$S$67+Calc!BE93*'Waste results'!$S$103, "data missing"),
   IF(OR('Waste results'!$S$31&lt;&gt;"data missing", 'Waste results'!$S$67&lt;&gt;"data missing", 'Waste results'!$S$103&lt;&gt;"data missing"), Calc!BC93*'Waste results'!$S$31+Calc!BD93*'Waste results'!$S$67+ Calc!BE93*'Waste results'!$S$103, "data missing")))))))))))</f>
        <v/>
      </c>
      <c r="BQ95" s="239" t="str">
        <f ca="1">IF($B95="","",
IF(ISBLANK('Soil results'!Q98),"data missing",'Soil results'!Q98))</f>
        <v/>
      </c>
      <c r="BR95" s="239" t="str">
        <f t="shared" ca="1" si="33"/>
        <v/>
      </c>
      <c r="BS95" s="9" t="str">
        <f ca="1">IF(B95="","",
IF(BP95=0,"n/a",
IF(OR(BP95="data missing",BQ95=""),"data missing",
IF(BP95&gt;15,"application rate too high - permissible rate exceeds limit",
IF('Soil results'!F98&lt;=5.5,
  IF(BQ95&gt;200,"no application - soil conc. already above limit",
  IF(BR95&gt;200,"application rate too high - soil conc. will exceed limit",
  IF(BQ95&gt;200*0.9,"soil conc. is at or above 90% of the limit",
  IF(10*BP95*1000/3000+BQ95&gt;200,"soil limit likely to be exceeded in 10yrs",
  IF(50*BP95*1000/3000+BQ95&gt;200,"soil limit likely to be exceeded in 50yrs","ok"))))),
IF('Soil results'!F98&lt;=6,
  IF(BQ95&gt;250,"no application - soil conc. already above limit",
  IF(BR95&gt;250,"application rate too high - soil conc. will exceed limit",
  IF(BQ95&gt;250*0.9,"soil conc. is at or above 90% of the limit",
  IF(10*BP95*1000/3000+BQ95&gt;250,"soil limit likely to be exceeded in 10yrs",
  IF(50*BP95*1000/3000+BQ95&gt;250,"soil limit likely to be exceeded in 50yrs","ok"))))),
IF('Soil results'!F98&lt;=7,
  IF(BQ95&gt;300,"no application - soil conc. already above limit",
  IF(BR95&gt;300,"application rate too high - soil conc. will exceed limit",
  IF(BQ95&gt;300*0.9,"soil conc. is at or above 90% of the limit",
  IF(10*BP95*1000/3000+BQ95&gt;300,"soil limit likey to be exceeded in 10yrs",
  IF(50*BP95*1000/3000+BQ95&gt;300,"soil limit likely to be exceeded in 50yrs","ok"))))),
IF('Soil results'!F98&gt;7,
  IF(BQ95&gt;450,"no application - soil conc. already above limit",
  IF(BR95&gt;450,"application rate too high - soil conc. will exceed limit",
  IF(AW95&gt;450*0.9,"soil conc. is at or above 90% of the limit",
  IF(10*BP95*1000/3000+BQ95&gt;450,"soil limit likely to be exceeded in 10yrs",
  IF(50*BP95*1000/3000+BQ95&gt;450,"soil limit likely to be exceeded in 50yrs","ok")))))
))))))))</f>
        <v/>
      </c>
    </row>
    <row r="96" spans="2:71" s="9" customFormat="1" ht="15" x14ac:dyDescent="0.25">
      <c r="B96" s="236" t="str">
        <f ca="1">'Soil results'!B99</f>
        <v/>
      </c>
      <c r="C96" s="91" t="str">
        <f ca="1">IF(B96="","",
IF(AND('Field information 2'!$O$5="", 'Field information 2'!$Q$5=""),
   IF('Waste results'!$S$12&lt;&gt;"data missing", Calc!BC94*'Waste results'!$S$12, "data missing"),
IF('Field information 2'!$Q$5="",
   IF(Calc!BD94=0,
     IF('Waste results'!$S$12&lt;&gt;"data missing", Calc!BC94*'Waste results'!$S$12, "data missing"),
   IF(Calc!BC94=0,
     IF('Waste results'!$S$48&lt;&gt;"data missing", Calc!BD94*'Waste results'!$S$48, "data missing"),
   IF(OR('Waste results'!$S$12&lt;&gt;"data missing", 'Waste results'!$S$48&lt;&gt;"data missing"), Calc!BC94*'Waste results'!$S$12+ Calc!BD94*'Waste results'!$S$48, "data missing"))),
IF(AND('Field information 2'!$M$5&lt;&gt;"", 'Field information 2'!$O$5&lt;&gt;"", 'Field information 2'!$Q$5&lt;&gt;""),
   IF(AND(Calc!BD94=0,Calc!BE94=0),
     IF('Waste results'!$S$12&lt;&gt;"data missing", Calc!BC94*'Waste results'!$S$12, "data missing"),
   IF(AND(Calc!BC94=0,Calc!BE94=0),
     IF('Waste results'!$S$48&lt;&gt;"data missing", Calc!BD94*'Waste results'!$S$48, "data missing"),
   IF(AND(Calc!BC94=0,Calc!BD94=0),
     IF('Waste results'!$S$84&lt;&gt;"data missing", Calc!BE94*'Waste results'!$S$84, "data missing"),
   IF(Calc!BE94=0,
     IF(OR('Waste results'!$S$12&lt;&gt;"data missing", 'Waste results'!$S$48&lt;&gt;"data missing"), Calc!BC94*'Waste results'!$S$12+ Calc!BD94*'Waste results'!$S$48, "data missing"),
   IF(Calc!BD94=0,
     IF(OR('Waste results'!$S$12&lt;&gt;"data missing", 'Waste results'!$S$84&lt;&gt;"data missing"), Calc!BC94*'Waste results'!$S$12+ Calc!BE94*'Waste results'!$S$84, "data missing"),
   IF(Calc!BC94=0,
     IF(OR('Waste results'!$S$48&lt;&gt;"data missing", 'Waste results'!$S$84&lt;&gt;"data missing"), Calc!BD94*'Waste results'!$S$48+Calc!BE94*'Waste results'!$S$84, "data missing"),
   IF(OR('Waste results'!$S$12&lt;&gt;"data missing", 'Waste results'!$S$48&lt;&gt;"data missing", 'Waste results'!$S$84&lt;&gt;"data missing"), Calc!BC94*'Waste results'!$S$12+Calc!BD94*'Waste results'!$S$48+ Calc!BE94*'Waste results'!$S$84, "data missing")))))))))))</f>
        <v/>
      </c>
      <c r="D96" s="161" t="str">
        <f ca="1">IF(B96="","",
IF(Calc!BG94="","soil texture missing",
IF(OR(Calc!BG94="SL; SZL; ZL",Calc!BG94="SCL; CL; ZCL; SC; ZC; C"),VLOOKUP(Calc!BI94,'Fertiliser recommendations'!$A$4:$C$63,3,FALSE),
IF(Calc!BG94="S; LS",VLOOKUP(Calc!BI94,'Fertiliser recommendations'!$A$4:$C$63,3,FALSE)+VLOOKUP(Calc!BI94,'Fertiliser recommendations'!$A$4:$D$63,4,FALSE),
IF(Calc!BG94="10-25% OM",VLOOKUP(Calc!BI94,'Fertiliser recommendations'!$A$4:$C$63,3,FALSE)+VLOOKUP(Calc!BI94,'Fertiliser recommendations'!$A$4:$E$63,5,FALSE),
IF(Calc!BG94="&gt;25% OM",VLOOKUP(Calc!BI94,'Fertiliser recommendations'!$A$4:$C$63,3,FALSE)+VLOOKUP(Calc!BI94,'Fertiliser recommendations'!$A$4:$F$63,6,FALSE),
""))))))</f>
        <v/>
      </c>
      <c r="E96" s="91" t="str">
        <f t="shared" ca="1" si="17"/>
        <v/>
      </c>
      <c r="F96" s="9" t="str">
        <f ca="1">IF(B96="","",
IF(OR(C96="data missing",D96="soil texture missing"),"data missing",
IF(Calc!BF94=0,"n/a",
IF(C96&lt;0.1*D96,"no benefit",
IF(C96&lt;0.3*D96,"limited benefit",
IF(C96&gt;250,"exceeds limit",
IF(OR(AND(D96=0,C96&gt;75),C96&gt;1.25*D96),"excessive",
IF(D96=0, "no requirement",
"benefit"))))))))</f>
        <v/>
      </c>
      <c r="H96" s="91" t="str">
        <f ca="1">IF(B96="","",
IF(AND('Field information 2'!$O$5="", 'Field information 2'!$Q$5=""),
   IF('Waste results'!$S$17&lt;&gt;"data missing", Calc!BC94*'Waste results'!$S$17, "data missing"),
IF('Field information 2'!$Q$5="",
   IF(Calc!BD94=0,
     IF('Waste results'!$S$17&lt;&gt;"data missing", Calc!BC94*'Waste results'!$S$17, "data missing"),
   IF(Calc!BC94=0,
     IF('Waste results'!$S$53&lt;&gt;"data missing", Calc!BD94*'Waste results'!$S$53, "data missing"),
   IF(OR('Waste results'!$S$17&lt;&gt;"data missing", 'Waste results'!$S$53&lt;&gt;"data missing"), Calc!BC94*'Waste results'!$S$17+ Calc!BD94*'Waste results'!$S$53, "data missing"))),
IF(AND('Field information 2'!$M$5&lt;&gt;"", 'Field information 2'!$O$5&lt;&gt;"", 'Field information 2'!$Q$5&lt;&gt;""),
   IF(AND(Calc!BD94=0,Calc!BE94=0),
     IF('Waste results'!$S$17&lt;&gt;"data missing", Calc!BC94*'Waste results'!$S$17, "data missing"),
   IF(AND(Calc!BC94=0,Calc!BE94=0),
     IF('Waste results'!$S$53&lt;&gt;"data missing", Calc!BD94*'Waste results'!$S$53, "data missing"),
   IF(AND(Calc!BC94=0,Calc!BD94=0),
     IF('Waste results'!$S$89&lt;&gt;"data missing", Calc!BE94*'Waste results'!$S$89, "data missing"),
   IF(Calc!BE94=0,
     IF(OR('Waste results'!$S$17&lt;&gt;"data missing", 'Waste results'!$S$53&lt;&gt;"data missing"), Calc!BC94*'Waste results'!$S$17+ Calc!BD94*'Waste results'!$S$53, "data missing"),
   IF(Calc!BD94=0,
     IF(OR('Waste results'!$S$17&lt;&gt;"data missing", 'Waste results'!$S$89&lt;&gt;"data missing"), Calc!BC94*'Waste results'!$S$17+ Calc!BE94*'Waste results'!$S$89, "data missing"),
   IF(Calc!BC94=0,
     IF(OR('Waste results'!$S$53&lt;&gt;"data missing", 'Waste results'!$S$89&lt;&gt;"data missing"), Calc!BD94*'Waste results'!$S$53+Calc!BE94*'Waste results'!$S$89, "data missing"),
   IF(OR('Waste results'!$S$17&lt;&gt;"data missing", 'Waste results'!$S$53&lt;&gt;"data missing", 'Waste results'!$S$89&lt;&gt;"data missing"), Calc!BC94*'Waste results'!$S$17+Calc!BD94*'Waste results'!$S$53+ Calc!BE94*'Waste results'!$S$89, "data missing")))))))))))</f>
        <v/>
      </c>
      <c r="I96" s="195" t="str">
        <f ca="1">IF(B96="","",
IF(OR(ISBLANK('Soil results'!G99), ISBLANK('Soil results'!G$7)),"data missing",
IF(OR(AND('Soil results'!G$7="Olsen (ADAS)",'Soil results'!G99&lt;16),AND('Soil results'!G$7="modified Morgan (SAC)",'Soil results'!G99&lt;4.5)),50,100)))</f>
        <v/>
      </c>
      <c r="J96" s="49" t="str">
        <f ca="1">IF(B96="","",
IF(OR(ISBLANK('Soil results'!G$7),ISBLANK('Soil results'!G99)),"data missing",
IF(OR(AND('Soil results'!G$7="Olsen (ADAS)",'Soil results'!G99&gt;45),AND('Soil results'!G$7="modified Morgan (SAC)",'Soil results'!G99&gt;30)),0,
IF(OR(AND('Soil results'!G$7="Olsen (ADAS)",'Soil results'!G99&gt;=16,'Soil results'!G99&lt;=20),AND('Soil results'!G$7="modified Morgan (SAC)",'Soil results'!G99&gt;=4.5,'Soil results'!G99&lt;=9.4)),VLOOKUP(Calc!BI94,'Fertiliser recommendations'!$A$4:$I$63,9,FALSE),
IF(OR(AND('Soil results'!G$7="Olsen (ADAS)",'Soil results'!G99&lt;10),AND('Soil results'!G$7="modified Morgan (SAC)",'Soil results'!G99&lt;1.8)),VLOOKUP(Calc!BI94,'Fertiliser recommendations'!$A$4:$I$63,9,FALSE)+VLOOKUP(Calc!BI94,'Fertiliser recommendations'!$A$4:$J$63,10,FALSE),
IF(OR(AND('Soil results'!G$7="Olsen (ADAS)",'Soil results'!G99&lt;16),AND('Soil results'!G$7="modified Morgan (SAC)",'Soil results'!G99&lt;4.5)),VLOOKUP(Calc!BI94,'Fertiliser recommendations'!$A$4:$I$63,9,FALSE)+VLOOKUP(Calc!BI94,'Fertiliser recommendations'!$A$4:$K$63,11,FALSE),
IF(OR(AND('Soil results'!G$7="Olsen (ADAS)",'Soil results'!G99&lt;26),AND('Soil results'!G$7="modified Morgan (SAC)",'Soil results'!G99&lt;13.5)),VLOOKUP(Calc!BI94,'Fertiliser recommendations'!$A$4:$I$63,9,FALSE)+VLOOKUP(Calc!BI94,'Fertiliser recommendations'!$A$4:$L$63,12,FALSE),
IF(OR(AND('Soil results'!G$7="Olsen (ADAS)",'Soil results'!G99&lt;=45),AND('Soil results'!G$7="modified Morgan (SAC)",'Soil results'!G99&lt;=30)),VLOOKUP(Calc!BI94,'Fertiliser recommendations'!$A$4:$I$63,9,FALSE)+VLOOKUP(Calc!BI94,'Fertiliser recommendations'!$A$4:$M$63,13,FALSE),
""))))))))</f>
        <v/>
      </c>
      <c r="K96" s="161" t="str">
        <f t="shared" ca="1" si="18"/>
        <v/>
      </c>
      <c r="L96" s="47" t="str">
        <f ca="1">IF(OR(ISBLANK('Soil results'!G$7),ISBLANK('Soil results'!G99),B96="", H96="data missing"),"",
IF('Soil results'!G$7="Olsen (ADAS)",
IF(((H96*Calc!BM94/2.291-(VLOOKUP(Calc!BI94,'Fertiliser recommendations'!$A$4:$I$63,9,FALSE))/2.291)*10/(400/2.291)+'Soil results'!G99)&lt;10,"0 (VL)",
IF(((H96*Calc!BM94/2.291-(VLOOKUP(Calc!BI94,'Fertiliser recommendations'!$A$4:$I$63,9,FALSE))/2.291)*10/(400/2.291)+'Soil results'!G99)&lt;16,"1 (L)",
IF(((H96*Calc!BM94/2.291-(VLOOKUP(Calc!BI94,'Fertiliser recommendations'!$A$4:$I$63,9,FALSE))/2.291)*10/(400/2.291)+'Soil results'!G99)&lt;21,"2 (M-)",
IF(((H96*Calc!BM94/2.291-(VLOOKUP(Calc!BI94,'Fertiliser recommendations'!$A$4:$I$63,9,FALSE))/2.291)*10/(400/2.291)+'Soil results'!G99)&lt;26,"2 (M+)",
IF(((H96*Calc!BM94/2.291-(VLOOKUP(Calc!BI94,'Fertiliser recommendations'!$A$4:$I$63,9,FALSE))/2.291)*10/(400/2.291)+'Soil results'!G99)&lt;45,"3 (H)","&gt;3 (VH)"))))),
IF('Soil results'!G$7="modified Morgan (SAC)",
IF('Soil results'!G99&gt;=6,
IF(((H96*Calc!BM94/2.291-(VLOOKUP(Calc!BI94,'Fertiliser recommendations'!$A$4:$I$63,9,FALSE))/2.291)*5/(147/2.291)+'Soil results'!G99)&lt;9.5,"2 (M-)",
IF(((H96*Calc!BM94/2.291-(VLOOKUP(Calc!BI94,'Fertiliser recommendations'!$A$4:$I$63,9,FALSE))/2.291)*5/(147/2.291)+'Soil results'!G99)&lt;13.5,"2 (M+)",
IF(((H96*Calc!BM94/2.291-(VLOOKUP(Calc!BI94,'Fertiliser recommendations'!$A$4:$I$63,9,FALSE))/2.291)*5/(147/2.291)+'Soil results'!G99)&lt;30,"3 (H)","4 (VH)"))),
IF(((H96*Calc!BM94/2.291-(VLOOKUP(Calc!BI94,'Fertiliser recommendations'!$A$4:$I$63,9,FALSE))/2.291)*5/(346/2.291)+'Soil results'!G99)&lt;1.8,"0 (VL)",
IF(((H96*Calc!BM94/2.291-(VLOOKUP(Calc!BI94,'Fertiliser recommendations'!$A$4:$I$63,9,FALSE))/2.291)*5/(147/2.291)+'Soil results'!G99)&lt;4.5,"1 (L)","2 (M-)"))))))</f>
        <v/>
      </c>
      <c r="M96" s="9" t="str">
        <f ca="1">IF(B96="","",
IF(OR(H96="data missing",I96="data missing",J96="data missing"),"data missing",
IF(Calc!BF94=0,"n/a",
IF(OR(AND('Soil results'!G$7="Olsen (ADAS)",'Soil results'!G99&gt;45),AND('Soil results'!G$7="modified Morgan (SAC)",'Soil results'!G99&gt;30)),
IF(H96&gt;2,"too high, not acceptable","no requirement"),IF(OR(AND('Soil results'!G$7="Olsen (ADAS)",'Soil results'!G99&gt;25),AND('Soil results'!G$7="modified Morgan (SAC)",'Soil results'!G99&gt;13.4)),
IF(H96*(I96/100)&lt;0.1*J96,"no benefit",
IF(H96*(I96/100)&lt;0.3*J96,"limited benefit",
IF(H96*(I96/100)&lt;1.1*J96,"benefit",
IF(H96*(I96/100)&lt;0.7*VLOOKUP(Calc!BI94,'Fertiliser recommendations'!$A$4:$I$63,9,FALSE),"excessive","too high, not acceptable")))),
IF(OR(AND('Soil results'!G$7="Olsen (ADAS)",'Soil results'!G99&gt;20),AND('Soil results'!G$7="modified Morgan (SAC)",'Soil results'!G99&gt;9.4)),
IF(H96*Calc!BM94*(I96/100)&lt;0.1*J96,"no benefit",
IF(H96*Calc!BM94*(I96/100)&lt;0.3*J96,"limited benefit",
IF(H96*Calc!BM94*(I96/100)&lt;1.1*J96,"benefit",
IF(L96="3 (H)","too high, not acceptable","excessive")))),
IF(OR(AND('Soil results'!G$7="Olsen (ADAS)",'Soil results'!G99&gt;15),AND('Soil results'!G$7="modified Morgan (SAC)",'Soil results'!G99&gt;4.4)),
IF(H96*Calc!BM94*(I96/100)&lt;0.1*VLOOKUP(Calc!BI94,'Fertiliser recommendations'!$A$4:$I$63,9,FALSE),"no benefit",
IF(H96*Calc!BM94*(I96/100)&lt;0.3*VLOOKUP(Calc!BI94,'Fertiliser recommendations'!$A$4:$I$63,9,FALSE),"limited benefit",
IF(H96*Calc!BM94*(I96/100)&lt;1.1*VLOOKUP(Calc!BI94,'Fertiliser recommendations'!$A$4:$I$63,9,FALSE),"benefit",
IF(L96="3 (H)", "too high, not acceptable", "excessive")))),
IF(OR(AND('Soil results'!G$7="Olsen (ADAS)",'Soil results'!G99&lt;=15),AND('Soil results'!G$7="modified Morgan (SAC)",'Soil results'!G99&lt;=4.4)),
IF(H96*Calc!BM94*(I96/100)&lt;0.1*VLOOKUP(Calc!BI94,'Fertiliser recommendations'!$A$4:$I$63,9,FALSE),"no benefit",
IF(H96*Calc!BM94*(I96/100)&lt;0.3*VLOOKUP(Calc!BI94,'Fertiliser recommendations'!$A$4:$I$63,9,FALSE),"limited benefit",
IF(H96*Calc!BM94*(I96/100)&lt;1.1*J96,"benefit","excessive")))))))))))</f>
        <v/>
      </c>
      <c r="O96" s="91" t="str">
        <f ca="1">IF(B96="","",
IF(AND('Field information 2'!$O$5="", 'Field information 2'!$Q$5=""),
   IF('Waste results'!$S$19&lt;&gt;"data missing", Calc!BC94*'Waste results'!$S$19, "data missing"),
IF('Field information 2'!$Q$5="",
   IF(Calc!BD94=0,
     IF('Waste results'!$S$19&lt;&gt;"data missing", Calc!BC94*'Waste results'!$S$19, "data missing"),
   IF(Calc!BC94=0,
     IF('Waste results'!$S$55&lt;&gt;"data missing", Calc!BD94*'Waste results'!$S$55, "data missing"),
   IF(OR('Waste results'!$S$19&lt;&gt;"data missing", 'Waste results'!$S$55&lt;&gt;"data missing"), Calc!BC94*'Waste results'!$S$19+ Calc!BD94*'Waste results'!$S$55, "data missing"))),
IF(AND('Field information 2'!$M$5&lt;&gt;"", 'Field information 2'!$O$5&lt;&gt;"", 'Field information 2'!$Q$5&lt;&gt;""),
   IF(AND(Calc!BD94=0,Calc!BE94=0),
     IF('Waste results'!$S$19&lt;&gt;"data missing", Calc!BC94*'Waste results'!$S$19, "data missing"),
   IF(AND(Calc!BC94=0,Calc!BE94=0),
     IF('Waste results'!$S$55&lt;&gt;"data missing", Calc!BD94*'Waste results'!$S$55, "data missing"),
   IF(AND(Calc!BC94=0,Calc!BD94=0),
     IF('Waste results'!$S$91&lt;&gt;"data missing", Calc!BE94*'Waste results'!$S$91, "data missing"),
   IF(Calc!BE94=0,
     IF(OR('Waste results'!$S$19&lt;&gt;"data missing", 'Waste results'!$S$55&lt;&gt;"data missing"), Calc!BC94*'Waste results'!$S$19+ Calc!BD94*'Waste results'!$S$55, "data missing"),
   IF(Calc!BD94=0,
     IF(OR('Waste results'!$S$19&lt;&gt;"data missing", 'Waste results'!$S$91&lt;&gt;"data missing"), Calc!BC94*'Waste results'!$S$19+ Calc!BE94*'Waste results'!$S$91, "data missing"),
   IF(Calc!BC94=0,
     IF(OR('Waste results'!$S$55&lt;&gt;"data missing", 'Waste results'!$S$91&lt;&gt;"data missing"), Calc!BD94*'Waste results'!$S$55+Calc!BE94*'Waste results'!$S$91, "data missing"),
   IF(OR('Waste results'!$S$19&lt;&gt;"data missing", 'Waste results'!$S$55&lt;&gt;"data missing", 'Waste results'!$S$91&lt;&gt;"data missing"), Calc!BC94*'Waste results'!$S$19+Calc!BD94*'Waste results'!$S$55+ Calc!BE94*'Waste results'!$S$91, "data missing")))))))))))</f>
        <v/>
      </c>
      <c r="P96" s="91" t="str">
        <f ca="1">IF(B96="","",
IF(OR(ISBLANK('Soil results'!H$7),ISBLANK('Soil results'!H99)),"data missing",
IF(OR(AND('Soil results'!H$7="ammonium nitrate (ADAS)",'Soil results'!H99&gt;400),AND('Soil results'!H$7="modified Morgan (SAC)",'Soil results'!H99&gt;400)),0,
IF(OR(AND('Soil results'!H$7="ammonium nitrate (ADAS)",'Soil results'!H99&gt;=121,'Soil results'!H99&lt;=180),AND('Soil results'!H$7="modified Morgan (SAC)",'Soil results'!H99&gt;=76,'Soil results'!H99&lt;=140)),VLOOKUP(Calc!BI94,'Fertiliser recommendations'!$A$4:$Z$63,26,FALSE),
IF(OR(AND('Soil results'!H$7="ammonium nitrate (ADAS)",'Soil results'!H99&lt;61),AND('Soil results'!H$7="modified Morgan (SAC)",'Soil results'!H99&lt;40)),VLOOKUP(Calc!BI94,'Fertiliser recommendations'!$A$4:$Z$63,26,FALSE)+VLOOKUP(Calc!BI94,'Fertiliser recommendations'!$A$4:$AA$63,27,FALSE),
IF(OR(AND('Soil results'!H$7="ammonium nitrate (ADAS)",'Soil results'!H99&lt;121),AND('Soil results'!H$7="modified Morgan (SAC)",'Soil results'!H99&lt;76)),VLOOKUP(Calc!BI94,'Fertiliser recommendations'!$A$4:$Z$63,26,FALSE)+VLOOKUP(Calc!BI94,'Fertiliser recommendations'!$A$4:$AB$63,28,FALSE),
IF(OR(AND('Soil results'!H$7="ammonium nitrate (ADAS)",'Soil results'!H99&lt;241),AND('Soil results'!H$7="modified Morgan (SAC)",'Soil results'!H99&lt;201)),VLOOKUP(Calc!BI94,'Fertiliser recommendations'!$A$4:$Z$63,26,FALSE)+VLOOKUP(Calc!BI94,'Fertiliser recommendations'!$A$4:$AC$63,29,FALSE),
IF(OR(AND('Soil results'!H$7="ammonium nitrate (ADAS)",'Soil results'!H99&lt;=400),AND('Soil results'!H$7="modified Morgan (SAC)",'Soil results'!H99&lt;=400)),VLOOKUP(Calc!BI94,'Fertiliser recommendations'!$A$4:$Z$63,26,FALSE)+VLOOKUP(Calc!BI94,'Fertiliser recommendations'!$A$4:$AD$63,30,FALSE),
"??"))))))))</f>
        <v/>
      </c>
      <c r="Q96" s="91" t="str">
        <f t="shared" ca="1" si="19"/>
        <v/>
      </c>
      <c r="R96" s="9" t="str">
        <f ca="1">IF(B96="","",
IF(OR(O96="data missing",P96="data missing"),"data missing",
IF(Calc!BF94=0,"n/a",
IF(P96=0, "no requirement",
IF(O96&lt;0.1*P96,"no benefit",
IF(O96&lt;0.3*P96,"limited benefit",
IF(O96&gt;1.25*P96,"excessive",
"benefit")))))))</f>
        <v/>
      </c>
      <c r="T96" s="91" t="str">
        <f ca="1">IF(B96="","",
IF(AND('Field information 2'!$O$5="", 'Field information 2'!$Q$5=""),
   IF('Waste results'!$S$21&lt;&gt;"data missing", Calc!BC94*'Waste results'!$S$21, "data missing"),
IF('Field information 2'!$Q$5="",
   IF(Calc!BD94=0,
     IF('Waste results'!$S$21&lt;&gt;"data missing", Calc!BC94*'Waste results'!$S$21, "data missing"),
   IF(Calc!BC94=0,
     IF('Waste results'!$S$57&lt;&gt;"data missing", Calc!BD94*'Waste results'!$S$57, "data missing"),
   IF(OR('Waste results'!$S$21&lt;&gt;"data missing", 'Waste results'!$S$57&lt;&gt;"data missing"), Calc!BC94*'Waste results'!$S$21+ Calc!BD94*'Waste results'!$S$57, "data missing"))),
IF(AND('Field information 2'!$M$5&lt;&gt;"", 'Field information 2'!$O$5&lt;&gt;"", 'Field information 2'!$Q$5&lt;&gt;""),
   IF(AND(Calc!BD94=0,Calc!BE94=0),
     IF('Waste results'!$S$21&lt;&gt;"data missing", Calc!BC94*'Waste results'!$S$21, "data missing"),
   IF(AND(Calc!BC94=0,Calc!BE94=0),
     IF('Waste results'!$S$57&lt;&gt;"data missing", Calc!BD94*'Waste results'!$S$57, "data missing"),
   IF(AND(Calc!BC94=0,Calc!BD94=0),
     IF('Waste results'!$S$93&lt;&gt;"data missing", Calc!BE94*'Waste results'!$S$93, "data missing"),
   IF(Calc!BE94=0,
     IF(OR('Waste results'!$S$21&lt;&gt;"data missing", 'Waste results'!$S$57&lt;&gt;"data missing"), Calc!BC94*'Waste results'!$S$21+ Calc!BD94*'Waste results'!$S$57, "data missing"),
   IF(Calc!BD94=0,
     IF(OR('Waste results'!$S$21&lt;&gt;"data missing", 'Waste results'!$S$93&lt;&gt;"data missing"), Calc!BC94*'Waste results'!$S$21+ Calc!BE94*'Waste results'!$S$93, "data missing"),
   IF(Calc!BC94=0,
     IF(OR('Waste results'!$S$57&lt;&gt;"data missing", 'Waste results'!$S$93&lt;&gt;"data missing"), Calc!BD94*'Waste results'!$S$57+Calc!BE94*'Waste results'!$S$93, "data missing"),
   IF(OR('Waste results'!$S$21&lt;&gt;"data missing", 'Waste results'!$S$57&lt;&gt;"data missing", 'Waste results'!$S$93&lt;&gt;"data missing"), Calc!BC94*'Waste results'!$S$21+Calc!BD94*'Waste results'!$S$57+ Calc!BE94*'Waste results'!$S$93, "data missing")))))))))))</f>
        <v/>
      </c>
      <c r="U96" s="7" t="str">
        <f ca="1">IF(B96="","",
IF(OR(ISBLANK('Soil results'!I$7),ISBLANK('Soil results'!I99)),"data missing",
IF(OR(AND('Soil results'!I$7="ammonium nitrate (ADAS)",'Soil results'!I99&gt;51),AND('Soil results'!I$7="modified Morgan (SAC)",'Soil results'!I99&gt;61)),0,
IF(OR(AND('Soil results'!I$7="ammonium nitrate (ADAS)",'Soil results'!I99&lt;25),AND('Soil results'!I$7="modified Morgan (SAC)",'Soil results'!I99&lt;19)),VLOOKUP(Calc!BI94,'Fertiliser recommendations'!$A$4:$AH$63,34,FALSE),
IF(OR(AND('Soil results'!I$7="ammonium nitrate (ADAS)",'Soil results'!I99&lt;=51),AND('Soil results'!I$7="modified Morgan (SAC)",'Soil results'!I99&lt;=61)),VLOOKUP(Calc!BI94,'Fertiliser recommendations'!$A$4:$AI$63,35,FALSE),
"")))))</f>
        <v/>
      </c>
      <c r="V96" s="91" t="str">
        <f t="shared" ca="1" si="20"/>
        <v/>
      </c>
      <c r="W96" s="9" t="str">
        <f ca="1">IF(B96="","",
IF(OR(T96="data missing",U96="data missing"),"data missing",
IF(Calc!BF94=0,"n/a",
IF(U96=0,"no requirement",
IF(T96&lt;0.1*U96,"no benefit",
IF(T96&lt;0.3*U96,"limited benefit",
IF(OR(T96&gt;1.5*U96,AND(Calc!BJ94="g",T96&gt;100)),"excessive",
"benefit")))))))</f>
        <v/>
      </c>
      <c r="Y96" s="91" t="str">
        <f ca="1">IF(B96="","",
IF(AND('Field information 2'!$O$5="", 'Field information 2'!$Q$5=""),
   IF('Waste results'!$P$23&lt;&gt;"", Calc!BC94*'Waste results'!$P$23, "no data"),
IF('Field information 2'!$Q$5="",
   IF(Calc!BD94=0,
     IF('Waste results'!$P$23&lt;&gt;"", Calc!BC94*'Waste results'!$P$23, "no data"),
   IF(Calc!BC94=0,
     IF('Waste results'!$P$59&lt;&gt;"", Calc!BD94*'Waste results'!$P$59, "no data"),
   IF(OR('Waste results'!$P$23&lt;&gt;"", 'Waste results'!$P$59&lt;&gt;""), Calc!BC94*'Waste results'!$P$23+ Calc!BD94*'Waste results'!$P$59, "no data"))),
IF(AND('Field information 2'!$M$5&lt;&gt;"", 'Field information 2'!$O$5&lt;&gt;"", 'Field information 2'!$Q$5&lt;&gt;""),
   IF(AND(Calc!BD94=0,Calc!BE94=0),
     IF('Waste results'!$P$23&lt;&gt;"", Calc!BC94*'Waste results'!$P$23, "no data"),
   IF(AND(Calc!BC94=0,Calc!BE94=0),
     IF('Waste results'!$P$59&lt;&gt;"", Calc!BD94*'Waste results'!$P$59, "no data"),
   IF(AND(Calc!BC94=0,Calc!BD94=0),
     IF('Waste results'!$P$95&lt;&gt;"", Calc!BE94*'Waste results'!$P$95, "no data"),
   IF(Calc!BE94=0,
     IF(OR('Waste results'!$P$23&lt;&gt;"", 'Waste results'!$P$59&lt;&gt;""), Calc!BC94*'Waste results'!$P$23+ Calc!BD94*'Waste results'!$P$59, "no data"),
   IF(Calc!BD94=0,
     IF(OR('Waste results'!$P$23&lt;&gt;"", 'Waste results'!$P$95&lt;&gt;""), Calc!BC94*'Waste results'!$P$23+ Calc!BE94*'Waste results'!$P$95, "no data"),
   IF(Calc!BC94=0,
     IF(OR('Waste results'!$P$59&lt;&gt;"", 'Waste results'!$P$95&lt;&gt;""), Calc!BD94*'Waste results'!$P$59+Calc!BE94*'Waste results'!$P$95, "no data"),
   IF(OR('Waste results'!$P$23&lt;&gt;"", 'Waste results'!$P$59&lt;&gt;"", 'Waste results'!$P$95&lt;&gt;""), Calc!BC94*'Waste results'!$P$23+Calc!BD94*'Waste results'!$P$59+ Calc!BE94*'Waste results'!$P$95, "no data")))))))))))</f>
        <v/>
      </c>
      <c r="Z96" s="7" t="str">
        <f ca="1">IF(OR(ISBLANK('Soil results'!I$7),ISBLANK('Soil results'!I99),'Soil results'!B99=""),"",
VLOOKUP(Calc!BI94,'Fertiliser recommendations'!$A$4:$AM$63,39,FALSE))</f>
        <v/>
      </c>
      <c r="AA96" s="91" t="str">
        <f t="shared" ca="1" si="21"/>
        <v/>
      </c>
      <c r="AB96" s="9" t="str">
        <f t="shared" ca="1" si="22"/>
        <v/>
      </c>
      <c r="AD96" s="48" t="str">
        <f>IF(ISBLANK('Soil results'!F99),"",'Soil results'!F99)</f>
        <v/>
      </c>
      <c r="AE96" s="49" t="str">
        <f ca="1">IF(B96="","",
IF(AND(Calc!BJ94="g", VLOOKUP(LEFT($B96,LEN($B96)-2),'Field information 2'!$B$12:$P$111,9,FALSE)&lt;&gt;"yes"),
 IF(Calc!BG94="10-25% OM", 5.9, IF(Calc!BG94="&gt;25% OM", 5.5, 6.2)),
IF(OR(Calc!BJ94="a", VLOOKUP(LEFT($B96,LEN($B96)-2),'Field information 2'!$B$12:$P$111,9,FALSE)="yes"),
 IF(Calc!BG94="10-25% OM", 6.4, IF(Calc!BG94="&gt;25% OM", 6, 6.7)), "")))</f>
        <v/>
      </c>
      <c r="AF96" s="91" t="str">
        <f ca="1">IF(B96="","",
IF('Waste results'!$Q$33="","no (significant) liming properties",
IF('Waste results'!Q$33&gt;100,"no (significant) liming properties",
IF(AD96="","",
IF(AD96&gt;=AE96,0,ROUNDDOWN((AE96-AD96)*Calc!BK94*'Waste results'!$Q$33+0.2,0))))))</f>
        <v/>
      </c>
      <c r="AG96" s="9" t="str">
        <f ca="1">IF(B96="","",
IF(T96=0,"n/a",
IF(AD96="","data missing",
IF(AND(AD96&lt;5,AF96="no (significant) liming properties"),"no waste application - pH too low",
IF(AND(AD96&gt;5.1,AF96="no (significant) liming properties",Calc!BH94&gt;25, LEFT(Calc!BI94,4)="graz"),"ok",
IF(AND(AD96&lt;=5.2,AF96="no (significant) liming properties"),"liming highly recommended",
IF(AF96=0,"no waste application - liming not required",
IF(AF96&lt;Calc!BC94,"application rate too high - exceeds liming requirement",
"ok"))))))))</f>
        <v/>
      </c>
      <c r="AI96" s="91" t="str">
        <f ca="1">IF(B96="","",
IF(AND('Field information 2'!$O$5="", 'Field information 2'!$Q$5=""),
   IF('Waste results'!$P$10&lt;&gt;"data missing", Calc!BC94*'Waste results'!$P$10, "data missing"),
IF('Field information 2'!$Q$5="",
   IF(Calc!BD94=0,
     IF('Waste results'!$P$10&lt;&gt;"data missing", Calc!BC94*'Waste results'!$P$10, "data missing"),
   IF(Calc!BC94=0,
     IF('Waste results'!$P$45&lt;&gt;"data missing", Calc!BD94*'Waste results'!$P$45, "data missing"),
   IF(OR('Waste results'!$P$10&lt;&gt;"data missing", 'Waste results'!$P$45&lt;&gt;"data missing"), Calc!BC94*'Waste results'!$P$10+ Calc!BD94*'Waste results'!$P$45, "data missing"))),
IF(AND('Field information 2'!$M$5&lt;&gt;"", 'Field information 2'!$O$5&lt;&gt;"", 'Field information 2'!$Q$5&lt;&gt;""),
   IF(AND(Calc!BD94=0,Calc!BE94=0),
     IF('Waste results'!$P$10&lt;&gt;"data missing", Calc!BC94*'Waste results'!$P$10, "data missing"),
   IF(AND(Calc!BC94=0,Calc!BE94=0),
     IF('Waste results'!$P$45&lt;&gt;"data missing", Calc!BD94*'Waste results'!$P$45, "data missing"),
   IF(AND(Calc!BC94=0,Calc!BD94=0),
     IF('Waste results'!$P$82&lt;&gt;"data missing", Calc!BE94*'Waste results'!$P$82, "data missing"),
   IF(Calc!BE94=0,
     IF(OR('Waste results'!$P$10&lt;&gt;"data missing", 'Waste results'!$P$45&lt;&gt;"data missing"), Calc!BC94*'Waste results'!$P$10+ Calc!BD94*'Waste results'!$P$45, "data missing"),
   IF(Calc!BD94=0,
     IF(OR('Waste results'!$P$10&lt;&gt;"data missing", 'Waste results'!$P$82&lt;&gt;"data missing"), Calc!BC94*'Waste results'!$P$10+ Calc!BE94*'Waste results'!$P$82, "data missing"),
   IF(Calc!BC94=0,
     IF(OR('Waste results'!$P$45&lt;&gt;"data missing", 'Waste results'!$P$82&lt;&gt;"data missing"), Calc!BD94*'Waste results'!$P$45+Calc!BE94*'Waste results'!$P$82, "data missing"),
   IF(OR('Waste results'!$P$10&lt;&gt;"data missing", 'Waste results'!$P$45&lt;&gt;"data missing", 'Waste results'!$P$82&lt;&gt;"data missing"), Calc!BC94*'Waste results'!$P$10+Calc!BD94*'Waste results'!$P$45+ Calc!BE94*'Waste results'!$P$82, "data missing")))))))))))</f>
        <v/>
      </c>
      <c r="AJ96" s="237" t="str">
        <f ca="1">IF(B96="","",
IF(AI96="data missing","data missing",
IF(Calc!BF94=0,"n/a",
IF(AND(Calc!BH94&gt;=8,AI96&lt;500),"no benefit",
IF(OR(AND(Calc!BH94&lt;=4,AI96&gt;=500),AND(Calc!BH94&lt;8,AI96&gt;5000)),"benefit",
"limited benefit")))))</f>
        <v/>
      </c>
      <c r="AL96" s="238" t="str">
        <f ca="1">IF(B96="","",
IF(AND('Field information 2'!$O$5="", 'Field information 2'!$Q$5=""),
   IF('Waste results'!$S$25&lt;&gt;"data missing", Calc!BC94*'Waste results'!$S$25, "data missing"),
IF('Field information 2'!$Q$5="",
   IF(Calc!BD94=0,
     IF('Waste results'!$S$25&lt;&gt;"data missing", Calc!BC94*'Waste results'!$S$25, "data missing"),
   IF(Calc!BC94=0,
     IF('Waste results'!$S$61&lt;&gt;"data missing", Calc!BD94*'Waste results'!$S$61, "data missing"),
   IF(OR('Waste results'!$S$25&lt;&gt;"data missing", 'Waste results'!$S$61&lt;&gt;"data missing"), Calc!BC94*'Waste results'!$S$25+ Calc!BD94*'Waste results'!$S$61, "data missing"))),
IF(AND('Field information 2'!$M$5&lt;&gt;"", 'Field information 2'!$O$5&lt;&gt;"", 'Field information 2'!$Q$5&lt;&gt;""),
   IF(AND(Calc!BD94=0,Calc!BE94=0),
     IF('Waste results'!$S$25&lt;&gt;"data missing", Calc!BC94*'Waste results'!$S$25, "data missing"),
   IF(AND(Calc!BC94=0,Calc!BE94=0),
     IF('Waste results'!$S$61&lt;&gt;"data missing", Calc!BD94*'Waste results'!$S$61, "data missing"),
   IF(AND(Calc!BC94=0,Calc!BD94=0),
     IF('Waste results'!$S$97&lt;&gt;"data missing", Calc!BE94*'Waste results'!$S$97, "data missing"),
   IF(Calc!BE94=0,
     IF(OR('Waste results'!$S$25&lt;&gt;"data missing", 'Waste results'!$S$61&lt;&gt;"data missing"), Calc!BC94*'Waste results'!$S$25+ Calc!BD94*'Waste results'!$S$61, "data missing"),
   IF(Calc!BD94=0,
     IF(OR('Waste results'!$S$25&lt;&gt;"data missing", 'Waste results'!$S$97&lt;&gt;"data missing"), Calc!BC94*'Waste results'!$S$25+ Calc!BE94*'Waste results'!$S$97, "data missing"),
   IF(Calc!BC94=0,
     IF(OR('Waste results'!$S$61&lt;&gt;"data missing", 'Waste results'!$S$97&lt;&gt;"data missing"), Calc!BD94*'Waste results'!$S$61+Calc!BE94*'Waste results'!$S$97, "data missing"),
   IF(OR('Waste results'!$S$25&lt;&gt;"data missing", 'Waste results'!$S$61&lt;&gt;"data missing", 'Waste results'!$S$97&lt;&gt;"data missing"), Calc!BC94*'Waste results'!$S$25+Calc!BD94*'Waste results'!$S$61+ Calc!BE94*'Waste results'!$S$97, "data missing")))))))))))</f>
        <v/>
      </c>
      <c r="AM96" s="239" t="str">
        <f ca="1">IF($B96="","",
IF(ISBLANK('Soil results'!K99),"data missing",'Soil results'!K99))</f>
        <v/>
      </c>
      <c r="AN96" s="239" t="str">
        <f t="shared" ca="1" si="23"/>
        <v/>
      </c>
      <c r="AO96" s="9" t="str">
        <f t="shared" ca="1" si="24"/>
        <v/>
      </c>
      <c r="AQ96" s="240" t="str">
        <f ca="1">IF(B96="","",
IF(AND('Field information 2'!$O$5="", 'Field information 2'!$Q$5=""),
   IF('Waste results'!$S$26&lt;&gt;"data missing", Calc!BC94*'Waste results'!$S$26, "data missing"),
IF('Field information 2'!$Q$5="",
   IF(Calc!BD94=0,
     IF('Waste results'!$S$26&lt;&gt;"data missing", Calc!BC94*'Waste results'!$S$26, "data missing"),
   IF(Calc!BC94=0,
     IF('Waste results'!$S$62&lt;&gt;"data missing", Calc!BD94*'Waste results'!$S$62, "data missing"),
   IF(OR('Waste results'!$S$26&lt;&gt;"data missing", 'Waste results'!$S$62&lt;&gt;"data missing"), Calc!BC94*'Waste results'!$S$26+ Calc!BD94*'Waste results'!$S$62, "data missing"))),
IF(AND('Field information 2'!$M$5&lt;&gt;"", 'Field information 2'!$O$5&lt;&gt;"", 'Field information 2'!$Q$5&lt;&gt;""),
   IF(AND(Calc!BD94=0,Calc!BE94=0),
     IF('Waste results'!$S$26&lt;&gt;"data missing", Calc!BC94*'Waste results'!$S$26, "data missing"),
   IF(AND(Calc!BC94=0,Calc!BE94=0),
     IF('Waste results'!$S$62&lt;&gt;"data missing", Calc!BD94*'Waste results'!$S$62, "data missing"),
   IF(AND(Calc!BC94=0,Calc!BD94=0),
     IF('Waste results'!$S$98&lt;&gt;"data missing", Calc!BE94*'Waste results'!$S$98, "data missing"),
   IF(Calc!BE94=0,
     IF(OR('Waste results'!$S$26&lt;&gt;"data missing", 'Waste results'!$S$62&lt;&gt;"data missing"), Calc!BC94*'Waste results'!$S$26+ Calc!BD94*'Waste results'!$S$62, "data missing"),
   IF(Calc!BD94=0,
     IF(OR('Waste results'!$S$26&lt;&gt;"data missing", 'Waste results'!$S$98&lt;&gt;"data missing"), Calc!BC94*'Waste results'!$S$26+ Calc!BE94*'Waste results'!$S$98, "data missing"),
   IF(Calc!BC94=0,
     IF(OR('Waste results'!$S$62&lt;&gt;"data missing", 'Waste results'!$S$98&lt;&gt;"data missing"), Calc!BD94*'Waste results'!$S$62+Calc!BE94*'Waste results'!$S$98, "data missing"),
   IF(OR('Waste results'!$S$26&lt;&gt;"data missing", 'Waste results'!$S$62&lt;&gt;"data missing", 'Waste results'!$S$98&lt;&gt;"data missing"), Calc!BC94*'Waste results'!$S$26+Calc!BD94*'Waste results'!$S$62+ Calc!BE94*'Waste results'!$S$98, "data missing")))))))))))</f>
        <v/>
      </c>
      <c r="AR96" s="241" t="str">
        <f ca="1">IF($B96="","",
IF(ISBLANK('Soil results'!L99),"data missing",'Soil results'!L99))</f>
        <v/>
      </c>
      <c r="AS96" s="241" t="str">
        <f t="shared" ca="1" si="25"/>
        <v/>
      </c>
      <c r="AT96" s="66" t="str">
        <f t="shared" ca="1" si="26"/>
        <v/>
      </c>
      <c r="AV96" s="238" t="str">
        <f ca="1">IF(B96="","",
IF(AND('Field information 2'!$O$5="", 'Field information 2'!$Q$5=""),
   IF('Waste results'!$S$27&lt;&gt;"data missing", Calc!BC94*'Waste results'!$S$27, "data missing"),
IF('Field information 2'!$Q$5="",
   IF(Calc!BD94=0,
     IF('Waste results'!$S$27&lt;&gt;"data missing", Calc!BC94*'Waste results'!$S$27, "data missing"),
   IF(Calc!BC94=0,
     IF('Waste results'!$S$63&lt;&gt;"data missing", Calc!BD94*'Waste results'!$S$63, "data missing"),
   IF(OR('Waste results'!$S$27&lt;&gt;"data missing", 'Waste results'!$S$63&lt;&gt;"data missing"), Calc!BC94*'Waste results'!$S$27+ Calc!BD94*'Waste results'!$S$63, "data missing"))),
IF(AND('Field information 2'!$M$5&lt;&gt;"", 'Field information 2'!$O$5&lt;&gt;"", 'Field information 2'!$Q$5&lt;&gt;""),
   IF(AND(Calc!BD94=0,Calc!BE94=0),
     IF('Waste results'!$S$27&lt;&gt;"data missing", Calc!BC94*'Waste results'!$S$27, "data missing"),
   IF(AND(Calc!BC94=0,Calc!BE94=0),
     IF('Waste results'!$S$63&lt;&gt;"data missing", Calc!BD94*'Waste results'!$S$63, "data missing"),
   IF(AND(Calc!BC94=0,Calc!BD94=0),
     IF('Waste results'!$S$99&lt;&gt;"data missing", Calc!BE94*'Waste results'!$S$99, "data missing"),
   IF(Calc!BE94=0,
     IF(OR('Waste results'!$S$27&lt;&gt;"data missing", 'Waste results'!$S$63&lt;&gt;"data missing"), Calc!BC94*'Waste results'!$S$27+ Calc!BD94*'Waste results'!$S$63, "data missing"),
   IF(Calc!BD94=0,
     IF(OR('Waste results'!$S$27&lt;&gt;"data missing", 'Waste results'!$S$99&lt;&gt;"data missing"), Calc!BC94*'Waste results'!$S$27+ Calc!BE94*'Waste results'!$S$99, "data missing"),
   IF(Calc!BC94=0,
     IF(OR('Waste results'!$S$63&lt;&gt;"data missing", 'Waste results'!$S$99&lt;&gt;"data missing"), Calc!BD94*'Waste results'!$S$63+Calc!BE94*'Waste results'!$S$99, "data missing"),
   IF(OR('Waste results'!$S$27&lt;&gt;"data missing", 'Waste results'!$S$63&lt;&gt;"data missing", 'Waste results'!$S$99&lt;&gt;"data missing"), Calc!BC94*'Waste results'!$S$27+Calc!BD94*'Waste results'!$S$63+ Calc!BE94*'Waste results'!$S$99, "data missing")))))))))))</f>
        <v/>
      </c>
      <c r="AW96" s="239" t="str">
        <f ca="1">IF($B96="","",
IF(ISBLANK('Soil results'!M99),"data missing",'Soil results'!M99))</f>
        <v/>
      </c>
      <c r="AX96" s="239" t="str">
        <f t="shared" ca="1" si="27"/>
        <v/>
      </c>
      <c r="AY96" s="9" t="str">
        <f ca="1">IF(B96="","",
IF(AV96=0,"n/a",
IF(OR(AV96="data missing",AW96="data missing"),"data missing",
IF(AV96&gt;7.5,"application rate too high - permissible rate exceeds limit",
IF('Soil results'!$F99&lt;=5.5,
  IF(AW96&gt;80,"no application - soil conc. already above limit",
  IF(AX96&gt;80,"application rate too high - soil conc. will exceed limit",
  IF(AW96&gt;80*0.9,"soil conc. is at or above 90% of the limit",
  IF(10*AV96*1000/3000+AW96&gt;80,"soil limit likely to be exceeded in 10yrs",
  IF(50*AV96*1000/3000+AW96&gt;80,"soil limit likely to be exceeded in 50yrs","ok"))))),
IF('Soil results'!$F99&lt;=6,
  IF(AW96&gt;100,"no application - soil conc. already above limit",
  IF(AX96&gt;100,"application rate too high - soil conc. will exceed limit",
  IF(AW96&gt;100*0.9,"soil conc. is at or above 90% of the limit",
  IF(10*AV96*1000/3000+AW96&gt;100,"soil limit likely to be exceeded in 10yrs",
  IF(50*AV96*1000/3000+AW96&gt;100,"soil limit likely to be exceeded in 50yrs","ok"))))),
IF('Soil results'!$F99&lt;=7,
  IF(AW96&gt;135,"no application - soil conc. already above limit",
  IF(AX96&gt;135,"application rate too high - soil conc. will exceed limit",
  IF(AW96&gt;135*0.9,"soil conc. is at or above 90% of the limit",
  IF(10*AV96*1000/3000+AW96&gt;135,"soil limit likely to be exceeded in 10yrs",
  IF(50*AV96*1000/3000+AW96&gt;135,"soil limit likely to be exceeded in 50yrs","ok"))))),
IF('Soil results'!$F99&gt;7,
  IF(AW96&gt;200,"no application - soil conc. already above limit",
  IF(AX96&gt;200,"application too high - soil conc. will exceed limit",
  IF(AW96&gt;200*0.9,"soil conc. is at or above 90% of the limit",
  IF(10*AV96*1000/3000+AW96&gt;200,"soil limit likely to be exceeded in 10yrs",
  IF(50*AV96*1000/3000+AW96&gt;200,"soil limit likely to be exceeded in 50yrs","ok")))))
))))))))</f>
        <v/>
      </c>
      <c r="BA96" s="238" t="str">
        <f ca="1">IF(B96="","",
IF(AND('Field information 2'!$O$5="", 'Field information 2'!$Q$5=""),
   IF('Waste results'!$S$28&lt;&gt;"data missing", Calc!BC94*'Waste results'!$S$28, "data missing"),
IF('Field information 2'!$Q$5="",
   IF(Calc!BD94=0,
     IF('Waste results'!$S$28&lt;&gt;"data missing", Calc!BC94*'Waste results'!$S$28, "data missing"),
   IF(Calc!BC94=0,
     IF('Waste results'!$S$64&lt;&gt;"data missing", Calc!BD94*'Waste results'!$S$64, "data missing"),
   IF(OR('Waste results'!$S$28&lt;&gt;"data missing", 'Waste results'!$S$64&lt;&gt;"data missing"), Calc!BC94*'Waste results'!$S$28+ Calc!BD94*'Waste results'!$S$64, "data missing"))),
IF(AND('Field information 2'!$M$5&lt;&gt;"", 'Field information 2'!$O$5&lt;&gt;"", 'Field information 2'!$Q$5&lt;&gt;""),
   IF(AND(Calc!BD94=0,Calc!BE94=0),
     IF('Waste results'!$S$28&lt;&gt;"data missing", Calc!BC94*'Waste results'!$S$28, "data missing"),
   IF(AND(Calc!BC94=0,Calc!BE94=0),
     IF('Waste results'!$S$64&lt;&gt;"data missing", Calc!BD94*'Waste results'!$S$64, "data missing"),
   IF(AND(Calc!BC94=0,Calc!BD94=0),
     IF('Waste results'!$S$100&lt;&gt;"data missing", Calc!BE94*'Waste results'!$S$100, "data missing"),
   IF(Calc!BE94=0,
     IF(OR('Waste results'!$S$28&lt;&gt;"data missing", 'Waste results'!$S$64&lt;&gt;"data missing"), Calc!BC94*'Waste results'!$S$28+ Calc!BD94*'Waste results'!$S$64, "data missing"),
   IF(Calc!BD94=0,
     IF(OR('Waste results'!$S$28&lt;&gt;"data missing", 'Waste results'!$S$100&lt;&gt;"data missing"), Calc!BC94*'Waste results'!$S$28+ Calc!BE94*'Waste results'!$S$100, "data missing"),
   IF(Calc!BC94=0,
     IF(OR('Waste results'!$S$64&lt;&gt;"data missing", 'Waste results'!$S$100&lt;&gt;"data missing"), Calc!BD94*'Waste results'!$S$64+Calc!BE94*'Waste results'!$S$100, "data missing"),
   IF(OR('Waste results'!$S$28&lt;&gt;"data missing", 'Waste results'!$S$64&lt;&gt;"data missing", 'Waste results'!$S$100&lt;&gt;"data missing"), Calc!BC94*'Waste results'!$S$28+Calc!BD94*'Waste results'!$S$64+ Calc!BE94*'Waste results'!$S$100, "data missing")))))))))))</f>
        <v/>
      </c>
      <c r="BB96" s="239" t="str">
        <f ca="1">IF($B96="","",
IF(ISBLANK('Soil results'!N99),"data missing",'Soil results'!N99))</f>
        <v/>
      </c>
      <c r="BC96" s="239" t="str">
        <f t="shared" ca="1" si="28"/>
        <v/>
      </c>
      <c r="BD96" s="9" t="str">
        <f t="shared" ca="1" si="29"/>
        <v/>
      </c>
      <c r="BF96" s="238" t="str">
        <f ca="1">IF(B96="","",
IF(AND('Field information 2'!$O$5="", 'Field information 2'!$Q$5=""),
   IF('Waste results'!$S$29&lt;&gt;"data missing", Calc!BC94*'Waste results'!$S$29, "data missing"),
IF('Field information 2'!$Q$5="",
   IF(Calc!BD94=0,
     IF('Waste results'!$S$29&lt;&gt;"data missing", Calc!BC94*'Waste results'!$S$29, "data missing"),
   IF(Calc!BC94=0,
     IF('Waste results'!$S$65&lt;&gt;"data missing", Calc!BD94*'Waste results'!$S$65, "data missing"),
   IF(OR('Waste results'!$S$29&lt;&gt;"data missing", 'Waste results'!$S$65&lt;&gt;"data missing"), Calc!BC94*'Waste results'!$S$29+ Calc!BD94*'Waste results'!$S$65, "data missing"))),
IF(AND('Field information 2'!$M$5&lt;&gt;"", 'Field information 2'!$O$5&lt;&gt;"", 'Field information 2'!$Q$5&lt;&gt;""),
   IF(AND(Calc!BD94=0,Calc!BE94=0),
     IF('Waste results'!$S$29&lt;&gt;"data missing", Calc!BC94*'Waste results'!$S$29, "data missing"),
   IF(AND(Calc!BC94=0,Calc!BE94=0),
     IF('Waste results'!$S$65&lt;&gt;"data missing", Calc!BD94*'Waste results'!$S$65, "data missing"),
   IF(AND(Calc!BC94=0,Calc!BD94=0),
     IF('Waste results'!$S$101&lt;&gt;"data missing", Calc!BE94*'Waste results'!$S$101, "data missing"),
   IF(Calc!BE94=0,
     IF(OR('Waste results'!$S$29&lt;&gt;"data missing", 'Waste results'!$S$65&lt;&gt;"data missing"), Calc!BC94*'Waste results'!$S$29+ Calc!BD94*'Waste results'!$S$65, "data missing"),
   IF(Calc!BD94=0,
     IF(OR('Waste results'!$S$29&lt;&gt;"data missing", 'Waste results'!$S$101&lt;&gt;"data missing"), Calc!BC94*'Waste results'!$S$29+ Calc!BE94*'Waste results'!$S$101, "data missing"),
   IF(Calc!BC94=0,
     IF(OR('Waste results'!$S$65&lt;&gt;"data missing", 'Waste results'!$S$101&lt;&gt;"data missing"), Calc!BD94*'Waste results'!$S$65+Calc!BE94*'Waste results'!$S$101, "data missing"),
   IF(OR('Waste results'!$S$29&lt;&gt;"data missing", 'Waste results'!$S$65&lt;&gt;"data missing", 'Waste results'!$S$101&lt;&gt;"data missing"), Calc!BC94*'Waste results'!$S$29+Calc!BD94*'Waste results'!$S$65+ Calc!BE94*'Waste results'!$S$101, "data missing")))))))))))</f>
        <v/>
      </c>
      <c r="BG96" s="239" t="str">
        <f ca="1">IF($B96="","",
IF(ISBLANK('Soil results'!O99),"data missing",'Soil results'!O99))</f>
        <v/>
      </c>
      <c r="BH96" s="239" t="str">
        <f t="shared" ca="1" si="30"/>
        <v/>
      </c>
      <c r="BI96" s="9" t="str">
        <f ca="1">IF(B96="","",
IF(BF96=0,"n/a",
IF(OR(BF96="data missing",BG96="data missing"),"data missing",
IF(BF96&gt;3,"application rate too high - permissible rate exceeds limit",
IF('Soil results'!F99&lt;=5.5,
  IF(BG96&gt;50,"no application - soil conc. already above limit",
  IF(BH96&gt;50,"application rate too high - soil conc. will exceed limit",
  IF(BG96&gt;50*0.9,"soil conc. is at or above 90% of the limit",
  IF(10*BF96*1000/3000+BG96&gt;50,"soil limit likely to be exceeded in 10yrs",
  IF(50*BF96*1000/3000+BG96&gt;50,"soil limit likely to be exceeded in 50yrs","ok"))))),
IF('Soil results'!F99&lt;=6,
  IF(BG96&gt;60,"no application - soil conc. already above limit",
  IF(BH96&gt;60,"application rate too high - soil conc. will exceed limit",
  IF(BG96&gt;60*0.9,"soil conc. is at or above 90% of the limit",
  IF(10*BF96*1000/3000+BG96&gt;60,"soil limit likely to be exceeded in 10yrs",
  IF(50*BF96*1000/3000+BG96&gt;60,"soil limit likely to be exceeded in 50yrs","ok"))))),
IF('Soil results'!F99&lt;=7,
  IF(BG96&gt;75,"no application - soil conc. already above limit",
  IF(BH96&gt;75,"application rate too high - soil conc. will exceed limit",
  IF(BG96&gt;75*0.9,"soil conc. is at or above 90% of the limit",
  IF(10*BF96*1000/3000+BG96&gt;75,"soil limit likely to be exceeded in 10yrs",
  IF(50*BF96*1000/3000+BG96&gt;75,"soil limit likely to be exceeded in 50yrs","ok"))))),
IF('Soil results'!F99&gt;7,
  IF(BG96&gt;100,"no application - soil conc. already above limit",
  IF(BH96&gt;100,"application rate too high - soil conc. will exceed limit",
  IF(BG96&gt;100*0.9,"soil conc. is at or above 90% of the limit",
  IF(10*BF96*1000/3000+BG96&gt;100,"soil limit likely to be exceeded in 10yrs",
  IF(50*BF96*1000/3000+BG96&gt;100,"soil limit likely to beexceeded in 50yrs","ok")))))
))))))))</f>
        <v/>
      </c>
      <c r="BK96" s="240" t="str">
        <f ca="1">IF(B96="","",
IF(AND('Field information 2'!$O$5="", 'Field information 2'!$Q$5=""),
   IF('Waste results'!$S$30&lt;&gt;"data missing", Calc!BC94*'Waste results'!$S$30, "data missing"),
IF('Field information 2'!$Q$5="",
   IF(Calc!BD94=0,
     IF('Waste results'!$S$30&lt;&gt;"data missing", Calc!BC94*'Waste results'!$S$30, "data missing"),
   IF(Calc!BC94=0,
     IF('Waste results'!$S$66&lt;&gt;"data missing", Calc!BD94*'Waste results'!$S$66, "data missing"),
   IF(OR('Waste results'!$S$30&lt;&gt;"data missing", 'Waste results'!$S$66&lt;&gt;"data missing"), Calc!BC94*'Waste results'!$S$30+ Calc!BD94*'Waste results'!$S$66, "data missing"))),
IF(AND('Field information 2'!$M$5&lt;&gt;"", 'Field information 2'!$O$5&lt;&gt;"", 'Field information 2'!$Q$5&lt;&gt;""),
   IF(AND(Calc!BD94=0,Calc!BE94=0),
     IF('Waste results'!$S$30&lt;&gt;"data missing", Calc!BC94*'Waste results'!$S$30, "data missing"),
   IF(AND(Calc!BC94=0,Calc!BE94=0),
     IF('Waste results'!$S$66&lt;&gt;"data missing", Calc!BD94*'Waste results'!$S$66, "data missing"),
   IF(AND(Calc!BC94=0,Calc!BD94=0),
     IF('Waste results'!$S$102&lt;&gt;"data missing", Calc!BE94*'Waste results'!$S$102, "data missing"),
   IF(Calc!BE94=0,
     IF(OR('Waste results'!$S$30&lt;&gt;"data missing", 'Waste results'!$S$66&lt;&gt;"data missing"), Calc!BC94*'Waste results'!$S$30+ Calc!BD94*'Waste results'!$S$66, "data missing"),
   IF(Calc!BD94=0,
     IF(OR('Waste results'!$S$30&lt;&gt;"data missing", 'Waste results'!$S$102&lt;&gt;"data missing"), Calc!BC94*'Waste results'!$S$30+ Calc!BE94*'Waste results'!$S$102, "data missing"),
   IF(Calc!BC94=0,
     IF(OR('Waste results'!$S$66&lt;&gt;"data missing", 'Waste results'!$S$102&lt;&gt;"data missing"), Calc!BD94*'Waste results'!$S$66+Calc!BE94*'Waste results'!$S$102, "data missing"),
   IF(OR('Waste results'!$S$30&lt;&gt;"data missing", 'Waste results'!$S$66&lt;&gt;"data missing", 'Waste results'!$S$102&lt;&gt;"data missing"), Calc!BC94*'Waste results'!$S$30+Calc!BD94*'Waste results'!$S$66+ Calc!BE94*'Waste results'!$S$102, "data missing")))))))))))</f>
        <v/>
      </c>
      <c r="BL96" s="241" t="str">
        <f ca="1">IF($B96="","",
IF(ISBLANK('Soil results'!P99),"data missing",'Soil results'!P99))</f>
        <v/>
      </c>
      <c r="BM96" s="241" t="str">
        <f t="shared" ca="1" si="31"/>
        <v/>
      </c>
      <c r="BN96" s="66" t="str">
        <f t="shared" ca="1" si="32"/>
        <v/>
      </c>
      <c r="BP96" s="238" t="str">
        <f ca="1">IF(B96="","",
IF(AND('Field information 2'!$O$5="", 'Field information 2'!$Q$5=""),
   IF('Waste results'!$S$31&lt;&gt;"data missing", Calc!BC94*'Waste results'!$S$31, "data missing"),
IF('Field information 2'!$Q$5="",
   IF(Calc!BD94=0,
     IF('Waste results'!$S$31&lt;&gt;"data missing", Calc!BC94*'Waste results'!$S$31, "data missing"),
   IF(Calc!BC94=0,
     IF('Waste results'!$S$67&lt;&gt;"data missing", Calc!BD94*'Waste results'!$S$67, "data missing"),
   IF(OR('Waste results'!$S$31&lt;&gt;"data missing", 'Waste results'!$S$67&lt;&gt;"data missing"), Calc!BC94*'Waste results'!$S$31+ Calc!BD94*'Waste results'!$S$67, "data missing"))),
IF(AND('Field information 2'!$M$5&lt;&gt;"", 'Field information 2'!$O$5&lt;&gt;"", 'Field information 2'!$Q$5&lt;&gt;""),
   IF(AND(Calc!BD94=0,Calc!BE94=0),
     IF('Waste results'!$S$31&lt;&gt;"data missing", Calc!BC94*'Waste results'!$S$31, "data missing"),
   IF(AND(Calc!BC94=0,Calc!BE94=0),
     IF('Waste results'!$S$67&lt;&gt;"data missing", Calc!BD94*'Waste results'!$S$67, "data missing"),
   IF(AND(Calc!BC94=0,Calc!BD94=0),
     IF('Waste results'!$S$103&lt;&gt;"data missing", Calc!BE94*'Waste results'!$S$103, "data missing"),
   IF(Calc!BE94=0,
     IF(OR('Waste results'!$S$31&lt;&gt;"data missing", 'Waste results'!$S$67&lt;&gt;"data missing"), Calc!BC94*'Waste results'!$S$31+ Calc!BD94*'Waste results'!$S$67, "data missing"),
   IF(Calc!BD94=0,
     IF(OR('Waste results'!$S$31&lt;&gt;"data missing", 'Waste results'!$S$103&lt;&gt;"data missing"), Calc!BC94*'Waste results'!$S$31+ Calc!BE94*'Waste results'!$S$103, "data missing"),
   IF(Calc!BC94=0,
     IF(OR('Waste results'!$S$67&lt;&gt;"data missing", 'Waste results'!$S$103&lt;&gt;"data missing"), Calc!BD94*'Waste results'!$S$67+Calc!BE94*'Waste results'!$S$103, "data missing"),
   IF(OR('Waste results'!$S$31&lt;&gt;"data missing", 'Waste results'!$S$67&lt;&gt;"data missing", 'Waste results'!$S$103&lt;&gt;"data missing"), Calc!BC94*'Waste results'!$S$31+Calc!BD94*'Waste results'!$S$67+ Calc!BE94*'Waste results'!$S$103, "data missing")))))))))))</f>
        <v/>
      </c>
      <c r="BQ96" s="239" t="str">
        <f ca="1">IF($B96="","",
IF(ISBLANK('Soil results'!Q99),"data missing",'Soil results'!Q99))</f>
        <v/>
      </c>
      <c r="BR96" s="239" t="str">
        <f t="shared" ca="1" si="33"/>
        <v/>
      </c>
      <c r="BS96" s="9" t="str">
        <f ca="1">IF(B96="","",
IF(BP96=0,"n/a",
IF(OR(BP96="data missing",BQ96=""),"data missing",
IF(BP96&gt;15,"application rate too high - permissible rate exceeds limit",
IF('Soil results'!F99&lt;=5.5,
  IF(BQ96&gt;200,"no application - soil conc. already above limit",
  IF(BR96&gt;200,"application rate too high - soil conc. will exceed limit",
  IF(BQ96&gt;200*0.9,"soil conc. is at or above 90% of the limit",
  IF(10*BP96*1000/3000+BQ96&gt;200,"soil limit likely to be exceeded in 10yrs",
  IF(50*BP96*1000/3000+BQ96&gt;200,"soil limit likely to be exceeded in 50yrs","ok"))))),
IF('Soil results'!F99&lt;=6,
  IF(BQ96&gt;250,"no application - soil conc. already above limit",
  IF(BR96&gt;250,"application rate too high - soil conc. will exceed limit",
  IF(BQ96&gt;250*0.9,"soil conc. is at or above 90% of the limit",
  IF(10*BP96*1000/3000+BQ96&gt;250,"soil limit likely to be exceeded in 10yrs",
  IF(50*BP96*1000/3000+BQ96&gt;250,"soil limit likely to be exceeded in 50yrs","ok"))))),
IF('Soil results'!F99&lt;=7,
  IF(BQ96&gt;300,"no application - soil conc. already above limit",
  IF(BR96&gt;300,"application rate too high - soil conc. will exceed limit",
  IF(BQ96&gt;300*0.9,"soil conc. is at or above 90% of the limit",
  IF(10*BP96*1000/3000+BQ96&gt;300,"soil limit likey to be exceeded in 10yrs",
  IF(50*BP96*1000/3000+BQ96&gt;300,"soil limit likely to be exceeded in 50yrs","ok"))))),
IF('Soil results'!F99&gt;7,
  IF(BQ96&gt;450,"no application - soil conc. already above limit",
  IF(BR96&gt;450,"application rate too high - soil conc. will exceed limit",
  IF(AW96&gt;450*0.9,"soil conc. is at or above 90% of the limit",
  IF(10*BP96*1000/3000+BQ96&gt;450,"soil limit likely to be exceeded in 10yrs",
  IF(50*BP96*1000/3000+BQ96&gt;450,"soil limit likely to be exceeded in 50yrs","ok")))))
))))))))</f>
        <v/>
      </c>
    </row>
    <row r="97" spans="2:71" s="9" customFormat="1" ht="15" x14ac:dyDescent="0.25">
      <c r="B97" s="236" t="str">
        <f ca="1">'Soil results'!B100</f>
        <v/>
      </c>
      <c r="C97" s="91" t="str">
        <f ca="1">IF(B97="","",
IF(AND('Field information 2'!$O$5="", 'Field information 2'!$Q$5=""),
   IF('Waste results'!$S$12&lt;&gt;"data missing", Calc!BC95*'Waste results'!$S$12, "data missing"),
IF('Field information 2'!$Q$5="",
   IF(Calc!BD95=0,
     IF('Waste results'!$S$12&lt;&gt;"data missing", Calc!BC95*'Waste results'!$S$12, "data missing"),
   IF(Calc!BC95=0,
     IF('Waste results'!$S$48&lt;&gt;"data missing", Calc!BD95*'Waste results'!$S$48, "data missing"),
   IF(OR('Waste results'!$S$12&lt;&gt;"data missing", 'Waste results'!$S$48&lt;&gt;"data missing"), Calc!BC95*'Waste results'!$S$12+ Calc!BD95*'Waste results'!$S$48, "data missing"))),
IF(AND('Field information 2'!$M$5&lt;&gt;"", 'Field information 2'!$O$5&lt;&gt;"", 'Field information 2'!$Q$5&lt;&gt;""),
   IF(AND(Calc!BD95=0,Calc!BE95=0),
     IF('Waste results'!$S$12&lt;&gt;"data missing", Calc!BC95*'Waste results'!$S$12, "data missing"),
   IF(AND(Calc!BC95=0,Calc!BE95=0),
     IF('Waste results'!$S$48&lt;&gt;"data missing", Calc!BD95*'Waste results'!$S$48, "data missing"),
   IF(AND(Calc!BC95=0,Calc!BD95=0),
     IF('Waste results'!$S$84&lt;&gt;"data missing", Calc!BE95*'Waste results'!$S$84, "data missing"),
   IF(Calc!BE95=0,
     IF(OR('Waste results'!$S$12&lt;&gt;"data missing", 'Waste results'!$S$48&lt;&gt;"data missing"), Calc!BC95*'Waste results'!$S$12+ Calc!BD95*'Waste results'!$S$48, "data missing"),
   IF(Calc!BD95=0,
     IF(OR('Waste results'!$S$12&lt;&gt;"data missing", 'Waste results'!$S$84&lt;&gt;"data missing"), Calc!BC95*'Waste results'!$S$12+ Calc!BE95*'Waste results'!$S$84, "data missing"),
   IF(Calc!BC95=0,
     IF(OR('Waste results'!$S$48&lt;&gt;"data missing", 'Waste results'!$S$84&lt;&gt;"data missing"), Calc!BD95*'Waste results'!$S$48+Calc!BE95*'Waste results'!$S$84, "data missing"),
   IF(OR('Waste results'!$S$12&lt;&gt;"data missing", 'Waste results'!$S$48&lt;&gt;"data missing", 'Waste results'!$S$84&lt;&gt;"data missing"), Calc!BC95*'Waste results'!$S$12+Calc!BD95*'Waste results'!$S$48+ Calc!BE95*'Waste results'!$S$84, "data missing")))))))))))</f>
        <v/>
      </c>
      <c r="D97" s="161" t="str">
        <f ca="1">IF(B97="","",
IF(Calc!BG95="","soil texture missing",
IF(OR(Calc!BG95="SL; SZL; ZL",Calc!BG95="SCL; CL; ZCL; SC; ZC; C"),VLOOKUP(Calc!BI95,'Fertiliser recommendations'!$A$4:$C$63,3,FALSE),
IF(Calc!BG95="S; LS",VLOOKUP(Calc!BI95,'Fertiliser recommendations'!$A$4:$C$63,3,FALSE)+VLOOKUP(Calc!BI95,'Fertiliser recommendations'!$A$4:$D$63,4,FALSE),
IF(Calc!BG95="10-25% OM",VLOOKUP(Calc!BI95,'Fertiliser recommendations'!$A$4:$C$63,3,FALSE)+VLOOKUP(Calc!BI95,'Fertiliser recommendations'!$A$4:$E$63,5,FALSE),
IF(Calc!BG95="&gt;25% OM",VLOOKUP(Calc!BI95,'Fertiliser recommendations'!$A$4:$C$63,3,FALSE)+VLOOKUP(Calc!BI95,'Fertiliser recommendations'!$A$4:$F$63,6,FALSE),
""))))))</f>
        <v/>
      </c>
      <c r="E97" s="91" t="str">
        <f t="shared" ca="1" si="17"/>
        <v/>
      </c>
      <c r="F97" s="9" t="str">
        <f ca="1">IF(B97="","",
IF(OR(C97="data missing",D97="soil texture missing"),"data missing",
IF(Calc!BF95=0,"n/a",
IF(C97&lt;0.1*D97,"no benefit",
IF(C97&lt;0.3*D97,"limited benefit",
IF(C97&gt;250,"exceeds limit",
IF(OR(AND(D97=0,C97&gt;75),C97&gt;1.25*D97),"excessive",
IF(D97=0, "no requirement",
"benefit"))))))))</f>
        <v/>
      </c>
      <c r="H97" s="91" t="str">
        <f ca="1">IF(B97="","",
IF(AND('Field information 2'!$O$5="", 'Field information 2'!$Q$5=""),
   IF('Waste results'!$S$17&lt;&gt;"data missing", Calc!BC95*'Waste results'!$S$17, "data missing"),
IF('Field information 2'!$Q$5="",
   IF(Calc!BD95=0,
     IF('Waste results'!$S$17&lt;&gt;"data missing", Calc!BC95*'Waste results'!$S$17, "data missing"),
   IF(Calc!BC95=0,
     IF('Waste results'!$S$53&lt;&gt;"data missing", Calc!BD95*'Waste results'!$S$53, "data missing"),
   IF(OR('Waste results'!$S$17&lt;&gt;"data missing", 'Waste results'!$S$53&lt;&gt;"data missing"), Calc!BC95*'Waste results'!$S$17+ Calc!BD95*'Waste results'!$S$53, "data missing"))),
IF(AND('Field information 2'!$M$5&lt;&gt;"", 'Field information 2'!$O$5&lt;&gt;"", 'Field information 2'!$Q$5&lt;&gt;""),
   IF(AND(Calc!BD95=0,Calc!BE95=0),
     IF('Waste results'!$S$17&lt;&gt;"data missing", Calc!BC95*'Waste results'!$S$17, "data missing"),
   IF(AND(Calc!BC95=0,Calc!BE95=0),
     IF('Waste results'!$S$53&lt;&gt;"data missing", Calc!BD95*'Waste results'!$S$53, "data missing"),
   IF(AND(Calc!BC95=0,Calc!BD95=0),
     IF('Waste results'!$S$89&lt;&gt;"data missing", Calc!BE95*'Waste results'!$S$89, "data missing"),
   IF(Calc!BE95=0,
     IF(OR('Waste results'!$S$17&lt;&gt;"data missing", 'Waste results'!$S$53&lt;&gt;"data missing"), Calc!BC95*'Waste results'!$S$17+ Calc!BD95*'Waste results'!$S$53, "data missing"),
   IF(Calc!BD95=0,
     IF(OR('Waste results'!$S$17&lt;&gt;"data missing", 'Waste results'!$S$89&lt;&gt;"data missing"), Calc!BC95*'Waste results'!$S$17+ Calc!BE95*'Waste results'!$S$89, "data missing"),
   IF(Calc!BC95=0,
     IF(OR('Waste results'!$S$53&lt;&gt;"data missing", 'Waste results'!$S$89&lt;&gt;"data missing"), Calc!BD95*'Waste results'!$S$53+Calc!BE95*'Waste results'!$S$89, "data missing"),
   IF(OR('Waste results'!$S$17&lt;&gt;"data missing", 'Waste results'!$S$53&lt;&gt;"data missing", 'Waste results'!$S$89&lt;&gt;"data missing"), Calc!BC95*'Waste results'!$S$17+Calc!BD95*'Waste results'!$S$53+ Calc!BE95*'Waste results'!$S$89, "data missing")))))))))))</f>
        <v/>
      </c>
      <c r="I97" s="195" t="str">
        <f ca="1">IF(B97="","",
IF(OR(ISBLANK('Soil results'!G100), ISBLANK('Soil results'!G$7)),"data missing",
IF(OR(AND('Soil results'!G$7="Olsen (ADAS)",'Soil results'!G100&lt;16),AND('Soil results'!G$7="modified Morgan (SAC)",'Soil results'!G100&lt;4.5)),50,100)))</f>
        <v/>
      </c>
      <c r="J97" s="49" t="str">
        <f ca="1">IF(B97="","",
IF(OR(ISBLANK('Soil results'!G$7),ISBLANK('Soil results'!G100)),"data missing",
IF(OR(AND('Soil results'!G$7="Olsen (ADAS)",'Soil results'!G100&gt;45),AND('Soil results'!G$7="modified Morgan (SAC)",'Soil results'!G100&gt;30)),0,
IF(OR(AND('Soil results'!G$7="Olsen (ADAS)",'Soil results'!G100&gt;=16,'Soil results'!G100&lt;=20),AND('Soil results'!G$7="modified Morgan (SAC)",'Soil results'!G100&gt;=4.5,'Soil results'!G100&lt;=9.4)),VLOOKUP(Calc!BI95,'Fertiliser recommendations'!$A$4:$I$63,9,FALSE),
IF(OR(AND('Soil results'!G$7="Olsen (ADAS)",'Soil results'!G100&lt;10),AND('Soil results'!G$7="modified Morgan (SAC)",'Soil results'!G100&lt;1.8)),VLOOKUP(Calc!BI95,'Fertiliser recommendations'!$A$4:$I$63,9,FALSE)+VLOOKUP(Calc!BI95,'Fertiliser recommendations'!$A$4:$J$63,10,FALSE),
IF(OR(AND('Soil results'!G$7="Olsen (ADAS)",'Soil results'!G100&lt;16),AND('Soil results'!G$7="modified Morgan (SAC)",'Soil results'!G100&lt;4.5)),VLOOKUP(Calc!BI95,'Fertiliser recommendations'!$A$4:$I$63,9,FALSE)+VLOOKUP(Calc!BI95,'Fertiliser recommendations'!$A$4:$K$63,11,FALSE),
IF(OR(AND('Soil results'!G$7="Olsen (ADAS)",'Soil results'!G100&lt;26),AND('Soil results'!G$7="modified Morgan (SAC)",'Soil results'!G100&lt;13.5)),VLOOKUP(Calc!BI95,'Fertiliser recommendations'!$A$4:$I$63,9,FALSE)+VLOOKUP(Calc!BI95,'Fertiliser recommendations'!$A$4:$L$63,12,FALSE),
IF(OR(AND('Soil results'!G$7="Olsen (ADAS)",'Soil results'!G100&lt;=45),AND('Soil results'!G$7="modified Morgan (SAC)",'Soil results'!G100&lt;=30)),VLOOKUP(Calc!BI95,'Fertiliser recommendations'!$A$4:$I$63,9,FALSE)+VLOOKUP(Calc!BI95,'Fertiliser recommendations'!$A$4:$M$63,13,FALSE),
""))))))))</f>
        <v/>
      </c>
      <c r="K97" s="161" t="str">
        <f t="shared" ca="1" si="18"/>
        <v/>
      </c>
      <c r="L97" s="47" t="str">
        <f ca="1">IF(OR(ISBLANK('Soil results'!G$7),ISBLANK('Soil results'!G100),B97="", H97="data missing"),"",
IF('Soil results'!G$7="Olsen (ADAS)",
IF(((H97*Calc!BM95/2.291-(VLOOKUP(Calc!BI95,'Fertiliser recommendations'!$A$4:$I$63,9,FALSE))/2.291)*10/(400/2.291)+'Soil results'!G100)&lt;10,"0 (VL)",
IF(((H97*Calc!BM95/2.291-(VLOOKUP(Calc!BI95,'Fertiliser recommendations'!$A$4:$I$63,9,FALSE))/2.291)*10/(400/2.291)+'Soil results'!G100)&lt;16,"1 (L)",
IF(((H97*Calc!BM95/2.291-(VLOOKUP(Calc!BI95,'Fertiliser recommendations'!$A$4:$I$63,9,FALSE))/2.291)*10/(400/2.291)+'Soil results'!G100)&lt;21,"2 (M-)",
IF(((H97*Calc!BM95/2.291-(VLOOKUP(Calc!BI95,'Fertiliser recommendations'!$A$4:$I$63,9,FALSE))/2.291)*10/(400/2.291)+'Soil results'!G100)&lt;26,"2 (M+)",
IF(((H97*Calc!BM95/2.291-(VLOOKUP(Calc!BI95,'Fertiliser recommendations'!$A$4:$I$63,9,FALSE))/2.291)*10/(400/2.291)+'Soil results'!G100)&lt;45,"3 (H)","&gt;3 (VH)"))))),
IF('Soil results'!G$7="modified Morgan (SAC)",
IF('Soil results'!G100&gt;=6,
IF(((H97*Calc!BM95/2.291-(VLOOKUP(Calc!BI95,'Fertiliser recommendations'!$A$4:$I$63,9,FALSE))/2.291)*5/(147/2.291)+'Soil results'!G100)&lt;9.5,"2 (M-)",
IF(((H97*Calc!BM95/2.291-(VLOOKUP(Calc!BI95,'Fertiliser recommendations'!$A$4:$I$63,9,FALSE))/2.291)*5/(147/2.291)+'Soil results'!G100)&lt;13.5,"2 (M+)",
IF(((H97*Calc!BM95/2.291-(VLOOKUP(Calc!BI95,'Fertiliser recommendations'!$A$4:$I$63,9,FALSE))/2.291)*5/(147/2.291)+'Soil results'!G100)&lt;30,"3 (H)","4 (VH)"))),
IF(((H97*Calc!BM95/2.291-(VLOOKUP(Calc!BI95,'Fertiliser recommendations'!$A$4:$I$63,9,FALSE))/2.291)*5/(346/2.291)+'Soil results'!G100)&lt;1.8,"0 (VL)",
IF(((H97*Calc!BM95/2.291-(VLOOKUP(Calc!BI95,'Fertiliser recommendations'!$A$4:$I$63,9,FALSE))/2.291)*5/(147/2.291)+'Soil results'!G100)&lt;4.5,"1 (L)","2 (M-)"))))))</f>
        <v/>
      </c>
      <c r="M97" s="9" t="str">
        <f ca="1">IF(B97="","",
IF(OR(H97="data missing",I97="data missing",J97="data missing"),"data missing",
IF(Calc!BF95=0,"n/a",
IF(OR(AND('Soil results'!G$7="Olsen (ADAS)",'Soil results'!G100&gt;45),AND('Soil results'!G$7="modified Morgan (SAC)",'Soil results'!G100&gt;30)),
IF(H97&gt;2,"too high, not acceptable","no requirement"),IF(OR(AND('Soil results'!G$7="Olsen (ADAS)",'Soil results'!G100&gt;25),AND('Soil results'!G$7="modified Morgan (SAC)",'Soil results'!G100&gt;13.4)),
IF(H97*(I97/100)&lt;0.1*J97,"no benefit",
IF(H97*(I97/100)&lt;0.3*J97,"limited benefit",
IF(H97*(I97/100)&lt;1.1*J97,"benefit",
IF(H97*(I97/100)&lt;0.7*VLOOKUP(Calc!BI95,'Fertiliser recommendations'!$A$4:$I$63,9,FALSE),"excessive","too high, not acceptable")))),
IF(OR(AND('Soil results'!G$7="Olsen (ADAS)",'Soil results'!G100&gt;20),AND('Soil results'!G$7="modified Morgan (SAC)",'Soil results'!G100&gt;9.4)),
IF(H97*Calc!BM95*(I97/100)&lt;0.1*J97,"no benefit",
IF(H97*Calc!BM95*(I97/100)&lt;0.3*J97,"limited benefit",
IF(H97*Calc!BM95*(I97/100)&lt;1.1*J97,"benefit",
IF(L97="3 (H)","too high, not acceptable","excessive")))),
IF(OR(AND('Soil results'!G$7="Olsen (ADAS)",'Soil results'!G100&gt;15),AND('Soil results'!G$7="modified Morgan (SAC)",'Soil results'!G100&gt;4.4)),
IF(H97*Calc!BM95*(I97/100)&lt;0.1*VLOOKUP(Calc!BI95,'Fertiliser recommendations'!$A$4:$I$63,9,FALSE),"no benefit",
IF(H97*Calc!BM95*(I97/100)&lt;0.3*VLOOKUP(Calc!BI95,'Fertiliser recommendations'!$A$4:$I$63,9,FALSE),"limited benefit",
IF(H97*Calc!BM95*(I97/100)&lt;1.1*VLOOKUP(Calc!BI95,'Fertiliser recommendations'!$A$4:$I$63,9,FALSE),"benefit",
IF(L97="3 (H)", "too high, not acceptable", "excessive")))),
IF(OR(AND('Soil results'!G$7="Olsen (ADAS)",'Soil results'!G100&lt;=15),AND('Soil results'!G$7="modified Morgan (SAC)",'Soil results'!G100&lt;=4.4)),
IF(H97*Calc!BM95*(I97/100)&lt;0.1*VLOOKUP(Calc!BI95,'Fertiliser recommendations'!$A$4:$I$63,9,FALSE),"no benefit",
IF(H97*Calc!BM95*(I97/100)&lt;0.3*VLOOKUP(Calc!BI95,'Fertiliser recommendations'!$A$4:$I$63,9,FALSE),"limited benefit",
IF(H97*Calc!BM95*(I97/100)&lt;1.1*J97,"benefit","excessive")))))))))))</f>
        <v/>
      </c>
      <c r="O97" s="91" t="str">
        <f ca="1">IF(B97="","",
IF(AND('Field information 2'!$O$5="", 'Field information 2'!$Q$5=""),
   IF('Waste results'!$S$19&lt;&gt;"data missing", Calc!BC95*'Waste results'!$S$19, "data missing"),
IF('Field information 2'!$Q$5="",
   IF(Calc!BD95=0,
     IF('Waste results'!$S$19&lt;&gt;"data missing", Calc!BC95*'Waste results'!$S$19, "data missing"),
   IF(Calc!BC95=0,
     IF('Waste results'!$S$55&lt;&gt;"data missing", Calc!BD95*'Waste results'!$S$55, "data missing"),
   IF(OR('Waste results'!$S$19&lt;&gt;"data missing", 'Waste results'!$S$55&lt;&gt;"data missing"), Calc!BC95*'Waste results'!$S$19+ Calc!BD95*'Waste results'!$S$55, "data missing"))),
IF(AND('Field information 2'!$M$5&lt;&gt;"", 'Field information 2'!$O$5&lt;&gt;"", 'Field information 2'!$Q$5&lt;&gt;""),
   IF(AND(Calc!BD95=0,Calc!BE95=0),
     IF('Waste results'!$S$19&lt;&gt;"data missing", Calc!BC95*'Waste results'!$S$19, "data missing"),
   IF(AND(Calc!BC95=0,Calc!BE95=0),
     IF('Waste results'!$S$55&lt;&gt;"data missing", Calc!BD95*'Waste results'!$S$55, "data missing"),
   IF(AND(Calc!BC95=0,Calc!BD95=0),
     IF('Waste results'!$S$91&lt;&gt;"data missing", Calc!BE95*'Waste results'!$S$91, "data missing"),
   IF(Calc!BE95=0,
     IF(OR('Waste results'!$S$19&lt;&gt;"data missing", 'Waste results'!$S$55&lt;&gt;"data missing"), Calc!BC95*'Waste results'!$S$19+ Calc!BD95*'Waste results'!$S$55, "data missing"),
   IF(Calc!BD95=0,
     IF(OR('Waste results'!$S$19&lt;&gt;"data missing", 'Waste results'!$S$91&lt;&gt;"data missing"), Calc!BC95*'Waste results'!$S$19+ Calc!BE95*'Waste results'!$S$91, "data missing"),
   IF(Calc!BC95=0,
     IF(OR('Waste results'!$S$55&lt;&gt;"data missing", 'Waste results'!$S$91&lt;&gt;"data missing"), Calc!BD95*'Waste results'!$S$55+Calc!BE95*'Waste results'!$S$91, "data missing"),
   IF(OR('Waste results'!$S$19&lt;&gt;"data missing", 'Waste results'!$S$55&lt;&gt;"data missing", 'Waste results'!$S$91&lt;&gt;"data missing"), Calc!BC95*'Waste results'!$S$19+Calc!BD95*'Waste results'!$S$55+ Calc!BE95*'Waste results'!$S$91, "data missing")))))))))))</f>
        <v/>
      </c>
      <c r="P97" s="91" t="str">
        <f ca="1">IF(B97="","",
IF(OR(ISBLANK('Soil results'!H$7),ISBLANK('Soil results'!H100)),"data missing",
IF(OR(AND('Soil results'!H$7="ammonium nitrate (ADAS)",'Soil results'!H100&gt;400),AND('Soil results'!H$7="modified Morgan (SAC)",'Soil results'!H100&gt;400)),0,
IF(OR(AND('Soil results'!H$7="ammonium nitrate (ADAS)",'Soil results'!H100&gt;=121,'Soil results'!H100&lt;=180),AND('Soil results'!H$7="modified Morgan (SAC)",'Soil results'!H100&gt;=76,'Soil results'!H100&lt;=140)),VLOOKUP(Calc!BI95,'Fertiliser recommendations'!$A$4:$Z$63,26,FALSE),
IF(OR(AND('Soil results'!H$7="ammonium nitrate (ADAS)",'Soil results'!H100&lt;61),AND('Soil results'!H$7="modified Morgan (SAC)",'Soil results'!H100&lt;40)),VLOOKUP(Calc!BI95,'Fertiliser recommendations'!$A$4:$Z$63,26,FALSE)+VLOOKUP(Calc!BI95,'Fertiliser recommendations'!$A$4:$AA$63,27,FALSE),
IF(OR(AND('Soil results'!H$7="ammonium nitrate (ADAS)",'Soil results'!H100&lt;121),AND('Soil results'!H$7="modified Morgan (SAC)",'Soil results'!H100&lt;76)),VLOOKUP(Calc!BI95,'Fertiliser recommendations'!$A$4:$Z$63,26,FALSE)+VLOOKUP(Calc!BI95,'Fertiliser recommendations'!$A$4:$AB$63,28,FALSE),
IF(OR(AND('Soil results'!H$7="ammonium nitrate (ADAS)",'Soil results'!H100&lt;241),AND('Soil results'!H$7="modified Morgan (SAC)",'Soil results'!H100&lt;201)),VLOOKUP(Calc!BI95,'Fertiliser recommendations'!$A$4:$Z$63,26,FALSE)+VLOOKUP(Calc!BI95,'Fertiliser recommendations'!$A$4:$AC$63,29,FALSE),
IF(OR(AND('Soil results'!H$7="ammonium nitrate (ADAS)",'Soil results'!H100&lt;=400),AND('Soil results'!H$7="modified Morgan (SAC)",'Soil results'!H100&lt;=400)),VLOOKUP(Calc!BI95,'Fertiliser recommendations'!$A$4:$Z$63,26,FALSE)+VLOOKUP(Calc!BI95,'Fertiliser recommendations'!$A$4:$AD$63,30,FALSE),
"??"))))))))</f>
        <v/>
      </c>
      <c r="Q97" s="91" t="str">
        <f t="shared" ca="1" si="19"/>
        <v/>
      </c>
      <c r="R97" s="9" t="str">
        <f ca="1">IF(B97="","",
IF(OR(O97="data missing",P97="data missing"),"data missing",
IF(Calc!BF95=0,"n/a",
IF(P97=0, "no requirement",
IF(O97&lt;0.1*P97,"no benefit",
IF(O97&lt;0.3*P97,"limited benefit",
IF(O97&gt;1.25*P97,"excessive",
"benefit")))))))</f>
        <v/>
      </c>
      <c r="T97" s="91" t="str">
        <f ca="1">IF(B97="","",
IF(AND('Field information 2'!$O$5="", 'Field information 2'!$Q$5=""),
   IF('Waste results'!$S$21&lt;&gt;"data missing", Calc!BC95*'Waste results'!$S$21, "data missing"),
IF('Field information 2'!$Q$5="",
   IF(Calc!BD95=0,
     IF('Waste results'!$S$21&lt;&gt;"data missing", Calc!BC95*'Waste results'!$S$21, "data missing"),
   IF(Calc!BC95=0,
     IF('Waste results'!$S$57&lt;&gt;"data missing", Calc!BD95*'Waste results'!$S$57, "data missing"),
   IF(OR('Waste results'!$S$21&lt;&gt;"data missing", 'Waste results'!$S$57&lt;&gt;"data missing"), Calc!BC95*'Waste results'!$S$21+ Calc!BD95*'Waste results'!$S$57, "data missing"))),
IF(AND('Field information 2'!$M$5&lt;&gt;"", 'Field information 2'!$O$5&lt;&gt;"", 'Field information 2'!$Q$5&lt;&gt;""),
   IF(AND(Calc!BD95=0,Calc!BE95=0),
     IF('Waste results'!$S$21&lt;&gt;"data missing", Calc!BC95*'Waste results'!$S$21, "data missing"),
   IF(AND(Calc!BC95=0,Calc!BE95=0),
     IF('Waste results'!$S$57&lt;&gt;"data missing", Calc!BD95*'Waste results'!$S$57, "data missing"),
   IF(AND(Calc!BC95=0,Calc!BD95=0),
     IF('Waste results'!$S$93&lt;&gt;"data missing", Calc!BE95*'Waste results'!$S$93, "data missing"),
   IF(Calc!BE95=0,
     IF(OR('Waste results'!$S$21&lt;&gt;"data missing", 'Waste results'!$S$57&lt;&gt;"data missing"), Calc!BC95*'Waste results'!$S$21+ Calc!BD95*'Waste results'!$S$57, "data missing"),
   IF(Calc!BD95=0,
     IF(OR('Waste results'!$S$21&lt;&gt;"data missing", 'Waste results'!$S$93&lt;&gt;"data missing"), Calc!BC95*'Waste results'!$S$21+ Calc!BE95*'Waste results'!$S$93, "data missing"),
   IF(Calc!BC95=0,
     IF(OR('Waste results'!$S$57&lt;&gt;"data missing", 'Waste results'!$S$93&lt;&gt;"data missing"), Calc!BD95*'Waste results'!$S$57+Calc!BE95*'Waste results'!$S$93, "data missing"),
   IF(OR('Waste results'!$S$21&lt;&gt;"data missing", 'Waste results'!$S$57&lt;&gt;"data missing", 'Waste results'!$S$93&lt;&gt;"data missing"), Calc!BC95*'Waste results'!$S$21+Calc!BD95*'Waste results'!$S$57+ Calc!BE95*'Waste results'!$S$93, "data missing")))))))))))</f>
        <v/>
      </c>
      <c r="U97" s="7" t="str">
        <f ca="1">IF(B97="","",
IF(OR(ISBLANK('Soil results'!I$7),ISBLANK('Soil results'!I100)),"data missing",
IF(OR(AND('Soil results'!I$7="ammonium nitrate (ADAS)",'Soil results'!I100&gt;51),AND('Soil results'!I$7="modified Morgan (SAC)",'Soil results'!I100&gt;61)),0,
IF(OR(AND('Soil results'!I$7="ammonium nitrate (ADAS)",'Soil results'!I100&lt;25),AND('Soil results'!I$7="modified Morgan (SAC)",'Soil results'!I100&lt;19)),VLOOKUP(Calc!BI95,'Fertiliser recommendations'!$A$4:$AH$63,34,FALSE),
IF(OR(AND('Soil results'!I$7="ammonium nitrate (ADAS)",'Soil results'!I100&lt;=51),AND('Soil results'!I$7="modified Morgan (SAC)",'Soil results'!I100&lt;=61)),VLOOKUP(Calc!BI95,'Fertiliser recommendations'!$A$4:$AI$63,35,FALSE),
"")))))</f>
        <v/>
      </c>
      <c r="V97" s="91" t="str">
        <f t="shared" ca="1" si="20"/>
        <v/>
      </c>
      <c r="W97" s="9" t="str">
        <f ca="1">IF(B97="","",
IF(OR(T97="data missing",U97="data missing"),"data missing",
IF(Calc!BF95=0,"n/a",
IF(U97=0,"no requirement",
IF(T97&lt;0.1*U97,"no benefit",
IF(T97&lt;0.3*U97,"limited benefit",
IF(OR(T97&gt;1.5*U97,AND(Calc!BJ95="g",T97&gt;100)),"excessive",
"benefit")))))))</f>
        <v/>
      </c>
      <c r="Y97" s="91" t="str">
        <f ca="1">IF(B97="","",
IF(AND('Field information 2'!$O$5="", 'Field information 2'!$Q$5=""),
   IF('Waste results'!$P$23&lt;&gt;"", Calc!BC95*'Waste results'!$P$23, "no data"),
IF('Field information 2'!$Q$5="",
   IF(Calc!BD95=0,
     IF('Waste results'!$P$23&lt;&gt;"", Calc!BC95*'Waste results'!$P$23, "no data"),
   IF(Calc!BC95=0,
     IF('Waste results'!$P$59&lt;&gt;"", Calc!BD95*'Waste results'!$P$59, "no data"),
   IF(OR('Waste results'!$P$23&lt;&gt;"", 'Waste results'!$P$59&lt;&gt;""), Calc!BC95*'Waste results'!$P$23+ Calc!BD95*'Waste results'!$P$59, "no data"))),
IF(AND('Field information 2'!$M$5&lt;&gt;"", 'Field information 2'!$O$5&lt;&gt;"", 'Field information 2'!$Q$5&lt;&gt;""),
   IF(AND(Calc!BD95=0,Calc!BE95=0),
     IF('Waste results'!$P$23&lt;&gt;"", Calc!BC95*'Waste results'!$P$23, "no data"),
   IF(AND(Calc!BC95=0,Calc!BE95=0),
     IF('Waste results'!$P$59&lt;&gt;"", Calc!BD95*'Waste results'!$P$59, "no data"),
   IF(AND(Calc!BC95=0,Calc!BD95=0),
     IF('Waste results'!$P$95&lt;&gt;"", Calc!BE95*'Waste results'!$P$95, "no data"),
   IF(Calc!BE95=0,
     IF(OR('Waste results'!$P$23&lt;&gt;"", 'Waste results'!$P$59&lt;&gt;""), Calc!BC95*'Waste results'!$P$23+ Calc!BD95*'Waste results'!$P$59, "no data"),
   IF(Calc!BD95=0,
     IF(OR('Waste results'!$P$23&lt;&gt;"", 'Waste results'!$P$95&lt;&gt;""), Calc!BC95*'Waste results'!$P$23+ Calc!BE95*'Waste results'!$P$95, "no data"),
   IF(Calc!BC95=0,
     IF(OR('Waste results'!$P$59&lt;&gt;"", 'Waste results'!$P$95&lt;&gt;""), Calc!BD95*'Waste results'!$P$59+Calc!BE95*'Waste results'!$P$95, "no data"),
   IF(OR('Waste results'!$P$23&lt;&gt;"", 'Waste results'!$P$59&lt;&gt;"", 'Waste results'!$P$95&lt;&gt;""), Calc!BC95*'Waste results'!$P$23+Calc!BD95*'Waste results'!$P$59+ Calc!BE95*'Waste results'!$P$95, "no data")))))))))))</f>
        <v/>
      </c>
      <c r="Z97" s="7" t="str">
        <f ca="1">IF(OR(ISBLANK('Soil results'!I$7),ISBLANK('Soil results'!I100),'Soil results'!B100=""),"",
VLOOKUP(Calc!BI95,'Fertiliser recommendations'!$A$4:$AM$63,39,FALSE))</f>
        <v/>
      </c>
      <c r="AA97" s="91" t="str">
        <f t="shared" ca="1" si="21"/>
        <v/>
      </c>
      <c r="AB97" s="9" t="str">
        <f t="shared" ca="1" si="22"/>
        <v/>
      </c>
      <c r="AD97" s="48" t="str">
        <f>IF(ISBLANK('Soil results'!F100),"",'Soil results'!F100)</f>
        <v/>
      </c>
      <c r="AE97" s="49" t="str">
        <f ca="1">IF(B97="","",
IF(AND(Calc!BJ95="g", VLOOKUP(LEFT($B97,LEN($B97)-2),'Field information 2'!$B$12:$P$111,9,FALSE)&lt;&gt;"yes"),
 IF(Calc!BG95="10-25% OM", 5.9, IF(Calc!BG95="&gt;25% OM", 5.5, 6.2)),
IF(OR(Calc!BJ95="a", VLOOKUP(LEFT($B97,LEN($B97)-2),'Field information 2'!$B$12:$P$111,9,FALSE)="yes"),
 IF(Calc!BG95="10-25% OM", 6.4, IF(Calc!BG95="&gt;25% OM", 6, 6.7)), "")))</f>
        <v/>
      </c>
      <c r="AF97" s="91" t="str">
        <f ca="1">IF(B97="","",
IF('Waste results'!$Q$33="","no (significant) liming properties",
IF('Waste results'!Q$33&gt;100,"no (significant) liming properties",
IF(AD97="","",
IF(AD97&gt;=AE97,0,ROUNDDOWN((AE97-AD97)*Calc!BK95*'Waste results'!$Q$33+0.2,0))))))</f>
        <v/>
      </c>
      <c r="AG97" s="9" t="str">
        <f ca="1">IF(B97="","",
IF(T97=0,"n/a",
IF(AD97="","data missing",
IF(AND(AD97&lt;5,AF97="no (significant) liming properties"),"no waste application - pH too low",
IF(AND(AD97&gt;5.1,AF97="no (significant) liming properties",Calc!BH95&gt;25, LEFT(Calc!BI95,4)="graz"),"ok",
IF(AND(AD97&lt;=5.2,AF97="no (significant) liming properties"),"liming highly recommended",
IF(AF97=0,"no waste application - liming not required",
IF(AF97&lt;Calc!BC95,"application rate too high - exceeds liming requirement",
"ok"))))))))</f>
        <v/>
      </c>
      <c r="AI97" s="91" t="str">
        <f ca="1">IF(B97="","",
IF(AND('Field information 2'!$O$5="", 'Field information 2'!$Q$5=""),
   IF('Waste results'!$P$10&lt;&gt;"data missing", Calc!BC95*'Waste results'!$P$10, "data missing"),
IF('Field information 2'!$Q$5="",
   IF(Calc!BD95=0,
     IF('Waste results'!$P$10&lt;&gt;"data missing", Calc!BC95*'Waste results'!$P$10, "data missing"),
   IF(Calc!BC95=0,
     IF('Waste results'!$P$45&lt;&gt;"data missing", Calc!BD95*'Waste results'!$P$45, "data missing"),
   IF(OR('Waste results'!$P$10&lt;&gt;"data missing", 'Waste results'!$P$45&lt;&gt;"data missing"), Calc!BC95*'Waste results'!$P$10+ Calc!BD95*'Waste results'!$P$45, "data missing"))),
IF(AND('Field information 2'!$M$5&lt;&gt;"", 'Field information 2'!$O$5&lt;&gt;"", 'Field information 2'!$Q$5&lt;&gt;""),
   IF(AND(Calc!BD95=0,Calc!BE95=0),
     IF('Waste results'!$P$10&lt;&gt;"data missing", Calc!BC95*'Waste results'!$P$10, "data missing"),
   IF(AND(Calc!BC95=0,Calc!BE95=0),
     IF('Waste results'!$P$45&lt;&gt;"data missing", Calc!BD95*'Waste results'!$P$45, "data missing"),
   IF(AND(Calc!BC95=0,Calc!BD95=0),
     IF('Waste results'!$P$82&lt;&gt;"data missing", Calc!BE95*'Waste results'!$P$82, "data missing"),
   IF(Calc!BE95=0,
     IF(OR('Waste results'!$P$10&lt;&gt;"data missing", 'Waste results'!$P$45&lt;&gt;"data missing"), Calc!BC95*'Waste results'!$P$10+ Calc!BD95*'Waste results'!$P$45, "data missing"),
   IF(Calc!BD95=0,
     IF(OR('Waste results'!$P$10&lt;&gt;"data missing", 'Waste results'!$P$82&lt;&gt;"data missing"), Calc!BC95*'Waste results'!$P$10+ Calc!BE95*'Waste results'!$P$82, "data missing"),
   IF(Calc!BC95=0,
     IF(OR('Waste results'!$P$45&lt;&gt;"data missing", 'Waste results'!$P$82&lt;&gt;"data missing"), Calc!BD95*'Waste results'!$P$45+Calc!BE95*'Waste results'!$P$82, "data missing"),
   IF(OR('Waste results'!$P$10&lt;&gt;"data missing", 'Waste results'!$P$45&lt;&gt;"data missing", 'Waste results'!$P$82&lt;&gt;"data missing"), Calc!BC95*'Waste results'!$P$10+Calc!BD95*'Waste results'!$P$45+ Calc!BE95*'Waste results'!$P$82, "data missing")))))))))))</f>
        <v/>
      </c>
      <c r="AJ97" s="237" t="str">
        <f ca="1">IF(B97="","",
IF(AI97="data missing","data missing",
IF(Calc!BF95=0,"n/a",
IF(AND(Calc!BH95&gt;=8,AI97&lt;500),"no benefit",
IF(OR(AND(Calc!BH95&lt;=4,AI97&gt;=500),AND(Calc!BH95&lt;8,AI97&gt;5000)),"benefit",
"limited benefit")))))</f>
        <v/>
      </c>
      <c r="AL97" s="238" t="str">
        <f ca="1">IF(B97="","",
IF(AND('Field information 2'!$O$5="", 'Field information 2'!$Q$5=""),
   IF('Waste results'!$S$25&lt;&gt;"data missing", Calc!BC95*'Waste results'!$S$25, "data missing"),
IF('Field information 2'!$Q$5="",
   IF(Calc!BD95=0,
     IF('Waste results'!$S$25&lt;&gt;"data missing", Calc!BC95*'Waste results'!$S$25, "data missing"),
   IF(Calc!BC95=0,
     IF('Waste results'!$S$61&lt;&gt;"data missing", Calc!BD95*'Waste results'!$S$61, "data missing"),
   IF(OR('Waste results'!$S$25&lt;&gt;"data missing", 'Waste results'!$S$61&lt;&gt;"data missing"), Calc!BC95*'Waste results'!$S$25+ Calc!BD95*'Waste results'!$S$61, "data missing"))),
IF(AND('Field information 2'!$M$5&lt;&gt;"", 'Field information 2'!$O$5&lt;&gt;"", 'Field information 2'!$Q$5&lt;&gt;""),
   IF(AND(Calc!BD95=0,Calc!BE95=0),
     IF('Waste results'!$S$25&lt;&gt;"data missing", Calc!BC95*'Waste results'!$S$25, "data missing"),
   IF(AND(Calc!BC95=0,Calc!BE95=0),
     IF('Waste results'!$S$61&lt;&gt;"data missing", Calc!BD95*'Waste results'!$S$61, "data missing"),
   IF(AND(Calc!BC95=0,Calc!BD95=0),
     IF('Waste results'!$S$97&lt;&gt;"data missing", Calc!BE95*'Waste results'!$S$97, "data missing"),
   IF(Calc!BE95=0,
     IF(OR('Waste results'!$S$25&lt;&gt;"data missing", 'Waste results'!$S$61&lt;&gt;"data missing"), Calc!BC95*'Waste results'!$S$25+ Calc!BD95*'Waste results'!$S$61, "data missing"),
   IF(Calc!BD95=0,
     IF(OR('Waste results'!$S$25&lt;&gt;"data missing", 'Waste results'!$S$97&lt;&gt;"data missing"), Calc!BC95*'Waste results'!$S$25+ Calc!BE95*'Waste results'!$S$97, "data missing"),
   IF(Calc!BC95=0,
     IF(OR('Waste results'!$S$61&lt;&gt;"data missing", 'Waste results'!$S$97&lt;&gt;"data missing"), Calc!BD95*'Waste results'!$S$61+Calc!BE95*'Waste results'!$S$97, "data missing"),
   IF(OR('Waste results'!$S$25&lt;&gt;"data missing", 'Waste results'!$S$61&lt;&gt;"data missing", 'Waste results'!$S$97&lt;&gt;"data missing"), Calc!BC95*'Waste results'!$S$25+Calc!BD95*'Waste results'!$S$61+ Calc!BE95*'Waste results'!$S$97, "data missing")))))))))))</f>
        <v/>
      </c>
      <c r="AM97" s="239" t="str">
        <f ca="1">IF($B97="","",
IF(ISBLANK('Soil results'!K100),"data missing",'Soil results'!K100))</f>
        <v/>
      </c>
      <c r="AN97" s="239" t="str">
        <f t="shared" ca="1" si="23"/>
        <v/>
      </c>
      <c r="AO97" s="9" t="str">
        <f t="shared" ca="1" si="24"/>
        <v/>
      </c>
      <c r="AQ97" s="240" t="str">
        <f ca="1">IF(B97="","",
IF(AND('Field information 2'!$O$5="", 'Field information 2'!$Q$5=""),
   IF('Waste results'!$S$26&lt;&gt;"data missing", Calc!BC95*'Waste results'!$S$26, "data missing"),
IF('Field information 2'!$Q$5="",
   IF(Calc!BD95=0,
     IF('Waste results'!$S$26&lt;&gt;"data missing", Calc!BC95*'Waste results'!$S$26, "data missing"),
   IF(Calc!BC95=0,
     IF('Waste results'!$S$62&lt;&gt;"data missing", Calc!BD95*'Waste results'!$S$62, "data missing"),
   IF(OR('Waste results'!$S$26&lt;&gt;"data missing", 'Waste results'!$S$62&lt;&gt;"data missing"), Calc!BC95*'Waste results'!$S$26+ Calc!BD95*'Waste results'!$S$62, "data missing"))),
IF(AND('Field information 2'!$M$5&lt;&gt;"", 'Field information 2'!$O$5&lt;&gt;"", 'Field information 2'!$Q$5&lt;&gt;""),
   IF(AND(Calc!BD95=0,Calc!BE95=0),
     IF('Waste results'!$S$26&lt;&gt;"data missing", Calc!BC95*'Waste results'!$S$26, "data missing"),
   IF(AND(Calc!BC95=0,Calc!BE95=0),
     IF('Waste results'!$S$62&lt;&gt;"data missing", Calc!BD95*'Waste results'!$S$62, "data missing"),
   IF(AND(Calc!BC95=0,Calc!BD95=0),
     IF('Waste results'!$S$98&lt;&gt;"data missing", Calc!BE95*'Waste results'!$S$98, "data missing"),
   IF(Calc!BE95=0,
     IF(OR('Waste results'!$S$26&lt;&gt;"data missing", 'Waste results'!$S$62&lt;&gt;"data missing"), Calc!BC95*'Waste results'!$S$26+ Calc!BD95*'Waste results'!$S$62, "data missing"),
   IF(Calc!BD95=0,
     IF(OR('Waste results'!$S$26&lt;&gt;"data missing", 'Waste results'!$S$98&lt;&gt;"data missing"), Calc!BC95*'Waste results'!$S$26+ Calc!BE95*'Waste results'!$S$98, "data missing"),
   IF(Calc!BC95=0,
     IF(OR('Waste results'!$S$62&lt;&gt;"data missing", 'Waste results'!$S$98&lt;&gt;"data missing"), Calc!BD95*'Waste results'!$S$62+Calc!BE95*'Waste results'!$S$98, "data missing"),
   IF(OR('Waste results'!$S$26&lt;&gt;"data missing", 'Waste results'!$S$62&lt;&gt;"data missing", 'Waste results'!$S$98&lt;&gt;"data missing"), Calc!BC95*'Waste results'!$S$26+Calc!BD95*'Waste results'!$S$62+ Calc!BE95*'Waste results'!$S$98, "data missing")))))))))))</f>
        <v/>
      </c>
      <c r="AR97" s="241" t="str">
        <f ca="1">IF($B97="","",
IF(ISBLANK('Soil results'!L100),"data missing",'Soil results'!L100))</f>
        <v/>
      </c>
      <c r="AS97" s="241" t="str">
        <f t="shared" ca="1" si="25"/>
        <v/>
      </c>
      <c r="AT97" s="66" t="str">
        <f t="shared" ca="1" si="26"/>
        <v/>
      </c>
      <c r="AV97" s="238" t="str">
        <f ca="1">IF(B97="","",
IF(AND('Field information 2'!$O$5="", 'Field information 2'!$Q$5=""),
   IF('Waste results'!$S$27&lt;&gt;"data missing", Calc!BC95*'Waste results'!$S$27, "data missing"),
IF('Field information 2'!$Q$5="",
   IF(Calc!BD95=0,
     IF('Waste results'!$S$27&lt;&gt;"data missing", Calc!BC95*'Waste results'!$S$27, "data missing"),
   IF(Calc!BC95=0,
     IF('Waste results'!$S$63&lt;&gt;"data missing", Calc!BD95*'Waste results'!$S$63, "data missing"),
   IF(OR('Waste results'!$S$27&lt;&gt;"data missing", 'Waste results'!$S$63&lt;&gt;"data missing"), Calc!BC95*'Waste results'!$S$27+ Calc!BD95*'Waste results'!$S$63, "data missing"))),
IF(AND('Field information 2'!$M$5&lt;&gt;"", 'Field information 2'!$O$5&lt;&gt;"", 'Field information 2'!$Q$5&lt;&gt;""),
   IF(AND(Calc!BD95=0,Calc!BE95=0),
     IF('Waste results'!$S$27&lt;&gt;"data missing", Calc!BC95*'Waste results'!$S$27, "data missing"),
   IF(AND(Calc!BC95=0,Calc!BE95=0),
     IF('Waste results'!$S$63&lt;&gt;"data missing", Calc!BD95*'Waste results'!$S$63, "data missing"),
   IF(AND(Calc!BC95=0,Calc!BD95=0),
     IF('Waste results'!$S$99&lt;&gt;"data missing", Calc!BE95*'Waste results'!$S$99, "data missing"),
   IF(Calc!BE95=0,
     IF(OR('Waste results'!$S$27&lt;&gt;"data missing", 'Waste results'!$S$63&lt;&gt;"data missing"), Calc!BC95*'Waste results'!$S$27+ Calc!BD95*'Waste results'!$S$63, "data missing"),
   IF(Calc!BD95=0,
     IF(OR('Waste results'!$S$27&lt;&gt;"data missing", 'Waste results'!$S$99&lt;&gt;"data missing"), Calc!BC95*'Waste results'!$S$27+ Calc!BE95*'Waste results'!$S$99, "data missing"),
   IF(Calc!BC95=0,
     IF(OR('Waste results'!$S$63&lt;&gt;"data missing", 'Waste results'!$S$99&lt;&gt;"data missing"), Calc!BD95*'Waste results'!$S$63+Calc!BE95*'Waste results'!$S$99, "data missing"),
   IF(OR('Waste results'!$S$27&lt;&gt;"data missing", 'Waste results'!$S$63&lt;&gt;"data missing", 'Waste results'!$S$99&lt;&gt;"data missing"), Calc!BC95*'Waste results'!$S$27+Calc!BD95*'Waste results'!$S$63+ Calc!BE95*'Waste results'!$S$99, "data missing")))))))))))</f>
        <v/>
      </c>
      <c r="AW97" s="239" t="str">
        <f ca="1">IF($B97="","",
IF(ISBLANK('Soil results'!M100),"data missing",'Soil results'!M100))</f>
        <v/>
      </c>
      <c r="AX97" s="239" t="str">
        <f t="shared" ca="1" si="27"/>
        <v/>
      </c>
      <c r="AY97" s="9" t="str">
        <f ca="1">IF(B97="","",
IF(AV97=0,"n/a",
IF(OR(AV97="data missing",AW97="data missing"),"data missing",
IF(AV97&gt;7.5,"application rate too high - permissible rate exceeds limit",
IF('Soil results'!$F100&lt;=5.5,
  IF(AW97&gt;80,"no application - soil conc. already above limit",
  IF(AX97&gt;80,"application rate too high - soil conc. will exceed limit",
  IF(AW97&gt;80*0.9,"soil conc. is at or above 90% of the limit",
  IF(10*AV97*1000/3000+AW97&gt;80,"soil limit likely to be exceeded in 10yrs",
  IF(50*AV97*1000/3000+AW97&gt;80,"soil limit likely to be exceeded in 50yrs","ok"))))),
IF('Soil results'!$F100&lt;=6,
  IF(AW97&gt;100,"no application - soil conc. already above limit",
  IF(AX97&gt;100,"application rate too high - soil conc. will exceed limit",
  IF(AW97&gt;100*0.9,"soil conc. is at or above 90% of the limit",
  IF(10*AV97*1000/3000+AW97&gt;100,"soil limit likely to be exceeded in 10yrs",
  IF(50*AV97*1000/3000+AW97&gt;100,"soil limit likely to be exceeded in 50yrs","ok"))))),
IF('Soil results'!$F100&lt;=7,
  IF(AW97&gt;135,"no application - soil conc. already above limit",
  IF(AX97&gt;135,"application rate too high - soil conc. will exceed limit",
  IF(AW97&gt;135*0.9,"soil conc. is at or above 90% of the limit",
  IF(10*AV97*1000/3000+AW97&gt;135,"soil limit likely to be exceeded in 10yrs",
  IF(50*AV97*1000/3000+AW97&gt;135,"soil limit likely to be exceeded in 50yrs","ok"))))),
IF('Soil results'!$F100&gt;7,
  IF(AW97&gt;200,"no application - soil conc. already above limit",
  IF(AX97&gt;200,"application too high - soil conc. will exceed limit",
  IF(AW97&gt;200*0.9,"soil conc. is at or above 90% of the limit",
  IF(10*AV97*1000/3000+AW97&gt;200,"soil limit likely to be exceeded in 10yrs",
  IF(50*AV97*1000/3000+AW97&gt;200,"soil limit likely to be exceeded in 50yrs","ok")))))
))))))))</f>
        <v/>
      </c>
      <c r="BA97" s="238" t="str">
        <f ca="1">IF(B97="","",
IF(AND('Field information 2'!$O$5="", 'Field information 2'!$Q$5=""),
   IF('Waste results'!$S$28&lt;&gt;"data missing", Calc!BC95*'Waste results'!$S$28, "data missing"),
IF('Field information 2'!$Q$5="",
   IF(Calc!BD95=0,
     IF('Waste results'!$S$28&lt;&gt;"data missing", Calc!BC95*'Waste results'!$S$28, "data missing"),
   IF(Calc!BC95=0,
     IF('Waste results'!$S$64&lt;&gt;"data missing", Calc!BD95*'Waste results'!$S$64, "data missing"),
   IF(OR('Waste results'!$S$28&lt;&gt;"data missing", 'Waste results'!$S$64&lt;&gt;"data missing"), Calc!BC95*'Waste results'!$S$28+ Calc!BD95*'Waste results'!$S$64, "data missing"))),
IF(AND('Field information 2'!$M$5&lt;&gt;"", 'Field information 2'!$O$5&lt;&gt;"", 'Field information 2'!$Q$5&lt;&gt;""),
   IF(AND(Calc!BD95=0,Calc!BE95=0),
     IF('Waste results'!$S$28&lt;&gt;"data missing", Calc!BC95*'Waste results'!$S$28, "data missing"),
   IF(AND(Calc!BC95=0,Calc!BE95=0),
     IF('Waste results'!$S$64&lt;&gt;"data missing", Calc!BD95*'Waste results'!$S$64, "data missing"),
   IF(AND(Calc!BC95=0,Calc!BD95=0),
     IF('Waste results'!$S$100&lt;&gt;"data missing", Calc!BE95*'Waste results'!$S$100, "data missing"),
   IF(Calc!BE95=0,
     IF(OR('Waste results'!$S$28&lt;&gt;"data missing", 'Waste results'!$S$64&lt;&gt;"data missing"), Calc!BC95*'Waste results'!$S$28+ Calc!BD95*'Waste results'!$S$64, "data missing"),
   IF(Calc!BD95=0,
     IF(OR('Waste results'!$S$28&lt;&gt;"data missing", 'Waste results'!$S$100&lt;&gt;"data missing"), Calc!BC95*'Waste results'!$S$28+ Calc!BE95*'Waste results'!$S$100, "data missing"),
   IF(Calc!BC95=0,
     IF(OR('Waste results'!$S$64&lt;&gt;"data missing", 'Waste results'!$S$100&lt;&gt;"data missing"), Calc!BD95*'Waste results'!$S$64+Calc!BE95*'Waste results'!$S$100, "data missing"),
   IF(OR('Waste results'!$S$28&lt;&gt;"data missing", 'Waste results'!$S$64&lt;&gt;"data missing", 'Waste results'!$S$100&lt;&gt;"data missing"), Calc!BC95*'Waste results'!$S$28+Calc!BD95*'Waste results'!$S$64+ Calc!BE95*'Waste results'!$S$100, "data missing")))))))))))</f>
        <v/>
      </c>
      <c r="BB97" s="239" t="str">
        <f ca="1">IF($B97="","",
IF(ISBLANK('Soil results'!N100),"data missing",'Soil results'!N100))</f>
        <v/>
      </c>
      <c r="BC97" s="239" t="str">
        <f t="shared" ca="1" si="28"/>
        <v/>
      </c>
      <c r="BD97" s="9" t="str">
        <f t="shared" ca="1" si="29"/>
        <v/>
      </c>
      <c r="BF97" s="238" t="str">
        <f ca="1">IF(B97="","",
IF(AND('Field information 2'!$O$5="", 'Field information 2'!$Q$5=""),
   IF('Waste results'!$S$29&lt;&gt;"data missing", Calc!BC95*'Waste results'!$S$29, "data missing"),
IF('Field information 2'!$Q$5="",
   IF(Calc!BD95=0,
     IF('Waste results'!$S$29&lt;&gt;"data missing", Calc!BC95*'Waste results'!$S$29, "data missing"),
   IF(Calc!BC95=0,
     IF('Waste results'!$S$65&lt;&gt;"data missing", Calc!BD95*'Waste results'!$S$65, "data missing"),
   IF(OR('Waste results'!$S$29&lt;&gt;"data missing", 'Waste results'!$S$65&lt;&gt;"data missing"), Calc!BC95*'Waste results'!$S$29+ Calc!BD95*'Waste results'!$S$65, "data missing"))),
IF(AND('Field information 2'!$M$5&lt;&gt;"", 'Field information 2'!$O$5&lt;&gt;"", 'Field information 2'!$Q$5&lt;&gt;""),
   IF(AND(Calc!BD95=0,Calc!BE95=0),
     IF('Waste results'!$S$29&lt;&gt;"data missing", Calc!BC95*'Waste results'!$S$29, "data missing"),
   IF(AND(Calc!BC95=0,Calc!BE95=0),
     IF('Waste results'!$S$65&lt;&gt;"data missing", Calc!BD95*'Waste results'!$S$65, "data missing"),
   IF(AND(Calc!BC95=0,Calc!BD95=0),
     IF('Waste results'!$S$101&lt;&gt;"data missing", Calc!BE95*'Waste results'!$S$101, "data missing"),
   IF(Calc!BE95=0,
     IF(OR('Waste results'!$S$29&lt;&gt;"data missing", 'Waste results'!$S$65&lt;&gt;"data missing"), Calc!BC95*'Waste results'!$S$29+ Calc!BD95*'Waste results'!$S$65, "data missing"),
   IF(Calc!BD95=0,
     IF(OR('Waste results'!$S$29&lt;&gt;"data missing", 'Waste results'!$S$101&lt;&gt;"data missing"), Calc!BC95*'Waste results'!$S$29+ Calc!BE95*'Waste results'!$S$101, "data missing"),
   IF(Calc!BC95=0,
     IF(OR('Waste results'!$S$65&lt;&gt;"data missing", 'Waste results'!$S$101&lt;&gt;"data missing"), Calc!BD95*'Waste results'!$S$65+Calc!BE95*'Waste results'!$S$101, "data missing"),
   IF(OR('Waste results'!$S$29&lt;&gt;"data missing", 'Waste results'!$S$65&lt;&gt;"data missing", 'Waste results'!$S$101&lt;&gt;"data missing"), Calc!BC95*'Waste results'!$S$29+Calc!BD95*'Waste results'!$S$65+ Calc!BE95*'Waste results'!$S$101, "data missing")))))))))))</f>
        <v/>
      </c>
      <c r="BG97" s="239" t="str">
        <f ca="1">IF($B97="","",
IF(ISBLANK('Soil results'!O100),"data missing",'Soil results'!O100))</f>
        <v/>
      </c>
      <c r="BH97" s="239" t="str">
        <f t="shared" ca="1" si="30"/>
        <v/>
      </c>
      <c r="BI97" s="9" t="str">
        <f ca="1">IF(B97="","",
IF(BF97=0,"n/a",
IF(OR(BF97="data missing",BG97="data missing"),"data missing",
IF(BF97&gt;3,"application rate too high - permissible rate exceeds limit",
IF('Soil results'!F100&lt;=5.5,
  IF(BG97&gt;50,"no application - soil conc. already above limit",
  IF(BH97&gt;50,"application rate too high - soil conc. will exceed limit",
  IF(BG97&gt;50*0.9,"soil conc. is at or above 90% of the limit",
  IF(10*BF97*1000/3000+BG97&gt;50,"soil limit likely to be exceeded in 10yrs",
  IF(50*BF97*1000/3000+BG97&gt;50,"soil limit likely to be exceeded in 50yrs","ok"))))),
IF('Soil results'!F100&lt;=6,
  IF(BG97&gt;60,"no application - soil conc. already above limit",
  IF(BH97&gt;60,"application rate too high - soil conc. will exceed limit",
  IF(BG97&gt;60*0.9,"soil conc. is at or above 90% of the limit",
  IF(10*BF97*1000/3000+BG97&gt;60,"soil limit likely to be exceeded in 10yrs",
  IF(50*BF97*1000/3000+BG97&gt;60,"soil limit likely to be exceeded in 50yrs","ok"))))),
IF('Soil results'!F100&lt;=7,
  IF(BG97&gt;75,"no application - soil conc. already above limit",
  IF(BH97&gt;75,"application rate too high - soil conc. will exceed limit",
  IF(BG97&gt;75*0.9,"soil conc. is at or above 90% of the limit",
  IF(10*BF97*1000/3000+BG97&gt;75,"soil limit likely to be exceeded in 10yrs",
  IF(50*BF97*1000/3000+BG97&gt;75,"soil limit likely to be exceeded in 50yrs","ok"))))),
IF('Soil results'!F100&gt;7,
  IF(BG97&gt;100,"no application - soil conc. already above limit",
  IF(BH97&gt;100,"application rate too high - soil conc. will exceed limit",
  IF(BG97&gt;100*0.9,"soil conc. is at or above 90% of the limit",
  IF(10*BF97*1000/3000+BG97&gt;100,"soil limit likely to be exceeded in 10yrs",
  IF(50*BF97*1000/3000+BG97&gt;100,"soil limit likely to beexceeded in 50yrs","ok")))))
))))))))</f>
        <v/>
      </c>
      <c r="BK97" s="240" t="str">
        <f ca="1">IF(B97="","",
IF(AND('Field information 2'!$O$5="", 'Field information 2'!$Q$5=""),
   IF('Waste results'!$S$30&lt;&gt;"data missing", Calc!BC95*'Waste results'!$S$30, "data missing"),
IF('Field information 2'!$Q$5="",
   IF(Calc!BD95=0,
     IF('Waste results'!$S$30&lt;&gt;"data missing", Calc!BC95*'Waste results'!$S$30, "data missing"),
   IF(Calc!BC95=0,
     IF('Waste results'!$S$66&lt;&gt;"data missing", Calc!BD95*'Waste results'!$S$66, "data missing"),
   IF(OR('Waste results'!$S$30&lt;&gt;"data missing", 'Waste results'!$S$66&lt;&gt;"data missing"), Calc!BC95*'Waste results'!$S$30+ Calc!BD95*'Waste results'!$S$66, "data missing"))),
IF(AND('Field information 2'!$M$5&lt;&gt;"", 'Field information 2'!$O$5&lt;&gt;"", 'Field information 2'!$Q$5&lt;&gt;""),
   IF(AND(Calc!BD95=0,Calc!BE95=0),
     IF('Waste results'!$S$30&lt;&gt;"data missing", Calc!BC95*'Waste results'!$S$30, "data missing"),
   IF(AND(Calc!BC95=0,Calc!BE95=0),
     IF('Waste results'!$S$66&lt;&gt;"data missing", Calc!BD95*'Waste results'!$S$66, "data missing"),
   IF(AND(Calc!BC95=0,Calc!BD95=0),
     IF('Waste results'!$S$102&lt;&gt;"data missing", Calc!BE95*'Waste results'!$S$102, "data missing"),
   IF(Calc!BE95=0,
     IF(OR('Waste results'!$S$30&lt;&gt;"data missing", 'Waste results'!$S$66&lt;&gt;"data missing"), Calc!BC95*'Waste results'!$S$30+ Calc!BD95*'Waste results'!$S$66, "data missing"),
   IF(Calc!BD95=0,
     IF(OR('Waste results'!$S$30&lt;&gt;"data missing", 'Waste results'!$S$102&lt;&gt;"data missing"), Calc!BC95*'Waste results'!$S$30+ Calc!BE95*'Waste results'!$S$102, "data missing"),
   IF(Calc!BC95=0,
     IF(OR('Waste results'!$S$66&lt;&gt;"data missing", 'Waste results'!$S$102&lt;&gt;"data missing"), Calc!BD95*'Waste results'!$S$66+Calc!BE95*'Waste results'!$S$102, "data missing"),
   IF(OR('Waste results'!$S$30&lt;&gt;"data missing", 'Waste results'!$S$66&lt;&gt;"data missing", 'Waste results'!$S$102&lt;&gt;"data missing"), Calc!BC95*'Waste results'!$S$30+Calc!BD95*'Waste results'!$S$66+ Calc!BE95*'Waste results'!$S$102, "data missing")))))))))))</f>
        <v/>
      </c>
      <c r="BL97" s="241" t="str">
        <f ca="1">IF($B97="","",
IF(ISBLANK('Soil results'!P100),"data missing",'Soil results'!P100))</f>
        <v/>
      </c>
      <c r="BM97" s="241" t="str">
        <f t="shared" ca="1" si="31"/>
        <v/>
      </c>
      <c r="BN97" s="66" t="str">
        <f t="shared" ca="1" si="32"/>
        <v/>
      </c>
      <c r="BP97" s="238" t="str">
        <f ca="1">IF(B97="","",
IF(AND('Field information 2'!$O$5="", 'Field information 2'!$Q$5=""),
   IF('Waste results'!$S$31&lt;&gt;"data missing", Calc!BC95*'Waste results'!$S$31, "data missing"),
IF('Field information 2'!$Q$5="",
   IF(Calc!BD95=0,
     IF('Waste results'!$S$31&lt;&gt;"data missing", Calc!BC95*'Waste results'!$S$31, "data missing"),
   IF(Calc!BC95=0,
     IF('Waste results'!$S$67&lt;&gt;"data missing", Calc!BD95*'Waste results'!$S$67, "data missing"),
   IF(OR('Waste results'!$S$31&lt;&gt;"data missing", 'Waste results'!$S$67&lt;&gt;"data missing"), Calc!BC95*'Waste results'!$S$31+ Calc!BD95*'Waste results'!$S$67, "data missing"))),
IF(AND('Field information 2'!$M$5&lt;&gt;"", 'Field information 2'!$O$5&lt;&gt;"", 'Field information 2'!$Q$5&lt;&gt;""),
   IF(AND(Calc!BD95=0,Calc!BE95=0),
     IF('Waste results'!$S$31&lt;&gt;"data missing", Calc!BC95*'Waste results'!$S$31, "data missing"),
   IF(AND(Calc!BC95=0,Calc!BE95=0),
     IF('Waste results'!$S$67&lt;&gt;"data missing", Calc!BD95*'Waste results'!$S$67, "data missing"),
   IF(AND(Calc!BC95=0,Calc!BD95=0),
     IF('Waste results'!$S$103&lt;&gt;"data missing", Calc!BE95*'Waste results'!$S$103, "data missing"),
   IF(Calc!BE95=0,
     IF(OR('Waste results'!$S$31&lt;&gt;"data missing", 'Waste results'!$S$67&lt;&gt;"data missing"), Calc!BC95*'Waste results'!$S$31+ Calc!BD95*'Waste results'!$S$67, "data missing"),
   IF(Calc!BD95=0,
     IF(OR('Waste results'!$S$31&lt;&gt;"data missing", 'Waste results'!$S$103&lt;&gt;"data missing"), Calc!BC95*'Waste results'!$S$31+ Calc!BE95*'Waste results'!$S$103, "data missing"),
   IF(Calc!BC95=0,
     IF(OR('Waste results'!$S$67&lt;&gt;"data missing", 'Waste results'!$S$103&lt;&gt;"data missing"), Calc!BD95*'Waste results'!$S$67+Calc!BE95*'Waste results'!$S$103, "data missing"),
   IF(OR('Waste results'!$S$31&lt;&gt;"data missing", 'Waste results'!$S$67&lt;&gt;"data missing", 'Waste results'!$S$103&lt;&gt;"data missing"), Calc!BC95*'Waste results'!$S$31+Calc!BD95*'Waste results'!$S$67+ Calc!BE95*'Waste results'!$S$103, "data missing")))))))))))</f>
        <v/>
      </c>
      <c r="BQ97" s="239" t="str">
        <f ca="1">IF($B97="","",
IF(ISBLANK('Soil results'!Q100),"data missing",'Soil results'!Q100))</f>
        <v/>
      </c>
      <c r="BR97" s="239" t="str">
        <f t="shared" ca="1" si="33"/>
        <v/>
      </c>
      <c r="BS97" s="9" t="str">
        <f ca="1">IF(B97="","",
IF(BP97=0,"n/a",
IF(OR(BP97="data missing",BQ97=""),"data missing",
IF(BP97&gt;15,"application rate too high - permissible rate exceeds limit",
IF('Soil results'!F100&lt;=5.5,
  IF(BQ97&gt;200,"no application - soil conc. already above limit",
  IF(BR97&gt;200,"application rate too high - soil conc. will exceed limit",
  IF(BQ97&gt;200*0.9,"soil conc. is at or above 90% of the limit",
  IF(10*BP97*1000/3000+BQ97&gt;200,"soil limit likely to be exceeded in 10yrs",
  IF(50*BP97*1000/3000+BQ97&gt;200,"soil limit likely to be exceeded in 50yrs","ok"))))),
IF('Soil results'!F100&lt;=6,
  IF(BQ97&gt;250,"no application - soil conc. already above limit",
  IF(BR97&gt;250,"application rate too high - soil conc. will exceed limit",
  IF(BQ97&gt;250*0.9,"soil conc. is at or above 90% of the limit",
  IF(10*BP97*1000/3000+BQ97&gt;250,"soil limit likely to be exceeded in 10yrs",
  IF(50*BP97*1000/3000+BQ97&gt;250,"soil limit likely to be exceeded in 50yrs","ok"))))),
IF('Soil results'!F100&lt;=7,
  IF(BQ97&gt;300,"no application - soil conc. already above limit",
  IF(BR97&gt;300,"application rate too high - soil conc. will exceed limit",
  IF(BQ97&gt;300*0.9,"soil conc. is at or above 90% of the limit",
  IF(10*BP97*1000/3000+BQ97&gt;300,"soil limit likey to be exceeded in 10yrs",
  IF(50*BP97*1000/3000+BQ97&gt;300,"soil limit likely to be exceeded in 50yrs","ok"))))),
IF('Soil results'!F100&gt;7,
  IF(BQ97&gt;450,"no application - soil conc. already above limit",
  IF(BR97&gt;450,"application rate too high - soil conc. will exceed limit",
  IF(AW97&gt;450*0.9,"soil conc. is at or above 90% of the limit",
  IF(10*BP97*1000/3000+BQ97&gt;450,"soil limit likely to be exceeded in 10yrs",
  IF(50*BP97*1000/3000+BQ97&gt;450,"soil limit likely to be exceeded in 50yrs","ok")))))
))))))))</f>
        <v/>
      </c>
    </row>
    <row r="98" spans="2:71" s="9" customFormat="1" ht="15" x14ac:dyDescent="0.25">
      <c r="B98" s="236" t="str">
        <f ca="1">'Soil results'!B101</f>
        <v/>
      </c>
      <c r="C98" s="91" t="str">
        <f ca="1">IF(B98="","",
IF(AND('Field information 2'!$O$5="", 'Field information 2'!$Q$5=""),
   IF('Waste results'!$S$12&lt;&gt;"data missing", Calc!BC96*'Waste results'!$S$12, "data missing"),
IF('Field information 2'!$Q$5="",
   IF(Calc!BD96=0,
     IF('Waste results'!$S$12&lt;&gt;"data missing", Calc!BC96*'Waste results'!$S$12, "data missing"),
   IF(Calc!BC96=0,
     IF('Waste results'!$S$48&lt;&gt;"data missing", Calc!BD96*'Waste results'!$S$48, "data missing"),
   IF(OR('Waste results'!$S$12&lt;&gt;"data missing", 'Waste results'!$S$48&lt;&gt;"data missing"), Calc!BC96*'Waste results'!$S$12+ Calc!BD96*'Waste results'!$S$48, "data missing"))),
IF(AND('Field information 2'!$M$5&lt;&gt;"", 'Field information 2'!$O$5&lt;&gt;"", 'Field information 2'!$Q$5&lt;&gt;""),
   IF(AND(Calc!BD96=0,Calc!BE96=0),
     IF('Waste results'!$S$12&lt;&gt;"data missing", Calc!BC96*'Waste results'!$S$12, "data missing"),
   IF(AND(Calc!BC96=0,Calc!BE96=0),
     IF('Waste results'!$S$48&lt;&gt;"data missing", Calc!BD96*'Waste results'!$S$48, "data missing"),
   IF(AND(Calc!BC96=0,Calc!BD96=0),
     IF('Waste results'!$S$84&lt;&gt;"data missing", Calc!BE96*'Waste results'!$S$84, "data missing"),
   IF(Calc!BE96=0,
     IF(OR('Waste results'!$S$12&lt;&gt;"data missing", 'Waste results'!$S$48&lt;&gt;"data missing"), Calc!BC96*'Waste results'!$S$12+ Calc!BD96*'Waste results'!$S$48, "data missing"),
   IF(Calc!BD96=0,
     IF(OR('Waste results'!$S$12&lt;&gt;"data missing", 'Waste results'!$S$84&lt;&gt;"data missing"), Calc!BC96*'Waste results'!$S$12+ Calc!BE96*'Waste results'!$S$84, "data missing"),
   IF(Calc!BC96=0,
     IF(OR('Waste results'!$S$48&lt;&gt;"data missing", 'Waste results'!$S$84&lt;&gt;"data missing"), Calc!BD96*'Waste results'!$S$48+Calc!BE96*'Waste results'!$S$84, "data missing"),
   IF(OR('Waste results'!$S$12&lt;&gt;"data missing", 'Waste results'!$S$48&lt;&gt;"data missing", 'Waste results'!$S$84&lt;&gt;"data missing"), Calc!BC96*'Waste results'!$S$12+Calc!BD96*'Waste results'!$S$48+ Calc!BE96*'Waste results'!$S$84, "data missing")))))))))))</f>
        <v/>
      </c>
      <c r="D98" s="161" t="str">
        <f ca="1">IF(B98="","",
IF(Calc!BG96="","soil texture missing",
IF(OR(Calc!BG96="SL; SZL; ZL",Calc!BG96="SCL; CL; ZCL; SC; ZC; C"),VLOOKUP(Calc!BI96,'Fertiliser recommendations'!$A$4:$C$63,3,FALSE),
IF(Calc!BG96="S; LS",VLOOKUP(Calc!BI96,'Fertiliser recommendations'!$A$4:$C$63,3,FALSE)+VLOOKUP(Calc!BI96,'Fertiliser recommendations'!$A$4:$D$63,4,FALSE),
IF(Calc!BG96="10-25% OM",VLOOKUP(Calc!BI96,'Fertiliser recommendations'!$A$4:$C$63,3,FALSE)+VLOOKUP(Calc!BI96,'Fertiliser recommendations'!$A$4:$E$63,5,FALSE),
IF(Calc!BG96="&gt;25% OM",VLOOKUP(Calc!BI96,'Fertiliser recommendations'!$A$4:$C$63,3,FALSE)+VLOOKUP(Calc!BI96,'Fertiliser recommendations'!$A$4:$F$63,6,FALSE),
""))))))</f>
        <v/>
      </c>
      <c r="E98" s="91" t="str">
        <f t="shared" ca="1" si="17"/>
        <v/>
      </c>
      <c r="F98" s="9" t="str">
        <f ca="1">IF(B98="","",
IF(OR(C98="data missing",D98="soil texture missing"),"data missing",
IF(Calc!BF96=0,"n/a",
IF(C98&lt;0.1*D98,"no benefit",
IF(C98&lt;0.3*D98,"limited benefit",
IF(C98&gt;250,"exceeds limit",
IF(OR(AND(D98=0,C98&gt;75),C98&gt;1.25*D98),"excessive",
IF(D98=0, "no requirement",
"benefit"))))))))</f>
        <v/>
      </c>
      <c r="H98" s="91" t="str">
        <f ca="1">IF(B98="","",
IF(AND('Field information 2'!$O$5="", 'Field information 2'!$Q$5=""),
   IF('Waste results'!$S$17&lt;&gt;"data missing", Calc!BC96*'Waste results'!$S$17, "data missing"),
IF('Field information 2'!$Q$5="",
   IF(Calc!BD96=0,
     IF('Waste results'!$S$17&lt;&gt;"data missing", Calc!BC96*'Waste results'!$S$17, "data missing"),
   IF(Calc!BC96=0,
     IF('Waste results'!$S$53&lt;&gt;"data missing", Calc!BD96*'Waste results'!$S$53, "data missing"),
   IF(OR('Waste results'!$S$17&lt;&gt;"data missing", 'Waste results'!$S$53&lt;&gt;"data missing"), Calc!BC96*'Waste results'!$S$17+ Calc!BD96*'Waste results'!$S$53, "data missing"))),
IF(AND('Field information 2'!$M$5&lt;&gt;"", 'Field information 2'!$O$5&lt;&gt;"", 'Field information 2'!$Q$5&lt;&gt;""),
   IF(AND(Calc!BD96=0,Calc!BE96=0),
     IF('Waste results'!$S$17&lt;&gt;"data missing", Calc!BC96*'Waste results'!$S$17, "data missing"),
   IF(AND(Calc!BC96=0,Calc!BE96=0),
     IF('Waste results'!$S$53&lt;&gt;"data missing", Calc!BD96*'Waste results'!$S$53, "data missing"),
   IF(AND(Calc!BC96=0,Calc!BD96=0),
     IF('Waste results'!$S$89&lt;&gt;"data missing", Calc!BE96*'Waste results'!$S$89, "data missing"),
   IF(Calc!BE96=0,
     IF(OR('Waste results'!$S$17&lt;&gt;"data missing", 'Waste results'!$S$53&lt;&gt;"data missing"), Calc!BC96*'Waste results'!$S$17+ Calc!BD96*'Waste results'!$S$53, "data missing"),
   IF(Calc!BD96=0,
     IF(OR('Waste results'!$S$17&lt;&gt;"data missing", 'Waste results'!$S$89&lt;&gt;"data missing"), Calc!BC96*'Waste results'!$S$17+ Calc!BE96*'Waste results'!$S$89, "data missing"),
   IF(Calc!BC96=0,
     IF(OR('Waste results'!$S$53&lt;&gt;"data missing", 'Waste results'!$S$89&lt;&gt;"data missing"), Calc!BD96*'Waste results'!$S$53+Calc!BE96*'Waste results'!$S$89, "data missing"),
   IF(OR('Waste results'!$S$17&lt;&gt;"data missing", 'Waste results'!$S$53&lt;&gt;"data missing", 'Waste results'!$S$89&lt;&gt;"data missing"), Calc!BC96*'Waste results'!$S$17+Calc!BD96*'Waste results'!$S$53+ Calc!BE96*'Waste results'!$S$89, "data missing")))))))))))</f>
        <v/>
      </c>
      <c r="I98" s="195" t="str">
        <f ca="1">IF(B98="","",
IF(OR(ISBLANK('Soil results'!G101), ISBLANK('Soil results'!G$7)),"data missing",
IF(OR(AND('Soil results'!G$7="Olsen (ADAS)",'Soil results'!G101&lt;16),AND('Soil results'!G$7="modified Morgan (SAC)",'Soil results'!G101&lt;4.5)),50,100)))</f>
        <v/>
      </c>
      <c r="J98" s="49" t="str">
        <f ca="1">IF(B98="","",
IF(OR(ISBLANK('Soil results'!G$7),ISBLANK('Soil results'!G101)),"data missing",
IF(OR(AND('Soil results'!G$7="Olsen (ADAS)",'Soil results'!G101&gt;45),AND('Soil results'!G$7="modified Morgan (SAC)",'Soil results'!G101&gt;30)),0,
IF(OR(AND('Soil results'!G$7="Olsen (ADAS)",'Soil results'!G101&gt;=16,'Soil results'!G101&lt;=20),AND('Soil results'!G$7="modified Morgan (SAC)",'Soil results'!G101&gt;=4.5,'Soil results'!G101&lt;=9.4)),VLOOKUP(Calc!BI96,'Fertiliser recommendations'!$A$4:$I$63,9,FALSE),
IF(OR(AND('Soil results'!G$7="Olsen (ADAS)",'Soil results'!G101&lt;10),AND('Soil results'!G$7="modified Morgan (SAC)",'Soil results'!G101&lt;1.8)),VLOOKUP(Calc!BI96,'Fertiliser recommendations'!$A$4:$I$63,9,FALSE)+VLOOKUP(Calc!BI96,'Fertiliser recommendations'!$A$4:$J$63,10,FALSE),
IF(OR(AND('Soil results'!G$7="Olsen (ADAS)",'Soil results'!G101&lt;16),AND('Soil results'!G$7="modified Morgan (SAC)",'Soil results'!G101&lt;4.5)),VLOOKUP(Calc!BI96,'Fertiliser recommendations'!$A$4:$I$63,9,FALSE)+VLOOKUP(Calc!BI96,'Fertiliser recommendations'!$A$4:$K$63,11,FALSE),
IF(OR(AND('Soil results'!G$7="Olsen (ADAS)",'Soil results'!G101&lt;26),AND('Soil results'!G$7="modified Morgan (SAC)",'Soil results'!G101&lt;13.5)),VLOOKUP(Calc!BI96,'Fertiliser recommendations'!$A$4:$I$63,9,FALSE)+VLOOKUP(Calc!BI96,'Fertiliser recommendations'!$A$4:$L$63,12,FALSE),
IF(OR(AND('Soil results'!G$7="Olsen (ADAS)",'Soil results'!G101&lt;=45),AND('Soil results'!G$7="modified Morgan (SAC)",'Soil results'!G101&lt;=30)),VLOOKUP(Calc!BI96,'Fertiliser recommendations'!$A$4:$I$63,9,FALSE)+VLOOKUP(Calc!BI96,'Fertiliser recommendations'!$A$4:$M$63,13,FALSE),
""))))))))</f>
        <v/>
      </c>
      <c r="K98" s="161" t="str">
        <f t="shared" ca="1" si="18"/>
        <v/>
      </c>
      <c r="L98" s="47" t="str">
        <f ca="1">IF(OR(ISBLANK('Soil results'!G$7),ISBLANK('Soil results'!G101),B98="", H98="data missing"),"",
IF('Soil results'!G$7="Olsen (ADAS)",
IF(((H98*Calc!BM96/2.291-(VLOOKUP(Calc!BI96,'Fertiliser recommendations'!$A$4:$I$63,9,FALSE))/2.291)*10/(400/2.291)+'Soil results'!G101)&lt;10,"0 (VL)",
IF(((H98*Calc!BM96/2.291-(VLOOKUP(Calc!BI96,'Fertiliser recommendations'!$A$4:$I$63,9,FALSE))/2.291)*10/(400/2.291)+'Soil results'!G101)&lt;16,"1 (L)",
IF(((H98*Calc!BM96/2.291-(VLOOKUP(Calc!BI96,'Fertiliser recommendations'!$A$4:$I$63,9,FALSE))/2.291)*10/(400/2.291)+'Soil results'!G101)&lt;21,"2 (M-)",
IF(((H98*Calc!BM96/2.291-(VLOOKUP(Calc!BI96,'Fertiliser recommendations'!$A$4:$I$63,9,FALSE))/2.291)*10/(400/2.291)+'Soil results'!G101)&lt;26,"2 (M+)",
IF(((H98*Calc!BM96/2.291-(VLOOKUP(Calc!BI96,'Fertiliser recommendations'!$A$4:$I$63,9,FALSE))/2.291)*10/(400/2.291)+'Soil results'!G101)&lt;45,"3 (H)","&gt;3 (VH)"))))),
IF('Soil results'!G$7="modified Morgan (SAC)",
IF('Soil results'!G101&gt;=6,
IF(((H98*Calc!BM96/2.291-(VLOOKUP(Calc!BI96,'Fertiliser recommendations'!$A$4:$I$63,9,FALSE))/2.291)*5/(147/2.291)+'Soil results'!G101)&lt;9.5,"2 (M-)",
IF(((H98*Calc!BM96/2.291-(VLOOKUP(Calc!BI96,'Fertiliser recommendations'!$A$4:$I$63,9,FALSE))/2.291)*5/(147/2.291)+'Soil results'!G101)&lt;13.5,"2 (M+)",
IF(((H98*Calc!BM96/2.291-(VLOOKUP(Calc!BI96,'Fertiliser recommendations'!$A$4:$I$63,9,FALSE))/2.291)*5/(147/2.291)+'Soil results'!G101)&lt;30,"3 (H)","4 (VH)"))),
IF(((H98*Calc!BM96/2.291-(VLOOKUP(Calc!BI96,'Fertiliser recommendations'!$A$4:$I$63,9,FALSE))/2.291)*5/(346/2.291)+'Soil results'!G101)&lt;1.8,"0 (VL)",
IF(((H98*Calc!BM96/2.291-(VLOOKUP(Calc!BI96,'Fertiliser recommendations'!$A$4:$I$63,9,FALSE))/2.291)*5/(147/2.291)+'Soil results'!G101)&lt;4.5,"1 (L)","2 (M-)"))))))</f>
        <v/>
      </c>
      <c r="M98" s="9" t="str">
        <f ca="1">IF(B98="","",
IF(OR(H98="data missing",I98="data missing",J98="data missing"),"data missing",
IF(Calc!BF96=0,"n/a",
IF(OR(AND('Soil results'!G$7="Olsen (ADAS)",'Soil results'!G101&gt;45),AND('Soil results'!G$7="modified Morgan (SAC)",'Soil results'!G101&gt;30)),
IF(H98&gt;2,"too high, not acceptable","no requirement"),IF(OR(AND('Soil results'!G$7="Olsen (ADAS)",'Soil results'!G101&gt;25),AND('Soil results'!G$7="modified Morgan (SAC)",'Soil results'!G101&gt;13.4)),
IF(H98*(I98/100)&lt;0.1*J98,"no benefit",
IF(H98*(I98/100)&lt;0.3*J98,"limited benefit",
IF(H98*(I98/100)&lt;1.1*J98,"benefit",
IF(H98*(I98/100)&lt;0.7*VLOOKUP(Calc!BI96,'Fertiliser recommendations'!$A$4:$I$63,9,FALSE),"excessive","too high, not acceptable")))),
IF(OR(AND('Soil results'!G$7="Olsen (ADAS)",'Soil results'!G101&gt;20),AND('Soil results'!G$7="modified Morgan (SAC)",'Soil results'!G101&gt;9.4)),
IF(H98*Calc!BM96*(I98/100)&lt;0.1*J98,"no benefit",
IF(H98*Calc!BM96*(I98/100)&lt;0.3*J98,"limited benefit",
IF(H98*Calc!BM96*(I98/100)&lt;1.1*J98,"benefit",
IF(L98="3 (H)","too high, not acceptable","excessive")))),
IF(OR(AND('Soil results'!G$7="Olsen (ADAS)",'Soil results'!G101&gt;15),AND('Soil results'!G$7="modified Morgan (SAC)",'Soil results'!G101&gt;4.4)),
IF(H98*Calc!BM96*(I98/100)&lt;0.1*VLOOKUP(Calc!BI96,'Fertiliser recommendations'!$A$4:$I$63,9,FALSE),"no benefit",
IF(H98*Calc!BM96*(I98/100)&lt;0.3*VLOOKUP(Calc!BI96,'Fertiliser recommendations'!$A$4:$I$63,9,FALSE),"limited benefit",
IF(H98*Calc!BM96*(I98/100)&lt;1.1*VLOOKUP(Calc!BI96,'Fertiliser recommendations'!$A$4:$I$63,9,FALSE),"benefit",
IF(L98="3 (H)", "too high, not acceptable", "excessive")))),
IF(OR(AND('Soil results'!G$7="Olsen (ADAS)",'Soil results'!G101&lt;=15),AND('Soil results'!G$7="modified Morgan (SAC)",'Soil results'!G101&lt;=4.4)),
IF(H98*Calc!BM96*(I98/100)&lt;0.1*VLOOKUP(Calc!BI96,'Fertiliser recommendations'!$A$4:$I$63,9,FALSE),"no benefit",
IF(H98*Calc!BM96*(I98/100)&lt;0.3*VLOOKUP(Calc!BI96,'Fertiliser recommendations'!$A$4:$I$63,9,FALSE),"limited benefit",
IF(H98*Calc!BM96*(I98/100)&lt;1.1*J98,"benefit","excessive")))))))))))</f>
        <v/>
      </c>
      <c r="O98" s="91" t="str">
        <f ca="1">IF(B98="","",
IF(AND('Field information 2'!$O$5="", 'Field information 2'!$Q$5=""),
   IF('Waste results'!$S$19&lt;&gt;"data missing", Calc!BC96*'Waste results'!$S$19, "data missing"),
IF('Field information 2'!$Q$5="",
   IF(Calc!BD96=0,
     IF('Waste results'!$S$19&lt;&gt;"data missing", Calc!BC96*'Waste results'!$S$19, "data missing"),
   IF(Calc!BC96=0,
     IF('Waste results'!$S$55&lt;&gt;"data missing", Calc!BD96*'Waste results'!$S$55, "data missing"),
   IF(OR('Waste results'!$S$19&lt;&gt;"data missing", 'Waste results'!$S$55&lt;&gt;"data missing"), Calc!BC96*'Waste results'!$S$19+ Calc!BD96*'Waste results'!$S$55, "data missing"))),
IF(AND('Field information 2'!$M$5&lt;&gt;"", 'Field information 2'!$O$5&lt;&gt;"", 'Field information 2'!$Q$5&lt;&gt;""),
   IF(AND(Calc!BD96=0,Calc!BE96=0),
     IF('Waste results'!$S$19&lt;&gt;"data missing", Calc!BC96*'Waste results'!$S$19, "data missing"),
   IF(AND(Calc!BC96=0,Calc!BE96=0),
     IF('Waste results'!$S$55&lt;&gt;"data missing", Calc!BD96*'Waste results'!$S$55, "data missing"),
   IF(AND(Calc!BC96=0,Calc!BD96=0),
     IF('Waste results'!$S$91&lt;&gt;"data missing", Calc!BE96*'Waste results'!$S$91, "data missing"),
   IF(Calc!BE96=0,
     IF(OR('Waste results'!$S$19&lt;&gt;"data missing", 'Waste results'!$S$55&lt;&gt;"data missing"), Calc!BC96*'Waste results'!$S$19+ Calc!BD96*'Waste results'!$S$55, "data missing"),
   IF(Calc!BD96=0,
     IF(OR('Waste results'!$S$19&lt;&gt;"data missing", 'Waste results'!$S$91&lt;&gt;"data missing"), Calc!BC96*'Waste results'!$S$19+ Calc!BE96*'Waste results'!$S$91, "data missing"),
   IF(Calc!BC96=0,
     IF(OR('Waste results'!$S$55&lt;&gt;"data missing", 'Waste results'!$S$91&lt;&gt;"data missing"), Calc!BD96*'Waste results'!$S$55+Calc!BE96*'Waste results'!$S$91, "data missing"),
   IF(OR('Waste results'!$S$19&lt;&gt;"data missing", 'Waste results'!$S$55&lt;&gt;"data missing", 'Waste results'!$S$91&lt;&gt;"data missing"), Calc!BC96*'Waste results'!$S$19+Calc!BD96*'Waste results'!$S$55+ Calc!BE96*'Waste results'!$S$91, "data missing")))))))))))</f>
        <v/>
      </c>
      <c r="P98" s="91" t="str">
        <f ca="1">IF(B98="","",
IF(OR(ISBLANK('Soil results'!H$7),ISBLANK('Soil results'!H101)),"data missing",
IF(OR(AND('Soil results'!H$7="ammonium nitrate (ADAS)",'Soil results'!H101&gt;400),AND('Soil results'!H$7="modified Morgan (SAC)",'Soil results'!H101&gt;400)),0,
IF(OR(AND('Soil results'!H$7="ammonium nitrate (ADAS)",'Soil results'!H101&gt;=121,'Soil results'!H101&lt;=180),AND('Soil results'!H$7="modified Morgan (SAC)",'Soil results'!H101&gt;=76,'Soil results'!H101&lt;=140)),VLOOKUP(Calc!BI96,'Fertiliser recommendations'!$A$4:$Z$63,26,FALSE),
IF(OR(AND('Soil results'!H$7="ammonium nitrate (ADAS)",'Soil results'!H101&lt;61),AND('Soil results'!H$7="modified Morgan (SAC)",'Soil results'!H101&lt;40)),VLOOKUP(Calc!BI96,'Fertiliser recommendations'!$A$4:$Z$63,26,FALSE)+VLOOKUP(Calc!BI96,'Fertiliser recommendations'!$A$4:$AA$63,27,FALSE),
IF(OR(AND('Soil results'!H$7="ammonium nitrate (ADAS)",'Soil results'!H101&lt;121),AND('Soil results'!H$7="modified Morgan (SAC)",'Soil results'!H101&lt;76)),VLOOKUP(Calc!BI96,'Fertiliser recommendations'!$A$4:$Z$63,26,FALSE)+VLOOKUP(Calc!BI96,'Fertiliser recommendations'!$A$4:$AB$63,28,FALSE),
IF(OR(AND('Soil results'!H$7="ammonium nitrate (ADAS)",'Soil results'!H101&lt;241),AND('Soil results'!H$7="modified Morgan (SAC)",'Soil results'!H101&lt;201)),VLOOKUP(Calc!BI96,'Fertiliser recommendations'!$A$4:$Z$63,26,FALSE)+VLOOKUP(Calc!BI96,'Fertiliser recommendations'!$A$4:$AC$63,29,FALSE),
IF(OR(AND('Soil results'!H$7="ammonium nitrate (ADAS)",'Soil results'!H101&lt;=400),AND('Soil results'!H$7="modified Morgan (SAC)",'Soil results'!H101&lt;=400)),VLOOKUP(Calc!BI96,'Fertiliser recommendations'!$A$4:$Z$63,26,FALSE)+VLOOKUP(Calc!BI96,'Fertiliser recommendations'!$A$4:$AD$63,30,FALSE),
"??"))))))))</f>
        <v/>
      </c>
      <c r="Q98" s="91" t="str">
        <f t="shared" ca="1" si="19"/>
        <v/>
      </c>
      <c r="R98" s="9" t="str">
        <f ca="1">IF(B98="","",
IF(OR(O98="data missing",P98="data missing"),"data missing",
IF(Calc!BF96=0,"n/a",
IF(P98=0, "no requirement",
IF(O98&lt;0.1*P98,"no benefit",
IF(O98&lt;0.3*P98,"limited benefit",
IF(O98&gt;1.25*P98,"excessive",
"benefit")))))))</f>
        <v/>
      </c>
      <c r="T98" s="91" t="str">
        <f ca="1">IF(B98="","",
IF(AND('Field information 2'!$O$5="", 'Field information 2'!$Q$5=""),
   IF('Waste results'!$S$21&lt;&gt;"data missing", Calc!BC96*'Waste results'!$S$21, "data missing"),
IF('Field information 2'!$Q$5="",
   IF(Calc!BD96=0,
     IF('Waste results'!$S$21&lt;&gt;"data missing", Calc!BC96*'Waste results'!$S$21, "data missing"),
   IF(Calc!BC96=0,
     IF('Waste results'!$S$57&lt;&gt;"data missing", Calc!BD96*'Waste results'!$S$57, "data missing"),
   IF(OR('Waste results'!$S$21&lt;&gt;"data missing", 'Waste results'!$S$57&lt;&gt;"data missing"), Calc!BC96*'Waste results'!$S$21+ Calc!BD96*'Waste results'!$S$57, "data missing"))),
IF(AND('Field information 2'!$M$5&lt;&gt;"", 'Field information 2'!$O$5&lt;&gt;"", 'Field information 2'!$Q$5&lt;&gt;""),
   IF(AND(Calc!BD96=0,Calc!BE96=0),
     IF('Waste results'!$S$21&lt;&gt;"data missing", Calc!BC96*'Waste results'!$S$21, "data missing"),
   IF(AND(Calc!BC96=0,Calc!BE96=0),
     IF('Waste results'!$S$57&lt;&gt;"data missing", Calc!BD96*'Waste results'!$S$57, "data missing"),
   IF(AND(Calc!BC96=0,Calc!BD96=0),
     IF('Waste results'!$S$93&lt;&gt;"data missing", Calc!BE96*'Waste results'!$S$93, "data missing"),
   IF(Calc!BE96=0,
     IF(OR('Waste results'!$S$21&lt;&gt;"data missing", 'Waste results'!$S$57&lt;&gt;"data missing"), Calc!BC96*'Waste results'!$S$21+ Calc!BD96*'Waste results'!$S$57, "data missing"),
   IF(Calc!BD96=0,
     IF(OR('Waste results'!$S$21&lt;&gt;"data missing", 'Waste results'!$S$93&lt;&gt;"data missing"), Calc!BC96*'Waste results'!$S$21+ Calc!BE96*'Waste results'!$S$93, "data missing"),
   IF(Calc!BC96=0,
     IF(OR('Waste results'!$S$57&lt;&gt;"data missing", 'Waste results'!$S$93&lt;&gt;"data missing"), Calc!BD96*'Waste results'!$S$57+Calc!BE96*'Waste results'!$S$93, "data missing"),
   IF(OR('Waste results'!$S$21&lt;&gt;"data missing", 'Waste results'!$S$57&lt;&gt;"data missing", 'Waste results'!$S$93&lt;&gt;"data missing"), Calc!BC96*'Waste results'!$S$21+Calc!BD96*'Waste results'!$S$57+ Calc!BE96*'Waste results'!$S$93, "data missing")))))))))))</f>
        <v/>
      </c>
      <c r="U98" s="7" t="str">
        <f ca="1">IF(B98="","",
IF(OR(ISBLANK('Soil results'!I$7),ISBLANK('Soil results'!I101)),"data missing",
IF(OR(AND('Soil results'!I$7="ammonium nitrate (ADAS)",'Soil results'!I101&gt;51),AND('Soil results'!I$7="modified Morgan (SAC)",'Soil results'!I101&gt;61)),0,
IF(OR(AND('Soil results'!I$7="ammonium nitrate (ADAS)",'Soil results'!I101&lt;25),AND('Soil results'!I$7="modified Morgan (SAC)",'Soil results'!I101&lt;19)),VLOOKUP(Calc!BI96,'Fertiliser recommendations'!$A$4:$AH$63,34,FALSE),
IF(OR(AND('Soil results'!I$7="ammonium nitrate (ADAS)",'Soil results'!I101&lt;=51),AND('Soil results'!I$7="modified Morgan (SAC)",'Soil results'!I101&lt;=61)),VLOOKUP(Calc!BI96,'Fertiliser recommendations'!$A$4:$AI$63,35,FALSE),
"")))))</f>
        <v/>
      </c>
      <c r="V98" s="91" t="str">
        <f t="shared" ca="1" si="20"/>
        <v/>
      </c>
      <c r="W98" s="9" t="str">
        <f ca="1">IF(B98="","",
IF(OR(T98="data missing",U98="data missing"),"data missing",
IF(Calc!BF96=0,"n/a",
IF(U98=0,"no requirement",
IF(T98&lt;0.1*U98,"no benefit",
IF(T98&lt;0.3*U98,"limited benefit",
IF(OR(T98&gt;1.5*U98,AND(Calc!BJ96="g",T98&gt;100)),"excessive",
"benefit")))))))</f>
        <v/>
      </c>
      <c r="Y98" s="91" t="str">
        <f ca="1">IF(B98="","",
IF(AND('Field information 2'!$O$5="", 'Field information 2'!$Q$5=""),
   IF('Waste results'!$P$23&lt;&gt;"", Calc!BC96*'Waste results'!$P$23, "no data"),
IF('Field information 2'!$Q$5="",
   IF(Calc!BD96=0,
     IF('Waste results'!$P$23&lt;&gt;"", Calc!BC96*'Waste results'!$P$23, "no data"),
   IF(Calc!BC96=0,
     IF('Waste results'!$P$59&lt;&gt;"", Calc!BD96*'Waste results'!$P$59, "no data"),
   IF(OR('Waste results'!$P$23&lt;&gt;"", 'Waste results'!$P$59&lt;&gt;""), Calc!BC96*'Waste results'!$P$23+ Calc!BD96*'Waste results'!$P$59, "no data"))),
IF(AND('Field information 2'!$M$5&lt;&gt;"", 'Field information 2'!$O$5&lt;&gt;"", 'Field information 2'!$Q$5&lt;&gt;""),
   IF(AND(Calc!BD96=0,Calc!BE96=0),
     IF('Waste results'!$P$23&lt;&gt;"", Calc!BC96*'Waste results'!$P$23, "no data"),
   IF(AND(Calc!BC96=0,Calc!BE96=0),
     IF('Waste results'!$P$59&lt;&gt;"", Calc!BD96*'Waste results'!$P$59, "no data"),
   IF(AND(Calc!BC96=0,Calc!BD96=0),
     IF('Waste results'!$P$95&lt;&gt;"", Calc!BE96*'Waste results'!$P$95, "no data"),
   IF(Calc!BE96=0,
     IF(OR('Waste results'!$P$23&lt;&gt;"", 'Waste results'!$P$59&lt;&gt;""), Calc!BC96*'Waste results'!$P$23+ Calc!BD96*'Waste results'!$P$59, "no data"),
   IF(Calc!BD96=0,
     IF(OR('Waste results'!$P$23&lt;&gt;"", 'Waste results'!$P$95&lt;&gt;""), Calc!BC96*'Waste results'!$P$23+ Calc!BE96*'Waste results'!$P$95, "no data"),
   IF(Calc!BC96=0,
     IF(OR('Waste results'!$P$59&lt;&gt;"", 'Waste results'!$P$95&lt;&gt;""), Calc!BD96*'Waste results'!$P$59+Calc!BE96*'Waste results'!$P$95, "no data"),
   IF(OR('Waste results'!$P$23&lt;&gt;"", 'Waste results'!$P$59&lt;&gt;"", 'Waste results'!$P$95&lt;&gt;""), Calc!BC96*'Waste results'!$P$23+Calc!BD96*'Waste results'!$P$59+ Calc!BE96*'Waste results'!$P$95, "no data")))))))))))</f>
        <v/>
      </c>
      <c r="Z98" s="7" t="str">
        <f ca="1">IF(OR(ISBLANK('Soil results'!I$7),ISBLANK('Soil results'!I101),'Soil results'!B101=""),"",
VLOOKUP(Calc!BI96,'Fertiliser recommendations'!$A$4:$AM$63,39,FALSE))</f>
        <v/>
      </c>
      <c r="AA98" s="91" t="str">
        <f t="shared" ca="1" si="21"/>
        <v/>
      </c>
      <c r="AB98" s="9" t="str">
        <f t="shared" ca="1" si="22"/>
        <v/>
      </c>
      <c r="AD98" s="48" t="str">
        <f>IF(ISBLANK('Soil results'!F101),"",'Soil results'!F101)</f>
        <v/>
      </c>
      <c r="AE98" s="49" t="str">
        <f ca="1">IF(B98="","",
IF(AND(Calc!BJ96="g", VLOOKUP(LEFT($B98,LEN($B98)-2),'Field information 2'!$B$12:$P$111,9,FALSE)&lt;&gt;"yes"),
 IF(Calc!BG96="10-25% OM", 5.9, IF(Calc!BG96="&gt;25% OM", 5.5, 6.2)),
IF(OR(Calc!BJ96="a", VLOOKUP(LEFT($B98,LEN($B98)-2),'Field information 2'!$B$12:$P$111,9,FALSE)="yes"),
 IF(Calc!BG96="10-25% OM", 6.4, IF(Calc!BG96="&gt;25% OM", 6, 6.7)), "")))</f>
        <v/>
      </c>
      <c r="AF98" s="91" t="str">
        <f ca="1">IF(B98="","",
IF('Waste results'!$Q$33="","no (significant) liming properties",
IF('Waste results'!Q$33&gt;100,"no (significant) liming properties",
IF(AD98="","",
IF(AD98&gt;=AE98,0,ROUNDDOWN((AE98-AD98)*Calc!BK96*'Waste results'!$Q$33+0.2,0))))))</f>
        <v/>
      </c>
      <c r="AG98" s="9" t="str">
        <f ca="1">IF(B98="","",
IF(T98=0,"n/a",
IF(AD98="","data missing",
IF(AND(AD98&lt;5,AF98="no (significant) liming properties"),"no waste application - pH too low",
IF(AND(AD98&gt;5.1,AF98="no (significant) liming properties",Calc!BH96&gt;25, LEFT(Calc!BI96,4)="graz"),"ok",
IF(AND(AD98&lt;=5.2,AF98="no (significant) liming properties"),"liming highly recommended",
IF(AF98=0,"no waste application - liming not required",
IF(AF98&lt;Calc!BC96,"application rate too high - exceeds liming requirement",
"ok"))))))))</f>
        <v/>
      </c>
      <c r="AI98" s="91" t="str">
        <f ca="1">IF(B98="","",
IF(AND('Field information 2'!$O$5="", 'Field information 2'!$Q$5=""),
   IF('Waste results'!$P$10&lt;&gt;"data missing", Calc!BC96*'Waste results'!$P$10, "data missing"),
IF('Field information 2'!$Q$5="",
   IF(Calc!BD96=0,
     IF('Waste results'!$P$10&lt;&gt;"data missing", Calc!BC96*'Waste results'!$P$10, "data missing"),
   IF(Calc!BC96=0,
     IF('Waste results'!$P$45&lt;&gt;"data missing", Calc!BD96*'Waste results'!$P$45, "data missing"),
   IF(OR('Waste results'!$P$10&lt;&gt;"data missing", 'Waste results'!$P$45&lt;&gt;"data missing"), Calc!BC96*'Waste results'!$P$10+ Calc!BD96*'Waste results'!$P$45, "data missing"))),
IF(AND('Field information 2'!$M$5&lt;&gt;"", 'Field information 2'!$O$5&lt;&gt;"", 'Field information 2'!$Q$5&lt;&gt;""),
   IF(AND(Calc!BD96=0,Calc!BE96=0),
     IF('Waste results'!$P$10&lt;&gt;"data missing", Calc!BC96*'Waste results'!$P$10, "data missing"),
   IF(AND(Calc!BC96=0,Calc!BE96=0),
     IF('Waste results'!$P$45&lt;&gt;"data missing", Calc!BD96*'Waste results'!$P$45, "data missing"),
   IF(AND(Calc!BC96=0,Calc!BD96=0),
     IF('Waste results'!$P$82&lt;&gt;"data missing", Calc!BE96*'Waste results'!$P$82, "data missing"),
   IF(Calc!BE96=0,
     IF(OR('Waste results'!$P$10&lt;&gt;"data missing", 'Waste results'!$P$45&lt;&gt;"data missing"), Calc!BC96*'Waste results'!$P$10+ Calc!BD96*'Waste results'!$P$45, "data missing"),
   IF(Calc!BD96=0,
     IF(OR('Waste results'!$P$10&lt;&gt;"data missing", 'Waste results'!$P$82&lt;&gt;"data missing"), Calc!BC96*'Waste results'!$P$10+ Calc!BE96*'Waste results'!$P$82, "data missing"),
   IF(Calc!BC96=0,
     IF(OR('Waste results'!$P$45&lt;&gt;"data missing", 'Waste results'!$P$82&lt;&gt;"data missing"), Calc!BD96*'Waste results'!$P$45+Calc!BE96*'Waste results'!$P$82, "data missing"),
   IF(OR('Waste results'!$P$10&lt;&gt;"data missing", 'Waste results'!$P$45&lt;&gt;"data missing", 'Waste results'!$P$82&lt;&gt;"data missing"), Calc!BC96*'Waste results'!$P$10+Calc!BD96*'Waste results'!$P$45+ Calc!BE96*'Waste results'!$P$82, "data missing")))))))))))</f>
        <v/>
      </c>
      <c r="AJ98" s="237" t="str">
        <f ca="1">IF(B98="","",
IF(AI98="data missing","data missing",
IF(Calc!BF96=0,"n/a",
IF(AND(Calc!BH96&gt;=8,AI98&lt;500),"no benefit",
IF(OR(AND(Calc!BH96&lt;=4,AI98&gt;=500),AND(Calc!BH96&lt;8,AI98&gt;5000)),"benefit",
"limited benefit")))))</f>
        <v/>
      </c>
      <c r="AL98" s="238" t="str">
        <f ca="1">IF(B98="","",
IF(AND('Field information 2'!$O$5="", 'Field information 2'!$Q$5=""),
   IF('Waste results'!$S$25&lt;&gt;"data missing", Calc!BC96*'Waste results'!$S$25, "data missing"),
IF('Field information 2'!$Q$5="",
   IF(Calc!BD96=0,
     IF('Waste results'!$S$25&lt;&gt;"data missing", Calc!BC96*'Waste results'!$S$25, "data missing"),
   IF(Calc!BC96=0,
     IF('Waste results'!$S$61&lt;&gt;"data missing", Calc!BD96*'Waste results'!$S$61, "data missing"),
   IF(OR('Waste results'!$S$25&lt;&gt;"data missing", 'Waste results'!$S$61&lt;&gt;"data missing"), Calc!BC96*'Waste results'!$S$25+ Calc!BD96*'Waste results'!$S$61, "data missing"))),
IF(AND('Field information 2'!$M$5&lt;&gt;"", 'Field information 2'!$O$5&lt;&gt;"", 'Field information 2'!$Q$5&lt;&gt;""),
   IF(AND(Calc!BD96=0,Calc!BE96=0),
     IF('Waste results'!$S$25&lt;&gt;"data missing", Calc!BC96*'Waste results'!$S$25, "data missing"),
   IF(AND(Calc!BC96=0,Calc!BE96=0),
     IF('Waste results'!$S$61&lt;&gt;"data missing", Calc!BD96*'Waste results'!$S$61, "data missing"),
   IF(AND(Calc!BC96=0,Calc!BD96=0),
     IF('Waste results'!$S$97&lt;&gt;"data missing", Calc!BE96*'Waste results'!$S$97, "data missing"),
   IF(Calc!BE96=0,
     IF(OR('Waste results'!$S$25&lt;&gt;"data missing", 'Waste results'!$S$61&lt;&gt;"data missing"), Calc!BC96*'Waste results'!$S$25+ Calc!BD96*'Waste results'!$S$61, "data missing"),
   IF(Calc!BD96=0,
     IF(OR('Waste results'!$S$25&lt;&gt;"data missing", 'Waste results'!$S$97&lt;&gt;"data missing"), Calc!BC96*'Waste results'!$S$25+ Calc!BE96*'Waste results'!$S$97, "data missing"),
   IF(Calc!BC96=0,
     IF(OR('Waste results'!$S$61&lt;&gt;"data missing", 'Waste results'!$S$97&lt;&gt;"data missing"), Calc!BD96*'Waste results'!$S$61+Calc!BE96*'Waste results'!$S$97, "data missing"),
   IF(OR('Waste results'!$S$25&lt;&gt;"data missing", 'Waste results'!$S$61&lt;&gt;"data missing", 'Waste results'!$S$97&lt;&gt;"data missing"), Calc!BC96*'Waste results'!$S$25+Calc!BD96*'Waste results'!$S$61+ Calc!BE96*'Waste results'!$S$97, "data missing")))))))))))</f>
        <v/>
      </c>
      <c r="AM98" s="239" t="str">
        <f ca="1">IF($B98="","",
IF(ISBLANK('Soil results'!K101),"data missing",'Soil results'!K101))</f>
        <v/>
      </c>
      <c r="AN98" s="239" t="str">
        <f t="shared" ca="1" si="23"/>
        <v/>
      </c>
      <c r="AO98" s="9" t="str">
        <f t="shared" ca="1" si="24"/>
        <v/>
      </c>
      <c r="AQ98" s="240" t="str">
        <f ca="1">IF(B98="","",
IF(AND('Field information 2'!$O$5="", 'Field information 2'!$Q$5=""),
   IF('Waste results'!$S$26&lt;&gt;"data missing", Calc!BC96*'Waste results'!$S$26, "data missing"),
IF('Field information 2'!$Q$5="",
   IF(Calc!BD96=0,
     IF('Waste results'!$S$26&lt;&gt;"data missing", Calc!BC96*'Waste results'!$S$26, "data missing"),
   IF(Calc!BC96=0,
     IF('Waste results'!$S$62&lt;&gt;"data missing", Calc!BD96*'Waste results'!$S$62, "data missing"),
   IF(OR('Waste results'!$S$26&lt;&gt;"data missing", 'Waste results'!$S$62&lt;&gt;"data missing"), Calc!BC96*'Waste results'!$S$26+ Calc!BD96*'Waste results'!$S$62, "data missing"))),
IF(AND('Field information 2'!$M$5&lt;&gt;"", 'Field information 2'!$O$5&lt;&gt;"", 'Field information 2'!$Q$5&lt;&gt;""),
   IF(AND(Calc!BD96=0,Calc!BE96=0),
     IF('Waste results'!$S$26&lt;&gt;"data missing", Calc!BC96*'Waste results'!$S$26, "data missing"),
   IF(AND(Calc!BC96=0,Calc!BE96=0),
     IF('Waste results'!$S$62&lt;&gt;"data missing", Calc!BD96*'Waste results'!$S$62, "data missing"),
   IF(AND(Calc!BC96=0,Calc!BD96=0),
     IF('Waste results'!$S$98&lt;&gt;"data missing", Calc!BE96*'Waste results'!$S$98, "data missing"),
   IF(Calc!BE96=0,
     IF(OR('Waste results'!$S$26&lt;&gt;"data missing", 'Waste results'!$S$62&lt;&gt;"data missing"), Calc!BC96*'Waste results'!$S$26+ Calc!BD96*'Waste results'!$S$62, "data missing"),
   IF(Calc!BD96=0,
     IF(OR('Waste results'!$S$26&lt;&gt;"data missing", 'Waste results'!$S$98&lt;&gt;"data missing"), Calc!BC96*'Waste results'!$S$26+ Calc!BE96*'Waste results'!$S$98, "data missing"),
   IF(Calc!BC96=0,
     IF(OR('Waste results'!$S$62&lt;&gt;"data missing", 'Waste results'!$S$98&lt;&gt;"data missing"), Calc!BD96*'Waste results'!$S$62+Calc!BE96*'Waste results'!$S$98, "data missing"),
   IF(OR('Waste results'!$S$26&lt;&gt;"data missing", 'Waste results'!$S$62&lt;&gt;"data missing", 'Waste results'!$S$98&lt;&gt;"data missing"), Calc!BC96*'Waste results'!$S$26+Calc!BD96*'Waste results'!$S$62+ Calc!BE96*'Waste results'!$S$98, "data missing")))))))))))</f>
        <v/>
      </c>
      <c r="AR98" s="241" t="str">
        <f ca="1">IF($B98="","",
IF(ISBLANK('Soil results'!L101),"data missing",'Soil results'!L101))</f>
        <v/>
      </c>
      <c r="AS98" s="241" t="str">
        <f t="shared" ca="1" si="25"/>
        <v/>
      </c>
      <c r="AT98" s="66" t="str">
        <f t="shared" ca="1" si="26"/>
        <v/>
      </c>
      <c r="AV98" s="238" t="str">
        <f ca="1">IF(B98="","",
IF(AND('Field information 2'!$O$5="", 'Field information 2'!$Q$5=""),
   IF('Waste results'!$S$27&lt;&gt;"data missing", Calc!BC96*'Waste results'!$S$27, "data missing"),
IF('Field information 2'!$Q$5="",
   IF(Calc!BD96=0,
     IF('Waste results'!$S$27&lt;&gt;"data missing", Calc!BC96*'Waste results'!$S$27, "data missing"),
   IF(Calc!BC96=0,
     IF('Waste results'!$S$63&lt;&gt;"data missing", Calc!BD96*'Waste results'!$S$63, "data missing"),
   IF(OR('Waste results'!$S$27&lt;&gt;"data missing", 'Waste results'!$S$63&lt;&gt;"data missing"), Calc!BC96*'Waste results'!$S$27+ Calc!BD96*'Waste results'!$S$63, "data missing"))),
IF(AND('Field information 2'!$M$5&lt;&gt;"", 'Field information 2'!$O$5&lt;&gt;"", 'Field information 2'!$Q$5&lt;&gt;""),
   IF(AND(Calc!BD96=0,Calc!BE96=0),
     IF('Waste results'!$S$27&lt;&gt;"data missing", Calc!BC96*'Waste results'!$S$27, "data missing"),
   IF(AND(Calc!BC96=0,Calc!BE96=0),
     IF('Waste results'!$S$63&lt;&gt;"data missing", Calc!BD96*'Waste results'!$S$63, "data missing"),
   IF(AND(Calc!BC96=0,Calc!BD96=0),
     IF('Waste results'!$S$99&lt;&gt;"data missing", Calc!BE96*'Waste results'!$S$99, "data missing"),
   IF(Calc!BE96=0,
     IF(OR('Waste results'!$S$27&lt;&gt;"data missing", 'Waste results'!$S$63&lt;&gt;"data missing"), Calc!BC96*'Waste results'!$S$27+ Calc!BD96*'Waste results'!$S$63, "data missing"),
   IF(Calc!BD96=0,
     IF(OR('Waste results'!$S$27&lt;&gt;"data missing", 'Waste results'!$S$99&lt;&gt;"data missing"), Calc!BC96*'Waste results'!$S$27+ Calc!BE96*'Waste results'!$S$99, "data missing"),
   IF(Calc!BC96=0,
     IF(OR('Waste results'!$S$63&lt;&gt;"data missing", 'Waste results'!$S$99&lt;&gt;"data missing"), Calc!BD96*'Waste results'!$S$63+Calc!BE96*'Waste results'!$S$99, "data missing"),
   IF(OR('Waste results'!$S$27&lt;&gt;"data missing", 'Waste results'!$S$63&lt;&gt;"data missing", 'Waste results'!$S$99&lt;&gt;"data missing"), Calc!BC96*'Waste results'!$S$27+Calc!BD96*'Waste results'!$S$63+ Calc!BE96*'Waste results'!$S$99, "data missing")))))))))))</f>
        <v/>
      </c>
      <c r="AW98" s="239" t="str">
        <f ca="1">IF($B98="","",
IF(ISBLANK('Soil results'!M101),"data missing",'Soil results'!M101))</f>
        <v/>
      </c>
      <c r="AX98" s="239" t="str">
        <f t="shared" ca="1" si="27"/>
        <v/>
      </c>
      <c r="AY98" s="9" t="str">
        <f ca="1">IF(B98="","",
IF(AV98=0,"n/a",
IF(OR(AV98="data missing",AW98="data missing"),"data missing",
IF(AV98&gt;7.5,"application rate too high - permissible rate exceeds limit",
IF('Soil results'!$F101&lt;=5.5,
  IF(AW98&gt;80,"no application - soil conc. already above limit",
  IF(AX98&gt;80,"application rate too high - soil conc. will exceed limit",
  IF(AW98&gt;80*0.9,"soil conc. is at or above 90% of the limit",
  IF(10*AV98*1000/3000+AW98&gt;80,"soil limit likely to be exceeded in 10yrs",
  IF(50*AV98*1000/3000+AW98&gt;80,"soil limit likely to be exceeded in 50yrs","ok"))))),
IF('Soil results'!$F101&lt;=6,
  IF(AW98&gt;100,"no application - soil conc. already above limit",
  IF(AX98&gt;100,"application rate too high - soil conc. will exceed limit",
  IF(AW98&gt;100*0.9,"soil conc. is at or above 90% of the limit",
  IF(10*AV98*1000/3000+AW98&gt;100,"soil limit likely to be exceeded in 10yrs",
  IF(50*AV98*1000/3000+AW98&gt;100,"soil limit likely to be exceeded in 50yrs","ok"))))),
IF('Soil results'!$F101&lt;=7,
  IF(AW98&gt;135,"no application - soil conc. already above limit",
  IF(AX98&gt;135,"application rate too high - soil conc. will exceed limit",
  IF(AW98&gt;135*0.9,"soil conc. is at or above 90% of the limit",
  IF(10*AV98*1000/3000+AW98&gt;135,"soil limit likely to be exceeded in 10yrs",
  IF(50*AV98*1000/3000+AW98&gt;135,"soil limit likely to be exceeded in 50yrs","ok"))))),
IF('Soil results'!$F101&gt;7,
  IF(AW98&gt;200,"no application - soil conc. already above limit",
  IF(AX98&gt;200,"application too high - soil conc. will exceed limit",
  IF(AW98&gt;200*0.9,"soil conc. is at or above 90% of the limit",
  IF(10*AV98*1000/3000+AW98&gt;200,"soil limit likely to be exceeded in 10yrs",
  IF(50*AV98*1000/3000+AW98&gt;200,"soil limit likely to be exceeded in 50yrs","ok")))))
))))))))</f>
        <v/>
      </c>
      <c r="BA98" s="238" t="str">
        <f ca="1">IF(B98="","",
IF(AND('Field information 2'!$O$5="", 'Field information 2'!$Q$5=""),
   IF('Waste results'!$S$28&lt;&gt;"data missing", Calc!BC96*'Waste results'!$S$28, "data missing"),
IF('Field information 2'!$Q$5="",
   IF(Calc!BD96=0,
     IF('Waste results'!$S$28&lt;&gt;"data missing", Calc!BC96*'Waste results'!$S$28, "data missing"),
   IF(Calc!BC96=0,
     IF('Waste results'!$S$64&lt;&gt;"data missing", Calc!BD96*'Waste results'!$S$64, "data missing"),
   IF(OR('Waste results'!$S$28&lt;&gt;"data missing", 'Waste results'!$S$64&lt;&gt;"data missing"), Calc!BC96*'Waste results'!$S$28+ Calc!BD96*'Waste results'!$S$64, "data missing"))),
IF(AND('Field information 2'!$M$5&lt;&gt;"", 'Field information 2'!$O$5&lt;&gt;"", 'Field information 2'!$Q$5&lt;&gt;""),
   IF(AND(Calc!BD96=0,Calc!BE96=0),
     IF('Waste results'!$S$28&lt;&gt;"data missing", Calc!BC96*'Waste results'!$S$28, "data missing"),
   IF(AND(Calc!BC96=0,Calc!BE96=0),
     IF('Waste results'!$S$64&lt;&gt;"data missing", Calc!BD96*'Waste results'!$S$64, "data missing"),
   IF(AND(Calc!BC96=0,Calc!BD96=0),
     IF('Waste results'!$S$100&lt;&gt;"data missing", Calc!BE96*'Waste results'!$S$100, "data missing"),
   IF(Calc!BE96=0,
     IF(OR('Waste results'!$S$28&lt;&gt;"data missing", 'Waste results'!$S$64&lt;&gt;"data missing"), Calc!BC96*'Waste results'!$S$28+ Calc!BD96*'Waste results'!$S$64, "data missing"),
   IF(Calc!BD96=0,
     IF(OR('Waste results'!$S$28&lt;&gt;"data missing", 'Waste results'!$S$100&lt;&gt;"data missing"), Calc!BC96*'Waste results'!$S$28+ Calc!BE96*'Waste results'!$S$100, "data missing"),
   IF(Calc!BC96=0,
     IF(OR('Waste results'!$S$64&lt;&gt;"data missing", 'Waste results'!$S$100&lt;&gt;"data missing"), Calc!BD96*'Waste results'!$S$64+Calc!BE96*'Waste results'!$S$100, "data missing"),
   IF(OR('Waste results'!$S$28&lt;&gt;"data missing", 'Waste results'!$S$64&lt;&gt;"data missing", 'Waste results'!$S$100&lt;&gt;"data missing"), Calc!BC96*'Waste results'!$S$28+Calc!BD96*'Waste results'!$S$64+ Calc!BE96*'Waste results'!$S$100, "data missing")))))))))))</f>
        <v/>
      </c>
      <c r="BB98" s="239" t="str">
        <f ca="1">IF($B98="","",
IF(ISBLANK('Soil results'!N101),"data missing",'Soil results'!N101))</f>
        <v/>
      </c>
      <c r="BC98" s="239" t="str">
        <f t="shared" ca="1" si="28"/>
        <v/>
      </c>
      <c r="BD98" s="9" t="str">
        <f t="shared" ca="1" si="29"/>
        <v/>
      </c>
      <c r="BF98" s="238" t="str">
        <f ca="1">IF(B98="","",
IF(AND('Field information 2'!$O$5="", 'Field information 2'!$Q$5=""),
   IF('Waste results'!$S$29&lt;&gt;"data missing", Calc!BC96*'Waste results'!$S$29, "data missing"),
IF('Field information 2'!$Q$5="",
   IF(Calc!BD96=0,
     IF('Waste results'!$S$29&lt;&gt;"data missing", Calc!BC96*'Waste results'!$S$29, "data missing"),
   IF(Calc!BC96=0,
     IF('Waste results'!$S$65&lt;&gt;"data missing", Calc!BD96*'Waste results'!$S$65, "data missing"),
   IF(OR('Waste results'!$S$29&lt;&gt;"data missing", 'Waste results'!$S$65&lt;&gt;"data missing"), Calc!BC96*'Waste results'!$S$29+ Calc!BD96*'Waste results'!$S$65, "data missing"))),
IF(AND('Field information 2'!$M$5&lt;&gt;"", 'Field information 2'!$O$5&lt;&gt;"", 'Field information 2'!$Q$5&lt;&gt;""),
   IF(AND(Calc!BD96=0,Calc!BE96=0),
     IF('Waste results'!$S$29&lt;&gt;"data missing", Calc!BC96*'Waste results'!$S$29, "data missing"),
   IF(AND(Calc!BC96=0,Calc!BE96=0),
     IF('Waste results'!$S$65&lt;&gt;"data missing", Calc!BD96*'Waste results'!$S$65, "data missing"),
   IF(AND(Calc!BC96=0,Calc!BD96=0),
     IF('Waste results'!$S$101&lt;&gt;"data missing", Calc!BE96*'Waste results'!$S$101, "data missing"),
   IF(Calc!BE96=0,
     IF(OR('Waste results'!$S$29&lt;&gt;"data missing", 'Waste results'!$S$65&lt;&gt;"data missing"), Calc!BC96*'Waste results'!$S$29+ Calc!BD96*'Waste results'!$S$65, "data missing"),
   IF(Calc!BD96=0,
     IF(OR('Waste results'!$S$29&lt;&gt;"data missing", 'Waste results'!$S$101&lt;&gt;"data missing"), Calc!BC96*'Waste results'!$S$29+ Calc!BE96*'Waste results'!$S$101, "data missing"),
   IF(Calc!BC96=0,
     IF(OR('Waste results'!$S$65&lt;&gt;"data missing", 'Waste results'!$S$101&lt;&gt;"data missing"), Calc!BD96*'Waste results'!$S$65+Calc!BE96*'Waste results'!$S$101, "data missing"),
   IF(OR('Waste results'!$S$29&lt;&gt;"data missing", 'Waste results'!$S$65&lt;&gt;"data missing", 'Waste results'!$S$101&lt;&gt;"data missing"), Calc!BC96*'Waste results'!$S$29+Calc!BD96*'Waste results'!$S$65+ Calc!BE96*'Waste results'!$S$101, "data missing")))))))))))</f>
        <v/>
      </c>
      <c r="BG98" s="239" t="str">
        <f ca="1">IF($B98="","",
IF(ISBLANK('Soil results'!O101),"data missing",'Soil results'!O101))</f>
        <v/>
      </c>
      <c r="BH98" s="239" t="str">
        <f t="shared" ca="1" si="30"/>
        <v/>
      </c>
      <c r="BI98" s="9" t="str">
        <f ca="1">IF(B98="","",
IF(BF98=0,"n/a",
IF(OR(BF98="data missing",BG98="data missing"),"data missing",
IF(BF98&gt;3,"application rate too high - permissible rate exceeds limit",
IF('Soil results'!F101&lt;=5.5,
  IF(BG98&gt;50,"no application - soil conc. already above limit",
  IF(BH98&gt;50,"application rate too high - soil conc. will exceed limit",
  IF(BG98&gt;50*0.9,"soil conc. is at or above 90% of the limit",
  IF(10*BF98*1000/3000+BG98&gt;50,"soil limit likely to be exceeded in 10yrs",
  IF(50*BF98*1000/3000+BG98&gt;50,"soil limit likely to be exceeded in 50yrs","ok"))))),
IF('Soil results'!F101&lt;=6,
  IF(BG98&gt;60,"no application - soil conc. already above limit",
  IF(BH98&gt;60,"application rate too high - soil conc. will exceed limit",
  IF(BG98&gt;60*0.9,"soil conc. is at or above 90% of the limit",
  IF(10*BF98*1000/3000+BG98&gt;60,"soil limit likely to be exceeded in 10yrs",
  IF(50*BF98*1000/3000+BG98&gt;60,"soil limit likely to be exceeded in 50yrs","ok"))))),
IF('Soil results'!F101&lt;=7,
  IF(BG98&gt;75,"no application - soil conc. already above limit",
  IF(BH98&gt;75,"application rate too high - soil conc. will exceed limit",
  IF(BG98&gt;75*0.9,"soil conc. is at or above 90% of the limit",
  IF(10*BF98*1000/3000+BG98&gt;75,"soil limit likely to be exceeded in 10yrs",
  IF(50*BF98*1000/3000+BG98&gt;75,"soil limit likely to be exceeded in 50yrs","ok"))))),
IF('Soil results'!F101&gt;7,
  IF(BG98&gt;100,"no application - soil conc. already above limit",
  IF(BH98&gt;100,"application rate too high - soil conc. will exceed limit",
  IF(BG98&gt;100*0.9,"soil conc. is at or above 90% of the limit",
  IF(10*BF98*1000/3000+BG98&gt;100,"soil limit likely to be exceeded in 10yrs",
  IF(50*BF98*1000/3000+BG98&gt;100,"soil limit likely to beexceeded in 50yrs","ok")))))
))))))))</f>
        <v/>
      </c>
      <c r="BK98" s="240" t="str">
        <f ca="1">IF(B98="","",
IF(AND('Field information 2'!$O$5="", 'Field information 2'!$Q$5=""),
   IF('Waste results'!$S$30&lt;&gt;"data missing", Calc!BC96*'Waste results'!$S$30, "data missing"),
IF('Field information 2'!$Q$5="",
   IF(Calc!BD96=0,
     IF('Waste results'!$S$30&lt;&gt;"data missing", Calc!BC96*'Waste results'!$S$30, "data missing"),
   IF(Calc!BC96=0,
     IF('Waste results'!$S$66&lt;&gt;"data missing", Calc!BD96*'Waste results'!$S$66, "data missing"),
   IF(OR('Waste results'!$S$30&lt;&gt;"data missing", 'Waste results'!$S$66&lt;&gt;"data missing"), Calc!BC96*'Waste results'!$S$30+ Calc!BD96*'Waste results'!$S$66, "data missing"))),
IF(AND('Field information 2'!$M$5&lt;&gt;"", 'Field information 2'!$O$5&lt;&gt;"", 'Field information 2'!$Q$5&lt;&gt;""),
   IF(AND(Calc!BD96=0,Calc!BE96=0),
     IF('Waste results'!$S$30&lt;&gt;"data missing", Calc!BC96*'Waste results'!$S$30, "data missing"),
   IF(AND(Calc!BC96=0,Calc!BE96=0),
     IF('Waste results'!$S$66&lt;&gt;"data missing", Calc!BD96*'Waste results'!$S$66, "data missing"),
   IF(AND(Calc!BC96=0,Calc!BD96=0),
     IF('Waste results'!$S$102&lt;&gt;"data missing", Calc!BE96*'Waste results'!$S$102, "data missing"),
   IF(Calc!BE96=0,
     IF(OR('Waste results'!$S$30&lt;&gt;"data missing", 'Waste results'!$S$66&lt;&gt;"data missing"), Calc!BC96*'Waste results'!$S$30+ Calc!BD96*'Waste results'!$S$66, "data missing"),
   IF(Calc!BD96=0,
     IF(OR('Waste results'!$S$30&lt;&gt;"data missing", 'Waste results'!$S$102&lt;&gt;"data missing"), Calc!BC96*'Waste results'!$S$30+ Calc!BE96*'Waste results'!$S$102, "data missing"),
   IF(Calc!BC96=0,
     IF(OR('Waste results'!$S$66&lt;&gt;"data missing", 'Waste results'!$S$102&lt;&gt;"data missing"), Calc!BD96*'Waste results'!$S$66+Calc!BE96*'Waste results'!$S$102, "data missing"),
   IF(OR('Waste results'!$S$30&lt;&gt;"data missing", 'Waste results'!$S$66&lt;&gt;"data missing", 'Waste results'!$S$102&lt;&gt;"data missing"), Calc!BC96*'Waste results'!$S$30+Calc!BD96*'Waste results'!$S$66+ Calc!BE96*'Waste results'!$S$102, "data missing")))))))))))</f>
        <v/>
      </c>
      <c r="BL98" s="241" t="str">
        <f ca="1">IF($B98="","",
IF(ISBLANK('Soil results'!P101),"data missing",'Soil results'!P101))</f>
        <v/>
      </c>
      <c r="BM98" s="241" t="str">
        <f t="shared" ca="1" si="31"/>
        <v/>
      </c>
      <c r="BN98" s="66" t="str">
        <f t="shared" ca="1" si="32"/>
        <v/>
      </c>
      <c r="BP98" s="238" t="str">
        <f ca="1">IF(B98="","",
IF(AND('Field information 2'!$O$5="", 'Field information 2'!$Q$5=""),
   IF('Waste results'!$S$31&lt;&gt;"data missing", Calc!BC96*'Waste results'!$S$31, "data missing"),
IF('Field information 2'!$Q$5="",
   IF(Calc!BD96=0,
     IF('Waste results'!$S$31&lt;&gt;"data missing", Calc!BC96*'Waste results'!$S$31, "data missing"),
   IF(Calc!BC96=0,
     IF('Waste results'!$S$67&lt;&gt;"data missing", Calc!BD96*'Waste results'!$S$67, "data missing"),
   IF(OR('Waste results'!$S$31&lt;&gt;"data missing", 'Waste results'!$S$67&lt;&gt;"data missing"), Calc!BC96*'Waste results'!$S$31+ Calc!BD96*'Waste results'!$S$67, "data missing"))),
IF(AND('Field information 2'!$M$5&lt;&gt;"", 'Field information 2'!$O$5&lt;&gt;"", 'Field information 2'!$Q$5&lt;&gt;""),
   IF(AND(Calc!BD96=0,Calc!BE96=0),
     IF('Waste results'!$S$31&lt;&gt;"data missing", Calc!BC96*'Waste results'!$S$31, "data missing"),
   IF(AND(Calc!BC96=0,Calc!BE96=0),
     IF('Waste results'!$S$67&lt;&gt;"data missing", Calc!BD96*'Waste results'!$S$67, "data missing"),
   IF(AND(Calc!BC96=0,Calc!BD96=0),
     IF('Waste results'!$S$103&lt;&gt;"data missing", Calc!BE96*'Waste results'!$S$103, "data missing"),
   IF(Calc!BE96=0,
     IF(OR('Waste results'!$S$31&lt;&gt;"data missing", 'Waste results'!$S$67&lt;&gt;"data missing"), Calc!BC96*'Waste results'!$S$31+ Calc!BD96*'Waste results'!$S$67, "data missing"),
   IF(Calc!BD96=0,
     IF(OR('Waste results'!$S$31&lt;&gt;"data missing", 'Waste results'!$S$103&lt;&gt;"data missing"), Calc!BC96*'Waste results'!$S$31+ Calc!BE96*'Waste results'!$S$103, "data missing"),
   IF(Calc!BC96=0,
     IF(OR('Waste results'!$S$67&lt;&gt;"data missing", 'Waste results'!$S$103&lt;&gt;"data missing"), Calc!BD96*'Waste results'!$S$67+Calc!BE96*'Waste results'!$S$103, "data missing"),
   IF(OR('Waste results'!$S$31&lt;&gt;"data missing", 'Waste results'!$S$67&lt;&gt;"data missing", 'Waste results'!$S$103&lt;&gt;"data missing"), Calc!BC96*'Waste results'!$S$31+Calc!BD96*'Waste results'!$S$67+ Calc!BE96*'Waste results'!$S$103, "data missing")))))))))))</f>
        <v/>
      </c>
      <c r="BQ98" s="239" t="str">
        <f ca="1">IF($B98="","",
IF(ISBLANK('Soil results'!Q101),"data missing",'Soil results'!Q101))</f>
        <v/>
      </c>
      <c r="BR98" s="239" t="str">
        <f t="shared" ca="1" si="33"/>
        <v/>
      </c>
      <c r="BS98" s="9" t="str">
        <f ca="1">IF(B98="","",
IF(BP98=0,"n/a",
IF(OR(BP98="data missing",BQ98=""),"data missing",
IF(BP98&gt;15,"application rate too high - permissible rate exceeds limit",
IF('Soil results'!F101&lt;=5.5,
  IF(BQ98&gt;200,"no application - soil conc. already above limit",
  IF(BR98&gt;200,"application rate too high - soil conc. will exceed limit",
  IF(BQ98&gt;200*0.9,"soil conc. is at or above 90% of the limit",
  IF(10*BP98*1000/3000+BQ98&gt;200,"soil limit likely to be exceeded in 10yrs",
  IF(50*BP98*1000/3000+BQ98&gt;200,"soil limit likely to be exceeded in 50yrs","ok"))))),
IF('Soil results'!F101&lt;=6,
  IF(BQ98&gt;250,"no application - soil conc. already above limit",
  IF(BR98&gt;250,"application rate too high - soil conc. will exceed limit",
  IF(BQ98&gt;250*0.9,"soil conc. is at or above 90% of the limit",
  IF(10*BP98*1000/3000+BQ98&gt;250,"soil limit likely to be exceeded in 10yrs",
  IF(50*BP98*1000/3000+BQ98&gt;250,"soil limit likely to be exceeded in 50yrs","ok"))))),
IF('Soil results'!F101&lt;=7,
  IF(BQ98&gt;300,"no application - soil conc. already above limit",
  IF(BR98&gt;300,"application rate too high - soil conc. will exceed limit",
  IF(BQ98&gt;300*0.9,"soil conc. is at or above 90% of the limit",
  IF(10*BP98*1000/3000+BQ98&gt;300,"soil limit likey to be exceeded in 10yrs",
  IF(50*BP98*1000/3000+BQ98&gt;300,"soil limit likely to be exceeded in 50yrs","ok"))))),
IF('Soil results'!F101&gt;7,
  IF(BQ98&gt;450,"no application - soil conc. already above limit",
  IF(BR98&gt;450,"application rate too high - soil conc. will exceed limit",
  IF(AW98&gt;450*0.9,"soil conc. is at or above 90% of the limit",
  IF(10*BP98*1000/3000+BQ98&gt;450,"soil limit likely to be exceeded in 10yrs",
  IF(50*BP98*1000/3000+BQ98&gt;450,"soil limit likely to be exceeded in 50yrs","ok")))))
))))))))</f>
        <v/>
      </c>
    </row>
    <row r="99" spans="2:71" s="9" customFormat="1" ht="15" x14ac:dyDescent="0.25">
      <c r="B99" s="236" t="str">
        <f ca="1">'Soil results'!B102</f>
        <v/>
      </c>
      <c r="C99" s="91" t="str">
        <f ca="1">IF(B99="","",
IF(AND('Field information 2'!$O$5="", 'Field information 2'!$Q$5=""),
   IF('Waste results'!$S$12&lt;&gt;"data missing", Calc!BC97*'Waste results'!$S$12, "data missing"),
IF('Field information 2'!$Q$5="",
   IF(Calc!BD97=0,
     IF('Waste results'!$S$12&lt;&gt;"data missing", Calc!BC97*'Waste results'!$S$12, "data missing"),
   IF(Calc!BC97=0,
     IF('Waste results'!$S$48&lt;&gt;"data missing", Calc!BD97*'Waste results'!$S$48, "data missing"),
   IF(OR('Waste results'!$S$12&lt;&gt;"data missing", 'Waste results'!$S$48&lt;&gt;"data missing"), Calc!BC97*'Waste results'!$S$12+ Calc!BD97*'Waste results'!$S$48, "data missing"))),
IF(AND('Field information 2'!$M$5&lt;&gt;"", 'Field information 2'!$O$5&lt;&gt;"", 'Field information 2'!$Q$5&lt;&gt;""),
   IF(AND(Calc!BD97=0,Calc!BE97=0),
     IF('Waste results'!$S$12&lt;&gt;"data missing", Calc!BC97*'Waste results'!$S$12, "data missing"),
   IF(AND(Calc!BC97=0,Calc!BE97=0),
     IF('Waste results'!$S$48&lt;&gt;"data missing", Calc!BD97*'Waste results'!$S$48, "data missing"),
   IF(AND(Calc!BC97=0,Calc!BD97=0),
     IF('Waste results'!$S$84&lt;&gt;"data missing", Calc!BE97*'Waste results'!$S$84, "data missing"),
   IF(Calc!BE97=0,
     IF(OR('Waste results'!$S$12&lt;&gt;"data missing", 'Waste results'!$S$48&lt;&gt;"data missing"), Calc!BC97*'Waste results'!$S$12+ Calc!BD97*'Waste results'!$S$48, "data missing"),
   IF(Calc!BD97=0,
     IF(OR('Waste results'!$S$12&lt;&gt;"data missing", 'Waste results'!$S$84&lt;&gt;"data missing"), Calc!BC97*'Waste results'!$S$12+ Calc!BE97*'Waste results'!$S$84, "data missing"),
   IF(Calc!BC97=0,
     IF(OR('Waste results'!$S$48&lt;&gt;"data missing", 'Waste results'!$S$84&lt;&gt;"data missing"), Calc!BD97*'Waste results'!$S$48+Calc!BE97*'Waste results'!$S$84, "data missing"),
   IF(OR('Waste results'!$S$12&lt;&gt;"data missing", 'Waste results'!$S$48&lt;&gt;"data missing", 'Waste results'!$S$84&lt;&gt;"data missing"), Calc!BC97*'Waste results'!$S$12+Calc!BD97*'Waste results'!$S$48+ Calc!BE97*'Waste results'!$S$84, "data missing")))))))))))</f>
        <v/>
      </c>
      <c r="D99" s="161" t="str">
        <f ca="1">IF(B99="","",
IF(Calc!BG97="","soil texture missing",
IF(OR(Calc!BG97="SL; SZL; ZL",Calc!BG97="SCL; CL; ZCL; SC; ZC; C"),VLOOKUP(Calc!BI97,'Fertiliser recommendations'!$A$4:$C$63,3,FALSE),
IF(Calc!BG97="S; LS",VLOOKUP(Calc!BI97,'Fertiliser recommendations'!$A$4:$C$63,3,FALSE)+VLOOKUP(Calc!BI97,'Fertiliser recommendations'!$A$4:$D$63,4,FALSE),
IF(Calc!BG97="10-25% OM",VLOOKUP(Calc!BI97,'Fertiliser recommendations'!$A$4:$C$63,3,FALSE)+VLOOKUP(Calc!BI97,'Fertiliser recommendations'!$A$4:$E$63,5,FALSE),
IF(Calc!BG97="&gt;25% OM",VLOOKUP(Calc!BI97,'Fertiliser recommendations'!$A$4:$C$63,3,FALSE)+VLOOKUP(Calc!BI97,'Fertiliser recommendations'!$A$4:$F$63,6,FALSE),
""))))))</f>
        <v/>
      </c>
      <c r="E99" s="91" t="str">
        <f t="shared" ca="1" si="17"/>
        <v/>
      </c>
      <c r="F99" s="9" t="str">
        <f ca="1">IF(B99="","",
IF(OR(C99="data missing",D99="soil texture missing"),"data missing",
IF(Calc!BF97=0,"n/a",
IF(C99&lt;0.1*D99,"no benefit",
IF(C99&lt;0.3*D99,"limited benefit",
IF(C99&gt;250,"exceeds limit",
IF(OR(AND(D99=0,C99&gt;75),C99&gt;1.25*D99),"excessive",
IF(D99=0, "no requirement",
"benefit"))))))))</f>
        <v/>
      </c>
      <c r="H99" s="91" t="str">
        <f ca="1">IF(B99="","",
IF(AND('Field information 2'!$O$5="", 'Field information 2'!$Q$5=""),
   IF('Waste results'!$S$17&lt;&gt;"data missing", Calc!BC97*'Waste results'!$S$17, "data missing"),
IF('Field information 2'!$Q$5="",
   IF(Calc!BD97=0,
     IF('Waste results'!$S$17&lt;&gt;"data missing", Calc!BC97*'Waste results'!$S$17, "data missing"),
   IF(Calc!BC97=0,
     IF('Waste results'!$S$53&lt;&gt;"data missing", Calc!BD97*'Waste results'!$S$53, "data missing"),
   IF(OR('Waste results'!$S$17&lt;&gt;"data missing", 'Waste results'!$S$53&lt;&gt;"data missing"), Calc!BC97*'Waste results'!$S$17+ Calc!BD97*'Waste results'!$S$53, "data missing"))),
IF(AND('Field information 2'!$M$5&lt;&gt;"", 'Field information 2'!$O$5&lt;&gt;"", 'Field information 2'!$Q$5&lt;&gt;""),
   IF(AND(Calc!BD97=0,Calc!BE97=0),
     IF('Waste results'!$S$17&lt;&gt;"data missing", Calc!BC97*'Waste results'!$S$17, "data missing"),
   IF(AND(Calc!BC97=0,Calc!BE97=0),
     IF('Waste results'!$S$53&lt;&gt;"data missing", Calc!BD97*'Waste results'!$S$53, "data missing"),
   IF(AND(Calc!BC97=0,Calc!BD97=0),
     IF('Waste results'!$S$89&lt;&gt;"data missing", Calc!BE97*'Waste results'!$S$89, "data missing"),
   IF(Calc!BE97=0,
     IF(OR('Waste results'!$S$17&lt;&gt;"data missing", 'Waste results'!$S$53&lt;&gt;"data missing"), Calc!BC97*'Waste results'!$S$17+ Calc!BD97*'Waste results'!$S$53, "data missing"),
   IF(Calc!BD97=0,
     IF(OR('Waste results'!$S$17&lt;&gt;"data missing", 'Waste results'!$S$89&lt;&gt;"data missing"), Calc!BC97*'Waste results'!$S$17+ Calc!BE97*'Waste results'!$S$89, "data missing"),
   IF(Calc!BC97=0,
     IF(OR('Waste results'!$S$53&lt;&gt;"data missing", 'Waste results'!$S$89&lt;&gt;"data missing"), Calc!BD97*'Waste results'!$S$53+Calc!BE97*'Waste results'!$S$89, "data missing"),
   IF(OR('Waste results'!$S$17&lt;&gt;"data missing", 'Waste results'!$S$53&lt;&gt;"data missing", 'Waste results'!$S$89&lt;&gt;"data missing"), Calc!BC97*'Waste results'!$S$17+Calc!BD97*'Waste results'!$S$53+ Calc!BE97*'Waste results'!$S$89, "data missing")))))))))))</f>
        <v/>
      </c>
      <c r="I99" s="195" t="str">
        <f ca="1">IF(B99="","",
IF(OR(ISBLANK('Soil results'!G102), ISBLANK('Soil results'!G$7)),"data missing",
IF(OR(AND('Soil results'!G$7="Olsen (ADAS)",'Soil results'!G102&lt;16),AND('Soil results'!G$7="modified Morgan (SAC)",'Soil results'!G102&lt;4.5)),50,100)))</f>
        <v/>
      </c>
      <c r="J99" s="49" t="str">
        <f ca="1">IF(B99="","",
IF(OR(ISBLANK('Soil results'!G$7),ISBLANK('Soil results'!G102)),"data missing",
IF(OR(AND('Soil results'!G$7="Olsen (ADAS)",'Soil results'!G102&gt;45),AND('Soil results'!G$7="modified Morgan (SAC)",'Soil results'!G102&gt;30)),0,
IF(OR(AND('Soil results'!G$7="Olsen (ADAS)",'Soil results'!G102&gt;=16,'Soil results'!G102&lt;=20),AND('Soil results'!G$7="modified Morgan (SAC)",'Soil results'!G102&gt;=4.5,'Soil results'!G102&lt;=9.4)),VLOOKUP(Calc!BI97,'Fertiliser recommendations'!$A$4:$I$63,9,FALSE),
IF(OR(AND('Soil results'!G$7="Olsen (ADAS)",'Soil results'!G102&lt;10),AND('Soil results'!G$7="modified Morgan (SAC)",'Soil results'!G102&lt;1.8)),VLOOKUP(Calc!BI97,'Fertiliser recommendations'!$A$4:$I$63,9,FALSE)+VLOOKUP(Calc!BI97,'Fertiliser recommendations'!$A$4:$J$63,10,FALSE),
IF(OR(AND('Soil results'!G$7="Olsen (ADAS)",'Soil results'!G102&lt;16),AND('Soil results'!G$7="modified Morgan (SAC)",'Soil results'!G102&lt;4.5)),VLOOKUP(Calc!BI97,'Fertiliser recommendations'!$A$4:$I$63,9,FALSE)+VLOOKUP(Calc!BI97,'Fertiliser recommendations'!$A$4:$K$63,11,FALSE),
IF(OR(AND('Soil results'!G$7="Olsen (ADAS)",'Soil results'!G102&lt;26),AND('Soil results'!G$7="modified Morgan (SAC)",'Soil results'!G102&lt;13.5)),VLOOKUP(Calc!BI97,'Fertiliser recommendations'!$A$4:$I$63,9,FALSE)+VLOOKUP(Calc!BI97,'Fertiliser recommendations'!$A$4:$L$63,12,FALSE),
IF(OR(AND('Soil results'!G$7="Olsen (ADAS)",'Soil results'!G102&lt;=45),AND('Soil results'!G$7="modified Morgan (SAC)",'Soil results'!G102&lt;=30)),VLOOKUP(Calc!BI97,'Fertiliser recommendations'!$A$4:$I$63,9,FALSE)+VLOOKUP(Calc!BI97,'Fertiliser recommendations'!$A$4:$M$63,13,FALSE),
""))))))))</f>
        <v/>
      </c>
      <c r="K99" s="161" t="str">
        <f t="shared" ca="1" si="18"/>
        <v/>
      </c>
      <c r="L99" s="47" t="str">
        <f ca="1">IF(OR(ISBLANK('Soil results'!G$7),ISBLANK('Soil results'!G102),B99="", H99="data missing"),"",
IF('Soil results'!G$7="Olsen (ADAS)",
IF(((H99*Calc!BM97/2.291-(VLOOKUP(Calc!BI97,'Fertiliser recommendations'!$A$4:$I$63,9,FALSE))/2.291)*10/(400/2.291)+'Soil results'!G102)&lt;10,"0 (VL)",
IF(((H99*Calc!BM97/2.291-(VLOOKUP(Calc!BI97,'Fertiliser recommendations'!$A$4:$I$63,9,FALSE))/2.291)*10/(400/2.291)+'Soil results'!G102)&lt;16,"1 (L)",
IF(((H99*Calc!BM97/2.291-(VLOOKUP(Calc!BI97,'Fertiliser recommendations'!$A$4:$I$63,9,FALSE))/2.291)*10/(400/2.291)+'Soil results'!G102)&lt;21,"2 (M-)",
IF(((H99*Calc!BM97/2.291-(VLOOKUP(Calc!BI97,'Fertiliser recommendations'!$A$4:$I$63,9,FALSE))/2.291)*10/(400/2.291)+'Soil results'!G102)&lt;26,"2 (M+)",
IF(((H99*Calc!BM97/2.291-(VLOOKUP(Calc!BI97,'Fertiliser recommendations'!$A$4:$I$63,9,FALSE))/2.291)*10/(400/2.291)+'Soil results'!G102)&lt;45,"3 (H)","&gt;3 (VH)"))))),
IF('Soil results'!G$7="modified Morgan (SAC)",
IF('Soil results'!G102&gt;=6,
IF(((H99*Calc!BM97/2.291-(VLOOKUP(Calc!BI97,'Fertiliser recommendations'!$A$4:$I$63,9,FALSE))/2.291)*5/(147/2.291)+'Soil results'!G102)&lt;9.5,"2 (M-)",
IF(((H99*Calc!BM97/2.291-(VLOOKUP(Calc!BI97,'Fertiliser recommendations'!$A$4:$I$63,9,FALSE))/2.291)*5/(147/2.291)+'Soil results'!G102)&lt;13.5,"2 (M+)",
IF(((H99*Calc!BM97/2.291-(VLOOKUP(Calc!BI97,'Fertiliser recommendations'!$A$4:$I$63,9,FALSE))/2.291)*5/(147/2.291)+'Soil results'!G102)&lt;30,"3 (H)","4 (VH)"))),
IF(((H99*Calc!BM97/2.291-(VLOOKUP(Calc!BI97,'Fertiliser recommendations'!$A$4:$I$63,9,FALSE))/2.291)*5/(346/2.291)+'Soil results'!G102)&lt;1.8,"0 (VL)",
IF(((H99*Calc!BM97/2.291-(VLOOKUP(Calc!BI97,'Fertiliser recommendations'!$A$4:$I$63,9,FALSE))/2.291)*5/(147/2.291)+'Soil results'!G102)&lt;4.5,"1 (L)","2 (M-)"))))))</f>
        <v/>
      </c>
      <c r="M99" s="9" t="str">
        <f ca="1">IF(B99="","",
IF(OR(H99="data missing",I99="data missing",J99="data missing"),"data missing",
IF(Calc!BF97=0,"n/a",
IF(OR(AND('Soil results'!G$7="Olsen (ADAS)",'Soil results'!G102&gt;45),AND('Soil results'!G$7="modified Morgan (SAC)",'Soil results'!G102&gt;30)),
IF(H99&gt;2,"too high, not acceptable","no requirement"),IF(OR(AND('Soil results'!G$7="Olsen (ADAS)",'Soil results'!G102&gt;25),AND('Soil results'!G$7="modified Morgan (SAC)",'Soil results'!G102&gt;13.4)),
IF(H99*(I99/100)&lt;0.1*J99,"no benefit",
IF(H99*(I99/100)&lt;0.3*J99,"limited benefit",
IF(H99*(I99/100)&lt;1.1*J99,"benefit",
IF(H99*(I99/100)&lt;0.7*VLOOKUP(Calc!BI97,'Fertiliser recommendations'!$A$4:$I$63,9,FALSE),"excessive","too high, not acceptable")))),
IF(OR(AND('Soil results'!G$7="Olsen (ADAS)",'Soil results'!G102&gt;20),AND('Soil results'!G$7="modified Morgan (SAC)",'Soil results'!G102&gt;9.4)),
IF(H99*Calc!BM97*(I99/100)&lt;0.1*J99,"no benefit",
IF(H99*Calc!BM97*(I99/100)&lt;0.3*J99,"limited benefit",
IF(H99*Calc!BM97*(I99/100)&lt;1.1*J99,"benefit",
IF(L99="3 (H)","too high, not acceptable","excessive")))),
IF(OR(AND('Soil results'!G$7="Olsen (ADAS)",'Soil results'!G102&gt;15),AND('Soil results'!G$7="modified Morgan (SAC)",'Soil results'!G102&gt;4.4)),
IF(H99*Calc!BM97*(I99/100)&lt;0.1*VLOOKUP(Calc!BI97,'Fertiliser recommendations'!$A$4:$I$63,9,FALSE),"no benefit",
IF(H99*Calc!BM97*(I99/100)&lt;0.3*VLOOKUP(Calc!BI97,'Fertiliser recommendations'!$A$4:$I$63,9,FALSE),"limited benefit",
IF(H99*Calc!BM97*(I99/100)&lt;1.1*VLOOKUP(Calc!BI97,'Fertiliser recommendations'!$A$4:$I$63,9,FALSE),"benefit",
IF(L99="3 (H)", "too high, not acceptable", "excessive")))),
IF(OR(AND('Soil results'!G$7="Olsen (ADAS)",'Soil results'!G102&lt;=15),AND('Soil results'!G$7="modified Morgan (SAC)",'Soil results'!G102&lt;=4.4)),
IF(H99*Calc!BM97*(I99/100)&lt;0.1*VLOOKUP(Calc!BI97,'Fertiliser recommendations'!$A$4:$I$63,9,FALSE),"no benefit",
IF(H99*Calc!BM97*(I99/100)&lt;0.3*VLOOKUP(Calc!BI97,'Fertiliser recommendations'!$A$4:$I$63,9,FALSE),"limited benefit",
IF(H99*Calc!BM97*(I99/100)&lt;1.1*J99,"benefit","excessive")))))))))))</f>
        <v/>
      </c>
      <c r="O99" s="91" t="str">
        <f ca="1">IF(B99="","",
IF(AND('Field information 2'!$O$5="", 'Field information 2'!$Q$5=""),
   IF('Waste results'!$S$19&lt;&gt;"data missing", Calc!BC97*'Waste results'!$S$19, "data missing"),
IF('Field information 2'!$Q$5="",
   IF(Calc!BD97=0,
     IF('Waste results'!$S$19&lt;&gt;"data missing", Calc!BC97*'Waste results'!$S$19, "data missing"),
   IF(Calc!BC97=0,
     IF('Waste results'!$S$55&lt;&gt;"data missing", Calc!BD97*'Waste results'!$S$55, "data missing"),
   IF(OR('Waste results'!$S$19&lt;&gt;"data missing", 'Waste results'!$S$55&lt;&gt;"data missing"), Calc!BC97*'Waste results'!$S$19+ Calc!BD97*'Waste results'!$S$55, "data missing"))),
IF(AND('Field information 2'!$M$5&lt;&gt;"", 'Field information 2'!$O$5&lt;&gt;"", 'Field information 2'!$Q$5&lt;&gt;""),
   IF(AND(Calc!BD97=0,Calc!BE97=0),
     IF('Waste results'!$S$19&lt;&gt;"data missing", Calc!BC97*'Waste results'!$S$19, "data missing"),
   IF(AND(Calc!BC97=0,Calc!BE97=0),
     IF('Waste results'!$S$55&lt;&gt;"data missing", Calc!BD97*'Waste results'!$S$55, "data missing"),
   IF(AND(Calc!BC97=0,Calc!BD97=0),
     IF('Waste results'!$S$91&lt;&gt;"data missing", Calc!BE97*'Waste results'!$S$91, "data missing"),
   IF(Calc!BE97=0,
     IF(OR('Waste results'!$S$19&lt;&gt;"data missing", 'Waste results'!$S$55&lt;&gt;"data missing"), Calc!BC97*'Waste results'!$S$19+ Calc!BD97*'Waste results'!$S$55, "data missing"),
   IF(Calc!BD97=0,
     IF(OR('Waste results'!$S$19&lt;&gt;"data missing", 'Waste results'!$S$91&lt;&gt;"data missing"), Calc!BC97*'Waste results'!$S$19+ Calc!BE97*'Waste results'!$S$91, "data missing"),
   IF(Calc!BC97=0,
     IF(OR('Waste results'!$S$55&lt;&gt;"data missing", 'Waste results'!$S$91&lt;&gt;"data missing"), Calc!BD97*'Waste results'!$S$55+Calc!BE97*'Waste results'!$S$91, "data missing"),
   IF(OR('Waste results'!$S$19&lt;&gt;"data missing", 'Waste results'!$S$55&lt;&gt;"data missing", 'Waste results'!$S$91&lt;&gt;"data missing"), Calc!BC97*'Waste results'!$S$19+Calc!BD97*'Waste results'!$S$55+ Calc!BE97*'Waste results'!$S$91, "data missing")))))))))))</f>
        <v/>
      </c>
      <c r="P99" s="91" t="str">
        <f ca="1">IF(B99="","",
IF(OR(ISBLANK('Soil results'!H$7),ISBLANK('Soil results'!H102)),"data missing",
IF(OR(AND('Soil results'!H$7="ammonium nitrate (ADAS)",'Soil results'!H102&gt;400),AND('Soil results'!H$7="modified Morgan (SAC)",'Soil results'!H102&gt;400)),0,
IF(OR(AND('Soil results'!H$7="ammonium nitrate (ADAS)",'Soil results'!H102&gt;=121,'Soil results'!H102&lt;=180),AND('Soil results'!H$7="modified Morgan (SAC)",'Soil results'!H102&gt;=76,'Soil results'!H102&lt;=140)),VLOOKUP(Calc!BI97,'Fertiliser recommendations'!$A$4:$Z$63,26,FALSE),
IF(OR(AND('Soil results'!H$7="ammonium nitrate (ADAS)",'Soil results'!H102&lt;61),AND('Soil results'!H$7="modified Morgan (SAC)",'Soil results'!H102&lt;40)),VLOOKUP(Calc!BI97,'Fertiliser recommendations'!$A$4:$Z$63,26,FALSE)+VLOOKUP(Calc!BI97,'Fertiliser recommendations'!$A$4:$AA$63,27,FALSE),
IF(OR(AND('Soil results'!H$7="ammonium nitrate (ADAS)",'Soil results'!H102&lt;121),AND('Soil results'!H$7="modified Morgan (SAC)",'Soil results'!H102&lt;76)),VLOOKUP(Calc!BI97,'Fertiliser recommendations'!$A$4:$Z$63,26,FALSE)+VLOOKUP(Calc!BI97,'Fertiliser recommendations'!$A$4:$AB$63,28,FALSE),
IF(OR(AND('Soil results'!H$7="ammonium nitrate (ADAS)",'Soil results'!H102&lt;241),AND('Soil results'!H$7="modified Morgan (SAC)",'Soil results'!H102&lt;201)),VLOOKUP(Calc!BI97,'Fertiliser recommendations'!$A$4:$Z$63,26,FALSE)+VLOOKUP(Calc!BI97,'Fertiliser recommendations'!$A$4:$AC$63,29,FALSE),
IF(OR(AND('Soil results'!H$7="ammonium nitrate (ADAS)",'Soil results'!H102&lt;=400),AND('Soil results'!H$7="modified Morgan (SAC)",'Soil results'!H102&lt;=400)),VLOOKUP(Calc!BI97,'Fertiliser recommendations'!$A$4:$Z$63,26,FALSE)+VLOOKUP(Calc!BI97,'Fertiliser recommendations'!$A$4:$AD$63,30,FALSE),
"??"))))))))</f>
        <v/>
      </c>
      <c r="Q99" s="91" t="str">
        <f t="shared" ca="1" si="19"/>
        <v/>
      </c>
      <c r="R99" s="9" t="str">
        <f ca="1">IF(B99="","",
IF(OR(O99="data missing",P99="data missing"),"data missing",
IF(Calc!BF97=0,"n/a",
IF(P99=0, "no requirement",
IF(O99&lt;0.1*P99,"no benefit",
IF(O99&lt;0.3*P99,"limited benefit",
IF(O99&gt;1.25*P99,"excessive",
"benefit")))))))</f>
        <v/>
      </c>
      <c r="T99" s="91" t="str">
        <f ca="1">IF(B99="","",
IF(AND('Field information 2'!$O$5="", 'Field information 2'!$Q$5=""),
   IF('Waste results'!$S$21&lt;&gt;"data missing", Calc!BC97*'Waste results'!$S$21, "data missing"),
IF('Field information 2'!$Q$5="",
   IF(Calc!BD97=0,
     IF('Waste results'!$S$21&lt;&gt;"data missing", Calc!BC97*'Waste results'!$S$21, "data missing"),
   IF(Calc!BC97=0,
     IF('Waste results'!$S$57&lt;&gt;"data missing", Calc!BD97*'Waste results'!$S$57, "data missing"),
   IF(OR('Waste results'!$S$21&lt;&gt;"data missing", 'Waste results'!$S$57&lt;&gt;"data missing"), Calc!BC97*'Waste results'!$S$21+ Calc!BD97*'Waste results'!$S$57, "data missing"))),
IF(AND('Field information 2'!$M$5&lt;&gt;"", 'Field information 2'!$O$5&lt;&gt;"", 'Field information 2'!$Q$5&lt;&gt;""),
   IF(AND(Calc!BD97=0,Calc!BE97=0),
     IF('Waste results'!$S$21&lt;&gt;"data missing", Calc!BC97*'Waste results'!$S$21, "data missing"),
   IF(AND(Calc!BC97=0,Calc!BE97=0),
     IF('Waste results'!$S$57&lt;&gt;"data missing", Calc!BD97*'Waste results'!$S$57, "data missing"),
   IF(AND(Calc!BC97=0,Calc!BD97=0),
     IF('Waste results'!$S$93&lt;&gt;"data missing", Calc!BE97*'Waste results'!$S$93, "data missing"),
   IF(Calc!BE97=0,
     IF(OR('Waste results'!$S$21&lt;&gt;"data missing", 'Waste results'!$S$57&lt;&gt;"data missing"), Calc!BC97*'Waste results'!$S$21+ Calc!BD97*'Waste results'!$S$57, "data missing"),
   IF(Calc!BD97=0,
     IF(OR('Waste results'!$S$21&lt;&gt;"data missing", 'Waste results'!$S$93&lt;&gt;"data missing"), Calc!BC97*'Waste results'!$S$21+ Calc!BE97*'Waste results'!$S$93, "data missing"),
   IF(Calc!BC97=0,
     IF(OR('Waste results'!$S$57&lt;&gt;"data missing", 'Waste results'!$S$93&lt;&gt;"data missing"), Calc!BD97*'Waste results'!$S$57+Calc!BE97*'Waste results'!$S$93, "data missing"),
   IF(OR('Waste results'!$S$21&lt;&gt;"data missing", 'Waste results'!$S$57&lt;&gt;"data missing", 'Waste results'!$S$93&lt;&gt;"data missing"), Calc!BC97*'Waste results'!$S$21+Calc!BD97*'Waste results'!$S$57+ Calc!BE97*'Waste results'!$S$93, "data missing")))))))))))</f>
        <v/>
      </c>
      <c r="U99" s="7" t="str">
        <f ca="1">IF(B99="","",
IF(OR(ISBLANK('Soil results'!I$7),ISBLANK('Soil results'!I102)),"data missing",
IF(OR(AND('Soil results'!I$7="ammonium nitrate (ADAS)",'Soil results'!I102&gt;51),AND('Soil results'!I$7="modified Morgan (SAC)",'Soil results'!I102&gt;61)),0,
IF(OR(AND('Soil results'!I$7="ammonium nitrate (ADAS)",'Soil results'!I102&lt;25),AND('Soil results'!I$7="modified Morgan (SAC)",'Soil results'!I102&lt;19)),VLOOKUP(Calc!BI97,'Fertiliser recommendations'!$A$4:$AH$63,34,FALSE),
IF(OR(AND('Soil results'!I$7="ammonium nitrate (ADAS)",'Soil results'!I102&lt;=51),AND('Soil results'!I$7="modified Morgan (SAC)",'Soil results'!I102&lt;=61)),VLOOKUP(Calc!BI97,'Fertiliser recommendations'!$A$4:$AI$63,35,FALSE),
"")))))</f>
        <v/>
      </c>
      <c r="V99" s="91" t="str">
        <f t="shared" ca="1" si="20"/>
        <v/>
      </c>
      <c r="W99" s="9" t="str">
        <f ca="1">IF(B99="","",
IF(OR(T99="data missing",U99="data missing"),"data missing",
IF(Calc!BF97=0,"n/a",
IF(U99=0,"no requirement",
IF(T99&lt;0.1*U99,"no benefit",
IF(T99&lt;0.3*U99,"limited benefit",
IF(OR(T99&gt;1.5*U99,AND(Calc!BJ97="g",T99&gt;100)),"excessive",
"benefit")))))))</f>
        <v/>
      </c>
      <c r="Y99" s="91" t="str">
        <f ca="1">IF(B99="","",
IF(AND('Field information 2'!$O$5="", 'Field information 2'!$Q$5=""),
   IF('Waste results'!$P$23&lt;&gt;"", Calc!BC97*'Waste results'!$P$23, "no data"),
IF('Field information 2'!$Q$5="",
   IF(Calc!BD97=0,
     IF('Waste results'!$P$23&lt;&gt;"", Calc!BC97*'Waste results'!$P$23, "no data"),
   IF(Calc!BC97=0,
     IF('Waste results'!$P$59&lt;&gt;"", Calc!BD97*'Waste results'!$P$59, "no data"),
   IF(OR('Waste results'!$P$23&lt;&gt;"", 'Waste results'!$P$59&lt;&gt;""), Calc!BC97*'Waste results'!$P$23+ Calc!BD97*'Waste results'!$P$59, "no data"))),
IF(AND('Field information 2'!$M$5&lt;&gt;"", 'Field information 2'!$O$5&lt;&gt;"", 'Field information 2'!$Q$5&lt;&gt;""),
   IF(AND(Calc!BD97=0,Calc!BE97=0),
     IF('Waste results'!$P$23&lt;&gt;"", Calc!BC97*'Waste results'!$P$23, "no data"),
   IF(AND(Calc!BC97=0,Calc!BE97=0),
     IF('Waste results'!$P$59&lt;&gt;"", Calc!BD97*'Waste results'!$P$59, "no data"),
   IF(AND(Calc!BC97=0,Calc!BD97=0),
     IF('Waste results'!$P$95&lt;&gt;"", Calc!BE97*'Waste results'!$P$95, "no data"),
   IF(Calc!BE97=0,
     IF(OR('Waste results'!$P$23&lt;&gt;"", 'Waste results'!$P$59&lt;&gt;""), Calc!BC97*'Waste results'!$P$23+ Calc!BD97*'Waste results'!$P$59, "no data"),
   IF(Calc!BD97=0,
     IF(OR('Waste results'!$P$23&lt;&gt;"", 'Waste results'!$P$95&lt;&gt;""), Calc!BC97*'Waste results'!$P$23+ Calc!BE97*'Waste results'!$P$95, "no data"),
   IF(Calc!BC97=0,
     IF(OR('Waste results'!$P$59&lt;&gt;"", 'Waste results'!$P$95&lt;&gt;""), Calc!BD97*'Waste results'!$P$59+Calc!BE97*'Waste results'!$P$95, "no data"),
   IF(OR('Waste results'!$P$23&lt;&gt;"", 'Waste results'!$P$59&lt;&gt;"", 'Waste results'!$P$95&lt;&gt;""), Calc!BC97*'Waste results'!$P$23+Calc!BD97*'Waste results'!$P$59+ Calc!BE97*'Waste results'!$P$95, "no data")))))))))))</f>
        <v/>
      </c>
      <c r="Z99" s="7" t="str">
        <f ca="1">IF(OR(ISBLANK('Soil results'!I$7),ISBLANK('Soil results'!I102),'Soil results'!B102=""),"",
VLOOKUP(Calc!BI97,'Fertiliser recommendations'!$A$4:$AM$63,39,FALSE))</f>
        <v/>
      </c>
      <c r="AA99" s="91" t="str">
        <f t="shared" ca="1" si="21"/>
        <v/>
      </c>
      <c r="AB99" s="9" t="str">
        <f t="shared" ca="1" si="22"/>
        <v/>
      </c>
      <c r="AD99" s="48" t="str">
        <f>IF(ISBLANK('Soil results'!F102),"",'Soil results'!F102)</f>
        <v/>
      </c>
      <c r="AE99" s="49" t="str">
        <f ca="1">IF(B99="","",
IF(AND(Calc!BJ97="g", VLOOKUP(LEFT($B99,LEN($B99)-2),'Field information 2'!$B$12:$P$111,9,FALSE)&lt;&gt;"yes"),
 IF(Calc!BG97="10-25% OM", 5.9, IF(Calc!BG97="&gt;25% OM", 5.5, 6.2)),
IF(OR(Calc!BJ97="a", VLOOKUP(LEFT($B99,LEN($B99)-2),'Field information 2'!$B$12:$P$111,9,FALSE)="yes"),
 IF(Calc!BG97="10-25% OM", 6.4, IF(Calc!BG97="&gt;25% OM", 6, 6.7)), "")))</f>
        <v/>
      </c>
      <c r="AF99" s="91" t="str">
        <f ca="1">IF(B99="","",
IF('Waste results'!$Q$33="","no (significant) liming properties",
IF('Waste results'!Q$33&gt;100,"no (significant) liming properties",
IF(AD99="","",
IF(AD99&gt;=AE99,0,ROUNDDOWN((AE99-AD99)*Calc!BK97*'Waste results'!$Q$33+0.2,0))))))</f>
        <v/>
      </c>
      <c r="AG99" s="9" t="str">
        <f ca="1">IF(B99="","",
IF(T99=0,"n/a",
IF(AD99="","data missing",
IF(AND(AD99&lt;5,AF99="no (significant) liming properties"),"no waste application - pH too low",
IF(AND(AD99&gt;5.1,AF99="no (significant) liming properties",Calc!BH97&gt;25, LEFT(Calc!BI97,4)="graz"),"ok",
IF(AND(AD99&lt;=5.2,AF99="no (significant) liming properties"),"liming highly recommended",
IF(AF99=0,"no waste application - liming not required",
IF(AF99&lt;Calc!BC97,"application rate too high - exceeds liming requirement",
"ok"))))))))</f>
        <v/>
      </c>
      <c r="AI99" s="91" t="str">
        <f ca="1">IF(B99="","",
IF(AND('Field information 2'!$O$5="", 'Field information 2'!$Q$5=""),
   IF('Waste results'!$P$10&lt;&gt;"data missing", Calc!BC97*'Waste results'!$P$10, "data missing"),
IF('Field information 2'!$Q$5="",
   IF(Calc!BD97=0,
     IF('Waste results'!$P$10&lt;&gt;"data missing", Calc!BC97*'Waste results'!$P$10, "data missing"),
   IF(Calc!BC97=0,
     IF('Waste results'!$P$45&lt;&gt;"data missing", Calc!BD97*'Waste results'!$P$45, "data missing"),
   IF(OR('Waste results'!$P$10&lt;&gt;"data missing", 'Waste results'!$P$45&lt;&gt;"data missing"), Calc!BC97*'Waste results'!$P$10+ Calc!BD97*'Waste results'!$P$45, "data missing"))),
IF(AND('Field information 2'!$M$5&lt;&gt;"", 'Field information 2'!$O$5&lt;&gt;"", 'Field information 2'!$Q$5&lt;&gt;""),
   IF(AND(Calc!BD97=0,Calc!BE97=0),
     IF('Waste results'!$P$10&lt;&gt;"data missing", Calc!BC97*'Waste results'!$P$10, "data missing"),
   IF(AND(Calc!BC97=0,Calc!BE97=0),
     IF('Waste results'!$P$45&lt;&gt;"data missing", Calc!BD97*'Waste results'!$P$45, "data missing"),
   IF(AND(Calc!BC97=0,Calc!BD97=0),
     IF('Waste results'!$P$82&lt;&gt;"data missing", Calc!BE97*'Waste results'!$P$82, "data missing"),
   IF(Calc!BE97=0,
     IF(OR('Waste results'!$P$10&lt;&gt;"data missing", 'Waste results'!$P$45&lt;&gt;"data missing"), Calc!BC97*'Waste results'!$P$10+ Calc!BD97*'Waste results'!$P$45, "data missing"),
   IF(Calc!BD97=0,
     IF(OR('Waste results'!$P$10&lt;&gt;"data missing", 'Waste results'!$P$82&lt;&gt;"data missing"), Calc!BC97*'Waste results'!$P$10+ Calc!BE97*'Waste results'!$P$82, "data missing"),
   IF(Calc!BC97=0,
     IF(OR('Waste results'!$P$45&lt;&gt;"data missing", 'Waste results'!$P$82&lt;&gt;"data missing"), Calc!BD97*'Waste results'!$P$45+Calc!BE97*'Waste results'!$P$82, "data missing"),
   IF(OR('Waste results'!$P$10&lt;&gt;"data missing", 'Waste results'!$P$45&lt;&gt;"data missing", 'Waste results'!$P$82&lt;&gt;"data missing"), Calc!BC97*'Waste results'!$P$10+Calc!BD97*'Waste results'!$P$45+ Calc!BE97*'Waste results'!$P$82, "data missing")))))))))))</f>
        <v/>
      </c>
      <c r="AJ99" s="237" t="str">
        <f ca="1">IF(B99="","",
IF(AI99="data missing","data missing",
IF(Calc!BF97=0,"n/a",
IF(AND(Calc!BH97&gt;=8,AI99&lt;500),"no benefit",
IF(OR(AND(Calc!BH97&lt;=4,AI99&gt;=500),AND(Calc!BH97&lt;8,AI99&gt;5000)),"benefit",
"limited benefit")))))</f>
        <v/>
      </c>
      <c r="AL99" s="238" t="str">
        <f ca="1">IF(B99="","",
IF(AND('Field information 2'!$O$5="", 'Field information 2'!$Q$5=""),
   IF('Waste results'!$S$25&lt;&gt;"data missing", Calc!BC97*'Waste results'!$S$25, "data missing"),
IF('Field information 2'!$Q$5="",
   IF(Calc!BD97=0,
     IF('Waste results'!$S$25&lt;&gt;"data missing", Calc!BC97*'Waste results'!$S$25, "data missing"),
   IF(Calc!BC97=0,
     IF('Waste results'!$S$61&lt;&gt;"data missing", Calc!BD97*'Waste results'!$S$61, "data missing"),
   IF(OR('Waste results'!$S$25&lt;&gt;"data missing", 'Waste results'!$S$61&lt;&gt;"data missing"), Calc!BC97*'Waste results'!$S$25+ Calc!BD97*'Waste results'!$S$61, "data missing"))),
IF(AND('Field information 2'!$M$5&lt;&gt;"", 'Field information 2'!$O$5&lt;&gt;"", 'Field information 2'!$Q$5&lt;&gt;""),
   IF(AND(Calc!BD97=0,Calc!BE97=0),
     IF('Waste results'!$S$25&lt;&gt;"data missing", Calc!BC97*'Waste results'!$S$25, "data missing"),
   IF(AND(Calc!BC97=0,Calc!BE97=0),
     IF('Waste results'!$S$61&lt;&gt;"data missing", Calc!BD97*'Waste results'!$S$61, "data missing"),
   IF(AND(Calc!BC97=0,Calc!BD97=0),
     IF('Waste results'!$S$97&lt;&gt;"data missing", Calc!BE97*'Waste results'!$S$97, "data missing"),
   IF(Calc!BE97=0,
     IF(OR('Waste results'!$S$25&lt;&gt;"data missing", 'Waste results'!$S$61&lt;&gt;"data missing"), Calc!BC97*'Waste results'!$S$25+ Calc!BD97*'Waste results'!$S$61, "data missing"),
   IF(Calc!BD97=0,
     IF(OR('Waste results'!$S$25&lt;&gt;"data missing", 'Waste results'!$S$97&lt;&gt;"data missing"), Calc!BC97*'Waste results'!$S$25+ Calc!BE97*'Waste results'!$S$97, "data missing"),
   IF(Calc!BC97=0,
     IF(OR('Waste results'!$S$61&lt;&gt;"data missing", 'Waste results'!$S$97&lt;&gt;"data missing"), Calc!BD97*'Waste results'!$S$61+Calc!BE97*'Waste results'!$S$97, "data missing"),
   IF(OR('Waste results'!$S$25&lt;&gt;"data missing", 'Waste results'!$S$61&lt;&gt;"data missing", 'Waste results'!$S$97&lt;&gt;"data missing"), Calc!BC97*'Waste results'!$S$25+Calc!BD97*'Waste results'!$S$61+ Calc!BE97*'Waste results'!$S$97, "data missing")))))))))))</f>
        <v/>
      </c>
      <c r="AM99" s="239" t="str">
        <f ca="1">IF($B99="","",
IF(ISBLANK('Soil results'!K102),"data missing",'Soil results'!K102))</f>
        <v/>
      </c>
      <c r="AN99" s="239" t="str">
        <f t="shared" ca="1" si="23"/>
        <v/>
      </c>
      <c r="AO99" s="9" t="str">
        <f t="shared" ca="1" si="24"/>
        <v/>
      </c>
      <c r="AQ99" s="240" t="str">
        <f ca="1">IF(B99="","",
IF(AND('Field information 2'!$O$5="", 'Field information 2'!$Q$5=""),
   IF('Waste results'!$S$26&lt;&gt;"data missing", Calc!BC97*'Waste results'!$S$26, "data missing"),
IF('Field information 2'!$Q$5="",
   IF(Calc!BD97=0,
     IF('Waste results'!$S$26&lt;&gt;"data missing", Calc!BC97*'Waste results'!$S$26, "data missing"),
   IF(Calc!BC97=0,
     IF('Waste results'!$S$62&lt;&gt;"data missing", Calc!BD97*'Waste results'!$S$62, "data missing"),
   IF(OR('Waste results'!$S$26&lt;&gt;"data missing", 'Waste results'!$S$62&lt;&gt;"data missing"), Calc!BC97*'Waste results'!$S$26+ Calc!BD97*'Waste results'!$S$62, "data missing"))),
IF(AND('Field information 2'!$M$5&lt;&gt;"", 'Field information 2'!$O$5&lt;&gt;"", 'Field information 2'!$Q$5&lt;&gt;""),
   IF(AND(Calc!BD97=0,Calc!BE97=0),
     IF('Waste results'!$S$26&lt;&gt;"data missing", Calc!BC97*'Waste results'!$S$26, "data missing"),
   IF(AND(Calc!BC97=0,Calc!BE97=0),
     IF('Waste results'!$S$62&lt;&gt;"data missing", Calc!BD97*'Waste results'!$S$62, "data missing"),
   IF(AND(Calc!BC97=0,Calc!BD97=0),
     IF('Waste results'!$S$98&lt;&gt;"data missing", Calc!BE97*'Waste results'!$S$98, "data missing"),
   IF(Calc!BE97=0,
     IF(OR('Waste results'!$S$26&lt;&gt;"data missing", 'Waste results'!$S$62&lt;&gt;"data missing"), Calc!BC97*'Waste results'!$S$26+ Calc!BD97*'Waste results'!$S$62, "data missing"),
   IF(Calc!BD97=0,
     IF(OR('Waste results'!$S$26&lt;&gt;"data missing", 'Waste results'!$S$98&lt;&gt;"data missing"), Calc!BC97*'Waste results'!$S$26+ Calc!BE97*'Waste results'!$S$98, "data missing"),
   IF(Calc!BC97=0,
     IF(OR('Waste results'!$S$62&lt;&gt;"data missing", 'Waste results'!$S$98&lt;&gt;"data missing"), Calc!BD97*'Waste results'!$S$62+Calc!BE97*'Waste results'!$S$98, "data missing"),
   IF(OR('Waste results'!$S$26&lt;&gt;"data missing", 'Waste results'!$S$62&lt;&gt;"data missing", 'Waste results'!$S$98&lt;&gt;"data missing"), Calc!BC97*'Waste results'!$S$26+Calc!BD97*'Waste results'!$S$62+ Calc!BE97*'Waste results'!$S$98, "data missing")))))))))))</f>
        <v/>
      </c>
      <c r="AR99" s="241" t="str">
        <f ca="1">IF($B99="","",
IF(ISBLANK('Soil results'!L102),"data missing",'Soil results'!L102))</f>
        <v/>
      </c>
      <c r="AS99" s="241" t="str">
        <f t="shared" ca="1" si="25"/>
        <v/>
      </c>
      <c r="AT99" s="66" t="str">
        <f t="shared" ca="1" si="26"/>
        <v/>
      </c>
      <c r="AV99" s="238" t="str">
        <f ca="1">IF(B99="","",
IF(AND('Field information 2'!$O$5="", 'Field information 2'!$Q$5=""),
   IF('Waste results'!$S$27&lt;&gt;"data missing", Calc!BC97*'Waste results'!$S$27, "data missing"),
IF('Field information 2'!$Q$5="",
   IF(Calc!BD97=0,
     IF('Waste results'!$S$27&lt;&gt;"data missing", Calc!BC97*'Waste results'!$S$27, "data missing"),
   IF(Calc!BC97=0,
     IF('Waste results'!$S$63&lt;&gt;"data missing", Calc!BD97*'Waste results'!$S$63, "data missing"),
   IF(OR('Waste results'!$S$27&lt;&gt;"data missing", 'Waste results'!$S$63&lt;&gt;"data missing"), Calc!BC97*'Waste results'!$S$27+ Calc!BD97*'Waste results'!$S$63, "data missing"))),
IF(AND('Field information 2'!$M$5&lt;&gt;"", 'Field information 2'!$O$5&lt;&gt;"", 'Field information 2'!$Q$5&lt;&gt;""),
   IF(AND(Calc!BD97=0,Calc!BE97=0),
     IF('Waste results'!$S$27&lt;&gt;"data missing", Calc!BC97*'Waste results'!$S$27, "data missing"),
   IF(AND(Calc!BC97=0,Calc!BE97=0),
     IF('Waste results'!$S$63&lt;&gt;"data missing", Calc!BD97*'Waste results'!$S$63, "data missing"),
   IF(AND(Calc!BC97=0,Calc!BD97=0),
     IF('Waste results'!$S$99&lt;&gt;"data missing", Calc!BE97*'Waste results'!$S$99, "data missing"),
   IF(Calc!BE97=0,
     IF(OR('Waste results'!$S$27&lt;&gt;"data missing", 'Waste results'!$S$63&lt;&gt;"data missing"), Calc!BC97*'Waste results'!$S$27+ Calc!BD97*'Waste results'!$S$63, "data missing"),
   IF(Calc!BD97=0,
     IF(OR('Waste results'!$S$27&lt;&gt;"data missing", 'Waste results'!$S$99&lt;&gt;"data missing"), Calc!BC97*'Waste results'!$S$27+ Calc!BE97*'Waste results'!$S$99, "data missing"),
   IF(Calc!BC97=0,
     IF(OR('Waste results'!$S$63&lt;&gt;"data missing", 'Waste results'!$S$99&lt;&gt;"data missing"), Calc!BD97*'Waste results'!$S$63+Calc!BE97*'Waste results'!$S$99, "data missing"),
   IF(OR('Waste results'!$S$27&lt;&gt;"data missing", 'Waste results'!$S$63&lt;&gt;"data missing", 'Waste results'!$S$99&lt;&gt;"data missing"), Calc!BC97*'Waste results'!$S$27+Calc!BD97*'Waste results'!$S$63+ Calc!BE97*'Waste results'!$S$99, "data missing")))))))))))</f>
        <v/>
      </c>
      <c r="AW99" s="239" t="str">
        <f ca="1">IF($B99="","",
IF(ISBLANK('Soil results'!M102),"data missing",'Soil results'!M102))</f>
        <v/>
      </c>
      <c r="AX99" s="239" t="str">
        <f t="shared" ca="1" si="27"/>
        <v/>
      </c>
      <c r="AY99" s="9" t="str">
        <f ca="1">IF(B99="","",
IF(AV99=0,"n/a",
IF(OR(AV99="data missing",AW99="data missing"),"data missing",
IF(AV99&gt;7.5,"application rate too high - permissible rate exceeds limit",
IF('Soil results'!$F102&lt;=5.5,
  IF(AW99&gt;80,"no application - soil conc. already above limit",
  IF(AX99&gt;80,"application rate too high - soil conc. will exceed limit",
  IF(AW99&gt;80*0.9,"soil conc. is at or above 90% of the limit",
  IF(10*AV99*1000/3000+AW99&gt;80,"soil limit likely to be exceeded in 10yrs",
  IF(50*AV99*1000/3000+AW99&gt;80,"soil limit likely to be exceeded in 50yrs","ok"))))),
IF('Soil results'!$F102&lt;=6,
  IF(AW99&gt;100,"no application - soil conc. already above limit",
  IF(AX99&gt;100,"application rate too high - soil conc. will exceed limit",
  IF(AW99&gt;100*0.9,"soil conc. is at or above 90% of the limit",
  IF(10*AV99*1000/3000+AW99&gt;100,"soil limit likely to be exceeded in 10yrs",
  IF(50*AV99*1000/3000+AW99&gt;100,"soil limit likely to be exceeded in 50yrs","ok"))))),
IF('Soil results'!$F102&lt;=7,
  IF(AW99&gt;135,"no application - soil conc. already above limit",
  IF(AX99&gt;135,"application rate too high - soil conc. will exceed limit",
  IF(AW99&gt;135*0.9,"soil conc. is at or above 90% of the limit",
  IF(10*AV99*1000/3000+AW99&gt;135,"soil limit likely to be exceeded in 10yrs",
  IF(50*AV99*1000/3000+AW99&gt;135,"soil limit likely to be exceeded in 50yrs","ok"))))),
IF('Soil results'!$F102&gt;7,
  IF(AW99&gt;200,"no application - soil conc. already above limit",
  IF(AX99&gt;200,"application too high - soil conc. will exceed limit",
  IF(AW99&gt;200*0.9,"soil conc. is at or above 90% of the limit",
  IF(10*AV99*1000/3000+AW99&gt;200,"soil limit likely to be exceeded in 10yrs",
  IF(50*AV99*1000/3000+AW99&gt;200,"soil limit likely to be exceeded in 50yrs","ok")))))
))))))))</f>
        <v/>
      </c>
      <c r="BA99" s="238" t="str">
        <f ca="1">IF(B99="","",
IF(AND('Field information 2'!$O$5="", 'Field information 2'!$Q$5=""),
   IF('Waste results'!$S$28&lt;&gt;"data missing", Calc!BC97*'Waste results'!$S$28, "data missing"),
IF('Field information 2'!$Q$5="",
   IF(Calc!BD97=0,
     IF('Waste results'!$S$28&lt;&gt;"data missing", Calc!BC97*'Waste results'!$S$28, "data missing"),
   IF(Calc!BC97=0,
     IF('Waste results'!$S$64&lt;&gt;"data missing", Calc!BD97*'Waste results'!$S$64, "data missing"),
   IF(OR('Waste results'!$S$28&lt;&gt;"data missing", 'Waste results'!$S$64&lt;&gt;"data missing"), Calc!BC97*'Waste results'!$S$28+ Calc!BD97*'Waste results'!$S$64, "data missing"))),
IF(AND('Field information 2'!$M$5&lt;&gt;"", 'Field information 2'!$O$5&lt;&gt;"", 'Field information 2'!$Q$5&lt;&gt;""),
   IF(AND(Calc!BD97=0,Calc!BE97=0),
     IF('Waste results'!$S$28&lt;&gt;"data missing", Calc!BC97*'Waste results'!$S$28, "data missing"),
   IF(AND(Calc!BC97=0,Calc!BE97=0),
     IF('Waste results'!$S$64&lt;&gt;"data missing", Calc!BD97*'Waste results'!$S$64, "data missing"),
   IF(AND(Calc!BC97=0,Calc!BD97=0),
     IF('Waste results'!$S$100&lt;&gt;"data missing", Calc!BE97*'Waste results'!$S$100, "data missing"),
   IF(Calc!BE97=0,
     IF(OR('Waste results'!$S$28&lt;&gt;"data missing", 'Waste results'!$S$64&lt;&gt;"data missing"), Calc!BC97*'Waste results'!$S$28+ Calc!BD97*'Waste results'!$S$64, "data missing"),
   IF(Calc!BD97=0,
     IF(OR('Waste results'!$S$28&lt;&gt;"data missing", 'Waste results'!$S$100&lt;&gt;"data missing"), Calc!BC97*'Waste results'!$S$28+ Calc!BE97*'Waste results'!$S$100, "data missing"),
   IF(Calc!BC97=0,
     IF(OR('Waste results'!$S$64&lt;&gt;"data missing", 'Waste results'!$S$100&lt;&gt;"data missing"), Calc!BD97*'Waste results'!$S$64+Calc!BE97*'Waste results'!$S$100, "data missing"),
   IF(OR('Waste results'!$S$28&lt;&gt;"data missing", 'Waste results'!$S$64&lt;&gt;"data missing", 'Waste results'!$S$100&lt;&gt;"data missing"), Calc!BC97*'Waste results'!$S$28+Calc!BD97*'Waste results'!$S$64+ Calc!BE97*'Waste results'!$S$100, "data missing")))))))))))</f>
        <v/>
      </c>
      <c r="BB99" s="239" t="str">
        <f ca="1">IF($B99="","",
IF(ISBLANK('Soil results'!N102),"data missing",'Soil results'!N102))</f>
        <v/>
      </c>
      <c r="BC99" s="239" t="str">
        <f t="shared" ca="1" si="28"/>
        <v/>
      </c>
      <c r="BD99" s="9" t="str">
        <f t="shared" ca="1" si="29"/>
        <v/>
      </c>
      <c r="BF99" s="238" t="str">
        <f ca="1">IF(B99="","",
IF(AND('Field information 2'!$O$5="", 'Field information 2'!$Q$5=""),
   IF('Waste results'!$S$29&lt;&gt;"data missing", Calc!BC97*'Waste results'!$S$29, "data missing"),
IF('Field information 2'!$Q$5="",
   IF(Calc!BD97=0,
     IF('Waste results'!$S$29&lt;&gt;"data missing", Calc!BC97*'Waste results'!$S$29, "data missing"),
   IF(Calc!BC97=0,
     IF('Waste results'!$S$65&lt;&gt;"data missing", Calc!BD97*'Waste results'!$S$65, "data missing"),
   IF(OR('Waste results'!$S$29&lt;&gt;"data missing", 'Waste results'!$S$65&lt;&gt;"data missing"), Calc!BC97*'Waste results'!$S$29+ Calc!BD97*'Waste results'!$S$65, "data missing"))),
IF(AND('Field information 2'!$M$5&lt;&gt;"", 'Field information 2'!$O$5&lt;&gt;"", 'Field information 2'!$Q$5&lt;&gt;""),
   IF(AND(Calc!BD97=0,Calc!BE97=0),
     IF('Waste results'!$S$29&lt;&gt;"data missing", Calc!BC97*'Waste results'!$S$29, "data missing"),
   IF(AND(Calc!BC97=0,Calc!BE97=0),
     IF('Waste results'!$S$65&lt;&gt;"data missing", Calc!BD97*'Waste results'!$S$65, "data missing"),
   IF(AND(Calc!BC97=0,Calc!BD97=0),
     IF('Waste results'!$S$101&lt;&gt;"data missing", Calc!BE97*'Waste results'!$S$101, "data missing"),
   IF(Calc!BE97=0,
     IF(OR('Waste results'!$S$29&lt;&gt;"data missing", 'Waste results'!$S$65&lt;&gt;"data missing"), Calc!BC97*'Waste results'!$S$29+ Calc!BD97*'Waste results'!$S$65, "data missing"),
   IF(Calc!BD97=0,
     IF(OR('Waste results'!$S$29&lt;&gt;"data missing", 'Waste results'!$S$101&lt;&gt;"data missing"), Calc!BC97*'Waste results'!$S$29+ Calc!BE97*'Waste results'!$S$101, "data missing"),
   IF(Calc!BC97=0,
     IF(OR('Waste results'!$S$65&lt;&gt;"data missing", 'Waste results'!$S$101&lt;&gt;"data missing"), Calc!BD97*'Waste results'!$S$65+Calc!BE97*'Waste results'!$S$101, "data missing"),
   IF(OR('Waste results'!$S$29&lt;&gt;"data missing", 'Waste results'!$S$65&lt;&gt;"data missing", 'Waste results'!$S$101&lt;&gt;"data missing"), Calc!BC97*'Waste results'!$S$29+Calc!BD97*'Waste results'!$S$65+ Calc!BE97*'Waste results'!$S$101, "data missing")))))))))))</f>
        <v/>
      </c>
      <c r="BG99" s="239" t="str">
        <f ca="1">IF($B99="","",
IF(ISBLANK('Soil results'!O102),"data missing",'Soil results'!O102))</f>
        <v/>
      </c>
      <c r="BH99" s="239" t="str">
        <f t="shared" ca="1" si="30"/>
        <v/>
      </c>
      <c r="BI99" s="9" t="str">
        <f ca="1">IF(B99="","",
IF(BF99=0,"n/a",
IF(OR(BF99="data missing",BG99="data missing"),"data missing",
IF(BF99&gt;3,"application rate too high - permissible rate exceeds limit",
IF('Soil results'!F102&lt;=5.5,
  IF(BG99&gt;50,"no application - soil conc. already above limit",
  IF(BH99&gt;50,"application rate too high - soil conc. will exceed limit",
  IF(BG99&gt;50*0.9,"soil conc. is at or above 90% of the limit",
  IF(10*BF99*1000/3000+BG99&gt;50,"soil limit likely to be exceeded in 10yrs",
  IF(50*BF99*1000/3000+BG99&gt;50,"soil limit likely to be exceeded in 50yrs","ok"))))),
IF('Soil results'!F102&lt;=6,
  IF(BG99&gt;60,"no application - soil conc. already above limit",
  IF(BH99&gt;60,"application rate too high - soil conc. will exceed limit",
  IF(BG99&gt;60*0.9,"soil conc. is at or above 90% of the limit",
  IF(10*BF99*1000/3000+BG99&gt;60,"soil limit likely to be exceeded in 10yrs",
  IF(50*BF99*1000/3000+BG99&gt;60,"soil limit likely to be exceeded in 50yrs","ok"))))),
IF('Soil results'!F102&lt;=7,
  IF(BG99&gt;75,"no application - soil conc. already above limit",
  IF(BH99&gt;75,"application rate too high - soil conc. will exceed limit",
  IF(BG99&gt;75*0.9,"soil conc. is at or above 90% of the limit",
  IF(10*BF99*1000/3000+BG99&gt;75,"soil limit likely to be exceeded in 10yrs",
  IF(50*BF99*1000/3000+BG99&gt;75,"soil limit likely to be exceeded in 50yrs","ok"))))),
IF('Soil results'!F102&gt;7,
  IF(BG99&gt;100,"no application - soil conc. already above limit",
  IF(BH99&gt;100,"application rate too high - soil conc. will exceed limit",
  IF(BG99&gt;100*0.9,"soil conc. is at or above 90% of the limit",
  IF(10*BF99*1000/3000+BG99&gt;100,"soil limit likely to be exceeded in 10yrs",
  IF(50*BF99*1000/3000+BG99&gt;100,"soil limit likely to beexceeded in 50yrs","ok")))))
))))))))</f>
        <v/>
      </c>
      <c r="BK99" s="240" t="str">
        <f ca="1">IF(B99="","",
IF(AND('Field information 2'!$O$5="", 'Field information 2'!$Q$5=""),
   IF('Waste results'!$S$30&lt;&gt;"data missing", Calc!BC97*'Waste results'!$S$30, "data missing"),
IF('Field information 2'!$Q$5="",
   IF(Calc!BD97=0,
     IF('Waste results'!$S$30&lt;&gt;"data missing", Calc!BC97*'Waste results'!$S$30, "data missing"),
   IF(Calc!BC97=0,
     IF('Waste results'!$S$66&lt;&gt;"data missing", Calc!BD97*'Waste results'!$S$66, "data missing"),
   IF(OR('Waste results'!$S$30&lt;&gt;"data missing", 'Waste results'!$S$66&lt;&gt;"data missing"), Calc!BC97*'Waste results'!$S$30+ Calc!BD97*'Waste results'!$S$66, "data missing"))),
IF(AND('Field information 2'!$M$5&lt;&gt;"", 'Field information 2'!$O$5&lt;&gt;"", 'Field information 2'!$Q$5&lt;&gt;""),
   IF(AND(Calc!BD97=0,Calc!BE97=0),
     IF('Waste results'!$S$30&lt;&gt;"data missing", Calc!BC97*'Waste results'!$S$30, "data missing"),
   IF(AND(Calc!BC97=0,Calc!BE97=0),
     IF('Waste results'!$S$66&lt;&gt;"data missing", Calc!BD97*'Waste results'!$S$66, "data missing"),
   IF(AND(Calc!BC97=0,Calc!BD97=0),
     IF('Waste results'!$S$102&lt;&gt;"data missing", Calc!BE97*'Waste results'!$S$102, "data missing"),
   IF(Calc!BE97=0,
     IF(OR('Waste results'!$S$30&lt;&gt;"data missing", 'Waste results'!$S$66&lt;&gt;"data missing"), Calc!BC97*'Waste results'!$S$30+ Calc!BD97*'Waste results'!$S$66, "data missing"),
   IF(Calc!BD97=0,
     IF(OR('Waste results'!$S$30&lt;&gt;"data missing", 'Waste results'!$S$102&lt;&gt;"data missing"), Calc!BC97*'Waste results'!$S$30+ Calc!BE97*'Waste results'!$S$102, "data missing"),
   IF(Calc!BC97=0,
     IF(OR('Waste results'!$S$66&lt;&gt;"data missing", 'Waste results'!$S$102&lt;&gt;"data missing"), Calc!BD97*'Waste results'!$S$66+Calc!BE97*'Waste results'!$S$102, "data missing"),
   IF(OR('Waste results'!$S$30&lt;&gt;"data missing", 'Waste results'!$S$66&lt;&gt;"data missing", 'Waste results'!$S$102&lt;&gt;"data missing"), Calc!BC97*'Waste results'!$S$30+Calc!BD97*'Waste results'!$S$66+ Calc!BE97*'Waste results'!$S$102, "data missing")))))))))))</f>
        <v/>
      </c>
      <c r="BL99" s="241" t="str">
        <f ca="1">IF($B99="","",
IF(ISBLANK('Soil results'!P102),"data missing",'Soil results'!P102))</f>
        <v/>
      </c>
      <c r="BM99" s="241" t="str">
        <f t="shared" ca="1" si="31"/>
        <v/>
      </c>
      <c r="BN99" s="66" t="str">
        <f t="shared" ca="1" si="32"/>
        <v/>
      </c>
      <c r="BP99" s="238" t="str">
        <f ca="1">IF(B99="","",
IF(AND('Field information 2'!$O$5="", 'Field information 2'!$Q$5=""),
   IF('Waste results'!$S$31&lt;&gt;"data missing", Calc!BC97*'Waste results'!$S$31, "data missing"),
IF('Field information 2'!$Q$5="",
   IF(Calc!BD97=0,
     IF('Waste results'!$S$31&lt;&gt;"data missing", Calc!BC97*'Waste results'!$S$31, "data missing"),
   IF(Calc!BC97=0,
     IF('Waste results'!$S$67&lt;&gt;"data missing", Calc!BD97*'Waste results'!$S$67, "data missing"),
   IF(OR('Waste results'!$S$31&lt;&gt;"data missing", 'Waste results'!$S$67&lt;&gt;"data missing"), Calc!BC97*'Waste results'!$S$31+ Calc!BD97*'Waste results'!$S$67, "data missing"))),
IF(AND('Field information 2'!$M$5&lt;&gt;"", 'Field information 2'!$O$5&lt;&gt;"", 'Field information 2'!$Q$5&lt;&gt;""),
   IF(AND(Calc!BD97=0,Calc!BE97=0),
     IF('Waste results'!$S$31&lt;&gt;"data missing", Calc!BC97*'Waste results'!$S$31, "data missing"),
   IF(AND(Calc!BC97=0,Calc!BE97=0),
     IF('Waste results'!$S$67&lt;&gt;"data missing", Calc!BD97*'Waste results'!$S$67, "data missing"),
   IF(AND(Calc!BC97=0,Calc!BD97=0),
     IF('Waste results'!$S$103&lt;&gt;"data missing", Calc!BE97*'Waste results'!$S$103, "data missing"),
   IF(Calc!BE97=0,
     IF(OR('Waste results'!$S$31&lt;&gt;"data missing", 'Waste results'!$S$67&lt;&gt;"data missing"), Calc!BC97*'Waste results'!$S$31+ Calc!BD97*'Waste results'!$S$67, "data missing"),
   IF(Calc!BD97=0,
     IF(OR('Waste results'!$S$31&lt;&gt;"data missing", 'Waste results'!$S$103&lt;&gt;"data missing"), Calc!BC97*'Waste results'!$S$31+ Calc!BE97*'Waste results'!$S$103, "data missing"),
   IF(Calc!BC97=0,
     IF(OR('Waste results'!$S$67&lt;&gt;"data missing", 'Waste results'!$S$103&lt;&gt;"data missing"), Calc!BD97*'Waste results'!$S$67+Calc!BE97*'Waste results'!$S$103, "data missing"),
   IF(OR('Waste results'!$S$31&lt;&gt;"data missing", 'Waste results'!$S$67&lt;&gt;"data missing", 'Waste results'!$S$103&lt;&gt;"data missing"), Calc!BC97*'Waste results'!$S$31+Calc!BD97*'Waste results'!$S$67+ Calc!BE97*'Waste results'!$S$103, "data missing")))))))))))</f>
        <v/>
      </c>
      <c r="BQ99" s="239" t="str">
        <f ca="1">IF($B99="","",
IF(ISBLANK('Soil results'!Q102),"data missing",'Soil results'!Q102))</f>
        <v/>
      </c>
      <c r="BR99" s="239" t="str">
        <f t="shared" ca="1" si="33"/>
        <v/>
      </c>
      <c r="BS99" s="9" t="str">
        <f ca="1">IF(B99="","",
IF(BP99=0,"n/a",
IF(OR(BP99="data missing",BQ99=""),"data missing",
IF(BP99&gt;15,"application rate too high - permissible rate exceeds limit",
IF('Soil results'!F102&lt;=5.5,
  IF(BQ99&gt;200,"no application - soil conc. already above limit",
  IF(BR99&gt;200,"application rate too high - soil conc. will exceed limit",
  IF(BQ99&gt;200*0.9,"soil conc. is at or above 90% of the limit",
  IF(10*BP99*1000/3000+BQ99&gt;200,"soil limit likely to be exceeded in 10yrs",
  IF(50*BP99*1000/3000+BQ99&gt;200,"soil limit likely to be exceeded in 50yrs","ok"))))),
IF('Soil results'!F102&lt;=6,
  IF(BQ99&gt;250,"no application - soil conc. already above limit",
  IF(BR99&gt;250,"application rate too high - soil conc. will exceed limit",
  IF(BQ99&gt;250*0.9,"soil conc. is at or above 90% of the limit",
  IF(10*BP99*1000/3000+BQ99&gt;250,"soil limit likely to be exceeded in 10yrs",
  IF(50*BP99*1000/3000+BQ99&gt;250,"soil limit likely to be exceeded in 50yrs","ok"))))),
IF('Soil results'!F102&lt;=7,
  IF(BQ99&gt;300,"no application - soil conc. already above limit",
  IF(BR99&gt;300,"application rate too high - soil conc. will exceed limit",
  IF(BQ99&gt;300*0.9,"soil conc. is at or above 90% of the limit",
  IF(10*BP99*1000/3000+BQ99&gt;300,"soil limit likey to be exceeded in 10yrs",
  IF(50*BP99*1000/3000+BQ99&gt;300,"soil limit likely to be exceeded in 50yrs","ok"))))),
IF('Soil results'!F102&gt;7,
  IF(BQ99&gt;450,"no application - soil conc. already above limit",
  IF(BR99&gt;450,"application rate too high - soil conc. will exceed limit",
  IF(AW99&gt;450*0.9,"soil conc. is at or above 90% of the limit",
  IF(10*BP99*1000/3000+BQ99&gt;450,"soil limit likely to be exceeded in 10yrs",
  IF(50*BP99*1000/3000+BQ99&gt;450,"soil limit likely to be exceeded in 50yrs","ok")))))
))))))))</f>
        <v/>
      </c>
    </row>
    <row r="100" spans="2:71" s="9" customFormat="1" ht="15" x14ac:dyDescent="0.25">
      <c r="B100" s="236" t="str">
        <f ca="1">'Soil results'!B103</f>
        <v/>
      </c>
      <c r="C100" s="91" t="str">
        <f ca="1">IF(B100="","",
IF(AND('Field information 2'!$O$5="", 'Field information 2'!$Q$5=""),
   IF('Waste results'!$S$12&lt;&gt;"data missing", Calc!BC98*'Waste results'!$S$12, "data missing"),
IF('Field information 2'!$Q$5="",
   IF(Calc!BD98=0,
     IF('Waste results'!$S$12&lt;&gt;"data missing", Calc!BC98*'Waste results'!$S$12, "data missing"),
   IF(Calc!BC98=0,
     IF('Waste results'!$S$48&lt;&gt;"data missing", Calc!BD98*'Waste results'!$S$48, "data missing"),
   IF(OR('Waste results'!$S$12&lt;&gt;"data missing", 'Waste results'!$S$48&lt;&gt;"data missing"), Calc!BC98*'Waste results'!$S$12+ Calc!BD98*'Waste results'!$S$48, "data missing"))),
IF(AND('Field information 2'!$M$5&lt;&gt;"", 'Field information 2'!$O$5&lt;&gt;"", 'Field information 2'!$Q$5&lt;&gt;""),
   IF(AND(Calc!BD98=0,Calc!BE98=0),
     IF('Waste results'!$S$12&lt;&gt;"data missing", Calc!BC98*'Waste results'!$S$12, "data missing"),
   IF(AND(Calc!BC98=0,Calc!BE98=0),
     IF('Waste results'!$S$48&lt;&gt;"data missing", Calc!BD98*'Waste results'!$S$48, "data missing"),
   IF(AND(Calc!BC98=0,Calc!BD98=0),
     IF('Waste results'!$S$84&lt;&gt;"data missing", Calc!BE98*'Waste results'!$S$84, "data missing"),
   IF(Calc!BE98=0,
     IF(OR('Waste results'!$S$12&lt;&gt;"data missing", 'Waste results'!$S$48&lt;&gt;"data missing"), Calc!BC98*'Waste results'!$S$12+ Calc!BD98*'Waste results'!$S$48, "data missing"),
   IF(Calc!BD98=0,
     IF(OR('Waste results'!$S$12&lt;&gt;"data missing", 'Waste results'!$S$84&lt;&gt;"data missing"), Calc!BC98*'Waste results'!$S$12+ Calc!BE98*'Waste results'!$S$84, "data missing"),
   IF(Calc!BC98=0,
     IF(OR('Waste results'!$S$48&lt;&gt;"data missing", 'Waste results'!$S$84&lt;&gt;"data missing"), Calc!BD98*'Waste results'!$S$48+Calc!BE98*'Waste results'!$S$84, "data missing"),
   IF(OR('Waste results'!$S$12&lt;&gt;"data missing", 'Waste results'!$S$48&lt;&gt;"data missing", 'Waste results'!$S$84&lt;&gt;"data missing"), Calc!BC98*'Waste results'!$S$12+Calc!BD98*'Waste results'!$S$48+ Calc!BE98*'Waste results'!$S$84, "data missing")))))))))))</f>
        <v/>
      </c>
      <c r="D100" s="161" t="str">
        <f ca="1">IF(B100="","",
IF(Calc!BG98="","soil texture missing",
IF(OR(Calc!BG98="SL; SZL; ZL",Calc!BG98="SCL; CL; ZCL; SC; ZC; C"),VLOOKUP(Calc!BI98,'Fertiliser recommendations'!$A$4:$C$63,3,FALSE),
IF(Calc!BG98="S; LS",VLOOKUP(Calc!BI98,'Fertiliser recommendations'!$A$4:$C$63,3,FALSE)+VLOOKUP(Calc!BI98,'Fertiliser recommendations'!$A$4:$D$63,4,FALSE),
IF(Calc!BG98="10-25% OM",VLOOKUP(Calc!BI98,'Fertiliser recommendations'!$A$4:$C$63,3,FALSE)+VLOOKUP(Calc!BI98,'Fertiliser recommendations'!$A$4:$E$63,5,FALSE),
IF(Calc!BG98="&gt;25% OM",VLOOKUP(Calc!BI98,'Fertiliser recommendations'!$A$4:$C$63,3,FALSE)+VLOOKUP(Calc!BI98,'Fertiliser recommendations'!$A$4:$F$63,6,FALSE),
""))))))</f>
        <v/>
      </c>
      <c r="E100" s="91" t="str">
        <f t="shared" ca="1" si="17"/>
        <v/>
      </c>
      <c r="F100" s="9" t="str">
        <f ca="1">IF(B100="","",
IF(OR(C100="data missing",D100="soil texture missing"),"data missing",
IF(Calc!BF98=0,"n/a",
IF(C100&lt;0.1*D100,"no benefit",
IF(C100&lt;0.3*D100,"limited benefit",
IF(C100&gt;250,"exceeds limit",
IF(OR(AND(D100=0,C100&gt;75),C100&gt;1.25*D100),"excessive",
IF(D100=0, "no requirement",
"benefit"))))))))</f>
        <v/>
      </c>
      <c r="H100" s="91" t="str">
        <f ca="1">IF(B100="","",
IF(AND('Field information 2'!$O$5="", 'Field information 2'!$Q$5=""),
   IF('Waste results'!$S$17&lt;&gt;"data missing", Calc!BC98*'Waste results'!$S$17, "data missing"),
IF('Field information 2'!$Q$5="",
   IF(Calc!BD98=0,
     IF('Waste results'!$S$17&lt;&gt;"data missing", Calc!BC98*'Waste results'!$S$17, "data missing"),
   IF(Calc!BC98=0,
     IF('Waste results'!$S$53&lt;&gt;"data missing", Calc!BD98*'Waste results'!$S$53, "data missing"),
   IF(OR('Waste results'!$S$17&lt;&gt;"data missing", 'Waste results'!$S$53&lt;&gt;"data missing"), Calc!BC98*'Waste results'!$S$17+ Calc!BD98*'Waste results'!$S$53, "data missing"))),
IF(AND('Field information 2'!$M$5&lt;&gt;"", 'Field information 2'!$O$5&lt;&gt;"", 'Field information 2'!$Q$5&lt;&gt;""),
   IF(AND(Calc!BD98=0,Calc!BE98=0),
     IF('Waste results'!$S$17&lt;&gt;"data missing", Calc!BC98*'Waste results'!$S$17, "data missing"),
   IF(AND(Calc!BC98=0,Calc!BE98=0),
     IF('Waste results'!$S$53&lt;&gt;"data missing", Calc!BD98*'Waste results'!$S$53, "data missing"),
   IF(AND(Calc!BC98=0,Calc!BD98=0),
     IF('Waste results'!$S$89&lt;&gt;"data missing", Calc!BE98*'Waste results'!$S$89, "data missing"),
   IF(Calc!BE98=0,
     IF(OR('Waste results'!$S$17&lt;&gt;"data missing", 'Waste results'!$S$53&lt;&gt;"data missing"), Calc!BC98*'Waste results'!$S$17+ Calc!BD98*'Waste results'!$S$53, "data missing"),
   IF(Calc!BD98=0,
     IF(OR('Waste results'!$S$17&lt;&gt;"data missing", 'Waste results'!$S$89&lt;&gt;"data missing"), Calc!BC98*'Waste results'!$S$17+ Calc!BE98*'Waste results'!$S$89, "data missing"),
   IF(Calc!BC98=0,
     IF(OR('Waste results'!$S$53&lt;&gt;"data missing", 'Waste results'!$S$89&lt;&gt;"data missing"), Calc!BD98*'Waste results'!$S$53+Calc!BE98*'Waste results'!$S$89, "data missing"),
   IF(OR('Waste results'!$S$17&lt;&gt;"data missing", 'Waste results'!$S$53&lt;&gt;"data missing", 'Waste results'!$S$89&lt;&gt;"data missing"), Calc!BC98*'Waste results'!$S$17+Calc!BD98*'Waste results'!$S$53+ Calc!BE98*'Waste results'!$S$89, "data missing")))))))))))</f>
        <v/>
      </c>
      <c r="I100" s="195" t="str">
        <f ca="1">IF(B100="","",
IF(OR(ISBLANK('Soil results'!G103), ISBLANK('Soil results'!G$7)),"data missing",
IF(OR(AND('Soil results'!G$7="Olsen (ADAS)",'Soil results'!G103&lt;16),AND('Soil results'!G$7="modified Morgan (SAC)",'Soil results'!G103&lt;4.5)),50,100)))</f>
        <v/>
      </c>
      <c r="J100" s="49" t="str">
        <f ca="1">IF(B100="","",
IF(OR(ISBLANK('Soil results'!G$7),ISBLANK('Soil results'!G103)),"data missing",
IF(OR(AND('Soil results'!G$7="Olsen (ADAS)",'Soil results'!G103&gt;45),AND('Soil results'!G$7="modified Morgan (SAC)",'Soil results'!G103&gt;30)),0,
IF(OR(AND('Soil results'!G$7="Olsen (ADAS)",'Soil results'!G103&gt;=16,'Soil results'!G103&lt;=20),AND('Soil results'!G$7="modified Morgan (SAC)",'Soil results'!G103&gt;=4.5,'Soil results'!G103&lt;=9.4)),VLOOKUP(Calc!BI98,'Fertiliser recommendations'!$A$4:$I$63,9,FALSE),
IF(OR(AND('Soil results'!G$7="Olsen (ADAS)",'Soil results'!G103&lt;10),AND('Soil results'!G$7="modified Morgan (SAC)",'Soil results'!G103&lt;1.8)),VLOOKUP(Calc!BI98,'Fertiliser recommendations'!$A$4:$I$63,9,FALSE)+VLOOKUP(Calc!BI98,'Fertiliser recommendations'!$A$4:$J$63,10,FALSE),
IF(OR(AND('Soil results'!G$7="Olsen (ADAS)",'Soil results'!G103&lt;16),AND('Soil results'!G$7="modified Morgan (SAC)",'Soil results'!G103&lt;4.5)),VLOOKUP(Calc!BI98,'Fertiliser recommendations'!$A$4:$I$63,9,FALSE)+VLOOKUP(Calc!BI98,'Fertiliser recommendations'!$A$4:$K$63,11,FALSE),
IF(OR(AND('Soil results'!G$7="Olsen (ADAS)",'Soil results'!G103&lt;26),AND('Soil results'!G$7="modified Morgan (SAC)",'Soil results'!G103&lt;13.5)),VLOOKUP(Calc!BI98,'Fertiliser recommendations'!$A$4:$I$63,9,FALSE)+VLOOKUP(Calc!BI98,'Fertiliser recommendations'!$A$4:$L$63,12,FALSE),
IF(OR(AND('Soil results'!G$7="Olsen (ADAS)",'Soil results'!G103&lt;=45),AND('Soil results'!G$7="modified Morgan (SAC)",'Soil results'!G103&lt;=30)),VLOOKUP(Calc!BI98,'Fertiliser recommendations'!$A$4:$I$63,9,FALSE)+VLOOKUP(Calc!BI98,'Fertiliser recommendations'!$A$4:$M$63,13,FALSE),
""))))))))</f>
        <v/>
      </c>
      <c r="K100" s="161" t="str">
        <f t="shared" ca="1" si="18"/>
        <v/>
      </c>
      <c r="L100" s="47" t="str">
        <f ca="1">IF(OR(ISBLANK('Soil results'!G$7),ISBLANK('Soil results'!G103),B100="", H100="data missing"),"",
IF('Soil results'!G$7="Olsen (ADAS)",
IF(((H100*Calc!BM98/2.291-(VLOOKUP(Calc!BI98,'Fertiliser recommendations'!$A$4:$I$63,9,FALSE))/2.291)*10/(400/2.291)+'Soil results'!G103)&lt;10,"0 (VL)",
IF(((H100*Calc!BM98/2.291-(VLOOKUP(Calc!BI98,'Fertiliser recommendations'!$A$4:$I$63,9,FALSE))/2.291)*10/(400/2.291)+'Soil results'!G103)&lt;16,"1 (L)",
IF(((H100*Calc!BM98/2.291-(VLOOKUP(Calc!BI98,'Fertiliser recommendations'!$A$4:$I$63,9,FALSE))/2.291)*10/(400/2.291)+'Soil results'!G103)&lt;21,"2 (M-)",
IF(((H100*Calc!BM98/2.291-(VLOOKUP(Calc!BI98,'Fertiliser recommendations'!$A$4:$I$63,9,FALSE))/2.291)*10/(400/2.291)+'Soil results'!G103)&lt;26,"2 (M+)",
IF(((H100*Calc!BM98/2.291-(VLOOKUP(Calc!BI98,'Fertiliser recommendations'!$A$4:$I$63,9,FALSE))/2.291)*10/(400/2.291)+'Soil results'!G103)&lt;45,"3 (H)","&gt;3 (VH)"))))),
IF('Soil results'!G$7="modified Morgan (SAC)",
IF('Soil results'!G103&gt;=6,
IF(((H100*Calc!BM98/2.291-(VLOOKUP(Calc!BI98,'Fertiliser recommendations'!$A$4:$I$63,9,FALSE))/2.291)*5/(147/2.291)+'Soil results'!G103)&lt;9.5,"2 (M-)",
IF(((H100*Calc!BM98/2.291-(VLOOKUP(Calc!BI98,'Fertiliser recommendations'!$A$4:$I$63,9,FALSE))/2.291)*5/(147/2.291)+'Soil results'!G103)&lt;13.5,"2 (M+)",
IF(((H100*Calc!BM98/2.291-(VLOOKUP(Calc!BI98,'Fertiliser recommendations'!$A$4:$I$63,9,FALSE))/2.291)*5/(147/2.291)+'Soil results'!G103)&lt;30,"3 (H)","4 (VH)"))),
IF(((H100*Calc!BM98/2.291-(VLOOKUP(Calc!BI98,'Fertiliser recommendations'!$A$4:$I$63,9,FALSE))/2.291)*5/(346/2.291)+'Soil results'!G103)&lt;1.8,"0 (VL)",
IF(((H100*Calc!BM98/2.291-(VLOOKUP(Calc!BI98,'Fertiliser recommendations'!$A$4:$I$63,9,FALSE))/2.291)*5/(147/2.291)+'Soil results'!G103)&lt;4.5,"1 (L)","2 (M-)"))))))</f>
        <v/>
      </c>
      <c r="M100" s="9" t="str">
        <f ca="1">IF(B100="","",
IF(OR(H100="data missing",I100="data missing",J100="data missing"),"data missing",
IF(Calc!BF98=0,"n/a",
IF(OR(AND('Soil results'!G$7="Olsen (ADAS)",'Soil results'!G103&gt;45),AND('Soil results'!G$7="modified Morgan (SAC)",'Soil results'!G103&gt;30)),
IF(H100&gt;2,"too high, not acceptable","no requirement"),IF(OR(AND('Soil results'!G$7="Olsen (ADAS)",'Soil results'!G103&gt;25),AND('Soil results'!G$7="modified Morgan (SAC)",'Soil results'!G103&gt;13.4)),
IF(H100*(I100/100)&lt;0.1*J100,"no benefit",
IF(H100*(I100/100)&lt;0.3*J100,"limited benefit",
IF(H100*(I100/100)&lt;1.1*J100,"benefit",
IF(H100*(I100/100)&lt;0.7*VLOOKUP(Calc!BI98,'Fertiliser recommendations'!$A$4:$I$63,9,FALSE),"excessive","too high, not acceptable")))),
IF(OR(AND('Soil results'!G$7="Olsen (ADAS)",'Soil results'!G103&gt;20),AND('Soil results'!G$7="modified Morgan (SAC)",'Soil results'!G103&gt;9.4)),
IF(H100*Calc!BM98*(I100/100)&lt;0.1*J100,"no benefit",
IF(H100*Calc!BM98*(I100/100)&lt;0.3*J100,"limited benefit",
IF(H100*Calc!BM98*(I100/100)&lt;1.1*J100,"benefit",
IF(L100="3 (H)","too high, not acceptable","excessive")))),
IF(OR(AND('Soil results'!G$7="Olsen (ADAS)",'Soil results'!G103&gt;15),AND('Soil results'!G$7="modified Morgan (SAC)",'Soil results'!G103&gt;4.4)),
IF(H100*Calc!BM98*(I100/100)&lt;0.1*VLOOKUP(Calc!BI98,'Fertiliser recommendations'!$A$4:$I$63,9,FALSE),"no benefit",
IF(H100*Calc!BM98*(I100/100)&lt;0.3*VLOOKUP(Calc!BI98,'Fertiliser recommendations'!$A$4:$I$63,9,FALSE),"limited benefit",
IF(H100*Calc!BM98*(I100/100)&lt;1.1*VLOOKUP(Calc!BI98,'Fertiliser recommendations'!$A$4:$I$63,9,FALSE),"benefit",
IF(L100="3 (H)", "too high, not acceptable", "excessive")))),
IF(OR(AND('Soil results'!G$7="Olsen (ADAS)",'Soil results'!G103&lt;=15),AND('Soil results'!G$7="modified Morgan (SAC)",'Soil results'!G103&lt;=4.4)),
IF(H100*Calc!BM98*(I100/100)&lt;0.1*VLOOKUP(Calc!BI98,'Fertiliser recommendations'!$A$4:$I$63,9,FALSE),"no benefit",
IF(H100*Calc!BM98*(I100/100)&lt;0.3*VLOOKUP(Calc!BI98,'Fertiliser recommendations'!$A$4:$I$63,9,FALSE),"limited benefit",
IF(H100*Calc!BM98*(I100/100)&lt;1.1*J100,"benefit","excessive")))))))))))</f>
        <v/>
      </c>
      <c r="O100" s="91" t="str">
        <f ca="1">IF(B100="","",
IF(AND('Field information 2'!$O$5="", 'Field information 2'!$Q$5=""),
   IF('Waste results'!$S$19&lt;&gt;"data missing", Calc!BC98*'Waste results'!$S$19, "data missing"),
IF('Field information 2'!$Q$5="",
   IF(Calc!BD98=0,
     IF('Waste results'!$S$19&lt;&gt;"data missing", Calc!BC98*'Waste results'!$S$19, "data missing"),
   IF(Calc!BC98=0,
     IF('Waste results'!$S$55&lt;&gt;"data missing", Calc!BD98*'Waste results'!$S$55, "data missing"),
   IF(OR('Waste results'!$S$19&lt;&gt;"data missing", 'Waste results'!$S$55&lt;&gt;"data missing"), Calc!BC98*'Waste results'!$S$19+ Calc!BD98*'Waste results'!$S$55, "data missing"))),
IF(AND('Field information 2'!$M$5&lt;&gt;"", 'Field information 2'!$O$5&lt;&gt;"", 'Field information 2'!$Q$5&lt;&gt;""),
   IF(AND(Calc!BD98=0,Calc!BE98=0),
     IF('Waste results'!$S$19&lt;&gt;"data missing", Calc!BC98*'Waste results'!$S$19, "data missing"),
   IF(AND(Calc!BC98=0,Calc!BE98=0),
     IF('Waste results'!$S$55&lt;&gt;"data missing", Calc!BD98*'Waste results'!$S$55, "data missing"),
   IF(AND(Calc!BC98=0,Calc!BD98=0),
     IF('Waste results'!$S$91&lt;&gt;"data missing", Calc!BE98*'Waste results'!$S$91, "data missing"),
   IF(Calc!BE98=0,
     IF(OR('Waste results'!$S$19&lt;&gt;"data missing", 'Waste results'!$S$55&lt;&gt;"data missing"), Calc!BC98*'Waste results'!$S$19+ Calc!BD98*'Waste results'!$S$55, "data missing"),
   IF(Calc!BD98=0,
     IF(OR('Waste results'!$S$19&lt;&gt;"data missing", 'Waste results'!$S$91&lt;&gt;"data missing"), Calc!BC98*'Waste results'!$S$19+ Calc!BE98*'Waste results'!$S$91, "data missing"),
   IF(Calc!BC98=0,
     IF(OR('Waste results'!$S$55&lt;&gt;"data missing", 'Waste results'!$S$91&lt;&gt;"data missing"), Calc!BD98*'Waste results'!$S$55+Calc!BE98*'Waste results'!$S$91, "data missing"),
   IF(OR('Waste results'!$S$19&lt;&gt;"data missing", 'Waste results'!$S$55&lt;&gt;"data missing", 'Waste results'!$S$91&lt;&gt;"data missing"), Calc!BC98*'Waste results'!$S$19+Calc!BD98*'Waste results'!$S$55+ Calc!BE98*'Waste results'!$S$91, "data missing")))))))))))</f>
        <v/>
      </c>
      <c r="P100" s="91" t="str">
        <f ca="1">IF(B100="","",
IF(OR(ISBLANK('Soil results'!H$7),ISBLANK('Soil results'!H103)),"data missing",
IF(OR(AND('Soil results'!H$7="ammonium nitrate (ADAS)",'Soil results'!H103&gt;400),AND('Soil results'!H$7="modified Morgan (SAC)",'Soil results'!H103&gt;400)),0,
IF(OR(AND('Soil results'!H$7="ammonium nitrate (ADAS)",'Soil results'!H103&gt;=121,'Soil results'!H103&lt;=180),AND('Soil results'!H$7="modified Morgan (SAC)",'Soil results'!H103&gt;=76,'Soil results'!H103&lt;=140)),VLOOKUP(Calc!BI98,'Fertiliser recommendations'!$A$4:$Z$63,26,FALSE),
IF(OR(AND('Soil results'!H$7="ammonium nitrate (ADAS)",'Soil results'!H103&lt;61),AND('Soil results'!H$7="modified Morgan (SAC)",'Soil results'!H103&lt;40)),VLOOKUP(Calc!BI98,'Fertiliser recommendations'!$A$4:$Z$63,26,FALSE)+VLOOKUP(Calc!BI98,'Fertiliser recommendations'!$A$4:$AA$63,27,FALSE),
IF(OR(AND('Soil results'!H$7="ammonium nitrate (ADAS)",'Soil results'!H103&lt;121),AND('Soil results'!H$7="modified Morgan (SAC)",'Soil results'!H103&lt;76)),VLOOKUP(Calc!BI98,'Fertiliser recommendations'!$A$4:$Z$63,26,FALSE)+VLOOKUP(Calc!BI98,'Fertiliser recommendations'!$A$4:$AB$63,28,FALSE),
IF(OR(AND('Soil results'!H$7="ammonium nitrate (ADAS)",'Soil results'!H103&lt;241),AND('Soil results'!H$7="modified Morgan (SAC)",'Soil results'!H103&lt;201)),VLOOKUP(Calc!BI98,'Fertiliser recommendations'!$A$4:$Z$63,26,FALSE)+VLOOKUP(Calc!BI98,'Fertiliser recommendations'!$A$4:$AC$63,29,FALSE),
IF(OR(AND('Soil results'!H$7="ammonium nitrate (ADAS)",'Soil results'!H103&lt;=400),AND('Soil results'!H$7="modified Morgan (SAC)",'Soil results'!H103&lt;=400)),VLOOKUP(Calc!BI98,'Fertiliser recommendations'!$A$4:$Z$63,26,FALSE)+VLOOKUP(Calc!BI98,'Fertiliser recommendations'!$A$4:$AD$63,30,FALSE),
"??"))))))))</f>
        <v/>
      </c>
      <c r="Q100" s="91" t="str">
        <f t="shared" ca="1" si="19"/>
        <v/>
      </c>
      <c r="R100" s="9" t="str">
        <f ca="1">IF(B100="","",
IF(OR(O100="data missing",P100="data missing"),"data missing",
IF(Calc!BF98=0,"n/a",
IF(P100=0, "no requirement",
IF(O100&lt;0.1*P100,"no benefit",
IF(O100&lt;0.3*P100,"limited benefit",
IF(O100&gt;1.25*P100,"excessive",
"benefit")))))))</f>
        <v/>
      </c>
      <c r="T100" s="91" t="str">
        <f ca="1">IF(B100="","",
IF(AND('Field information 2'!$O$5="", 'Field information 2'!$Q$5=""),
   IF('Waste results'!$S$21&lt;&gt;"data missing", Calc!BC98*'Waste results'!$S$21, "data missing"),
IF('Field information 2'!$Q$5="",
   IF(Calc!BD98=0,
     IF('Waste results'!$S$21&lt;&gt;"data missing", Calc!BC98*'Waste results'!$S$21, "data missing"),
   IF(Calc!BC98=0,
     IF('Waste results'!$S$57&lt;&gt;"data missing", Calc!BD98*'Waste results'!$S$57, "data missing"),
   IF(OR('Waste results'!$S$21&lt;&gt;"data missing", 'Waste results'!$S$57&lt;&gt;"data missing"), Calc!BC98*'Waste results'!$S$21+ Calc!BD98*'Waste results'!$S$57, "data missing"))),
IF(AND('Field information 2'!$M$5&lt;&gt;"", 'Field information 2'!$O$5&lt;&gt;"", 'Field information 2'!$Q$5&lt;&gt;""),
   IF(AND(Calc!BD98=0,Calc!BE98=0),
     IF('Waste results'!$S$21&lt;&gt;"data missing", Calc!BC98*'Waste results'!$S$21, "data missing"),
   IF(AND(Calc!BC98=0,Calc!BE98=0),
     IF('Waste results'!$S$57&lt;&gt;"data missing", Calc!BD98*'Waste results'!$S$57, "data missing"),
   IF(AND(Calc!BC98=0,Calc!BD98=0),
     IF('Waste results'!$S$93&lt;&gt;"data missing", Calc!BE98*'Waste results'!$S$93, "data missing"),
   IF(Calc!BE98=0,
     IF(OR('Waste results'!$S$21&lt;&gt;"data missing", 'Waste results'!$S$57&lt;&gt;"data missing"), Calc!BC98*'Waste results'!$S$21+ Calc!BD98*'Waste results'!$S$57, "data missing"),
   IF(Calc!BD98=0,
     IF(OR('Waste results'!$S$21&lt;&gt;"data missing", 'Waste results'!$S$93&lt;&gt;"data missing"), Calc!BC98*'Waste results'!$S$21+ Calc!BE98*'Waste results'!$S$93, "data missing"),
   IF(Calc!BC98=0,
     IF(OR('Waste results'!$S$57&lt;&gt;"data missing", 'Waste results'!$S$93&lt;&gt;"data missing"), Calc!BD98*'Waste results'!$S$57+Calc!BE98*'Waste results'!$S$93, "data missing"),
   IF(OR('Waste results'!$S$21&lt;&gt;"data missing", 'Waste results'!$S$57&lt;&gt;"data missing", 'Waste results'!$S$93&lt;&gt;"data missing"), Calc!BC98*'Waste results'!$S$21+Calc!BD98*'Waste results'!$S$57+ Calc!BE98*'Waste results'!$S$93, "data missing")))))))))))</f>
        <v/>
      </c>
      <c r="U100" s="7" t="str">
        <f ca="1">IF(B100="","",
IF(OR(ISBLANK('Soil results'!I$7),ISBLANK('Soil results'!I103)),"data missing",
IF(OR(AND('Soil results'!I$7="ammonium nitrate (ADAS)",'Soil results'!I103&gt;51),AND('Soil results'!I$7="modified Morgan (SAC)",'Soil results'!I103&gt;61)),0,
IF(OR(AND('Soil results'!I$7="ammonium nitrate (ADAS)",'Soil results'!I103&lt;25),AND('Soil results'!I$7="modified Morgan (SAC)",'Soil results'!I103&lt;19)),VLOOKUP(Calc!BI98,'Fertiliser recommendations'!$A$4:$AH$63,34,FALSE),
IF(OR(AND('Soil results'!I$7="ammonium nitrate (ADAS)",'Soil results'!I103&lt;=51),AND('Soil results'!I$7="modified Morgan (SAC)",'Soil results'!I103&lt;=61)),VLOOKUP(Calc!BI98,'Fertiliser recommendations'!$A$4:$AI$63,35,FALSE),
"")))))</f>
        <v/>
      </c>
      <c r="V100" s="91" t="str">
        <f t="shared" ca="1" si="20"/>
        <v/>
      </c>
      <c r="W100" s="9" t="str">
        <f ca="1">IF(B100="","",
IF(OR(T100="data missing",U100="data missing"),"data missing",
IF(Calc!BF98=0,"n/a",
IF(U100=0,"no requirement",
IF(T100&lt;0.1*U100,"no benefit",
IF(T100&lt;0.3*U100,"limited benefit",
IF(OR(T100&gt;1.5*U100,AND(Calc!BJ98="g",T100&gt;100)),"excessive",
"benefit")))))))</f>
        <v/>
      </c>
      <c r="Y100" s="91" t="str">
        <f ca="1">IF(B100="","",
IF(AND('Field information 2'!$O$5="", 'Field information 2'!$Q$5=""),
   IF('Waste results'!$P$23&lt;&gt;"", Calc!BC98*'Waste results'!$P$23, "no data"),
IF('Field information 2'!$Q$5="",
   IF(Calc!BD98=0,
     IF('Waste results'!$P$23&lt;&gt;"", Calc!BC98*'Waste results'!$P$23, "no data"),
   IF(Calc!BC98=0,
     IF('Waste results'!$P$59&lt;&gt;"", Calc!BD98*'Waste results'!$P$59, "no data"),
   IF(OR('Waste results'!$P$23&lt;&gt;"", 'Waste results'!$P$59&lt;&gt;""), Calc!BC98*'Waste results'!$P$23+ Calc!BD98*'Waste results'!$P$59, "no data"))),
IF(AND('Field information 2'!$M$5&lt;&gt;"", 'Field information 2'!$O$5&lt;&gt;"", 'Field information 2'!$Q$5&lt;&gt;""),
   IF(AND(Calc!BD98=0,Calc!BE98=0),
     IF('Waste results'!$P$23&lt;&gt;"", Calc!BC98*'Waste results'!$P$23, "no data"),
   IF(AND(Calc!BC98=0,Calc!BE98=0),
     IF('Waste results'!$P$59&lt;&gt;"", Calc!BD98*'Waste results'!$P$59, "no data"),
   IF(AND(Calc!BC98=0,Calc!BD98=0),
     IF('Waste results'!$P$95&lt;&gt;"", Calc!BE98*'Waste results'!$P$95, "no data"),
   IF(Calc!BE98=0,
     IF(OR('Waste results'!$P$23&lt;&gt;"", 'Waste results'!$P$59&lt;&gt;""), Calc!BC98*'Waste results'!$P$23+ Calc!BD98*'Waste results'!$P$59, "no data"),
   IF(Calc!BD98=0,
     IF(OR('Waste results'!$P$23&lt;&gt;"", 'Waste results'!$P$95&lt;&gt;""), Calc!BC98*'Waste results'!$P$23+ Calc!BE98*'Waste results'!$P$95, "no data"),
   IF(Calc!BC98=0,
     IF(OR('Waste results'!$P$59&lt;&gt;"", 'Waste results'!$P$95&lt;&gt;""), Calc!BD98*'Waste results'!$P$59+Calc!BE98*'Waste results'!$P$95, "no data"),
   IF(OR('Waste results'!$P$23&lt;&gt;"", 'Waste results'!$P$59&lt;&gt;"", 'Waste results'!$P$95&lt;&gt;""), Calc!BC98*'Waste results'!$P$23+Calc!BD98*'Waste results'!$P$59+ Calc!BE98*'Waste results'!$P$95, "no data")))))))))))</f>
        <v/>
      </c>
      <c r="Z100" s="7" t="str">
        <f ca="1">IF(OR(ISBLANK('Soil results'!I$7),ISBLANK('Soil results'!I103),'Soil results'!B103=""),"",
VLOOKUP(Calc!BI98,'Fertiliser recommendations'!$A$4:$AM$63,39,FALSE))</f>
        <v/>
      </c>
      <c r="AA100" s="91" t="str">
        <f t="shared" ca="1" si="21"/>
        <v/>
      </c>
      <c r="AB100" s="9" t="str">
        <f t="shared" ca="1" si="22"/>
        <v/>
      </c>
      <c r="AD100" s="48" t="str">
        <f>IF(ISBLANK('Soil results'!F103),"",'Soil results'!F103)</f>
        <v/>
      </c>
      <c r="AE100" s="49" t="str">
        <f ca="1">IF(B100="","",
IF(AND(Calc!BJ98="g", VLOOKUP(LEFT($B100,LEN($B100)-2),'Field information 2'!$B$12:$P$111,9,FALSE)&lt;&gt;"yes"),
 IF(Calc!BG98="10-25% OM", 5.9, IF(Calc!BG98="&gt;25% OM", 5.5, 6.2)),
IF(OR(Calc!BJ98="a", VLOOKUP(LEFT($B100,LEN($B100)-2),'Field information 2'!$B$12:$P$111,9,FALSE)="yes"),
 IF(Calc!BG98="10-25% OM", 6.4, IF(Calc!BG98="&gt;25% OM", 6, 6.7)), "")))</f>
        <v/>
      </c>
      <c r="AF100" s="91" t="str">
        <f ca="1">IF(B100="","",
IF('Waste results'!$Q$33="","no (significant) liming properties",
IF('Waste results'!Q$33&gt;100,"no (significant) liming properties",
IF(AD100="","",
IF(AD100&gt;=AE100,0,ROUNDDOWN((AE100-AD100)*Calc!BK98*'Waste results'!$Q$33+0.2,0))))))</f>
        <v/>
      </c>
      <c r="AG100" s="9" t="str">
        <f ca="1">IF(B100="","",
IF(T100=0,"n/a",
IF(AD100="","data missing",
IF(AND(AD100&lt;5,AF100="no (significant) liming properties"),"no waste application - pH too low",
IF(AND(AD100&gt;5.1,AF100="no (significant) liming properties",Calc!BH98&gt;25, LEFT(Calc!BI98,4)="graz"),"ok",
IF(AND(AD100&lt;=5.2,AF100="no (significant) liming properties"),"liming highly recommended",
IF(AF100=0,"no waste application - liming not required",
IF(AF100&lt;Calc!BC98,"application rate too high - exceeds liming requirement",
"ok"))))))))</f>
        <v/>
      </c>
      <c r="AI100" s="91" t="str">
        <f ca="1">IF(B100="","",
IF(AND('Field information 2'!$O$5="", 'Field information 2'!$Q$5=""),
   IF('Waste results'!$P$10&lt;&gt;"data missing", Calc!BC98*'Waste results'!$P$10, "data missing"),
IF('Field information 2'!$Q$5="",
   IF(Calc!BD98=0,
     IF('Waste results'!$P$10&lt;&gt;"data missing", Calc!BC98*'Waste results'!$P$10, "data missing"),
   IF(Calc!BC98=0,
     IF('Waste results'!$P$45&lt;&gt;"data missing", Calc!BD98*'Waste results'!$P$45, "data missing"),
   IF(OR('Waste results'!$P$10&lt;&gt;"data missing", 'Waste results'!$P$45&lt;&gt;"data missing"), Calc!BC98*'Waste results'!$P$10+ Calc!BD98*'Waste results'!$P$45, "data missing"))),
IF(AND('Field information 2'!$M$5&lt;&gt;"", 'Field information 2'!$O$5&lt;&gt;"", 'Field information 2'!$Q$5&lt;&gt;""),
   IF(AND(Calc!BD98=0,Calc!BE98=0),
     IF('Waste results'!$P$10&lt;&gt;"data missing", Calc!BC98*'Waste results'!$P$10, "data missing"),
   IF(AND(Calc!BC98=0,Calc!BE98=0),
     IF('Waste results'!$P$45&lt;&gt;"data missing", Calc!BD98*'Waste results'!$P$45, "data missing"),
   IF(AND(Calc!BC98=0,Calc!BD98=0),
     IF('Waste results'!$P$82&lt;&gt;"data missing", Calc!BE98*'Waste results'!$P$82, "data missing"),
   IF(Calc!BE98=0,
     IF(OR('Waste results'!$P$10&lt;&gt;"data missing", 'Waste results'!$P$45&lt;&gt;"data missing"), Calc!BC98*'Waste results'!$P$10+ Calc!BD98*'Waste results'!$P$45, "data missing"),
   IF(Calc!BD98=0,
     IF(OR('Waste results'!$P$10&lt;&gt;"data missing", 'Waste results'!$P$82&lt;&gt;"data missing"), Calc!BC98*'Waste results'!$P$10+ Calc!BE98*'Waste results'!$P$82, "data missing"),
   IF(Calc!BC98=0,
     IF(OR('Waste results'!$P$45&lt;&gt;"data missing", 'Waste results'!$P$82&lt;&gt;"data missing"), Calc!BD98*'Waste results'!$P$45+Calc!BE98*'Waste results'!$P$82, "data missing"),
   IF(OR('Waste results'!$P$10&lt;&gt;"data missing", 'Waste results'!$P$45&lt;&gt;"data missing", 'Waste results'!$P$82&lt;&gt;"data missing"), Calc!BC98*'Waste results'!$P$10+Calc!BD98*'Waste results'!$P$45+ Calc!BE98*'Waste results'!$P$82, "data missing")))))))))))</f>
        <v/>
      </c>
      <c r="AJ100" s="237" t="str">
        <f ca="1">IF(B100="","",
IF(AI100="data missing","data missing",
IF(Calc!BF98=0,"n/a",
IF(AND(Calc!BH98&gt;=8,AI100&lt;500),"no benefit",
IF(OR(AND(Calc!BH98&lt;=4,AI100&gt;=500),AND(Calc!BH98&lt;8,AI100&gt;5000)),"benefit",
"limited benefit")))))</f>
        <v/>
      </c>
      <c r="AL100" s="238" t="str">
        <f ca="1">IF(B100="","",
IF(AND('Field information 2'!$O$5="", 'Field information 2'!$Q$5=""),
   IF('Waste results'!$S$25&lt;&gt;"data missing", Calc!BC98*'Waste results'!$S$25, "data missing"),
IF('Field information 2'!$Q$5="",
   IF(Calc!BD98=0,
     IF('Waste results'!$S$25&lt;&gt;"data missing", Calc!BC98*'Waste results'!$S$25, "data missing"),
   IF(Calc!BC98=0,
     IF('Waste results'!$S$61&lt;&gt;"data missing", Calc!BD98*'Waste results'!$S$61, "data missing"),
   IF(OR('Waste results'!$S$25&lt;&gt;"data missing", 'Waste results'!$S$61&lt;&gt;"data missing"), Calc!BC98*'Waste results'!$S$25+ Calc!BD98*'Waste results'!$S$61, "data missing"))),
IF(AND('Field information 2'!$M$5&lt;&gt;"", 'Field information 2'!$O$5&lt;&gt;"", 'Field information 2'!$Q$5&lt;&gt;""),
   IF(AND(Calc!BD98=0,Calc!BE98=0),
     IF('Waste results'!$S$25&lt;&gt;"data missing", Calc!BC98*'Waste results'!$S$25, "data missing"),
   IF(AND(Calc!BC98=0,Calc!BE98=0),
     IF('Waste results'!$S$61&lt;&gt;"data missing", Calc!BD98*'Waste results'!$S$61, "data missing"),
   IF(AND(Calc!BC98=0,Calc!BD98=0),
     IF('Waste results'!$S$97&lt;&gt;"data missing", Calc!BE98*'Waste results'!$S$97, "data missing"),
   IF(Calc!BE98=0,
     IF(OR('Waste results'!$S$25&lt;&gt;"data missing", 'Waste results'!$S$61&lt;&gt;"data missing"), Calc!BC98*'Waste results'!$S$25+ Calc!BD98*'Waste results'!$S$61, "data missing"),
   IF(Calc!BD98=0,
     IF(OR('Waste results'!$S$25&lt;&gt;"data missing", 'Waste results'!$S$97&lt;&gt;"data missing"), Calc!BC98*'Waste results'!$S$25+ Calc!BE98*'Waste results'!$S$97, "data missing"),
   IF(Calc!BC98=0,
     IF(OR('Waste results'!$S$61&lt;&gt;"data missing", 'Waste results'!$S$97&lt;&gt;"data missing"), Calc!BD98*'Waste results'!$S$61+Calc!BE98*'Waste results'!$S$97, "data missing"),
   IF(OR('Waste results'!$S$25&lt;&gt;"data missing", 'Waste results'!$S$61&lt;&gt;"data missing", 'Waste results'!$S$97&lt;&gt;"data missing"), Calc!BC98*'Waste results'!$S$25+Calc!BD98*'Waste results'!$S$61+ Calc!BE98*'Waste results'!$S$97, "data missing")))))))))))</f>
        <v/>
      </c>
      <c r="AM100" s="239" t="str">
        <f ca="1">IF($B100="","",
IF(ISBLANK('Soil results'!K103),"data missing",'Soil results'!K103))</f>
        <v/>
      </c>
      <c r="AN100" s="239" t="str">
        <f t="shared" ca="1" si="23"/>
        <v/>
      </c>
      <c r="AO100" s="9" t="str">
        <f t="shared" ca="1" si="24"/>
        <v/>
      </c>
      <c r="AQ100" s="240" t="str">
        <f ca="1">IF(B100="","",
IF(AND('Field information 2'!$O$5="", 'Field information 2'!$Q$5=""),
   IF('Waste results'!$S$26&lt;&gt;"data missing", Calc!BC98*'Waste results'!$S$26, "data missing"),
IF('Field information 2'!$Q$5="",
   IF(Calc!BD98=0,
     IF('Waste results'!$S$26&lt;&gt;"data missing", Calc!BC98*'Waste results'!$S$26, "data missing"),
   IF(Calc!BC98=0,
     IF('Waste results'!$S$62&lt;&gt;"data missing", Calc!BD98*'Waste results'!$S$62, "data missing"),
   IF(OR('Waste results'!$S$26&lt;&gt;"data missing", 'Waste results'!$S$62&lt;&gt;"data missing"), Calc!BC98*'Waste results'!$S$26+ Calc!BD98*'Waste results'!$S$62, "data missing"))),
IF(AND('Field information 2'!$M$5&lt;&gt;"", 'Field information 2'!$O$5&lt;&gt;"", 'Field information 2'!$Q$5&lt;&gt;""),
   IF(AND(Calc!BD98=0,Calc!BE98=0),
     IF('Waste results'!$S$26&lt;&gt;"data missing", Calc!BC98*'Waste results'!$S$26, "data missing"),
   IF(AND(Calc!BC98=0,Calc!BE98=0),
     IF('Waste results'!$S$62&lt;&gt;"data missing", Calc!BD98*'Waste results'!$S$62, "data missing"),
   IF(AND(Calc!BC98=0,Calc!BD98=0),
     IF('Waste results'!$S$98&lt;&gt;"data missing", Calc!BE98*'Waste results'!$S$98, "data missing"),
   IF(Calc!BE98=0,
     IF(OR('Waste results'!$S$26&lt;&gt;"data missing", 'Waste results'!$S$62&lt;&gt;"data missing"), Calc!BC98*'Waste results'!$S$26+ Calc!BD98*'Waste results'!$S$62, "data missing"),
   IF(Calc!BD98=0,
     IF(OR('Waste results'!$S$26&lt;&gt;"data missing", 'Waste results'!$S$98&lt;&gt;"data missing"), Calc!BC98*'Waste results'!$S$26+ Calc!BE98*'Waste results'!$S$98, "data missing"),
   IF(Calc!BC98=0,
     IF(OR('Waste results'!$S$62&lt;&gt;"data missing", 'Waste results'!$S$98&lt;&gt;"data missing"), Calc!BD98*'Waste results'!$S$62+Calc!BE98*'Waste results'!$S$98, "data missing"),
   IF(OR('Waste results'!$S$26&lt;&gt;"data missing", 'Waste results'!$S$62&lt;&gt;"data missing", 'Waste results'!$S$98&lt;&gt;"data missing"), Calc!BC98*'Waste results'!$S$26+Calc!BD98*'Waste results'!$S$62+ Calc!BE98*'Waste results'!$S$98, "data missing")))))))))))</f>
        <v/>
      </c>
      <c r="AR100" s="241" t="str">
        <f ca="1">IF($B100="","",
IF(ISBLANK('Soil results'!L103),"data missing",'Soil results'!L103))</f>
        <v/>
      </c>
      <c r="AS100" s="241" t="str">
        <f t="shared" ca="1" si="25"/>
        <v/>
      </c>
      <c r="AT100" s="66" t="str">
        <f t="shared" ca="1" si="26"/>
        <v/>
      </c>
      <c r="AV100" s="238" t="str">
        <f ca="1">IF(B100="","",
IF(AND('Field information 2'!$O$5="", 'Field information 2'!$Q$5=""),
   IF('Waste results'!$S$27&lt;&gt;"data missing", Calc!BC98*'Waste results'!$S$27, "data missing"),
IF('Field information 2'!$Q$5="",
   IF(Calc!BD98=0,
     IF('Waste results'!$S$27&lt;&gt;"data missing", Calc!BC98*'Waste results'!$S$27, "data missing"),
   IF(Calc!BC98=0,
     IF('Waste results'!$S$63&lt;&gt;"data missing", Calc!BD98*'Waste results'!$S$63, "data missing"),
   IF(OR('Waste results'!$S$27&lt;&gt;"data missing", 'Waste results'!$S$63&lt;&gt;"data missing"), Calc!BC98*'Waste results'!$S$27+ Calc!BD98*'Waste results'!$S$63, "data missing"))),
IF(AND('Field information 2'!$M$5&lt;&gt;"", 'Field information 2'!$O$5&lt;&gt;"", 'Field information 2'!$Q$5&lt;&gt;""),
   IF(AND(Calc!BD98=0,Calc!BE98=0),
     IF('Waste results'!$S$27&lt;&gt;"data missing", Calc!BC98*'Waste results'!$S$27, "data missing"),
   IF(AND(Calc!BC98=0,Calc!BE98=0),
     IF('Waste results'!$S$63&lt;&gt;"data missing", Calc!BD98*'Waste results'!$S$63, "data missing"),
   IF(AND(Calc!BC98=0,Calc!BD98=0),
     IF('Waste results'!$S$99&lt;&gt;"data missing", Calc!BE98*'Waste results'!$S$99, "data missing"),
   IF(Calc!BE98=0,
     IF(OR('Waste results'!$S$27&lt;&gt;"data missing", 'Waste results'!$S$63&lt;&gt;"data missing"), Calc!BC98*'Waste results'!$S$27+ Calc!BD98*'Waste results'!$S$63, "data missing"),
   IF(Calc!BD98=0,
     IF(OR('Waste results'!$S$27&lt;&gt;"data missing", 'Waste results'!$S$99&lt;&gt;"data missing"), Calc!BC98*'Waste results'!$S$27+ Calc!BE98*'Waste results'!$S$99, "data missing"),
   IF(Calc!BC98=0,
     IF(OR('Waste results'!$S$63&lt;&gt;"data missing", 'Waste results'!$S$99&lt;&gt;"data missing"), Calc!BD98*'Waste results'!$S$63+Calc!BE98*'Waste results'!$S$99, "data missing"),
   IF(OR('Waste results'!$S$27&lt;&gt;"data missing", 'Waste results'!$S$63&lt;&gt;"data missing", 'Waste results'!$S$99&lt;&gt;"data missing"), Calc!BC98*'Waste results'!$S$27+Calc!BD98*'Waste results'!$S$63+ Calc!BE98*'Waste results'!$S$99, "data missing")))))))))))</f>
        <v/>
      </c>
      <c r="AW100" s="239" t="str">
        <f ca="1">IF($B100="","",
IF(ISBLANK('Soil results'!M103),"data missing",'Soil results'!M103))</f>
        <v/>
      </c>
      <c r="AX100" s="239" t="str">
        <f t="shared" ca="1" si="27"/>
        <v/>
      </c>
      <c r="AY100" s="9" t="str">
        <f ca="1">IF(B100="","",
IF(AV100=0,"n/a",
IF(OR(AV100="data missing",AW100="data missing"),"data missing",
IF(AV100&gt;7.5,"application rate too high - permissible rate exceeds limit",
IF('Soil results'!$F103&lt;=5.5,
  IF(AW100&gt;80,"no application - soil conc. already above limit",
  IF(AX100&gt;80,"application rate too high - soil conc. will exceed limit",
  IF(AW100&gt;80*0.9,"soil conc. is at or above 90% of the limit",
  IF(10*AV100*1000/3000+AW100&gt;80,"soil limit likely to be exceeded in 10yrs",
  IF(50*AV100*1000/3000+AW100&gt;80,"soil limit likely to be exceeded in 50yrs","ok"))))),
IF('Soil results'!$F103&lt;=6,
  IF(AW100&gt;100,"no application - soil conc. already above limit",
  IF(AX100&gt;100,"application rate too high - soil conc. will exceed limit",
  IF(AW100&gt;100*0.9,"soil conc. is at or above 90% of the limit",
  IF(10*AV100*1000/3000+AW100&gt;100,"soil limit likely to be exceeded in 10yrs",
  IF(50*AV100*1000/3000+AW100&gt;100,"soil limit likely to be exceeded in 50yrs","ok"))))),
IF('Soil results'!$F103&lt;=7,
  IF(AW100&gt;135,"no application - soil conc. already above limit",
  IF(AX100&gt;135,"application rate too high - soil conc. will exceed limit",
  IF(AW100&gt;135*0.9,"soil conc. is at or above 90% of the limit",
  IF(10*AV100*1000/3000+AW100&gt;135,"soil limit likely to be exceeded in 10yrs",
  IF(50*AV100*1000/3000+AW100&gt;135,"soil limit likely to be exceeded in 50yrs","ok"))))),
IF('Soil results'!$F103&gt;7,
  IF(AW100&gt;200,"no application - soil conc. already above limit",
  IF(AX100&gt;200,"application too high - soil conc. will exceed limit",
  IF(AW100&gt;200*0.9,"soil conc. is at or above 90% of the limit",
  IF(10*AV100*1000/3000+AW100&gt;200,"soil limit likely to be exceeded in 10yrs",
  IF(50*AV100*1000/3000+AW100&gt;200,"soil limit likely to be exceeded in 50yrs","ok")))))
))))))))</f>
        <v/>
      </c>
      <c r="BA100" s="238" t="str">
        <f ca="1">IF(B100="","",
IF(AND('Field information 2'!$O$5="", 'Field information 2'!$Q$5=""),
   IF('Waste results'!$S$28&lt;&gt;"data missing", Calc!BC98*'Waste results'!$S$28, "data missing"),
IF('Field information 2'!$Q$5="",
   IF(Calc!BD98=0,
     IF('Waste results'!$S$28&lt;&gt;"data missing", Calc!BC98*'Waste results'!$S$28, "data missing"),
   IF(Calc!BC98=0,
     IF('Waste results'!$S$64&lt;&gt;"data missing", Calc!BD98*'Waste results'!$S$64, "data missing"),
   IF(OR('Waste results'!$S$28&lt;&gt;"data missing", 'Waste results'!$S$64&lt;&gt;"data missing"), Calc!BC98*'Waste results'!$S$28+ Calc!BD98*'Waste results'!$S$64, "data missing"))),
IF(AND('Field information 2'!$M$5&lt;&gt;"", 'Field information 2'!$O$5&lt;&gt;"", 'Field information 2'!$Q$5&lt;&gt;""),
   IF(AND(Calc!BD98=0,Calc!BE98=0),
     IF('Waste results'!$S$28&lt;&gt;"data missing", Calc!BC98*'Waste results'!$S$28, "data missing"),
   IF(AND(Calc!BC98=0,Calc!BE98=0),
     IF('Waste results'!$S$64&lt;&gt;"data missing", Calc!BD98*'Waste results'!$S$64, "data missing"),
   IF(AND(Calc!BC98=0,Calc!BD98=0),
     IF('Waste results'!$S$100&lt;&gt;"data missing", Calc!BE98*'Waste results'!$S$100, "data missing"),
   IF(Calc!BE98=0,
     IF(OR('Waste results'!$S$28&lt;&gt;"data missing", 'Waste results'!$S$64&lt;&gt;"data missing"), Calc!BC98*'Waste results'!$S$28+ Calc!BD98*'Waste results'!$S$64, "data missing"),
   IF(Calc!BD98=0,
     IF(OR('Waste results'!$S$28&lt;&gt;"data missing", 'Waste results'!$S$100&lt;&gt;"data missing"), Calc!BC98*'Waste results'!$S$28+ Calc!BE98*'Waste results'!$S$100, "data missing"),
   IF(Calc!BC98=0,
     IF(OR('Waste results'!$S$64&lt;&gt;"data missing", 'Waste results'!$S$100&lt;&gt;"data missing"), Calc!BD98*'Waste results'!$S$64+Calc!BE98*'Waste results'!$S$100, "data missing"),
   IF(OR('Waste results'!$S$28&lt;&gt;"data missing", 'Waste results'!$S$64&lt;&gt;"data missing", 'Waste results'!$S$100&lt;&gt;"data missing"), Calc!BC98*'Waste results'!$S$28+Calc!BD98*'Waste results'!$S$64+ Calc!BE98*'Waste results'!$S$100, "data missing")))))))))))</f>
        <v/>
      </c>
      <c r="BB100" s="239" t="str">
        <f ca="1">IF($B100="","",
IF(ISBLANK('Soil results'!N103),"data missing",'Soil results'!N103))</f>
        <v/>
      </c>
      <c r="BC100" s="239" t="str">
        <f t="shared" ca="1" si="28"/>
        <v/>
      </c>
      <c r="BD100" s="9" t="str">
        <f t="shared" ca="1" si="29"/>
        <v/>
      </c>
      <c r="BF100" s="238" t="str">
        <f ca="1">IF(B100="","",
IF(AND('Field information 2'!$O$5="", 'Field information 2'!$Q$5=""),
   IF('Waste results'!$S$29&lt;&gt;"data missing", Calc!BC98*'Waste results'!$S$29, "data missing"),
IF('Field information 2'!$Q$5="",
   IF(Calc!BD98=0,
     IF('Waste results'!$S$29&lt;&gt;"data missing", Calc!BC98*'Waste results'!$S$29, "data missing"),
   IF(Calc!BC98=0,
     IF('Waste results'!$S$65&lt;&gt;"data missing", Calc!BD98*'Waste results'!$S$65, "data missing"),
   IF(OR('Waste results'!$S$29&lt;&gt;"data missing", 'Waste results'!$S$65&lt;&gt;"data missing"), Calc!BC98*'Waste results'!$S$29+ Calc!BD98*'Waste results'!$S$65, "data missing"))),
IF(AND('Field information 2'!$M$5&lt;&gt;"", 'Field information 2'!$O$5&lt;&gt;"", 'Field information 2'!$Q$5&lt;&gt;""),
   IF(AND(Calc!BD98=0,Calc!BE98=0),
     IF('Waste results'!$S$29&lt;&gt;"data missing", Calc!BC98*'Waste results'!$S$29, "data missing"),
   IF(AND(Calc!BC98=0,Calc!BE98=0),
     IF('Waste results'!$S$65&lt;&gt;"data missing", Calc!BD98*'Waste results'!$S$65, "data missing"),
   IF(AND(Calc!BC98=0,Calc!BD98=0),
     IF('Waste results'!$S$101&lt;&gt;"data missing", Calc!BE98*'Waste results'!$S$101, "data missing"),
   IF(Calc!BE98=0,
     IF(OR('Waste results'!$S$29&lt;&gt;"data missing", 'Waste results'!$S$65&lt;&gt;"data missing"), Calc!BC98*'Waste results'!$S$29+ Calc!BD98*'Waste results'!$S$65, "data missing"),
   IF(Calc!BD98=0,
     IF(OR('Waste results'!$S$29&lt;&gt;"data missing", 'Waste results'!$S$101&lt;&gt;"data missing"), Calc!BC98*'Waste results'!$S$29+ Calc!BE98*'Waste results'!$S$101, "data missing"),
   IF(Calc!BC98=0,
     IF(OR('Waste results'!$S$65&lt;&gt;"data missing", 'Waste results'!$S$101&lt;&gt;"data missing"), Calc!BD98*'Waste results'!$S$65+Calc!BE98*'Waste results'!$S$101, "data missing"),
   IF(OR('Waste results'!$S$29&lt;&gt;"data missing", 'Waste results'!$S$65&lt;&gt;"data missing", 'Waste results'!$S$101&lt;&gt;"data missing"), Calc!BC98*'Waste results'!$S$29+Calc!BD98*'Waste results'!$S$65+ Calc!BE98*'Waste results'!$S$101, "data missing")))))))))))</f>
        <v/>
      </c>
      <c r="BG100" s="239" t="str">
        <f ca="1">IF($B100="","",
IF(ISBLANK('Soil results'!O103),"data missing",'Soil results'!O103))</f>
        <v/>
      </c>
      <c r="BH100" s="239" t="str">
        <f t="shared" ca="1" si="30"/>
        <v/>
      </c>
      <c r="BI100" s="9" t="str">
        <f ca="1">IF(B100="","",
IF(BF100=0,"n/a",
IF(OR(BF100="data missing",BG100="data missing"),"data missing",
IF(BF100&gt;3,"application rate too high - permissible rate exceeds limit",
IF('Soil results'!F103&lt;=5.5,
  IF(BG100&gt;50,"no application - soil conc. already above limit",
  IF(BH100&gt;50,"application rate too high - soil conc. will exceed limit",
  IF(BG100&gt;50*0.9,"soil conc. is at or above 90% of the limit",
  IF(10*BF100*1000/3000+BG100&gt;50,"soil limit likely to be exceeded in 10yrs",
  IF(50*BF100*1000/3000+BG100&gt;50,"soil limit likely to be exceeded in 50yrs","ok"))))),
IF('Soil results'!F103&lt;=6,
  IF(BG100&gt;60,"no application - soil conc. already above limit",
  IF(BH100&gt;60,"application rate too high - soil conc. will exceed limit",
  IF(BG100&gt;60*0.9,"soil conc. is at or above 90% of the limit",
  IF(10*BF100*1000/3000+BG100&gt;60,"soil limit likely to be exceeded in 10yrs",
  IF(50*BF100*1000/3000+BG100&gt;60,"soil limit likely to be exceeded in 50yrs","ok"))))),
IF('Soil results'!F103&lt;=7,
  IF(BG100&gt;75,"no application - soil conc. already above limit",
  IF(BH100&gt;75,"application rate too high - soil conc. will exceed limit",
  IF(BG100&gt;75*0.9,"soil conc. is at or above 90% of the limit",
  IF(10*BF100*1000/3000+BG100&gt;75,"soil limit likely to be exceeded in 10yrs",
  IF(50*BF100*1000/3000+BG100&gt;75,"soil limit likely to be exceeded in 50yrs","ok"))))),
IF('Soil results'!F103&gt;7,
  IF(BG100&gt;100,"no application - soil conc. already above limit",
  IF(BH100&gt;100,"application rate too high - soil conc. will exceed limit",
  IF(BG100&gt;100*0.9,"soil conc. is at or above 90% of the limit",
  IF(10*BF100*1000/3000+BG100&gt;100,"soil limit likely to be exceeded in 10yrs",
  IF(50*BF100*1000/3000+BG100&gt;100,"soil limit likely to beexceeded in 50yrs","ok")))))
))))))))</f>
        <v/>
      </c>
      <c r="BK100" s="240" t="str">
        <f ca="1">IF(B100="","",
IF(AND('Field information 2'!$O$5="", 'Field information 2'!$Q$5=""),
   IF('Waste results'!$S$30&lt;&gt;"data missing", Calc!BC98*'Waste results'!$S$30, "data missing"),
IF('Field information 2'!$Q$5="",
   IF(Calc!BD98=0,
     IF('Waste results'!$S$30&lt;&gt;"data missing", Calc!BC98*'Waste results'!$S$30, "data missing"),
   IF(Calc!BC98=0,
     IF('Waste results'!$S$66&lt;&gt;"data missing", Calc!BD98*'Waste results'!$S$66, "data missing"),
   IF(OR('Waste results'!$S$30&lt;&gt;"data missing", 'Waste results'!$S$66&lt;&gt;"data missing"), Calc!BC98*'Waste results'!$S$30+ Calc!BD98*'Waste results'!$S$66, "data missing"))),
IF(AND('Field information 2'!$M$5&lt;&gt;"", 'Field information 2'!$O$5&lt;&gt;"", 'Field information 2'!$Q$5&lt;&gt;""),
   IF(AND(Calc!BD98=0,Calc!BE98=0),
     IF('Waste results'!$S$30&lt;&gt;"data missing", Calc!BC98*'Waste results'!$S$30, "data missing"),
   IF(AND(Calc!BC98=0,Calc!BE98=0),
     IF('Waste results'!$S$66&lt;&gt;"data missing", Calc!BD98*'Waste results'!$S$66, "data missing"),
   IF(AND(Calc!BC98=0,Calc!BD98=0),
     IF('Waste results'!$S$102&lt;&gt;"data missing", Calc!BE98*'Waste results'!$S$102, "data missing"),
   IF(Calc!BE98=0,
     IF(OR('Waste results'!$S$30&lt;&gt;"data missing", 'Waste results'!$S$66&lt;&gt;"data missing"), Calc!BC98*'Waste results'!$S$30+ Calc!BD98*'Waste results'!$S$66, "data missing"),
   IF(Calc!BD98=0,
     IF(OR('Waste results'!$S$30&lt;&gt;"data missing", 'Waste results'!$S$102&lt;&gt;"data missing"), Calc!BC98*'Waste results'!$S$30+ Calc!BE98*'Waste results'!$S$102, "data missing"),
   IF(Calc!BC98=0,
     IF(OR('Waste results'!$S$66&lt;&gt;"data missing", 'Waste results'!$S$102&lt;&gt;"data missing"), Calc!BD98*'Waste results'!$S$66+Calc!BE98*'Waste results'!$S$102, "data missing"),
   IF(OR('Waste results'!$S$30&lt;&gt;"data missing", 'Waste results'!$S$66&lt;&gt;"data missing", 'Waste results'!$S$102&lt;&gt;"data missing"), Calc!BC98*'Waste results'!$S$30+Calc!BD98*'Waste results'!$S$66+ Calc!BE98*'Waste results'!$S$102, "data missing")))))))))))</f>
        <v/>
      </c>
      <c r="BL100" s="241" t="str">
        <f ca="1">IF($B100="","",
IF(ISBLANK('Soil results'!P103),"data missing",'Soil results'!P103))</f>
        <v/>
      </c>
      <c r="BM100" s="241" t="str">
        <f t="shared" ca="1" si="31"/>
        <v/>
      </c>
      <c r="BN100" s="66" t="str">
        <f t="shared" ca="1" si="32"/>
        <v/>
      </c>
      <c r="BP100" s="238" t="str">
        <f ca="1">IF(B100="","",
IF(AND('Field information 2'!$O$5="", 'Field information 2'!$Q$5=""),
   IF('Waste results'!$S$31&lt;&gt;"data missing", Calc!BC98*'Waste results'!$S$31, "data missing"),
IF('Field information 2'!$Q$5="",
   IF(Calc!BD98=0,
     IF('Waste results'!$S$31&lt;&gt;"data missing", Calc!BC98*'Waste results'!$S$31, "data missing"),
   IF(Calc!BC98=0,
     IF('Waste results'!$S$67&lt;&gt;"data missing", Calc!BD98*'Waste results'!$S$67, "data missing"),
   IF(OR('Waste results'!$S$31&lt;&gt;"data missing", 'Waste results'!$S$67&lt;&gt;"data missing"), Calc!BC98*'Waste results'!$S$31+ Calc!BD98*'Waste results'!$S$67, "data missing"))),
IF(AND('Field information 2'!$M$5&lt;&gt;"", 'Field information 2'!$O$5&lt;&gt;"", 'Field information 2'!$Q$5&lt;&gt;""),
   IF(AND(Calc!BD98=0,Calc!BE98=0),
     IF('Waste results'!$S$31&lt;&gt;"data missing", Calc!BC98*'Waste results'!$S$31, "data missing"),
   IF(AND(Calc!BC98=0,Calc!BE98=0),
     IF('Waste results'!$S$67&lt;&gt;"data missing", Calc!BD98*'Waste results'!$S$67, "data missing"),
   IF(AND(Calc!BC98=0,Calc!BD98=0),
     IF('Waste results'!$S$103&lt;&gt;"data missing", Calc!BE98*'Waste results'!$S$103, "data missing"),
   IF(Calc!BE98=0,
     IF(OR('Waste results'!$S$31&lt;&gt;"data missing", 'Waste results'!$S$67&lt;&gt;"data missing"), Calc!BC98*'Waste results'!$S$31+ Calc!BD98*'Waste results'!$S$67, "data missing"),
   IF(Calc!BD98=0,
     IF(OR('Waste results'!$S$31&lt;&gt;"data missing", 'Waste results'!$S$103&lt;&gt;"data missing"), Calc!BC98*'Waste results'!$S$31+ Calc!BE98*'Waste results'!$S$103, "data missing"),
   IF(Calc!BC98=0,
     IF(OR('Waste results'!$S$67&lt;&gt;"data missing", 'Waste results'!$S$103&lt;&gt;"data missing"), Calc!BD98*'Waste results'!$S$67+Calc!BE98*'Waste results'!$S$103, "data missing"),
   IF(OR('Waste results'!$S$31&lt;&gt;"data missing", 'Waste results'!$S$67&lt;&gt;"data missing", 'Waste results'!$S$103&lt;&gt;"data missing"), Calc!BC98*'Waste results'!$S$31+Calc!BD98*'Waste results'!$S$67+ Calc!BE98*'Waste results'!$S$103, "data missing")))))))))))</f>
        <v/>
      </c>
      <c r="BQ100" s="239" t="str">
        <f ca="1">IF($B100="","",
IF(ISBLANK('Soil results'!Q103),"data missing",'Soil results'!Q103))</f>
        <v/>
      </c>
      <c r="BR100" s="239" t="str">
        <f t="shared" ca="1" si="33"/>
        <v/>
      </c>
      <c r="BS100" s="9" t="str">
        <f ca="1">IF(B100="","",
IF(BP100=0,"n/a",
IF(OR(BP100="data missing",BQ100=""),"data missing",
IF(BP100&gt;15,"application rate too high - permissible rate exceeds limit",
IF('Soil results'!F103&lt;=5.5,
  IF(BQ100&gt;200,"no application - soil conc. already above limit",
  IF(BR100&gt;200,"application rate too high - soil conc. will exceed limit",
  IF(BQ100&gt;200*0.9,"soil conc. is at or above 90% of the limit",
  IF(10*BP100*1000/3000+BQ100&gt;200,"soil limit likely to be exceeded in 10yrs",
  IF(50*BP100*1000/3000+BQ100&gt;200,"soil limit likely to be exceeded in 50yrs","ok"))))),
IF('Soil results'!F103&lt;=6,
  IF(BQ100&gt;250,"no application - soil conc. already above limit",
  IF(BR100&gt;250,"application rate too high - soil conc. will exceed limit",
  IF(BQ100&gt;250*0.9,"soil conc. is at or above 90% of the limit",
  IF(10*BP100*1000/3000+BQ100&gt;250,"soil limit likely to be exceeded in 10yrs",
  IF(50*BP100*1000/3000+BQ100&gt;250,"soil limit likely to be exceeded in 50yrs","ok"))))),
IF('Soil results'!F103&lt;=7,
  IF(BQ100&gt;300,"no application - soil conc. already above limit",
  IF(BR100&gt;300,"application rate too high - soil conc. will exceed limit",
  IF(BQ100&gt;300*0.9,"soil conc. is at or above 90% of the limit",
  IF(10*BP100*1000/3000+BQ100&gt;300,"soil limit likey to be exceeded in 10yrs",
  IF(50*BP100*1000/3000+BQ100&gt;300,"soil limit likely to be exceeded in 50yrs","ok"))))),
IF('Soil results'!F103&gt;7,
  IF(BQ100&gt;450,"no application - soil conc. already above limit",
  IF(BR100&gt;450,"application rate too high - soil conc. will exceed limit",
  IF(AW100&gt;450*0.9,"soil conc. is at or above 90% of the limit",
  IF(10*BP100*1000/3000+BQ100&gt;450,"soil limit likely to be exceeded in 10yrs",
  IF(50*BP100*1000/3000+BQ100&gt;450,"soil limit likely to be exceeded in 50yrs","ok")))))
))))))))</f>
        <v/>
      </c>
    </row>
    <row r="101" spans="2:71" s="9" customFormat="1" ht="15" x14ac:dyDescent="0.25">
      <c r="B101" s="236" t="str">
        <f ca="1">'Soil results'!B104</f>
        <v/>
      </c>
      <c r="C101" s="91" t="str">
        <f ca="1">IF(B101="","",
IF(AND('Field information 2'!$O$5="", 'Field information 2'!$Q$5=""),
   IF('Waste results'!$S$12&lt;&gt;"data missing", Calc!BC99*'Waste results'!$S$12, "data missing"),
IF('Field information 2'!$Q$5="",
   IF(Calc!BD99=0,
     IF('Waste results'!$S$12&lt;&gt;"data missing", Calc!BC99*'Waste results'!$S$12, "data missing"),
   IF(Calc!BC99=0,
     IF('Waste results'!$S$48&lt;&gt;"data missing", Calc!BD99*'Waste results'!$S$48, "data missing"),
   IF(OR('Waste results'!$S$12&lt;&gt;"data missing", 'Waste results'!$S$48&lt;&gt;"data missing"), Calc!BC99*'Waste results'!$S$12+ Calc!BD99*'Waste results'!$S$48, "data missing"))),
IF(AND('Field information 2'!$M$5&lt;&gt;"", 'Field information 2'!$O$5&lt;&gt;"", 'Field information 2'!$Q$5&lt;&gt;""),
   IF(AND(Calc!BD99=0,Calc!BE99=0),
     IF('Waste results'!$S$12&lt;&gt;"data missing", Calc!BC99*'Waste results'!$S$12, "data missing"),
   IF(AND(Calc!BC99=0,Calc!BE99=0),
     IF('Waste results'!$S$48&lt;&gt;"data missing", Calc!BD99*'Waste results'!$S$48, "data missing"),
   IF(AND(Calc!BC99=0,Calc!BD99=0),
     IF('Waste results'!$S$84&lt;&gt;"data missing", Calc!BE99*'Waste results'!$S$84, "data missing"),
   IF(Calc!BE99=0,
     IF(OR('Waste results'!$S$12&lt;&gt;"data missing", 'Waste results'!$S$48&lt;&gt;"data missing"), Calc!BC99*'Waste results'!$S$12+ Calc!BD99*'Waste results'!$S$48, "data missing"),
   IF(Calc!BD99=0,
     IF(OR('Waste results'!$S$12&lt;&gt;"data missing", 'Waste results'!$S$84&lt;&gt;"data missing"), Calc!BC99*'Waste results'!$S$12+ Calc!BE99*'Waste results'!$S$84, "data missing"),
   IF(Calc!BC99=0,
     IF(OR('Waste results'!$S$48&lt;&gt;"data missing", 'Waste results'!$S$84&lt;&gt;"data missing"), Calc!BD99*'Waste results'!$S$48+Calc!BE99*'Waste results'!$S$84, "data missing"),
   IF(OR('Waste results'!$S$12&lt;&gt;"data missing", 'Waste results'!$S$48&lt;&gt;"data missing", 'Waste results'!$S$84&lt;&gt;"data missing"), Calc!BC99*'Waste results'!$S$12+Calc!BD99*'Waste results'!$S$48+ Calc!BE99*'Waste results'!$S$84, "data missing")))))))))))</f>
        <v/>
      </c>
      <c r="D101" s="161" t="str">
        <f ca="1">IF(B101="","",
IF(Calc!BG99="","soil texture missing",
IF(OR(Calc!BG99="SL; SZL; ZL",Calc!BG99="SCL; CL; ZCL; SC; ZC; C"),VLOOKUP(Calc!BI99,'Fertiliser recommendations'!$A$4:$C$63,3,FALSE),
IF(Calc!BG99="S; LS",VLOOKUP(Calc!BI99,'Fertiliser recommendations'!$A$4:$C$63,3,FALSE)+VLOOKUP(Calc!BI99,'Fertiliser recommendations'!$A$4:$D$63,4,FALSE),
IF(Calc!BG99="10-25% OM",VLOOKUP(Calc!BI99,'Fertiliser recommendations'!$A$4:$C$63,3,FALSE)+VLOOKUP(Calc!BI99,'Fertiliser recommendations'!$A$4:$E$63,5,FALSE),
IF(Calc!BG99="&gt;25% OM",VLOOKUP(Calc!BI99,'Fertiliser recommendations'!$A$4:$C$63,3,FALSE)+VLOOKUP(Calc!BI99,'Fertiliser recommendations'!$A$4:$F$63,6,FALSE),
""))))))</f>
        <v/>
      </c>
      <c r="E101" s="91" t="str">
        <f t="shared" ca="1" si="17"/>
        <v/>
      </c>
      <c r="F101" s="9" t="str">
        <f ca="1">IF(B101="","",
IF(OR(C101="data missing",D101="soil texture missing"),"data missing",
IF(Calc!BF99=0,"n/a",
IF(C101&lt;0.1*D101,"no benefit",
IF(C101&lt;0.3*D101,"limited benefit",
IF(C101&gt;250,"exceeds limit",
IF(OR(AND(D101=0,C101&gt;75),C101&gt;1.25*D101),"excessive",
IF(D101=0, "no requirement",
"benefit"))))))))</f>
        <v/>
      </c>
      <c r="H101" s="91" t="str">
        <f ca="1">IF(B101="","",
IF(AND('Field information 2'!$O$5="", 'Field information 2'!$Q$5=""),
   IF('Waste results'!$S$17&lt;&gt;"data missing", Calc!BC99*'Waste results'!$S$17, "data missing"),
IF('Field information 2'!$Q$5="",
   IF(Calc!BD99=0,
     IF('Waste results'!$S$17&lt;&gt;"data missing", Calc!BC99*'Waste results'!$S$17, "data missing"),
   IF(Calc!BC99=0,
     IF('Waste results'!$S$53&lt;&gt;"data missing", Calc!BD99*'Waste results'!$S$53, "data missing"),
   IF(OR('Waste results'!$S$17&lt;&gt;"data missing", 'Waste results'!$S$53&lt;&gt;"data missing"), Calc!BC99*'Waste results'!$S$17+ Calc!BD99*'Waste results'!$S$53, "data missing"))),
IF(AND('Field information 2'!$M$5&lt;&gt;"", 'Field information 2'!$O$5&lt;&gt;"", 'Field information 2'!$Q$5&lt;&gt;""),
   IF(AND(Calc!BD99=0,Calc!BE99=0),
     IF('Waste results'!$S$17&lt;&gt;"data missing", Calc!BC99*'Waste results'!$S$17, "data missing"),
   IF(AND(Calc!BC99=0,Calc!BE99=0),
     IF('Waste results'!$S$53&lt;&gt;"data missing", Calc!BD99*'Waste results'!$S$53, "data missing"),
   IF(AND(Calc!BC99=0,Calc!BD99=0),
     IF('Waste results'!$S$89&lt;&gt;"data missing", Calc!BE99*'Waste results'!$S$89, "data missing"),
   IF(Calc!BE99=0,
     IF(OR('Waste results'!$S$17&lt;&gt;"data missing", 'Waste results'!$S$53&lt;&gt;"data missing"), Calc!BC99*'Waste results'!$S$17+ Calc!BD99*'Waste results'!$S$53, "data missing"),
   IF(Calc!BD99=0,
     IF(OR('Waste results'!$S$17&lt;&gt;"data missing", 'Waste results'!$S$89&lt;&gt;"data missing"), Calc!BC99*'Waste results'!$S$17+ Calc!BE99*'Waste results'!$S$89, "data missing"),
   IF(Calc!BC99=0,
     IF(OR('Waste results'!$S$53&lt;&gt;"data missing", 'Waste results'!$S$89&lt;&gt;"data missing"), Calc!BD99*'Waste results'!$S$53+Calc!BE99*'Waste results'!$S$89, "data missing"),
   IF(OR('Waste results'!$S$17&lt;&gt;"data missing", 'Waste results'!$S$53&lt;&gt;"data missing", 'Waste results'!$S$89&lt;&gt;"data missing"), Calc!BC99*'Waste results'!$S$17+Calc!BD99*'Waste results'!$S$53+ Calc!BE99*'Waste results'!$S$89, "data missing")))))))))))</f>
        <v/>
      </c>
      <c r="I101" s="195" t="str">
        <f ca="1">IF(B101="","",
IF(OR(ISBLANK('Soil results'!G104), ISBLANK('Soil results'!G$7)),"data missing",
IF(OR(AND('Soil results'!G$7="Olsen (ADAS)",'Soil results'!G104&lt;16),AND('Soil results'!G$7="modified Morgan (SAC)",'Soil results'!G104&lt;4.5)),50,100)))</f>
        <v/>
      </c>
      <c r="J101" s="49" t="str">
        <f ca="1">IF(B101="","",
IF(OR(ISBLANK('Soil results'!G$7),ISBLANK('Soil results'!G104)),"data missing",
IF(OR(AND('Soil results'!G$7="Olsen (ADAS)",'Soil results'!G104&gt;45),AND('Soil results'!G$7="modified Morgan (SAC)",'Soil results'!G104&gt;30)),0,
IF(OR(AND('Soil results'!G$7="Olsen (ADAS)",'Soil results'!G104&gt;=16,'Soil results'!G104&lt;=20),AND('Soil results'!G$7="modified Morgan (SAC)",'Soil results'!G104&gt;=4.5,'Soil results'!G104&lt;=9.4)),VLOOKUP(Calc!BI99,'Fertiliser recommendations'!$A$4:$I$63,9,FALSE),
IF(OR(AND('Soil results'!G$7="Olsen (ADAS)",'Soil results'!G104&lt;10),AND('Soil results'!G$7="modified Morgan (SAC)",'Soil results'!G104&lt;1.8)),VLOOKUP(Calc!BI99,'Fertiliser recommendations'!$A$4:$I$63,9,FALSE)+VLOOKUP(Calc!BI99,'Fertiliser recommendations'!$A$4:$J$63,10,FALSE),
IF(OR(AND('Soil results'!G$7="Olsen (ADAS)",'Soil results'!G104&lt;16),AND('Soil results'!G$7="modified Morgan (SAC)",'Soil results'!G104&lt;4.5)),VLOOKUP(Calc!BI99,'Fertiliser recommendations'!$A$4:$I$63,9,FALSE)+VLOOKUP(Calc!BI99,'Fertiliser recommendations'!$A$4:$K$63,11,FALSE),
IF(OR(AND('Soil results'!G$7="Olsen (ADAS)",'Soil results'!G104&lt;26),AND('Soil results'!G$7="modified Morgan (SAC)",'Soil results'!G104&lt;13.5)),VLOOKUP(Calc!BI99,'Fertiliser recommendations'!$A$4:$I$63,9,FALSE)+VLOOKUP(Calc!BI99,'Fertiliser recommendations'!$A$4:$L$63,12,FALSE),
IF(OR(AND('Soil results'!G$7="Olsen (ADAS)",'Soil results'!G104&lt;=45),AND('Soil results'!G$7="modified Morgan (SAC)",'Soil results'!G104&lt;=30)),VLOOKUP(Calc!BI99,'Fertiliser recommendations'!$A$4:$I$63,9,FALSE)+VLOOKUP(Calc!BI99,'Fertiliser recommendations'!$A$4:$M$63,13,FALSE),
""))))))))</f>
        <v/>
      </c>
      <c r="K101" s="161" t="str">
        <f t="shared" ca="1" si="18"/>
        <v/>
      </c>
      <c r="L101" s="47" t="str">
        <f ca="1">IF(OR(ISBLANK('Soil results'!G$7),ISBLANK('Soil results'!G104),B101="", H101="data missing"),"",
IF('Soil results'!G$7="Olsen (ADAS)",
IF(((H101*Calc!BM99/2.291-(VLOOKUP(Calc!BI99,'Fertiliser recommendations'!$A$4:$I$63,9,FALSE))/2.291)*10/(400/2.291)+'Soil results'!G104)&lt;10,"0 (VL)",
IF(((H101*Calc!BM99/2.291-(VLOOKUP(Calc!BI99,'Fertiliser recommendations'!$A$4:$I$63,9,FALSE))/2.291)*10/(400/2.291)+'Soil results'!G104)&lt;16,"1 (L)",
IF(((H101*Calc!BM99/2.291-(VLOOKUP(Calc!BI99,'Fertiliser recommendations'!$A$4:$I$63,9,FALSE))/2.291)*10/(400/2.291)+'Soil results'!G104)&lt;21,"2 (M-)",
IF(((H101*Calc!BM99/2.291-(VLOOKUP(Calc!BI99,'Fertiliser recommendations'!$A$4:$I$63,9,FALSE))/2.291)*10/(400/2.291)+'Soil results'!G104)&lt;26,"2 (M+)",
IF(((H101*Calc!BM99/2.291-(VLOOKUP(Calc!BI99,'Fertiliser recommendations'!$A$4:$I$63,9,FALSE))/2.291)*10/(400/2.291)+'Soil results'!G104)&lt;45,"3 (H)","&gt;3 (VH)"))))),
IF('Soil results'!G$7="modified Morgan (SAC)",
IF('Soil results'!G104&gt;=6,
IF(((H101*Calc!BM99/2.291-(VLOOKUP(Calc!BI99,'Fertiliser recommendations'!$A$4:$I$63,9,FALSE))/2.291)*5/(147/2.291)+'Soil results'!G104)&lt;9.5,"2 (M-)",
IF(((H101*Calc!BM99/2.291-(VLOOKUP(Calc!BI99,'Fertiliser recommendations'!$A$4:$I$63,9,FALSE))/2.291)*5/(147/2.291)+'Soil results'!G104)&lt;13.5,"2 (M+)",
IF(((H101*Calc!BM99/2.291-(VLOOKUP(Calc!BI99,'Fertiliser recommendations'!$A$4:$I$63,9,FALSE))/2.291)*5/(147/2.291)+'Soil results'!G104)&lt;30,"3 (H)","4 (VH)"))),
IF(((H101*Calc!BM99/2.291-(VLOOKUP(Calc!BI99,'Fertiliser recommendations'!$A$4:$I$63,9,FALSE))/2.291)*5/(346/2.291)+'Soil results'!G104)&lt;1.8,"0 (VL)",
IF(((H101*Calc!BM99/2.291-(VLOOKUP(Calc!BI99,'Fertiliser recommendations'!$A$4:$I$63,9,FALSE))/2.291)*5/(147/2.291)+'Soil results'!G104)&lt;4.5,"1 (L)","2 (M-)"))))))</f>
        <v/>
      </c>
      <c r="M101" s="9" t="str">
        <f ca="1">IF(B101="","",
IF(OR(H101="data missing",I101="data missing",J101="data missing"),"data missing",
IF(Calc!BF99=0,"n/a",
IF(OR(AND('Soil results'!G$7="Olsen (ADAS)",'Soil results'!G104&gt;45),AND('Soil results'!G$7="modified Morgan (SAC)",'Soil results'!G104&gt;30)),
IF(H101&gt;2,"too high, not acceptable","no requirement"),IF(OR(AND('Soil results'!G$7="Olsen (ADAS)",'Soil results'!G104&gt;25),AND('Soil results'!G$7="modified Morgan (SAC)",'Soil results'!G104&gt;13.4)),
IF(H101*(I101/100)&lt;0.1*J101,"no benefit",
IF(H101*(I101/100)&lt;0.3*J101,"limited benefit",
IF(H101*(I101/100)&lt;1.1*J101,"benefit",
IF(H101*(I101/100)&lt;0.7*VLOOKUP(Calc!BI99,'Fertiliser recommendations'!$A$4:$I$63,9,FALSE),"excessive","too high, not acceptable")))),
IF(OR(AND('Soil results'!G$7="Olsen (ADAS)",'Soil results'!G104&gt;20),AND('Soil results'!G$7="modified Morgan (SAC)",'Soil results'!G104&gt;9.4)),
IF(H101*Calc!BM99*(I101/100)&lt;0.1*J101,"no benefit",
IF(H101*Calc!BM99*(I101/100)&lt;0.3*J101,"limited benefit",
IF(H101*Calc!BM99*(I101/100)&lt;1.1*J101,"benefit",
IF(L101="3 (H)","too high, not acceptable","excessive")))),
IF(OR(AND('Soil results'!G$7="Olsen (ADAS)",'Soil results'!G104&gt;15),AND('Soil results'!G$7="modified Morgan (SAC)",'Soil results'!G104&gt;4.4)),
IF(H101*Calc!BM99*(I101/100)&lt;0.1*VLOOKUP(Calc!BI99,'Fertiliser recommendations'!$A$4:$I$63,9,FALSE),"no benefit",
IF(H101*Calc!BM99*(I101/100)&lt;0.3*VLOOKUP(Calc!BI99,'Fertiliser recommendations'!$A$4:$I$63,9,FALSE),"limited benefit",
IF(H101*Calc!BM99*(I101/100)&lt;1.1*VLOOKUP(Calc!BI99,'Fertiliser recommendations'!$A$4:$I$63,9,FALSE),"benefit",
IF(L101="3 (H)", "too high, not acceptable", "excessive")))),
IF(OR(AND('Soil results'!G$7="Olsen (ADAS)",'Soil results'!G104&lt;=15),AND('Soil results'!G$7="modified Morgan (SAC)",'Soil results'!G104&lt;=4.4)),
IF(H101*Calc!BM99*(I101/100)&lt;0.1*VLOOKUP(Calc!BI99,'Fertiliser recommendations'!$A$4:$I$63,9,FALSE),"no benefit",
IF(H101*Calc!BM99*(I101/100)&lt;0.3*VLOOKUP(Calc!BI99,'Fertiliser recommendations'!$A$4:$I$63,9,FALSE),"limited benefit",
IF(H101*Calc!BM99*(I101/100)&lt;1.1*J101,"benefit","excessive")))))))))))</f>
        <v/>
      </c>
      <c r="O101" s="91" t="str">
        <f ca="1">IF(B101="","",
IF(AND('Field information 2'!$O$5="", 'Field information 2'!$Q$5=""),
   IF('Waste results'!$S$19&lt;&gt;"data missing", Calc!BC99*'Waste results'!$S$19, "data missing"),
IF('Field information 2'!$Q$5="",
   IF(Calc!BD99=0,
     IF('Waste results'!$S$19&lt;&gt;"data missing", Calc!BC99*'Waste results'!$S$19, "data missing"),
   IF(Calc!BC99=0,
     IF('Waste results'!$S$55&lt;&gt;"data missing", Calc!BD99*'Waste results'!$S$55, "data missing"),
   IF(OR('Waste results'!$S$19&lt;&gt;"data missing", 'Waste results'!$S$55&lt;&gt;"data missing"), Calc!BC99*'Waste results'!$S$19+ Calc!BD99*'Waste results'!$S$55, "data missing"))),
IF(AND('Field information 2'!$M$5&lt;&gt;"", 'Field information 2'!$O$5&lt;&gt;"", 'Field information 2'!$Q$5&lt;&gt;""),
   IF(AND(Calc!BD99=0,Calc!BE99=0),
     IF('Waste results'!$S$19&lt;&gt;"data missing", Calc!BC99*'Waste results'!$S$19, "data missing"),
   IF(AND(Calc!BC99=0,Calc!BE99=0),
     IF('Waste results'!$S$55&lt;&gt;"data missing", Calc!BD99*'Waste results'!$S$55, "data missing"),
   IF(AND(Calc!BC99=0,Calc!BD99=0),
     IF('Waste results'!$S$91&lt;&gt;"data missing", Calc!BE99*'Waste results'!$S$91, "data missing"),
   IF(Calc!BE99=0,
     IF(OR('Waste results'!$S$19&lt;&gt;"data missing", 'Waste results'!$S$55&lt;&gt;"data missing"), Calc!BC99*'Waste results'!$S$19+ Calc!BD99*'Waste results'!$S$55, "data missing"),
   IF(Calc!BD99=0,
     IF(OR('Waste results'!$S$19&lt;&gt;"data missing", 'Waste results'!$S$91&lt;&gt;"data missing"), Calc!BC99*'Waste results'!$S$19+ Calc!BE99*'Waste results'!$S$91, "data missing"),
   IF(Calc!BC99=0,
     IF(OR('Waste results'!$S$55&lt;&gt;"data missing", 'Waste results'!$S$91&lt;&gt;"data missing"), Calc!BD99*'Waste results'!$S$55+Calc!BE99*'Waste results'!$S$91, "data missing"),
   IF(OR('Waste results'!$S$19&lt;&gt;"data missing", 'Waste results'!$S$55&lt;&gt;"data missing", 'Waste results'!$S$91&lt;&gt;"data missing"), Calc!BC99*'Waste results'!$S$19+Calc!BD99*'Waste results'!$S$55+ Calc!BE99*'Waste results'!$S$91, "data missing")))))))))))</f>
        <v/>
      </c>
      <c r="P101" s="91" t="str">
        <f ca="1">IF(B101="","",
IF(OR(ISBLANK('Soil results'!H$7),ISBLANK('Soil results'!H104)),"data missing",
IF(OR(AND('Soil results'!H$7="ammonium nitrate (ADAS)",'Soil results'!H104&gt;400),AND('Soil results'!H$7="modified Morgan (SAC)",'Soil results'!H104&gt;400)),0,
IF(OR(AND('Soil results'!H$7="ammonium nitrate (ADAS)",'Soil results'!H104&gt;=121,'Soil results'!H104&lt;=180),AND('Soil results'!H$7="modified Morgan (SAC)",'Soil results'!H104&gt;=76,'Soil results'!H104&lt;=140)),VLOOKUP(Calc!BI99,'Fertiliser recommendations'!$A$4:$Z$63,26,FALSE),
IF(OR(AND('Soil results'!H$7="ammonium nitrate (ADAS)",'Soil results'!H104&lt;61),AND('Soil results'!H$7="modified Morgan (SAC)",'Soil results'!H104&lt;40)),VLOOKUP(Calc!BI99,'Fertiliser recommendations'!$A$4:$Z$63,26,FALSE)+VLOOKUP(Calc!BI99,'Fertiliser recommendations'!$A$4:$AA$63,27,FALSE),
IF(OR(AND('Soil results'!H$7="ammonium nitrate (ADAS)",'Soil results'!H104&lt;121),AND('Soil results'!H$7="modified Morgan (SAC)",'Soil results'!H104&lt;76)),VLOOKUP(Calc!BI99,'Fertiliser recommendations'!$A$4:$Z$63,26,FALSE)+VLOOKUP(Calc!BI99,'Fertiliser recommendations'!$A$4:$AB$63,28,FALSE),
IF(OR(AND('Soil results'!H$7="ammonium nitrate (ADAS)",'Soil results'!H104&lt;241),AND('Soil results'!H$7="modified Morgan (SAC)",'Soil results'!H104&lt;201)),VLOOKUP(Calc!BI99,'Fertiliser recommendations'!$A$4:$Z$63,26,FALSE)+VLOOKUP(Calc!BI99,'Fertiliser recommendations'!$A$4:$AC$63,29,FALSE),
IF(OR(AND('Soil results'!H$7="ammonium nitrate (ADAS)",'Soil results'!H104&lt;=400),AND('Soil results'!H$7="modified Morgan (SAC)",'Soil results'!H104&lt;=400)),VLOOKUP(Calc!BI99,'Fertiliser recommendations'!$A$4:$Z$63,26,FALSE)+VLOOKUP(Calc!BI99,'Fertiliser recommendations'!$A$4:$AD$63,30,FALSE),
"??"))))))))</f>
        <v/>
      </c>
      <c r="Q101" s="91" t="str">
        <f t="shared" ca="1" si="19"/>
        <v/>
      </c>
      <c r="R101" s="9" t="str">
        <f ca="1">IF(B101="","",
IF(OR(O101="data missing",P101="data missing"),"data missing",
IF(Calc!BF99=0,"n/a",
IF(P101=0, "no requirement",
IF(O101&lt;0.1*P101,"no benefit",
IF(O101&lt;0.3*P101,"limited benefit",
IF(O101&gt;1.25*P101,"excessive",
"benefit")))))))</f>
        <v/>
      </c>
      <c r="T101" s="91" t="str">
        <f ca="1">IF(B101="","",
IF(AND('Field information 2'!$O$5="", 'Field information 2'!$Q$5=""),
   IF('Waste results'!$S$21&lt;&gt;"data missing", Calc!BC99*'Waste results'!$S$21, "data missing"),
IF('Field information 2'!$Q$5="",
   IF(Calc!BD99=0,
     IF('Waste results'!$S$21&lt;&gt;"data missing", Calc!BC99*'Waste results'!$S$21, "data missing"),
   IF(Calc!BC99=0,
     IF('Waste results'!$S$57&lt;&gt;"data missing", Calc!BD99*'Waste results'!$S$57, "data missing"),
   IF(OR('Waste results'!$S$21&lt;&gt;"data missing", 'Waste results'!$S$57&lt;&gt;"data missing"), Calc!BC99*'Waste results'!$S$21+ Calc!BD99*'Waste results'!$S$57, "data missing"))),
IF(AND('Field information 2'!$M$5&lt;&gt;"", 'Field information 2'!$O$5&lt;&gt;"", 'Field information 2'!$Q$5&lt;&gt;""),
   IF(AND(Calc!BD99=0,Calc!BE99=0),
     IF('Waste results'!$S$21&lt;&gt;"data missing", Calc!BC99*'Waste results'!$S$21, "data missing"),
   IF(AND(Calc!BC99=0,Calc!BE99=0),
     IF('Waste results'!$S$57&lt;&gt;"data missing", Calc!BD99*'Waste results'!$S$57, "data missing"),
   IF(AND(Calc!BC99=0,Calc!BD99=0),
     IF('Waste results'!$S$93&lt;&gt;"data missing", Calc!BE99*'Waste results'!$S$93, "data missing"),
   IF(Calc!BE99=0,
     IF(OR('Waste results'!$S$21&lt;&gt;"data missing", 'Waste results'!$S$57&lt;&gt;"data missing"), Calc!BC99*'Waste results'!$S$21+ Calc!BD99*'Waste results'!$S$57, "data missing"),
   IF(Calc!BD99=0,
     IF(OR('Waste results'!$S$21&lt;&gt;"data missing", 'Waste results'!$S$93&lt;&gt;"data missing"), Calc!BC99*'Waste results'!$S$21+ Calc!BE99*'Waste results'!$S$93, "data missing"),
   IF(Calc!BC99=0,
     IF(OR('Waste results'!$S$57&lt;&gt;"data missing", 'Waste results'!$S$93&lt;&gt;"data missing"), Calc!BD99*'Waste results'!$S$57+Calc!BE99*'Waste results'!$S$93, "data missing"),
   IF(OR('Waste results'!$S$21&lt;&gt;"data missing", 'Waste results'!$S$57&lt;&gt;"data missing", 'Waste results'!$S$93&lt;&gt;"data missing"), Calc!BC99*'Waste results'!$S$21+Calc!BD99*'Waste results'!$S$57+ Calc!BE99*'Waste results'!$S$93, "data missing")))))))))))</f>
        <v/>
      </c>
      <c r="U101" s="7" t="str">
        <f ca="1">IF(B101="","",
IF(OR(ISBLANK('Soil results'!I$7),ISBLANK('Soil results'!I104)),"data missing",
IF(OR(AND('Soil results'!I$7="ammonium nitrate (ADAS)",'Soil results'!I104&gt;51),AND('Soil results'!I$7="modified Morgan (SAC)",'Soil results'!I104&gt;61)),0,
IF(OR(AND('Soil results'!I$7="ammonium nitrate (ADAS)",'Soil results'!I104&lt;25),AND('Soil results'!I$7="modified Morgan (SAC)",'Soil results'!I104&lt;19)),VLOOKUP(Calc!BI99,'Fertiliser recommendations'!$A$4:$AH$63,34,FALSE),
IF(OR(AND('Soil results'!I$7="ammonium nitrate (ADAS)",'Soil results'!I104&lt;=51),AND('Soil results'!I$7="modified Morgan (SAC)",'Soil results'!I104&lt;=61)),VLOOKUP(Calc!BI99,'Fertiliser recommendations'!$A$4:$AI$63,35,FALSE),
"")))))</f>
        <v/>
      </c>
      <c r="V101" s="91" t="str">
        <f t="shared" ca="1" si="20"/>
        <v/>
      </c>
      <c r="W101" s="9" t="str">
        <f ca="1">IF(B101="","",
IF(OR(T101="data missing",U101="data missing"),"data missing",
IF(Calc!BF99=0,"n/a",
IF(U101=0,"no requirement",
IF(T101&lt;0.1*U101,"no benefit",
IF(T101&lt;0.3*U101,"limited benefit",
IF(OR(T101&gt;1.5*U101,AND(Calc!BJ99="g",T101&gt;100)),"excessive",
"benefit")))))))</f>
        <v/>
      </c>
      <c r="Y101" s="91" t="str">
        <f ca="1">IF(B101="","",
IF(AND('Field information 2'!$O$5="", 'Field information 2'!$Q$5=""),
   IF('Waste results'!$P$23&lt;&gt;"", Calc!BC99*'Waste results'!$P$23, "no data"),
IF('Field information 2'!$Q$5="",
   IF(Calc!BD99=0,
     IF('Waste results'!$P$23&lt;&gt;"", Calc!BC99*'Waste results'!$P$23, "no data"),
   IF(Calc!BC99=0,
     IF('Waste results'!$P$59&lt;&gt;"", Calc!BD99*'Waste results'!$P$59, "no data"),
   IF(OR('Waste results'!$P$23&lt;&gt;"", 'Waste results'!$P$59&lt;&gt;""), Calc!BC99*'Waste results'!$P$23+ Calc!BD99*'Waste results'!$P$59, "no data"))),
IF(AND('Field information 2'!$M$5&lt;&gt;"", 'Field information 2'!$O$5&lt;&gt;"", 'Field information 2'!$Q$5&lt;&gt;""),
   IF(AND(Calc!BD99=0,Calc!BE99=0),
     IF('Waste results'!$P$23&lt;&gt;"", Calc!BC99*'Waste results'!$P$23, "no data"),
   IF(AND(Calc!BC99=0,Calc!BE99=0),
     IF('Waste results'!$P$59&lt;&gt;"", Calc!BD99*'Waste results'!$P$59, "no data"),
   IF(AND(Calc!BC99=0,Calc!BD99=0),
     IF('Waste results'!$P$95&lt;&gt;"", Calc!BE99*'Waste results'!$P$95, "no data"),
   IF(Calc!BE99=0,
     IF(OR('Waste results'!$P$23&lt;&gt;"", 'Waste results'!$P$59&lt;&gt;""), Calc!BC99*'Waste results'!$P$23+ Calc!BD99*'Waste results'!$P$59, "no data"),
   IF(Calc!BD99=0,
     IF(OR('Waste results'!$P$23&lt;&gt;"", 'Waste results'!$P$95&lt;&gt;""), Calc!BC99*'Waste results'!$P$23+ Calc!BE99*'Waste results'!$P$95, "no data"),
   IF(Calc!BC99=0,
     IF(OR('Waste results'!$P$59&lt;&gt;"", 'Waste results'!$P$95&lt;&gt;""), Calc!BD99*'Waste results'!$P$59+Calc!BE99*'Waste results'!$P$95, "no data"),
   IF(OR('Waste results'!$P$23&lt;&gt;"", 'Waste results'!$P$59&lt;&gt;"", 'Waste results'!$P$95&lt;&gt;""), Calc!BC99*'Waste results'!$P$23+Calc!BD99*'Waste results'!$P$59+ Calc!BE99*'Waste results'!$P$95, "no data")))))))))))</f>
        <v/>
      </c>
      <c r="Z101" s="7" t="str">
        <f ca="1">IF(OR(ISBLANK('Soil results'!I$7),ISBLANK('Soil results'!I104),'Soil results'!B104=""),"",
VLOOKUP(Calc!BI99,'Fertiliser recommendations'!$A$4:$AM$63,39,FALSE))</f>
        <v/>
      </c>
      <c r="AA101" s="91" t="str">
        <f t="shared" ca="1" si="21"/>
        <v/>
      </c>
      <c r="AB101" s="9" t="str">
        <f t="shared" ca="1" si="22"/>
        <v/>
      </c>
      <c r="AD101" s="48" t="str">
        <f>IF(ISBLANK('Soil results'!F104),"",'Soil results'!F104)</f>
        <v/>
      </c>
      <c r="AE101" s="49" t="str">
        <f ca="1">IF(B101="","",
IF(AND(Calc!BJ99="g", VLOOKUP(LEFT($B101,LEN($B101)-2),'Field information 2'!$B$12:$P$111,9,FALSE)&lt;&gt;"yes"),
 IF(Calc!BG99="10-25% OM", 5.9, IF(Calc!BG99="&gt;25% OM", 5.5, 6.2)),
IF(OR(Calc!BJ99="a", VLOOKUP(LEFT($B101,LEN($B101)-2),'Field information 2'!$B$12:$P$111,9,FALSE)="yes"),
 IF(Calc!BG99="10-25% OM", 6.4, IF(Calc!BG99="&gt;25% OM", 6, 6.7)), "")))</f>
        <v/>
      </c>
      <c r="AF101" s="91" t="str">
        <f ca="1">IF(B101="","",
IF('Waste results'!$Q$33="","no (significant) liming properties",
IF('Waste results'!Q$33&gt;100,"no (significant) liming properties",
IF(AD101="","",
IF(AD101&gt;=AE101,0,ROUNDDOWN((AE101-AD101)*Calc!BK99*'Waste results'!$Q$33+0.2,0))))))</f>
        <v/>
      </c>
      <c r="AG101" s="9" t="str">
        <f ca="1">IF(B101="","",
IF(T101=0,"n/a",
IF(AD101="","data missing",
IF(AND(AD101&lt;5,AF101="no (significant) liming properties"),"no waste application - pH too low",
IF(AND(AD101&gt;5.1,AF101="no (significant) liming properties",Calc!BH99&gt;25, LEFT(Calc!BI99,4)="graz"),"ok",
IF(AND(AD101&lt;=5.2,AF101="no (significant) liming properties"),"liming highly recommended",
IF(AF101=0,"no waste application - liming not required",
IF(AF101&lt;Calc!BC99,"application rate too high - exceeds liming requirement",
"ok"))))))))</f>
        <v/>
      </c>
      <c r="AI101" s="91" t="str">
        <f ca="1">IF(B101="","",
IF(AND('Field information 2'!$O$5="", 'Field information 2'!$Q$5=""),
   IF('Waste results'!$P$10&lt;&gt;"data missing", Calc!BC99*'Waste results'!$P$10, "data missing"),
IF('Field information 2'!$Q$5="",
   IF(Calc!BD99=0,
     IF('Waste results'!$P$10&lt;&gt;"data missing", Calc!BC99*'Waste results'!$P$10, "data missing"),
   IF(Calc!BC99=0,
     IF('Waste results'!$P$45&lt;&gt;"data missing", Calc!BD99*'Waste results'!$P$45, "data missing"),
   IF(OR('Waste results'!$P$10&lt;&gt;"data missing", 'Waste results'!$P$45&lt;&gt;"data missing"), Calc!BC99*'Waste results'!$P$10+ Calc!BD99*'Waste results'!$P$45, "data missing"))),
IF(AND('Field information 2'!$M$5&lt;&gt;"", 'Field information 2'!$O$5&lt;&gt;"", 'Field information 2'!$Q$5&lt;&gt;""),
   IF(AND(Calc!BD99=0,Calc!BE99=0),
     IF('Waste results'!$P$10&lt;&gt;"data missing", Calc!BC99*'Waste results'!$P$10, "data missing"),
   IF(AND(Calc!BC99=0,Calc!BE99=0),
     IF('Waste results'!$P$45&lt;&gt;"data missing", Calc!BD99*'Waste results'!$P$45, "data missing"),
   IF(AND(Calc!BC99=0,Calc!BD99=0),
     IF('Waste results'!$P$82&lt;&gt;"data missing", Calc!BE99*'Waste results'!$P$82, "data missing"),
   IF(Calc!BE99=0,
     IF(OR('Waste results'!$P$10&lt;&gt;"data missing", 'Waste results'!$P$45&lt;&gt;"data missing"), Calc!BC99*'Waste results'!$P$10+ Calc!BD99*'Waste results'!$P$45, "data missing"),
   IF(Calc!BD99=0,
     IF(OR('Waste results'!$P$10&lt;&gt;"data missing", 'Waste results'!$P$82&lt;&gt;"data missing"), Calc!BC99*'Waste results'!$P$10+ Calc!BE99*'Waste results'!$P$82, "data missing"),
   IF(Calc!BC99=0,
     IF(OR('Waste results'!$P$45&lt;&gt;"data missing", 'Waste results'!$P$82&lt;&gt;"data missing"), Calc!BD99*'Waste results'!$P$45+Calc!BE99*'Waste results'!$P$82, "data missing"),
   IF(OR('Waste results'!$P$10&lt;&gt;"data missing", 'Waste results'!$P$45&lt;&gt;"data missing", 'Waste results'!$P$82&lt;&gt;"data missing"), Calc!BC99*'Waste results'!$P$10+Calc!BD99*'Waste results'!$P$45+ Calc!BE99*'Waste results'!$P$82, "data missing")))))))))))</f>
        <v/>
      </c>
      <c r="AJ101" s="237" t="str">
        <f ca="1">IF(B101="","",
IF(AI101="data missing","data missing",
IF(Calc!BF99=0,"n/a",
IF(AND(Calc!BH99&gt;=8,AI101&lt;500),"no benefit",
IF(OR(AND(Calc!BH99&lt;=4,AI101&gt;=500),AND(Calc!BH99&lt;8,AI101&gt;5000)),"benefit",
"limited benefit")))))</f>
        <v/>
      </c>
      <c r="AL101" s="238" t="str">
        <f ca="1">IF(B101="","",
IF(AND('Field information 2'!$O$5="", 'Field information 2'!$Q$5=""),
   IF('Waste results'!$S$25&lt;&gt;"data missing", Calc!BC99*'Waste results'!$S$25, "data missing"),
IF('Field information 2'!$Q$5="",
   IF(Calc!BD99=0,
     IF('Waste results'!$S$25&lt;&gt;"data missing", Calc!BC99*'Waste results'!$S$25, "data missing"),
   IF(Calc!BC99=0,
     IF('Waste results'!$S$61&lt;&gt;"data missing", Calc!BD99*'Waste results'!$S$61, "data missing"),
   IF(OR('Waste results'!$S$25&lt;&gt;"data missing", 'Waste results'!$S$61&lt;&gt;"data missing"), Calc!BC99*'Waste results'!$S$25+ Calc!BD99*'Waste results'!$S$61, "data missing"))),
IF(AND('Field information 2'!$M$5&lt;&gt;"", 'Field information 2'!$O$5&lt;&gt;"", 'Field information 2'!$Q$5&lt;&gt;""),
   IF(AND(Calc!BD99=0,Calc!BE99=0),
     IF('Waste results'!$S$25&lt;&gt;"data missing", Calc!BC99*'Waste results'!$S$25, "data missing"),
   IF(AND(Calc!BC99=0,Calc!BE99=0),
     IF('Waste results'!$S$61&lt;&gt;"data missing", Calc!BD99*'Waste results'!$S$61, "data missing"),
   IF(AND(Calc!BC99=0,Calc!BD99=0),
     IF('Waste results'!$S$97&lt;&gt;"data missing", Calc!BE99*'Waste results'!$S$97, "data missing"),
   IF(Calc!BE99=0,
     IF(OR('Waste results'!$S$25&lt;&gt;"data missing", 'Waste results'!$S$61&lt;&gt;"data missing"), Calc!BC99*'Waste results'!$S$25+ Calc!BD99*'Waste results'!$S$61, "data missing"),
   IF(Calc!BD99=0,
     IF(OR('Waste results'!$S$25&lt;&gt;"data missing", 'Waste results'!$S$97&lt;&gt;"data missing"), Calc!BC99*'Waste results'!$S$25+ Calc!BE99*'Waste results'!$S$97, "data missing"),
   IF(Calc!BC99=0,
     IF(OR('Waste results'!$S$61&lt;&gt;"data missing", 'Waste results'!$S$97&lt;&gt;"data missing"), Calc!BD99*'Waste results'!$S$61+Calc!BE99*'Waste results'!$S$97, "data missing"),
   IF(OR('Waste results'!$S$25&lt;&gt;"data missing", 'Waste results'!$S$61&lt;&gt;"data missing", 'Waste results'!$S$97&lt;&gt;"data missing"), Calc!BC99*'Waste results'!$S$25+Calc!BD99*'Waste results'!$S$61+ Calc!BE99*'Waste results'!$S$97, "data missing")))))))))))</f>
        <v/>
      </c>
      <c r="AM101" s="239" t="str">
        <f ca="1">IF($B101="","",
IF(ISBLANK('Soil results'!K104),"data missing",'Soil results'!K104))</f>
        <v/>
      </c>
      <c r="AN101" s="239" t="str">
        <f t="shared" ca="1" si="23"/>
        <v/>
      </c>
      <c r="AO101" s="9" t="str">
        <f t="shared" ca="1" si="24"/>
        <v/>
      </c>
      <c r="AQ101" s="240" t="str">
        <f ca="1">IF(B101="","",
IF(AND('Field information 2'!$O$5="", 'Field information 2'!$Q$5=""),
   IF('Waste results'!$S$26&lt;&gt;"data missing", Calc!BC99*'Waste results'!$S$26, "data missing"),
IF('Field information 2'!$Q$5="",
   IF(Calc!BD99=0,
     IF('Waste results'!$S$26&lt;&gt;"data missing", Calc!BC99*'Waste results'!$S$26, "data missing"),
   IF(Calc!BC99=0,
     IF('Waste results'!$S$62&lt;&gt;"data missing", Calc!BD99*'Waste results'!$S$62, "data missing"),
   IF(OR('Waste results'!$S$26&lt;&gt;"data missing", 'Waste results'!$S$62&lt;&gt;"data missing"), Calc!BC99*'Waste results'!$S$26+ Calc!BD99*'Waste results'!$S$62, "data missing"))),
IF(AND('Field information 2'!$M$5&lt;&gt;"", 'Field information 2'!$O$5&lt;&gt;"", 'Field information 2'!$Q$5&lt;&gt;""),
   IF(AND(Calc!BD99=0,Calc!BE99=0),
     IF('Waste results'!$S$26&lt;&gt;"data missing", Calc!BC99*'Waste results'!$S$26, "data missing"),
   IF(AND(Calc!BC99=0,Calc!BE99=0),
     IF('Waste results'!$S$62&lt;&gt;"data missing", Calc!BD99*'Waste results'!$S$62, "data missing"),
   IF(AND(Calc!BC99=0,Calc!BD99=0),
     IF('Waste results'!$S$98&lt;&gt;"data missing", Calc!BE99*'Waste results'!$S$98, "data missing"),
   IF(Calc!BE99=0,
     IF(OR('Waste results'!$S$26&lt;&gt;"data missing", 'Waste results'!$S$62&lt;&gt;"data missing"), Calc!BC99*'Waste results'!$S$26+ Calc!BD99*'Waste results'!$S$62, "data missing"),
   IF(Calc!BD99=0,
     IF(OR('Waste results'!$S$26&lt;&gt;"data missing", 'Waste results'!$S$98&lt;&gt;"data missing"), Calc!BC99*'Waste results'!$S$26+ Calc!BE99*'Waste results'!$S$98, "data missing"),
   IF(Calc!BC99=0,
     IF(OR('Waste results'!$S$62&lt;&gt;"data missing", 'Waste results'!$S$98&lt;&gt;"data missing"), Calc!BD99*'Waste results'!$S$62+Calc!BE99*'Waste results'!$S$98, "data missing"),
   IF(OR('Waste results'!$S$26&lt;&gt;"data missing", 'Waste results'!$S$62&lt;&gt;"data missing", 'Waste results'!$S$98&lt;&gt;"data missing"), Calc!BC99*'Waste results'!$S$26+Calc!BD99*'Waste results'!$S$62+ Calc!BE99*'Waste results'!$S$98, "data missing")))))))))))</f>
        <v/>
      </c>
      <c r="AR101" s="241" t="str">
        <f ca="1">IF($B101="","",
IF(ISBLANK('Soil results'!L104),"data missing",'Soil results'!L104))</f>
        <v/>
      </c>
      <c r="AS101" s="241" t="str">
        <f t="shared" ca="1" si="25"/>
        <v/>
      </c>
      <c r="AT101" s="66" t="str">
        <f t="shared" ca="1" si="26"/>
        <v/>
      </c>
      <c r="AV101" s="238" t="str">
        <f ca="1">IF(B101="","",
IF(AND('Field information 2'!$O$5="", 'Field information 2'!$Q$5=""),
   IF('Waste results'!$S$27&lt;&gt;"data missing", Calc!BC99*'Waste results'!$S$27, "data missing"),
IF('Field information 2'!$Q$5="",
   IF(Calc!BD99=0,
     IF('Waste results'!$S$27&lt;&gt;"data missing", Calc!BC99*'Waste results'!$S$27, "data missing"),
   IF(Calc!BC99=0,
     IF('Waste results'!$S$63&lt;&gt;"data missing", Calc!BD99*'Waste results'!$S$63, "data missing"),
   IF(OR('Waste results'!$S$27&lt;&gt;"data missing", 'Waste results'!$S$63&lt;&gt;"data missing"), Calc!BC99*'Waste results'!$S$27+ Calc!BD99*'Waste results'!$S$63, "data missing"))),
IF(AND('Field information 2'!$M$5&lt;&gt;"", 'Field information 2'!$O$5&lt;&gt;"", 'Field information 2'!$Q$5&lt;&gt;""),
   IF(AND(Calc!BD99=0,Calc!BE99=0),
     IF('Waste results'!$S$27&lt;&gt;"data missing", Calc!BC99*'Waste results'!$S$27, "data missing"),
   IF(AND(Calc!BC99=0,Calc!BE99=0),
     IF('Waste results'!$S$63&lt;&gt;"data missing", Calc!BD99*'Waste results'!$S$63, "data missing"),
   IF(AND(Calc!BC99=0,Calc!BD99=0),
     IF('Waste results'!$S$99&lt;&gt;"data missing", Calc!BE99*'Waste results'!$S$99, "data missing"),
   IF(Calc!BE99=0,
     IF(OR('Waste results'!$S$27&lt;&gt;"data missing", 'Waste results'!$S$63&lt;&gt;"data missing"), Calc!BC99*'Waste results'!$S$27+ Calc!BD99*'Waste results'!$S$63, "data missing"),
   IF(Calc!BD99=0,
     IF(OR('Waste results'!$S$27&lt;&gt;"data missing", 'Waste results'!$S$99&lt;&gt;"data missing"), Calc!BC99*'Waste results'!$S$27+ Calc!BE99*'Waste results'!$S$99, "data missing"),
   IF(Calc!BC99=0,
     IF(OR('Waste results'!$S$63&lt;&gt;"data missing", 'Waste results'!$S$99&lt;&gt;"data missing"), Calc!BD99*'Waste results'!$S$63+Calc!BE99*'Waste results'!$S$99, "data missing"),
   IF(OR('Waste results'!$S$27&lt;&gt;"data missing", 'Waste results'!$S$63&lt;&gt;"data missing", 'Waste results'!$S$99&lt;&gt;"data missing"), Calc!BC99*'Waste results'!$S$27+Calc!BD99*'Waste results'!$S$63+ Calc!BE99*'Waste results'!$S$99, "data missing")))))))))))</f>
        <v/>
      </c>
      <c r="AW101" s="239" t="str">
        <f ca="1">IF($B101="","",
IF(ISBLANK('Soil results'!M104),"data missing",'Soil results'!M104))</f>
        <v/>
      </c>
      <c r="AX101" s="239" t="str">
        <f t="shared" ca="1" si="27"/>
        <v/>
      </c>
      <c r="AY101" s="9" t="str">
        <f ca="1">IF(B101="","",
IF(AV101=0,"n/a",
IF(OR(AV101="data missing",AW101="data missing"),"data missing",
IF(AV101&gt;7.5,"application rate too high - permissible rate exceeds limit",
IF('Soil results'!$F104&lt;=5.5,
  IF(AW101&gt;80,"no application - soil conc. already above limit",
  IF(AX101&gt;80,"application rate too high - soil conc. will exceed limit",
  IF(AW101&gt;80*0.9,"soil conc. is at or above 90% of the limit",
  IF(10*AV101*1000/3000+AW101&gt;80,"soil limit likely to be exceeded in 10yrs",
  IF(50*AV101*1000/3000+AW101&gt;80,"soil limit likely to be exceeded in 50yrs","ok"))))),
IF('Soil results'!$F104&lt;=6,
  IF(AW101&gt;100,"no application - soil conc. already above limit",
  IF(AX101&gt;100,"application rate too high - soil conc. will exceed limit",
  IF(AW101&gt;100*0.9,"soil conc. is at or above 90% of the limit",
  IF(10*AV101*1000/3000+AW101&gt;100,"soil limit likely to be exceeded in 10yrs",
  IF(50*AV101*1000/3000+AW101&gt;100,"soil limit likely to be exceeded in 50yrs","ok"))))),
IF('Soil results'!$F104&lt;=7,
  IF(AW101&gt;135,"no application - soil conc. already above limit",
  IF(AX101&gt;135,"application rate too high - soil conc. will exceed limit",
  IF(AW101&gt;135*0.9,"soil conc. is at or above 90% of the limit",
  IF(10*AV101*1000/3000+AW101&gt;135,"soil limit likely to be exceeded in 10yrs",
  IF(50*AV101*1000/3000+AW101&gt;135,"soil limit likely to be exceeded in 50yrs","ok"))))),
IF('Soil results'!$F104&gt;7,
  IF(AW101&gt;200,"no application - soil conc. already above limit",
  IF(AX101&gt;200,"application too high - soil conc. will exceed limit",
  IF(AW101&gt;200*0.9,"soil conc. is at or above 90% of the limit",
  IF(10*AV101*1000/3000+AW101&gt;200,"soil limit likely to be exceeded in 10yrs",
  IF(50*AV101*1000/3000+AW101&gt;200,"soil limit likely to be exceeded in 50yrs","ok")))))
))))))))</f>
        <v/>
      </c>
      <c r="BA101" s="238" t="str">
        <f ca="1">IF(B101="","",
IF(AND('Field information 2'!$O$5="", 'Field information 2'!$Q$5=""),
   IF('Waste results'!$S$28&lt;&gt;"data missing", Calc!BC99*'Waste results'!$S$28, "data missing"),
IF('Field information 2'!$Q$5="",
   IF(Calc!BD99=0,
     IF('Waste results'!$S$28&lt;&gt;"data missing", Calc!BC99*'Waste results'!$S$28, "data missing"),
   IF(Calc!BC99=0,
     IF('Waste results'!$S$64&lt;&gt;"data missing", Calc!BD99*'Waste results'!$S$64, "data missing"),
   IF(OR('Waste results'!$S$28&lt;&gt;"data missing", 'Waste results'!$S$64&lt;&gt;"data missing"), Calc!BC99*'Waste results'!$S$28+ Calc!BD99*'Waste results'!$S$64, "data missing"))),
IF(AND('Field information 2'!$M$5&lt;&gt;"", 'Field information 2'!$O$5&lt;&gt;"", 'Field information 2'!$Q$5&lt;&gt;""),
   IF(AND(Calc!BD99=0,Calc!BE99=0),
     IF('Waste results'!$S$28&lt;&gt;"data missing", Calc!BC99*'Waste results'!$S$28, "data missing"),
   IF(AND(Calc!BC99=0,Calc!BE99=0),
     IF('Waste results'!$S$64&lt;&gt;"data missing", Calc!BD99*'Waste results'!$S$64, "data missing"),
   IF(AND(Calc!BC99=0,Calc!BD99=0),
     IF('Waste results'!$S$100&lt;&gt;"data missing", Calc!BE99*'Waste results'!$S$100, "data missing"),
   IF(Calc!BE99=0,
     IF(OR('Waste results'!$S$28&lt;&gt;"data missing", 'Waste results'!$S$64&lt;&gt;"data missing"), Calc!BC99*'Waste results'!$S$28+ Calc!BD99*'Waste results'!$S$64, "data missing"),
   IF(Calc!BD99=0,
     IF(OR('Waste results'!$S$28&lt;&gt;"data missing", 'Waste results'!$S$100&lt;&gt;"data missing"), Calc!BC99*'Waste results'!$S$28+ Calc!BE99*'Waste results'!$S$100, "data missing"),
   IF(Calc!BC99=0,
     IF(OR('Waste results'!$S$64&lt;&gt;"data missing", 'Waste results'!$S$100&lt;&gt;"data missing"), Calc!BD99*'Waste results'!$S$64+Calc!BE99*'Waste results'!$S$100, "data missing"),
   IF(OR('Waste results'!$S$28&lt;&gt;"data missing", 'Waste results'!$S$64&lt;&gt;"data missing", 'Waste results'!$S$100&lt;&gt;"data missing"), Calc!BC99*'Waste results'!$S$28+Calc!BD99*'Waste results'!$S$64+ Calc!BE99*'Waste results'!$S$100, "data missing")))))))))))</f>
        <v/>
      </c>
      <c r="BB101" s="239" t="str">
        <f ca="1">IF($B101="","",
IF(ISBLANK('Soil results'!N104),"data missing",'Soil results'!N104))</f>
        <v/>
      </c>
      <c r="BC101" s="239" t="str">
        <f t="shared" ca="1" si="28"/>
        <v/>
      </c>
      <c r="BD101" s="9" t="str">
        <f t="shared" ca="1" si="29"/>
        <v/>
      </c>
      <c r="BF101" s="238" t="str">
        <f ca="1">IF(B101="","",
IF(AND('Field information 2'!$O$5="", 'Field information 2'!$Q$5=""),
   IF('Waste results'!$S$29&lt;&gt;"data missing", Calc!BC99*'Waste results'!$S$29, "data missing"),
IF('Field information 2'!$Q$5="",
   IF(Calc!BD99=0,
     IF('Waste results'!$S$29&lt;&gt;"data missing", Calc!BC99*'Waste results'!$S$29, "data missing"),
   IF(Calc!BC99=0,
     IF('Waste results'!$S$65&lt;&gt;"data missing", Calc!BD99*'Waste results'!$S$65, "data missing"),
   IF(OR('Waste results'!$S$29&lt;&gt;"data missing", 'Waste results'!$S$65&lt;&gt;"data missing"), Calc!BC99*'Waste results'!$S$29+ Calc!BD99*'Waste results'!$S$65, "data missing"))),
IF(AND('Field information 2'!$M$5&lt;&gt;"", 'Field information 2'!$O$5&lt;&gt;"", 'Field information 2'!$Q$5&lt;&gt;""),
   IF(AND(Calc!BD99=0,Calc!BE99=0),
     IF('Waste results'!$S$29&lt;&gt;"data missing", Calc!BC99*'Waste results'!$S$29, "data missing"),
   IF(AND(Calc!BC99=0,Calc!BE99=0),
     IF('Waste results'!$S$65&lt;&gt;"data missing", Calc!BD99*'Waste results'!$S$65, "data missing"),
   IF(AND(Calc!BC99=0,Calc!BD99=0),
     IF('Waste results'!$S$101&lt;&gt;"data missing", Calc!BE99*'Waste results'!$S$101, "data missing"),
   IF(Calc!BE99=0,
     IF(OR('Waste results'!$S$29&lt;&gt;"data missing", 'Waste results'!$S$65&lt;&gt;"data missing"), Calc!BC99*'Waste results'!$S$29+ Calc!BD99*'Waste results'!$S$65, "data missing"),
   IF(Calc!BD99=0,
     IF(OR('Waste results'!$S$29&lt;&gt;"data missing", 'Waste results'!$S$101&lt;&gt;"data missing"), Calc!BC99*'Waste results'!$S$29+ Calc!BE99*'Waste results'!$S$101, "data missing"),
   IF(Calc!BC99=0,
     IF(OR('Waste results'!$S$65&lt;&gt;"data missing", 'Waste results'!$S$101&lt;&gt;"data missing"), Calc!BD99*'Waste results'!$S$65+Calc!BE99*'Waste results'!$S$101, "data missing"),
   IF(OR('Waste results'!$S$29&lt;&gt;"data missing", 'Waste results'!$S$65&lt;&gt;"data missing", 'Waste results'!$S$101&lt;&gt;"data missing"), Calc!BC99*'Waste results'!$S$29+Calc!BD99*'Waste results'!$S$65+ Calc!BE99*'Waste results'!$S$101, "data missing")))))))))))</f>
        <v/>
      </c>
      <c r="BG101" s="239" t="str">
        <f ca="1">IF($B101="","",
IF(ISBLANK('Soil results'!O104),"data missing",'Soil results'!O104))</f>
        <v/>
      </c>
      <c r="BH101" s="239" t="str">
        <f t="shared" ca="1" si="30"/>
        <v/>
      </c>
      <c r="BI101" s="9" t="str">
        <f ca="1">IF(B101="","",
IF(BF101=0,"n/a",
IF(OR(BF101="data missing",BG101="data missing"),"data missing",
IF(BF101&gt;3,"application rate too high - permissible rate exceeds limit",
IF('Soil results'!F104&lt;=5.5,
  IF(BG101&gt;50,"no application - soil conc. already above limit",
  IF(BH101&gt;50,"application rate too high - soil conc. will exceed limit",
  IF(BG101&gt;50*0.9,"soil conc. is at or above 90% of the limit",
  IF(10*BF101*1000/3000+BG101&gt;50,"soil limit likely to be exceeded in 10yrs",
  IF(50*BF101*1000/3000+BG101&gt;50,"soil limit likely to be exceeded in 50yrs","ok"))))),
IF('Soil results'!F104&lt;=6,
  IF(BG101&gt;60,"no application - soil conc. already above limit",
  IF(BH101&gt;60,"application rate too high - soil conc. will exceed limit",
  IF(BG101&gt;60*0.9,"soil conc. is at or above 90% of the limit",
  IF(10*BF101*1000/3000+BG101&gt;60,"soil limit likely to be exceeded in 10yrs",
  IF(50*BF101*1000/3000+BG101&gt;60,"soil limit likely to be exceeded in 50yrs","ok"))))),
IF('Soil results'!F104&lt;=7,
  IF(BG101&gt;75,"no application - soil conc. already above limit",
  IF(BH101&gt;75,"application rate too high - soil conc. will exceed limit",
  IF(BG101&gt;75*0.9,"soil conc. is at or above 90% of the limit",
  IF(10*BF101*1000/3000+BG101&gt;75,"soil limit likely to be exceeded in 10yrs",
  IF(50*BF101*1000/3000+BG101&gt;75,"soil limit likely to be exceeded in 50yrs","ok"))))),
IF('Soil results'!F104&gt;7,
  IF(BG101&gt;100,"no application - soil conc. already above limit",
  IF(BH101&gt;100,"application rate too high - soil conc. will exceed limit",
  IF(BG101&gt;100*0.9,"soil conc. is at or above 90% of the limit",
  IF(10*BF101*1000/3000+BG101&gt;100,"soil limit likely to be exceeded in 10yrs",
  IF(50*BF101*1000/3000+BG101&gt;100,"soil limit likely to beexceeded in 50yrs","ok")))))
))))))))</f>
        <v/>
      </c>
      <c r="BK101" s="240" t="str">
        <f ca="1">IF(B101="","",
IF(AND('Field information 2'!$O$5="", 'Field information 2'!$Q$5=""),
   IF('Waste results'!$S$30&lt;&gt;"data missing", Calc!BC99*'Waste results'!$S$30, "data missing"),
IF('Field information 2'!$Q$5="",
   IF(Calc!BD99=0,
     IF('Waste results'!$S$30&lt;&gt;"data missing", Calc!BC99*'Waste results'!$S$30, "data missing"),
   IF(Calc!BC99=0,
     IF('Waste results'!$S$66&lt;&gt;"data missing", Calc!BD99*'Waste results'!$S$66, "data missing"),
   IF(OR('Waste results'!$S$30&lt;&gt;"data missing", 'Waste results'!$S$66&lt;&gt;"data missing"), Calc!BC99*'Waste results'!$S$30+ Calc!BD99*'Waste results'!$S$66, "data missing"))),
IF(AND('Field information 2'!$M$5&lt;&gt;"", 'Field information 2'!$O$5&lt;&gt;"", 'Field information 2'!$Q$5&lt;&gt;""),
   IF(AND(Calc!BD99=0,Calc!BE99=0),
     IF('Waste results'!$S$30&lt;&gt;"data missing", Calc!BC99*'Waste results'!$S$30, "data missing"),
   IF(AND(Calc!BC99=0,Calc!BE99=0),
     IF('Waste results'!$S$66&lt;&gt;"data missing", Calc!BD99*'Waste results'!$S$66, "data missing"),
   IF(AND(Calc!BC99=0,Calc!BD99=0),
     IF('Waste results'!$S$102&lt;&gt;"data missing", Calc!BE99*'Waste results'!$S$102, "data missing"),
   IF(Calc!BE99=0,
     IF(OR('Waste results'!$S$30&lt;&gt;"data missing", 'Waste results'!$S$66&lt;&gt;"data missing"), Calc!BC99*'Waste results'!$S$30+ Calc!BD99*'Waste results'!$S$66, "data missing"),
   IF(Calc!BD99=0,
     IF(OR('Waste results'!$S$30&lt;&gt;"data missing", 'Waste results'!$S$102&lt;&gt;"data missing"), Calc!BC99*'Waste results'!$S$30+ Calc!BE99*'Waste results'!$S$102, "data missing"),
   IF(Calc!BC99=0,
     IF(OR('Waste results'!$S$66&lt;&gt;"data missing", 'Waste results'!$S$102&lt;&gt;"data missing"), Calc!BD99*'Waste results'!$S$66+Calc!BE99*'Waste results'!$S$102, "data missing"),
   IF(OR('Waste results'!$S$30&lt;&gt;"data missing", 'Waste results'!$S$66&lt;&gt;"data missing", 'Waste results'!$S$102&lt;&gt;"data missing"), Calc!BC99*'Waste results'!$S$30+Calc!BD99*'Waste results'!$S$66+ Calc!BE99*'Waste results'!$S$102, "data missing")))))))))))</f>
        <v/>
      </c>
      <c r="BL101" s="241" t="str">
        <f ca="1">IF($B101="","",
IF(ISBLANK('Soil results'!P104),"data missing",'Soil results'!P104))</f>
        <v/>
      </c>
      <c r="BM101" s="241" t="str">
        <f t="shared" ca="1" si="31"/>
        <v/>
      </c>
      <c r="BN101" s="66" t="str">
        <f t="shared" ca="1" si="32"/>
        <v/>
      </c>
      <c r="BP101" s="238" t="str">
        <f ca="1">IF(B101="","",
IF(AND('Field information 2'!$O$5="", 'Field information 2'!$Q$5=""),
   IF('Waste results'!$S$31&lt;&gt;"data missing", Calc!BC99*'Waste results'!$S$31, "data missing"),
IF('Field information 2'!$Q$5="",
   IF(Calc!BD99=0,
     IF('Waste results'!$S$31&lt;&gt;"data missing", Calc!BC99*'Waste results'!$S$31, "data missing"),
   IF(Calc!BC99=0,
     IF('Waste results'!$S$67&lt;&gt;"data missing", Calc!BD99*'Waste results'!$S$67, "data missing"),
   IF(OR('Waste results'!$S$31&lt;&gt;"data missing", 'Waste results'!$S$67&lt;&gt;"data missing"), Calc!BC99*'Waste results'!$S$31+ Calc!BD99*'Waste results'!$S$67, "data missing"))),
IF(AND('Field information 2'!$M$5&lt;&gt;"", 'Field information 2'!$O$5&lt;&gt;"", 'Field information 2'!$Q$5&lt;&gt;""),
   IF(AND(Calc!BD99=0,Calc!BE99=0),
     IF('Waste results'!$S$31&lt;&gt;"data missing", Calc!BC99*'Waste results'!$S$31, "data missing"),
   IF(AND(Calc!BC99=0,Calc!BE99=0),
     IF('Waste results'!$S$67&lt;&gt;"data missing", Calc!BD99*'Waste results'!$S$67, "data missing"),
   IF(AND(Calc!BC99=0,Calc!BD99=0),
     IF('Waste results'!$S$103&lt;&gt;"data missing", Calc!BE99*'Waste results'!$S$103, "data missing"),
   IF(Calc!BE99=0,
     IF(OR('Waste results'!$S$31&lt;&gt;"data missing", 'Waste results'!$S$67&lt;&gt;"data missing"), Calc!BC99*'Waste results'!$S$31+ Calc!BD99*'Waste results'!$S$67, "data missing"),
   IF(Calc!BD99=0,
     IF(OR('Waste results'!$S$31&lt;&gt;"data missing", 'Waste results'!$S$103&lt;&gt;"data missing"), Calc!BC99*'Waste results'!$S$31+ Calc!BE99*'Waste results'!$S$103, "data missing"),
   IF(Calc!BC99=0,
     IF(OR('Waste results'!$S$67&lt;&gt;"data missing", 'Waste results'!$S$103&lt;&gt;"data missing"), Calc!BD99*'Waste results'!$S$67+Calc!BE99*'Waste results'!$S$103, "data missing"),
   IF(OR('Waste results'!$S$31&lt;&gt;"data missing", 'Waste results'!$S$67&lt;&gt;"data missing", 'Waste results'!$S$103&lt;&gt;"data missing"), Calc!BC99*'Waste results'!$S$31+Calc!BD99*'Waste results'!$S$67+ Calc!BE99*'Waste results'!$S$103, "data missing")))))))))))</f>
        <v/>
      </c>
      <c r="BQ101" s="239" t="str">
        <f ca="1">IF($B101="","",
IF(ISBLANK('Soil results'!Q104),"data missing",'Soil results'!Q104))</f>
        <v/>
      </c>
      <c r="BR101" s="239" t="str">
        <f t="shared" ca="1" si="33"/>
        <v/>
      </c>
      <c r="BS101" s="9" t="str">
        <f ca="1">IF(B101="","",
IF(BP101=0,"n/a",
IF(OR(BP101="data missing",BQ101=""),"data missing",
IF(BP101&gt;15,"application rate too high - permissible rate exceeds limit",
IF('Soil results'!F104&lt;=5.5,
  IF(BQ101&gt;200,"no application - soil conc. already above limit",
  IF(BR101&gt;200,"application rate too high - soil conc. will exceed limit",
  IF(BQ101&gt;200*0.9,"soil conc. is at or above 90% of the limit",
  IF(10*BP101*1000/3000+BQ101&gt;200,"soil limit likely to be exceeded in 10yrs",
  IF(50*BP101*1000/3000+BQ101&gt;200,"soil limit likely to be exceeded in 50yrs","ok"))))),
IF('Soil results'!F104&lt;=6,
  IF(BQ101&gt;250,"no application - soil conc. already above limit",
  IF(BR101&gt;250,"application rate too high - soil conc. will exceed limit",
  IF(BQ101&gt;250*0.9,"soil conc. is at or above 90% of the limit",
  IF(10*BP101*1000/3000+BQ101&gt;250,"soil limit likely to be exceeded in 10yrs",
  IF(50*BP101*1000/3000+BQ101&gt;250,"soil limit likely to be exceeded in 50yrs","ok"))))),
IF('Soil results'!F104&lt;=7,
  IF(BQ101&gt;300,"no application - soil conc. already above limit",
  IF(BR101&gt;300,"application rate too high - soil conc. will exceed limit",
  IF(BQ101&gt;300*0.9,"soil conc. is at or above 90% of the limit",
  IF(10*BP101*1000/3000+BQ101&gt;300,"soil limit likey to be exceeded in 10yrs",
  IF(50*BP101*1000/3000+BQ101&gt;300,"soil limit likely to be exceeded in 50yrs","ok"))))),
IF('Soil results'!F104&gt;7,
  IF(BQ101&gt;450,"no application - soil conc. already above limit",
  IF(BR101&gt;450,"application rate too high - soil conc. will exceed limit",
  IF(AW101&gt;450*0.9,"soil conc. is at or above 90% of the limit",
  IF(10*BP101*1000/3000+BQ101&gt;450,"soil limit likely to be exceeded in 10yrs",
  IF(50*BP101*1000/3000+BQ101&gt;450,"soil limit likely to be exceeded in 50yrs","ok")))))
))))))))</f>
        <v/>
      </c>
    </row>
    <row r="102" spans="2:71" s="9" customFormat="1" ht="15" x14ac:dyDescent="0.25">
      <c r="B102" s="236" t="str">
        <f ca="1">'Soil results'!B105</f>
        <v/>
      </c>
      <c r="C102" s="91" t="str">
        <f ca="1">IF(B102="","",
IF(AND('Field information 2'!$O$5="", 'Field information 2'!$Q$5=""),
   IF('Waste results'!$S$12&lt;&gt;"data missing", Calc!BC100*'Waste results'!$S$12, "data missing"),
IF('Field information 2'!$Q$5="",
   IF(Calc!BD100=0,
     IF('Waste results'!$S$12&lt;&gt;"data missing", Calc!BC100*'Waste results'!$S$12, "data missing"),
   IF(Calc!BC100=0,
     IF('Waste results'!$S$48&lt;&gt;"data missing", Calc!BD100*'Waste results'!$S$48, "data missing"),
   IF(OR('Waste results'!$S$12&lt;&gt;"data missing", 'Waste results'!$S$48&lt;&gt;"data missing"), Calc!BC100*'Waste results'!$S$12+ Calc!BD100*'Waste results'!$S$48, "data missing"))),
IF(AND('Field information 2'!$M$5&lt;&gt;"", 'Field information 2'!$O$5&lt;&gt;"", 'Field information 2'!$Q$5&lt;&gt;""),
   IF(AND(Calc!BD100=0,Calc!BE100=0),
     IF('Waste results'!$S$12&lt;&gt;"data missing", Calc!BC100*'Waste results'!$S$12, "data missing"),
   IF(AND(Calc!BC100=0,Calc!BE100=0),
     IF('Waste results'!$S$48&lt;&gt;"data missing", Calc!BD100*'Waste results'!$S$48, "data missing"),
   IF(AND(Calc!BC100=0,Calc!BD100=0),
     IF('Waste results'!$S$84&lt;&gt;"data missing", Calc!BE100*'Waste results'!$S$84, "data missing"),
   IF(Calc!BE100=0,
     IF(OR('Waste results'!$S$12&lt;&gt;"data missing", 'Waste results'!$S$48&lt;&gt;"data missing"), Calc!BC100*'Waste results'!$S$12+ Calc!BD100*'Waste results'!$S$48, "data missing"),
   IF(Calc!BD100=0,
     IF(OR('Waste results'!$S$12&lt;&gt;"data missing", 'Waste results'!$S$84&lt;&gt;"data missing"), Calc!BC100*'Waste results'!$S$12+ Calc!BE100*'Waste results'!$S$84, "data missing"),
   IF(Calc!BC100=0,
     IF(OR('Waste results'!$S$48&lt;&gt;"data missing", 'Waste results'!$S$84&lt;&gt;"data missing"), Calc!BD100*'Waste results'!$S$48+Calc!BE100*'Waste results'!$S$84, "data missing"),
   IF(OR('Waste results'!$S$12&lt;&gt;"data missing", 'Waste results'!$S$48&lt;&gt;"data missing", 'Waste results'!$S$84&lt;&gt;"data missing"), Calc!BC100*'Waste results'!$S$12+Calc!BD100*'Waste results'!$S$48+ Calc!BE100*'Waste results'!$S$84, "data missing")))))))))))</f>
        <v/>
      </c>
      <c r="D102" s="161" t="str">
        <f ca="1">IF(B102="","",
IF(Calc!BG100="","soil texture missing",
IF(OR(Calc!BG100="SL; SZL; ZL",Calc!BG100="SCL; CL; ZCL; SC; ZC; C"),VLOOKUP(Calc!BI100,'Fertiliser recommendations'!$A$4:$C$63,3,FALSE),
IF(Calc!BG100="S; LS",VLOOKUP(Calc!BI100,'Fertiliser recommendations'!$A$4:$C$63,3,FALSE)+VLOOKUP(Calc!BI100,'Fertiliser recommendations'!$A$4:$D$63,4,FALSE),
IF(Calc!BG100="10-25% OM",VLOOKUP(Calc!BI100,'Fertiliser recommendations'!$A$4:$C$63,3,FALSE)+VLOOKUP(Calc!BI100,'Fertiliser recommendations'!$A$4:$E$63,5,FALSE),
IF(Calc!BG100="&gt;25% OM",VLOOKUP(Calc!BI100,'Fertiliser recommendations'!$A$4:$C$63,3,FALSE)+VLOOKUP(Calc!BI100,'Fertiliser recommendations'!$A$4:$F$63,6,FALSE),
""))))))</f>
        <v/>
      </c>
      <c r="E102" s="91" t="str">
        <f t="shared" ca="1" si="17"/>
        <v/>
      </c>
      <c r="F102" s="9" t="str">
        <f ca="1">IF(B102="","",
IF(OR(C102="data missing",D102="soil texture missing"),"data missing",
IF(Calc!BF100=0,"n/a",
IF(C102&lt;0.1*D102,"no benefit",
IF(C102&lt;0.3*D102,"limited benefit",
IF(C102&gt;250,"exceeds limit",
IF(OR(AND(D102=0,C102&gt;75),C102&gt;1.25*D102),"excessive",
IF(D102=0, "no requirement",
"benefit"))))))))</f>
        <v/>
      </c>
      <c r="H102" s="91" t="str">
        <f ca="1">IF(B102="","",
IF(AND('Field information 2'!$O$5="", 'Field information 2'!$Q$5=""),
   IF('Waste results'!$S$17&lt;&gt;"data missing", Calc!BC100*'Waste results'!$S$17, "data missing"),
IF('Field information 2'!$Q$5="",
   IF(Calc!BD100=0,
     IF('Waste results'!$S$17&lt;&gt;"data missing", Calc!BC100*'Waste results'!$S$17, "data missing"),
   IF(Calc!BC100=0,
     IF('Waste results'!$S$53&lt;&gt;"data missing", Calc!BD100*'Waste results'!$S$53, "data missing"),
   IF(OR('Waste results'!$S$17&lt;&gt;"data missing", 'Waste results'!$S$53&lt;&gt;"data missing"), Calc!BC100*'Waste results'!$S$17+ Calc!BD100*'Waste results'!$S$53, "data missing"))),
IF(AND('Field information 2'!$M$5&lt;&gt;"", 'Field information 2'!$O$5&lt;&gt;"", 'Field information 2'!$Q$5&lt;&gt;""),
   IF(AND(Calc!BD100=0,Calc!BE100=0),
     IF('Waste results'!$S$17&lt;&gt;"data missing", Calc!BC100*'Waste results'!$S$17, "data missing"),
   IF(AND(Calc!BC100=0,Calc!BE100=0),
     IF('Waste results'!$S$53&lt;&gt;"data missing", Calc!BD100*'Waste results'!$S$53, "data missing"),
   IF(AND(Calc!BC100=0,Calc!BD100=0),
     IF('Waste results'!$S$89&lt;&gt;"data missing", Calc!BE100*'Waste results'!$S$89, "data missing"),
   IF(Calc!BE100=0,
     IF(OR('Waste results'!$S$17&lt;&gt;"data missing", 'Waste results'!$S$53&lt;&gt;"data missing"), Calc!BC100*'Waste results'!$S$17+ Calc!BD100*'Waste results'!$S$53, "data missing"),
   IF(Calc!BD100=0,
     IF(OR('Waste results'!$S$17&lt;&gt;"data missing", 'Waste results'!$S$89&lt;&gt;"data missing"), Calc!BC100*'Waste results'!$S$17+ Calc!BE100*'Waste results'!$S$89, "data missing"),
   IF(Calc!BC100=0,
     IF(OR('Waste results'!$S$53&lt;&gt;"data missing", 'Waste results'!$S$89&lt;&gt;"data missing"), Calc!BD100*'Waste results'!$S$53+Calc!BE100*'Waste results'!$S$89, "data missing"),
   IF(OR('Waste results'!$S$17&lt;&gt;"data missing", 'Waste results'!$S$53&lt;&gt;"data missing", 'Waste results'!$S$89&lt;&gt;"data missing"), Calc!BC100*'Waste results'!$S$17+Calc!BD100*'Waste results'!$S$53+ Calc!BE100*'Waste results'!$S$89, "data missing")))))))))))</f>
        <v/>
      </c>
      <c r="I102" s="195" t="str">
        <f ca="1">IF(B102="","",
IF(OR(ISBLANK('Soil results'!G105), ISBLANK('Soil results'!G$7)),"data missing",
IF(OR(AND('Soil results'!G$7="Olsen (ADAS)",'Soil results'!G105&lt;16),AND('Soil results'!G$7="modified Morgan (SAC)",'Soil results'!G105&lt;4.5)),50,100)))</f>
        <v/>
      </c>
      <c r="J102" s="49" t="str">
        <f ca="1">IF(B102="","",
IF(OR(ISBLANK('Soil results'!G$7),ISBLANK('Soil results'!G105)),"data missing",
IF(OR(AND('Soil results'!G$7="Olsen (ADAS)",'Soil results'!G105&gt;45),AND('Soil results'!G$7="modified Morgan (SAC)",'Soil results'!G105&gt;30)),0,
IF(OR(AND('Soil results'!G$7="Olsen (ADAS)",'Soil results'!G105&gt;=16,'Soil results'!G105&lt;=20),AND('Soil results'!G$7="modified Morgan (SAC)",'Soil results'!G105&gt;=4.5,'Soil results'!G105&lt;=9.4)),VLOOKUP(Calc!BI100,'Fertiliser recommendations'!$A$4:$I$63,9,FALSE),
IF(OR(AND('Soil results'!G$7="Olsen (ADAS)",'Soil results'!G105&lt;10),AND('Soil results'!G$7="modified Morgan (SAC)",'Soil results'!G105&lt;1.8)),VLOOKUP(Calc!BI100,'Fertiliser recommendations'!$A$4:$I$63,9,FALSE)+VLOOKUP(Calc!BI100,'Fertiliser recommendations'!$A$4:$J$63,10,FALSE),
IF(OR(AND('Soil results'!G$7="Olsen (ADAS)",'Soil results'!G105&lt;16),AND('Soil results'!G$7="modified Morgan (SAC)",'Soil results'!G105&lt;4.5)),VLOOKUP(Calc!BI100,'Fertiliser recommendations'!$A$4:$I$63,9,FALSE)+VLOOKUP(Calc!BI100,'Fertiliser recommendations'!$A$4:$K$63,11,FALSE),
IF(OR(AND('Soil results'!G$7="Olsen (ADAS)",'Soil results'!G105&lt;26),AND('Soil results'!G$7="modified Morgan (SAC)",'Soil results'!G105&lt;13.5)),VLOOKUP(Calc!BI100,'Fertiliser recommendations'!$A$4:$I$63,9,FALSE)+VLOOKUP(Calc!BI100,'Fertiliser recommendations'!$A$4:$L$63,12,FALSE),
IF(OR(AND('Soil results'!G$7="Olsen (ADAS)",'Soil results'!G105&lt;=45),AND('Soil results'!G$7="modified Morgan (SAC)",'Soil results'!G105&lt;=30)),VLOOKUP(Calc!BI100,'Fertiliser recommendations'!$A$4:$I$63,9,FALSE)+VLOOKUP(Calc!BI100,'Fertiliser recommendations'!$A$4:$M$63,13,FALSE),
""))))))))</f>
        <v/>
      </c>
      <c r="K102" s="161" t="str">
        <f t="shared" ca="1" si="18"/>
        <v/>
      </c>
      <c r="L102" s="47" t="str">
        <f ca="1">IF(OR(ISBLANK('Soil results'!G$7),ISBLANK('Soil results'!G105),B102="", H102="data missing"),"",
IF('Soil results'!G$7="Olsen (ADAS)",
IF(((H102*Calc!BM100/2.291-(VLOOKUP(Calc!BI100,'Fertiliser recommendations'!$A$4:$I$63,9,FALSE))/2.291)*10/(400/2.291)+'Soil results'!G105)&lt;10,"0 (VL)",
IF(((H102*Calc!BM100/2.291-(VLOOKUP(Calc!BI100,'Fertiliser recommendations'!$A$4:$I$63,9,FALSE))/2.291)*10/(400/2.291)+'Soil results'!G105)&lt;16,"1 (L)",
IF(((H102*Calc!BM100/2.291-(VLOOKUP(Calc!BI100,'Fertiliser recommendations'!$A$4:$I$63,9,FALSE))/2.291)*10/(400/2.291)+'Soil results'!G105)&lt;21,"2 (M-)",
IF(((H102*Calc!BM100/2.291-(VLOOKUP(Calc!BI100,'Fertiliser recommendations'!$A$4:$I$63,9,FALSE))/2.291)*10/(400/2.291)+'Soil results'!G105)&lt;26,"2 (M+)",
IF(((H102*Calc!BM100/2.291-(VLOOKUP(Calc!BI100,'Fertiliser recommendations'!$A$4:$I$63,9,FALSE))/2.291)*10/(400/2.291)+'Soil results'!G105)&lt;45,"3 (H)","&gt;3 (VH)"))))),
IF('Soil results'!G$7="modified Morgan (SAC)",
IF('Soil results'!G105&gt;=6,
IF(((H102*Calc!BM100/2.291-(VLOOKUP(Calc!BI100,'Fertiliser recommendations'!$A$4:$I$63,9,FALSE))/2.291)*5/(147/2.291)+'Soil results'!G105)&lt;9.5,"2 (M-)",
IF(((H102*Calc!BM100/2.291-(VLOOKUP(Calc!BI100,'Fertiliser recommendations'!$A$4:$I$63,9,FALSE))/2.291)*5/(147/2.291)+'Soil results'!G105)&lt;13.5,"2 (M+)",
IF(((H102*Calc!BM100/2.291-(VLOOKUP(Calc!BI100,'Fertiliser recommendations'!$A$4:$I$63,9,FALSE))/2.291)*5/(147/2.291)+'Soil results'!G105)&lt;30,"3 (H)","4 (VH)"))),
IF(((H102*Calc!BM100/2.291-(VLOOKUP(Calc!BI100,'Fertiliser recommendations'!$A$4:$I$63,9,FALSE))/2.291)*5/(346/2.291)+'Soil results'!G105)&lt;1.8,"0 (VL)",
IF(((H102*Calc!BM100/2.291-(VLOOKUP(Calc!BI100,'Fertiliser recommendations'!$A$4:$I$63,9,FALSE))/2.291)*5/(147/2.291)+'Soil results'!G105)&lt;4.5,"1 (L)","2 (M-)"))))))</f>
        <v/>
      </c>
      <c r="M102" s="9" t="str">
        <f ca="1">IF(B102="","",
IF(OR(H102="data missing",I102="data missing",J102="data missing"),"data missing",
IF(Calc!BF100=0,"n/a",
IF(OR(AND('Soil results'!G$7="Olsen (ADAS)",'Soil results'!G105&gt;45),AND('Soil results'!G$7="modified Morgan (SAC)",'Soil results'!G105&gt;30)),
IF(H102&gt;2,"too high, not acceptable","no requirement"),IF(OR(AND('Soil results'!G$7="Olsen (ADAS)",'Soil results'!G105&gt;25),AND('Soil results'!G$7="modified Morgan (SAC)",'Soil results'!G105&gt;13.4)),
IF(H102*(I102/100)&lt;0.1*J102,"no benefit",
IF(H102*(I102/100)&lt;0.3*J102,"limited benefit",
IF(H102*(I102/100)&lt;1.1*J102,"benefit",
IF(H102*(I102/100)&lt;0.7*VLOOKUP(Calc!BI100,'Fertiliser recommendations'!$A$4:$I$63,9,FALSE),"excessive","too high, not acceptable")))),
IF(OR(AND('Soil results'!G$7="Olsen (ADAS)",'Soil results'!G105&gt;20),AND('Soil results'!G$7="modified Morgan (SAC)",'Soil results'!G105&gt;9.4)),
IF(H102*Calc!BM100*(I102/100)&lt;0.1*J102,"no benefit",
IF(H102*Calc!BM100*(I102/100)&lt;0.3*J102,"limited benefit",
IF(H102*Calc!BM100*(I102/100)&lt;1.1*J102,"benefit",
IF(L102="3 (H)","too high, not acceptable","excessive")))),
IF(OR(AND('Soil results'!G$7="Olsen (ADAS)",'Soil results'!G105&gt;15),AND('Soil results'!G$7="modified Morgan (SAC)",'Soil results'!G105&gt;4.4)),
IF(H102*Calc!BM100*(I102/100)&lt;0.1*VLOOKUP(Calc!BI100,'Fertiliser recommendations'!$A$4:$I$63,9,FALSE),"no benefit",
IF(H102*Calc!BM100*(I102/100)&lt;0.3*VLOOKUP(Calc!BI100,'Fertiliser recommendations'!$A$4:$I$63,9,FALSE),"limited benefit",
IF(H102*Calc!BM100*(I102/100)&lt;1.1*VLOOKUP(Calc!BI100,'Fertiliser recommendations'!$A$4:$I$63,9,FALSE),"benefit",
IF(L102="3 (H)", "too high, not acceptable", "excessive")))),
IF(OR(AND('Soil results'!G$7="Olsen (ADAS)",'Soil results'!G105&lt;=15),AND('Soil results'!G$7="modified Morgan (SAC)",'Soil results'!G105&lt;=4.4)),
IF(H102*Calc!BM100*(I102/100)&lt;0.1*VLOOKUP(Calc!BI100,'Fertiliser recommendations'!$A$4:$I$63,9,FALSE),"no benefit",
IF(H102*Calc!BM100*(I102/100)&lt;0.3*VLOOKUP(Calc!BI100,'Fertiliser recommendations'!$A$4:$I$63,9,FALSE),"limited benefit",
IF(H102*Calc!BM100*(I102/100)&lt;1.1*J102,"benefit","excessive")))))))))))</f>
        <v/>
      </c>
      <c r="O102" s="91" t="str">
        <f ca="1">IF(B102="","",
IF(AND('Field information 2'!$O$5="", 'Field information 2'!$Q$5=""),
   IF('Waste results'!$S$19&lt;&gt;"data missing", Calc!BC100*'Waste results'!$S$19, "data missing"),
IF('Field information 2'!$Q$5="",
   IF(Calc!BD100=0,
     IF('Waste results'!$S$19&lt;&gt;"data missing", Calc!BC100*'Waste results'!$S$19, "data missing"),
   IF(Calc!BC100=0,
     IF('Waste results'!$S$55&lt;&gt;"data missing", Calc!BD100*'Waste results'!$S$55, "data missing"),
   IF(OR('Waste results'!$S$19&lt;&gt;"data missing", 'Waste results'!$S$55&lt;&gt;"data missing"), Calc!BC100*'Waste results'!$S$19+ Calc!BD100*'Waste results'!$S$55, "data missing"))),
IF(AND('Field information 2'!$M$5&lt;&gt;"", 'Field information 2'!$O$5&lt;&gt;"", 'Field information 2'!$Q$5&lt;&gt;""),
   IF(AND(Calc!BD100=0,Calc!BE100=0),
     IF('Waste results'!$S$19&lt;&gt;"data missing", Calc!BC100*'Waste results'!$S$19, "data missing"),
   IF(AND(Calc!BC100=0,Calc!BE100=0),
     IF('Waste results'!$S$55&lt;&gt;"data missing", Calc!BD100*'Waste results'!$S$55, "data missing"),
   IF(AND(Calc!BC100=0,Calc!BD100=0),
     IF('Waste results'!$S$91&lt;&gt;"data missing", Calc!BE100*'Waste results'!$S$91, "data missing"),
   IF(Calc!BE100=0,
     IF(OR('Waste results'!$S$19&lt;&gt;"data missing", 'Waste results'!$S$55&lt;&gt;"data missing"), Calc!BC100*'Waste results'!$S$19+ Calc!BD100*'Waste results'!$S$55, "data missing"),
   IF(Calc!BD100=0,
     IF(OR('Waste results'!$S$19&lt;&gt;"data missing", 'Waste results'!$S$91&lt;&gt;"data missing"), Calc!BC100*'Waste results'!$S$19+ Calc!BE100*'Waste results'!$S$91, "data missing"),
   IF(Calc!BC100=0,
     IF(OR('Waste results'!$S$55&lt;&gt;"data missing", 'Waste results'!$S$91&lt;&gt;"data missing"), Calc!BD100*'Waste results'!$S$55+Calc!BE100*'Waste results'!$S$91, "data missing"),
   IF(OR('Waste results'!$S$19&lt;&gt;"data missing", 'Waste results'!$S$55&lt;&gt;"data missing", 'Waste results'!$S$91&lt;&gt;"data missing"), Calc!BC100*'Waste results'!$S$19+Calc!BD100*'Waste results'!$S$55+ Calc!BE100*'Waste results'!$S$91, "data missing")))))))))))</f>
        <v/>
      </c>
      <c r="P102" s="91" t="str">
        <f ca="1">IF(B102="","",
IF(OR(ISBLANK('Soil results'!H$7),ISBLANK('Soil results'!H105)),"data missing",
IF(OR(AND('Soil results'!H$7="ammonium nitrate (ADAS)",'Soil results'!H105&gt;400),AND('Soil results'!H$7="modified Morgan (SAC)",'Soil results'!H105&gt;400)),0,
IF(OR(AND('Soil results'!H$7="ammonium nitrate (ADAS)",'Soil results'!H105&gt;=121,'Soil results'!H105&lt;=180),AND('Soil results'!H$7="modified Morgan (SAC)",'Soil results'!H105&gt;=76,'Soil results'!H105&lt;=140)),VLOOKUP(Calc!BI100,'Fertiliser recommendations'!$A$4:$Z$63,26,FALSE),
IF(OR(AND('Soil results'!H$7="ammonium nitrate (ADAS)",'Soil results'!H105&lt;61),AND('Soil results'!H$7="modified Morgan (SAC)",'Soil results'!H105&lt;40)),VLOOKUP(Calc!BI100,'Fertiliser recommendations'!$A$4:$Z$63,26,FALSE)+VLOOKUP(Calc!BI100,'Fertiliser recommendations'!$A$4:$AA$63,27,FALSE),
IF(OR(AND('Soil results'!H$7="ammonium nitrate (ADAS)",'Soil results'!H105&lt;121),AND('Soil results'!H$7="modified Morgan (SAC)",'Soil results'!H105&lt;76)),VLOOKUP(Calc!BI100,'Fertiliser recommendations'!$A$4:$Z$63,26,FALSE)+VLOOKUP(Calc!BI100,'Fertiliser recommendations'!$A$4:$AB$63,28,FALSE),
IF(OR(AND('Soil results'!H$7="ammonium nitrate (ADAS)",'Soil results'!H105&lt;241),AND('Soil results'!H$7="modified Morgan (SAC)",'Soil results'!H105&lt;201)),VLOOKUP(Calc!BI100,'Fertiliser recommendations'!$A$4:$Z$63,26,FALSE)+VLOOKUP(Calc!BI100,'Fertiliser recommendations'!$A$4:$AC$63,29,FALSE),
IF(OR(AND('Soil results'!H$7="ammonium nitrate (ADAS)",'Soil results'!H105&lt;=400),AND('Soil results'!H$7="modified Morgan (SAC)",'Soil results'!H105&lt;=400)),VLOOKUP(Calc!BI100,'Fertiliser recommendations'!$A$4:$Z$63,26,FALSE)+VLOOKUP(Calc!BI100,'Fertiliser recommendations'!$A$4:$AD$63,30,FALSE),
"??"))))))))</f>
        <v/>
      </c>
      <c r="Q102" s="91" t="str">
        <f t="shared" ca="1" si="19"/>
        <v/>
      </c>
      <c r="R102" s="9" t="str">
        <f ca="1">IF(B102="","",
IF(OR(O102="data missing",P102="data missing"),"data missing",
IF(Calc!BF100=0,"n/a",
IF(P102=0, "no requirement",
IF(O102&lt;0.1*P102,"no benefit",
IF(O102&lt;0.3*P102,"limited benefit",
IF(O102&gt;1.25*P102,"excessive",
"benefit")))))))</f>
        <v/>
      </c>
      <c r="T102" s="91" t="str">
        <f ca="1">IF(B102="","",
IF(AND('Field information 2'!$O$5="", 'Field information 2'!$Q$5=""),
   IF('Waste results'!$S$21&lt;&gt;"data missing", Calc!BC100*'Waste results'!$S$21, "data missing"),
IF('Field information 2'!$Q$5="",
   IF(Calc!BD100=0,
     IF('Waste results'!$S$21&lt;&gt;"data missing", Calc!BC100*'Waste results'!$S$21, "data missing"),
   IF(Calc!BC100=0,
     IF('Waste results'!$S$57&lt;&gt;"data missing", Calc!BD100*'Waste results'!$S$57, "data missing"),
   IF(OR('Waste results'!$S$21&lt;&gt;"data missing", 'Waste results'!$S$57&lt;&gt;"data missing"), Calc!BC100*'Waste results'!$S$21+ Calc!BD100*'Waste results'!$S$57, "data missing"))),
IF(AND('Field information 2'!$M$5&lt;&gt;"", 'Field information 2'!$O$5&lt;&gt;"", 'Field information 2'!$Q$5&lt;&gt;""),
   IF(AND(Calc!BD100=0,Calc!BE100=0),
     IF('Waste results'!$S$21&lt;&gt;"data missing", Calc!BC100*'Waste results'!$S$21, "data missing"),
   IF(AND(Calc!BC100=0,Calc!BE100=0),
     IF('Waste results'!$S$57&lt;&gt;"data missing", Calc!BD100*'Waste results'!$S$57, "data missing"),
   IF(AND(Calc!BC100=0,Calc!BD100=0),
     IF('Waste results'!$S$93&lt;&gt;"data missing", Calc!BE100*'Waste results'!$S$93, "data missing"),
   IF(Calc!BE100=0,
     IF(OR('Waste results'!$S$21&lt;&gt;"data missing", 'Waste results'!$S$57&lt;&gt;"data missing"), Calc!BC100*'Waste results'!$S$21+ Calc!BD100*'Waste results'!$S$57, "data missing"),
   IF(Calc!BD100=0,
     IF(OR('Waste results'!$S$21&lt;&gt;"data missing", 'Waste results'!$S$93&lt;&gt;"data missing"), Calc!BC100*'Waste results'!$S$21+ Calc!BE100*'Waste results'!$S$93, "data missing"),
   IF(Calc!BC100=0,
     IF(OR('Waste results'!$S$57&lt;&gt;"data missing", 'Waste results'!$S$93&lt;&gt;"data missing"), Calc!BD100*'Waste results'!$S$57+Calc!BE100*'Waste results'!$S$93, "data missing"),
   IF(OR('Waste results'!$S$21&lt;&gt;"data missing", 'Waste results'!$S$57&lt;&gt;"data missing", 'Waste results'!$S$93&lt;&gt;"data missing"), Calc!BC100*'Waste results'!$S$21+Calc!BD100*'Waste results'!$S$57+ Calc!BE100*'Waste results'!$S$93, "data missing")))))))))))</f>
        <v/>
      </c>
      <c r="U102" s="7" t="str">
        <f ca="1">IF(B102="","",
IF(OR(ISBLANK('Soil results'!I$7),ISBLANK('Soil results'!I105)),"data missing",
IF(OR(AND('Soil results'!I$7="ammonium nitrate (ADAS)",'Soil results'!I105&gt;51),AND('Soil results'!I$7="modified Morgan (SAC)",'Soil results'!I105&gt;61)),0,
IF(OR(AND('Soil results'!I$7="ammonium nitrate (ADAS)",'Soil results'!I105&lt;25),AND('Soil results'!I$7="modified Morgan (SAC)",'Soil results'!I105&lt;19)),VLOOKUP(Calc!BI100,'Fertiliser recommendations'!$A$4:$AH$63,34,FALSE),
IF(OR(AND('Soil results'!I$7="ammonium nitrate (ADAS)",'Soil results'!I105&lt;=51),AND('Soil results'!I$7="modified Morgan (SAC)",'Soil results'!I105&lt;=61)),VLOOKUP(Calc!BI100,'Fertiliser recommendations'!$A$4:$AI$63,35,FALSE),
"")))))</f>
        <v/>
      </c>
      <c r="V102" s="91" t="str">
        <f t="shared" ca="1" si="20"/>
        <v/>
      </c>
      <c r="W102" s="9" t="str">
        <f ca="1">IF(B102="","",
IF(OR(T102="data missing",U102="data missing"),"data missing",
IF(Calc!BF100=0,"n/a",
IF(U102=0,"no requirement",
IF(T102&lt;0.1*U102,"no benefit",
IF(T102&lt;0.3*U102,"limited benefit",
IF(OR(T102&gt;1.5*U102,AND(Calc!BJ100="g",T102&gt;100)),"excessive",
"benefit")))))))</f>
        <v/>
      </c>
      <c r="Y102" s="91" t="str">
        <f ca="1">IF(B102="","",
IF(AND('Field information 2'!$O$5="", 'Field information 2'!$Q$5=""),
   IF('Waste results'!$P$23&lt;&gt;"", Calc!BC100*'Waste results'!$P$23, "no data"),
IF('Field information 2'!$Q$5="",
   IF(Calc!BD100=0,
     IF('Waste results'!$P$23&lt;&gt;"", Calc!BC100*'Waste results'!$P$23, "no data"),
   IF(Calc!BC100=0,
     IF('Waste results'!$P$59&lt;&gt;"", Calc!BD100*'Waste results'!$P$59, "no data"),
   IF(OR('Waste results'!$P$23&lt;&gt;"", 'Waste results'!$P$59&lt;&gt;""), Calc!BC100*'Waste results'!$P$23+ Calc!BD100*'Waste results'!$P$59, "no data"))),
IF(AND('Field information 2'!$M$5&lt;&gt;"", 'Field information 2'!$O$5&lt;&gt;"", 'Field information 2'!$Q$5&lt;&gt;""),
   IF(AND(Calc!BD100=0,Calc!BE100=0),
     IF('Waste results'!$P$23&lt;&gt;"", Calc!BC100*'Waste results'!$P$23, "no data"),
   IF(AND(Calc!BC100=0,Calc!BE100=0),
     IF('Waste results'!$P$59&lt;&gt;"", Calc!BD100*'Waste results'!$P$59, "no data"),
   IF(AND(Calc!BC100=0,Calc!BD100=0),
     IF('Waste results'!$P$95&lt;&gt;"", Calc!BE100*'Waste results'!$P$95, "no data"),
   IF(Calc!BE100=0,
     IF(OR('Waste results'!$P$23&lt;&gt;"", 'Waste results'!$P$59&lt;&gt;""), Calc!BC100*'Waste results'!$P$23+ Calc!BD100*'Waste results'!$P$59, "no data"),
   IF(Calc!BD100=0,
     IF(OR('Waste results'!$P$23&lt;&gt;"", 'Waste results'!$P$95&lt;&gt;""), Calc!BC100*'Waste results'!$P$23+ Calc!BE100*'Waste results'!$P$95, "no data"),
   IF(Calc!BC100=0,
     IF(OR('Waste results'!$P$59&lt;&gt;"", 'Waste results'!$P$95&lt;&gt;""), Calc!BD100*'Waste results'!$P$59+Calc!BE100*'Waste results'!$P$95, "no data"),
   IF(OR('Waste results'!$P$23&lt;&gt;"", 'Waste results'!$P$59&lt;&gt;"", 'Waste results'!$P$95&lt;&gt;""), Calc!BC100*'Waste results'!$P$23+Calc!BD100*'Waste results'!$P$59+ Calc!BE100*'Waste results'!$P$95, "no data")))))))))))</f>
        <v/>
      </c>
      <c r="Z102" s="7" t="str">
        <f ca="1">IF(OR(ISBLANK('Soil results'!I$7),ISBLANK('Soil results'!I105),'Soil results'!B105=""),"",
VLOOKUP(Calc!BI100,'Fertiliser recommendations'!$A$4:$AM$63,39,FALSE))</f>
        <v/>
      </c>
      <c r="AA102" s="91" t="str">
        <f t="shared" ca="1" si="21"/>
        <v/>
      </c>
      <c r="AB102" s="9" t="str">
        <f t="shared" ca="1" si="22"/>
        <v/>
      </c>
      <c r="AD102" s="48" t="str">
        <f>IF(ISBLANK('Soil results'!F105),"",'Soil results'!F105)</f>
        <v/>
      </c>
      <c r="AE102" s="49" t="str">
        <f ca="1">IF(B102="","",
IF(AND(Calc!BJ100="g", VLOOKUP(LEFT($B102,LEN($B102)-2),'Field information 2'!$B$12:$P$111,9,FALSE)&lt;&gt;"yes"),
 IF(Calc!BG100="10-25% OM", 5.9, IF(Calc!BG100="&gt;25% OM", 5.5, 6.2)),
IF(OR(Calc!BJ100="a", VLOOKUP(LEFT($B102,LEN($B102)-2),'Field information 2'!$B$12:$P$111,9,FALSE)="yes"),
 IF(Calc!BG100="10-25% OM", 6.4, IF(Calc!BG100="&gt;25% OM", 6, 6.7)), "")))</f>
        <v/>
      </c>
      <c r="AF102" s="91" t="str">
        <f ca="1">IF(B102="","",
IF('Waste results'!$Q$33="","no (significant) liming properties",
IF('Waste results'!Q$33&gt;100,"no (significant) liming properties",
IF(AD102="","",
IF(AD102&gt;=AE102,0,ROUNDDOWN((AE102-AD102)*Calc!BK100*'Waste results'!$Q$33+0.2,0))))))</f>
        <v/>
      </c>
      <c r="AG102" s="9" t="str">
        <f ca="1">IF(B102="","",
IF(T102=0,"n/a",
IF(AD102="","data missing",
IF(AND(AD102&lt;5,AF102="no (significant) liming properties"),"no waste application - pH too low",
IF(AND(AD102&gt;5.1,AF102="no (significant) liming properties",Calc!BH100&gt;25, LEFT(Calc!BI100,4)="graz"),"ok",
IF(AND(AD102&lt;=5.2,AF102="no (significant) liming properties"),"liming highly recommended",
IF(AF102=0,"no waste application - liming not required",
IF(AF102&lt;Calc!BC100,"application rate too high - exceeds liming requirement",
"ok"))))))))</f>
        <v/>
      </c>
      <c r="AI102" s="91" t="str">
        <f ca="1">IF(B102="","",
IF(AND('Field information 2'!$O$5="", 'Field information 2'!$Q$5=""),
   IF('Waste results'!$P$10&lt;&gt;"data missing", Calc!BC100*'Waste results'!$P$10, "data missing"),
IF('Field information 2'!$Q$5="",
   IF(Calc!BD100=0,
     IF('Waste results'!$P$10&lt;&gt;"data missing", Calc!BC100*'Waste results'!$P$10, "data missing"),
   IF(Calc!BC100=0,
     IF('Waste results'!$P$45&lt;&gt;"data missing", Calc!BD100*'Waste results'!$P$45, "data missing"),
   IF(OR('Waste results'!$P$10&lt;&gt;"data missing", 'Waste results'!$P$45&lt;&gt;"data missing"), Calc!BC100*'Waste results'!$P$10+ Calc!BD100*'Waste results'!$P$45, "data missing"))),
IF(AND('Field information 2'!$M$5&lt;&gt;"", 'Field information 2'!$O$5&lt;&gt;"", 'Field information 2'!$Q$5&lt;&gt;""),
   IF(AND(Calc!BD100=0,Calc!BE100=0),
     IF('Waste results'!$P$10&lt;&gt;"data missing", Calc!BC100*'Waste results'!$P$10, "data missing"),
   IF(AND(Calc!BC100=0,Calc!BE100=0),
     IF('Waste results'!$P$45&lt;&gt;"data missing", Calc!BD100*'Waste results'!$P$45, "data missing"),
   IF(AND(Calc!BC100=0,Calc!BD100=0),
     IF('Waste results'!$P$82&lt;&gt;"data missing", Calc!BE100*'Waste results'!$P$82, "data missing"),
   IF(Calc!BE100=0,
     IF(OR('Waste results'!$P$10&lt;&gt;"data missing", 'Waste results'!$P$45&lt;&gt;"data missing"), Calc!BC100*'Waste results'!$P$10+ Calc!BD100*'Waste results'!$P$45, "data missing"),
   IF(Calc!BD100=0,
     IF(OR('Waste results'!$P$10&lt;&gt;"data missing", 'Waste results'!$P$82&lt;&gt;"data missing"), Calc!BC100*'Waste results'!$P$10+ Calc!BE100*'Waste results'!$P$82, "data missing"),
   IF(Calc!BC100=0,
     IF(OR('Waste results'!$P$45&lt;&gt;"data missing", 'Waste results'!$P$82&lt;&gt;"data missing"), Calc!BD100*'Waste results'!$P$45+Calc!BE100*'Waste results'!$P$82, "data missing"),
   IF(OR('Waste results'!$P$10&lt;&gt;"data missing", 'Waste results'!$P$45&lt;&gt;"data missing", 'Waste results'!$P$82&lt;&gt;"data missing"), Calc!BC100*'Waste results'!$P$10+Calc!BD100*'Waste results'!$P$45+ Calc!BE100*'Waste results'!$P$82, "data missing")))))))))))</f>
        <v/>
      </c>
      <c r="AJ102" s="237" t="str">
        <f ca="1">IF(B102="","",
IF(AI102="data missing","data missing",
IF(Calc!BF100=0,"n/a",
IF(AND(Calc!BH100&gt;=8,AI102&lt;500),"no benefit",
IF(OR(AND(Calc!BH100&lt;=4,AI102&gt;=500),AND(Calc!BH100&lt;8,AI102&gt;5000)),"benefit",
"limited benefit")))))</f>
        <v/>
      </c>
      <c r="AL102" s="238" t="str">
        <f ca="1">IF(B102="","",
IF(AND('Field information 2'!$O$5="", 'Field information 2'!$Q$5=""),
   IF('Waste results'!$S$25&lt;&gt;"data missing", Calc!BC100*'Waste results'!$S$25, "data missing"),
IF('Field information 2'!$Q$5="",
   IF(Calc!BD100=0,
     IF('Waste results'!$S$25&lt;&gt;"data missing", Calc!BC100*'Waste results'!$S$25, "data missing"),
   IF(Calc!BC100=0,
     IF('Waste results'!$S$61&lt;&gt;"data missing", Calc!BD100*'Waste results'!$S$61, "data missing"),
   IF(OR('Waste results'!$S$25&lt;&gt;"data missing", 'Waste results'!$S$61&lt;&gt;"data missing"), Calc!BC100*'Waste results'!$S$25+ Calc!BD100*'Waste results'!$S$61, "data missing"))),
IF(AND('Field information 2'!$M$5&lt;&gt;"", 'Field information 2'!$O$5&lt;&gt;"", 'Field information 2'!$Q$5&lt;&gt;""),
   IF(AND(Calc!BD100=0,Calc!BE100=0),
     IF('Waste results'!$S$25&lt;&gt;"data missing", Calc!BC100*'Waste results'!$S$25, "data missing"),
   IF(AND(Calc!BC100=0,Calc!BE100=0),
     IF('Waste results'!$S$61&lt;&gt;"data missing", Calc!BD100*'Waste results'!$S$61, "data missing"),
   IF(AND(Calc!BC100=0,Calc!BD100=0),
     IF('Waste results'!$S$97&lt;&gt;"data missing", Calc!BE100*'Waste results'!$S$97, "data missing"),
   IF(Calc!BE100=0,
     IF(OR('Waste results'!$S$25&lt;&gt;"data missing", 'Waste results'!$S$61&lt;&gt;"data missing"), Calc!BC100*'Waste results'!$S$25+ Calc!BD100*'Waste results'!$S$61, "data missing"),
   IF(Calc!BD100=0,
     IF(OR('Waste results'!$S$25&lt;&gt;"data missing", 'Waste results'!$S$97&lt;&gt;"data missing"), Calc!BC100*'Waste results'!$S$25+ Calc!BE100*'Waste results'!$S$97, "data missing"),
   IF(Calc!BC100=0,
     IF(OR('Waste results'!$S$61&lt;&gt;"data missing", 'Waste results'!$S$97&lt;&gt;"data missing"), Calc!BD100*'Waste results'!$S$61+Calc!BE100*'Waste results'!$S$97, "data missing"),
   IF(OR('Waste results'!$S$25&lt;&gt;"data missing", 'Waste results'!$S$61&lt;&gt;"data missing", 'Waste results'!$S$97&lt;&gt;"data missing"), Calc!BC100*'Waste results'!$S$25+Calc!BD100*'Waste results'!$S$61+ Calc!BE100*'Waste results'!$S$97, "data missing")))))))))))</f>
        <v/>
      </c>
      <c r="AM102" s="239" t="str">
        <f ca="1">IF($B102="","",
IF(ISBLANK('Soil results'!K105),"data missing",'Soil results'!K105))</f>
        <v/>
      </c>
      <c r="AN102" s="239" t="str">
        <f t="shared" ca="1" si="23"/>
        <v/>
      </c>
      <c r="AO102" s="9" t="str">
        <f t="shared" ca="1" si="24"/>
        <v/>
      </c>
      <c r="AQ102" s="240" t="str">
        <f ca="1">IF(B102="","",
IF(AND('Field information 2'!$O$5="", 'Field information 2'!$Q$5=""),
   IF('Waste results'!$S$26&lt;&gt;"data missing", Calc!BC100*'Waste results'!$S$26, "data missing"),
IF('Field information 2'!$Q$5="",
   IF(Calc!BD100=0,
     IF('Waste results'!$S$26&lt;&gt;"data missing", Calc!BC100*'Waste results'!$S$26, "data missing"),
   IF(Calc!BC100=0,
     IF('Waste results'!$S$62&lt;&gt;"data missing", Calc!BD100*'Waste results'!$S$62, "data missing"),
   IF(OR('Waste results'!$S$26&lt;&gt;"data missing", 'Waste results'!$S$62&lt;&gt;"data missing"), Calc!BC100*'Waste results'!$S$26+ Calc!BD100*'Waste results'!$S$62, "data missing"))),
IF(AND('Field information 2'!$M$5&lt;&gt;"", 'Field information 2'!$O$5&lt;&gt;"", 'Field information 2'!$Q$5&lt;&gt;""),
   IF(AND(Calc!BD100=0,Calc!BE100=0),
     IF('Waste results'!$S$26&lt;&gt;"data missing", Calc!BC100*'Waste results'!$S$26, "data missing"),
   IF(AND(Calc!BC100=0,Calc!BE100=0),
     IF('Waste results'!$S$62&lt;&gt;"data missing", Calc!BD100*'Waste results'!$S$62, "data missing"),
   IF(AND(Calc!BC100=0,Calc!BD100=0),
     IF('Waste results'!$S$98&lt;&gt;"data missing", Calc!BE100*'Waste results'!$S$98, "data missing"),
   IF(Calc!BE100=0,
     IF(OR('Waste results'!$S$26&lt;&gt;"data missing", 'Waste results'!$S$62&lt;&gt;"data missing"), Calc!BC100*'Waste results'!$S$26+ Calc!BD100*'Waste results'!$S$62, "data missing"),
   IF(Calc!BD100=0,
     IF(OR('Waste results'!$S$26&lt;&gt;"data missing", 'Waste results'!$S$98&lt;&gt;"data missing"), Calc!BC100*'Waste results'!$S$26+ Calc!BE100*'Waste results'!$S$98, "data missing"),
   IF(Calc!BC100=0,
     IF(OR('Waste results'!$S$62&lt;&gt;"data missing", 'Waste results'!$S$98&lt;&gt;"data missing"), Calc!BD100*'Waste results'!$S$62+Calc!BE100*'Waste results'!$S$98, "data missing"),
   IF(OR('Waste results'!$S$26&lt;&gt;"data missing", 'Waste results'!$S$62&lt;&gt;"data missing", 'Waste results'!$S$98&lt;&gt;"data missing"), Calc!BC100*'Waste results'!$S$26+Calc!BD100*'Waste results'!$S$62+ Calc!BE100*'Waste results'!$S$98, "data missing")))))))))))</f>
        <v/>
      </c>
      <c r="AR102" s="241" t="str">
        <f ca="1">IF($B102="","",
IF(ISBLANK('Soil results'!L105),"data missing",'Soil results'!L105))</f>
        <v/>
      </c>
      <c r="AS102" s="241" t="str">
        <f t="shared" ca="1" si="25"/>
        <v/>
      </c>
      <c r="AT102" s="66" t="str">
        <f t="shared" ca="1" si="26"/>
        <v/>
      </c>
      <c r="AV102" s="238" t="str">
        <f ca="1">IF(B102="","",
IF(AND('Field information 2'!$O$5="", 'Field information 2'!$Q$5=""),
   IF('Waste results'!$S$27&lt;&gt;"data missing", Calc!BC100*'Waste results'!$S$27, "data missing"),
IF('Field information 2'!$Q$5="",
   IF(Calc!BD100=0,
     IF('Waste results'!$S$27&lt;&gt;"data missing", Calc!BC100*'Waste results'!$S$27, "data missing"),
   IF(Calc!BC100=0,
     IF('Waste results'!$S$63&lt;&gt;"data missing", Calc!BD100*'Waste results'!$S$63, "data missing"),
   IF(OR('Waste results'!$S$27&lt;&gt;"data missing", 'Waste results'!$S$63&lt;&gt;"data missing"), Calc!BC100*'Waste results'!$S$27+ Calc!BD100*'Waste results'!$S$63, "data missing"))),
IF(AND('Field information 2'!$M$5&lt;&gt;"", 'Field information 2'!$O$5&lt;&gt;"", 'Field information 2'!$Q$5&lt;&gt;""),
   IF(AND(Calc!BD100=0,Calc!BE100=0),
     IF('Waste results'!$S$27&lt;&gt;"data missing", Calc!BC100*'Waste results'!$S$27, "data missing"),
   IF(AND(Calc!BC100=0,Calc!BE100=0),
     IF('Waste results'!$S$63&lt;&gt;"data missing", Calc!BD100*'Waste results'!$S$63, "data missing"),
   IF(AND(Calc!BC100=0,Calc!BD100=0),
     IF('Waste results'!$S$99&lt;&gt;"data missing", Calc!BE100*'Waste results'!$S$99, "data missing"),
   IF(Calc!BE100=0,
     IF(OR('Waste results'!$S$27&lt;&gt;"data missing", 'Waste results'!$S$63&lt;&gt;"data missing"), Calc!BC100*'Waste results'!$S$27+ Calc!BD100*'Waste results'!$S$63, "data missing"),
   IF(Calc!BD100=0,
     IF(OR('Waste results'!$S$27&lt;&gt;"data missing", 'Waste results'!$S$99&lt;&gt;"data missing"), Calc!BC100*'Waste results'!$S$27+ Calc!BE100*'Waste results'!$S$99, "data missing"),
   IF(Calc!BC100=0,
     IF(OR('Waste results'!$S$63&lt;&gt;"data missing", 'Waste results'!$S$99&lt;&gt;"data missing"), Calc!BD100*'Waste results'!$S$63+Calc!BE100*'Waste results'!$S$99, "data missing"),
   IF(OR('Waste results'!$S$27&lt;&gt;"data missing", 'Waste results'!$S$63&lt;&gt;"data missing", 'Waste results'!$S$99&lt;&gt;"data missing"), Calc!BC100*'Waste results'!$S$27+Calc!BD100*'Waste results'!$S$63+ Calc!BE100*'Waste results'!$S$99, "data missing")))))))))))</f>
        <v/>
      </c>
      <c r="AW102" s="239" t="str">
        <f ca="1">IF($B102="","",
IF(ISBLANK('Soil results'!M105),"data missing",'Soil results'!M105))</f>
        <v/>
      </c>
      <c r="AX102" s="239" t="str">
        <f t="shared" ca="1" si="27"/>
        <v/>
      </c>
      <c r="AY102" s="9" t="str">
        <f ca="1">IF(B102="","",
IF(AV102=0,"n/a",
IF(OR(AV102="data missing",AW102="data missing"),"data missing",
IF(AV102&gt;7.5,"application rate too high - permissible rate exceeds limit",
IF('Soil results'!$F105&lt;=5.5,
  IF(AW102&gt;80,"no application - soil conc. already above limit",
  IF(AX102&gt;80,"application rate too high - soil conc. will exceed limit",
  IF(AW102&gt;80*0.9,"soil conc. is at or above 90% of the limit",
  IF(10*AV102*1000/3000+AW102&gt;80,"soil limit likely to be exceeded in 10yrs",
  IF(50*AV102*1000/3000+AW102&gt;80,"soil limit likely to be exceeded in 50yrs","ok"))))),
IF('Soil results'!$F105&lt;=6,
  IF(AW102&gt;100,"no application - soil conc. already above limit",
  IF(AX102&gt;100,"application rate too high - soil conc. will exceed limit",
  IF(AW102&gt;100*0.9,"soil conc. is at or above 90% of the limit",
  IF(10*AV102*1000/3000+AW102&gt;100,"soil limit likely to be exceeded in 10yrs",
  IF(50*AV102*1000/3000+AW102&gt;100,"soil limit likely to be exceeded in 50yrs","ok"))))),
IF('Soil results'!$F105&lt;=7,
  IF(AW102&gt;135,"no application - soil conc. already above limit",
  IF(AX102&gt;135,"application rate too high - soil conc. will exceed limit",
  IF(AW102&gt;135*0.9,"soil conc. is at or above 90% of the limit",
  IF(10*AV102*1000/3000+AW102&gt;135,"soil limit likely to be exceeded in 10yrs",
  IF(50*AV102*1000/3000+AW102&gt;135,"soil limit likely to be exceeded in 50yrs","ok"))))),
IF('Soil results'!$F105&gt;7,
  IF(AW102&gt;200,"no application - soil conc. already above limit",
  IF(AX102&gt;200,"application too high - soil conc. will exceed limit",
  IF(AW102&gt;200*0.9,"soil conc. is at or above 90% of the limit",
  IF(10*AV102*1000/3000+AW102&gt;200,"soil limit likely to be exceeded in 10yrs",
  IF(50*AV102*1000/3000+AW102&gt;200,"soil limit likely to be exceeded in 50yrs","ok")))))
))))))))</f>
        <v/>
      </c>
      <c r="BA102" s="238" t="str">
        <f ca="1">IF(B102="","",
IF(AND('Field information 2'!$O$5="", 'Field information 2'!$Q$5=""),
   IF('Waste results'!$S$28&lt;&gt;"data missing", Calc!BC100*'Waste results'!$S$28, "data missing"),
IF('Field information 2'!$Q$5="",
   IF(Calc!BD100=0,
     IF('Waste results'!$S$28&lt;&gt;"data missing", Calc!BC100*'Waste results'!$S$28, "data missing"),
   IF(Calc!BC100=0,
     IF('Waste results'!$S$64&lt;&gt;"data missing", Calc!BD100*'Waste results'!$S$64, "data missing"),
   IF(OR('Waste results'!$S$28&lt;&gt;"data missing", 'Waste results'!$S$64&lt;&gt;"data missing"), Calc!BC100*'Waste results'!$S$28+ Calc!BD100*'Waste results'!$S$64, "data missing"))),
IF(AND('Field information 2'!$M$5&lt;&gt;"", 'Field information 2'!$O$5&lt;&gt;"", 'Field information 2'!$Q$5&lt;&gt;""),
   IF(AND(Calc!BD100=0,Calc!BE100=0),
     IF('Waste results'!$S$28&lt;&gt;"data missing", Calc!BC100*'Waste results'!$S$28, "data missing"),
   IF(AND(Calc!BC100=0,Calc!BE100=0),
     IF('Waste results'!$S$64&lt;&gt;"data missing", Calc!BD100*'Waste results'!$S$64, "data missing"),
   IF(AND(Calc!BC100=0,Calc!BD100=0),
     IF('Waste results'!$S$100&lt;&gt;"data missing", Calc!BE100*'Waste results'!$S$100, "data missing"),
   IF(Calc!BE100=0,
     IF(OR('Waste results'!$S$28&lt;&gt;"data missing", 'Waste results'!$S$64&lt;&gt;"data missing"), Calc!BC100*'Waste results'!$S$28+ Calc!BD100*'Waste results'!$S$64, "data missing"),
   IF(Calc!BD100=0,
     IF(OR('Waste results'!$S$28&lt;&gt;"data missing", 'Waste results'!$S$100&lt;&gt;"data missing"), Calc!BC100*'Waste results'!$S$28+ Calc!BE100*'Waste results'!$S$100, "data missing"),
   IF(Calc!BC100=0,
     IF(OR('Waste results'!$S$64&lt;&gt;"data missing", 'Waste results'!$S$100&lt;&gt;"data missing"), Calc!BD100*'Waste results'!$S$64+Calc!BE100*'Waste results'!$S$100, "data missing"),
   IF(OR('Waste results'!$S$28&lt;&gt;"data missing", 'Waste results'!$S$64&lt;&gt;"data missing", 'Waste results'!$S$100&lt;&gt;"data missing"), Calc!BC100*'Waste results'!$S$28+Calc!BD100*'Waste results'!$S$64+ Calc!BE100*'Waste results'!$S$100, "data missing")))))))))))</f>
        <v/>
      </c>
      <c r="BB102" s="239" t="str">
        <f ca="1">IF($B102="","",
IF(ISBLANK('Soil results'!N105),"data missing",'Soil results'!N105))</f>
        <v/>
      </c>
      <c r="BC102" s="239" t="str">
        <f t="shared" ca="1" si="28"/>
        <v/>
      </c>
      <c r="BD102" s="9" t="str">
        <f t="shared" ca="1" si="29"/>
        <v/>
      </c>
      <c r="BF102" s="238" t="str">
        <f ca="1">IF(B102="","",
IF(AND('Field information 2'!$O$5="", 'Field information 2'!$Q$5=""),
   IF('Waste results'!$S$29&lt;&gt;"data missing", Calc!BC100*'Waste results'!$S$29, "data missing"),
IF('Field information 2'!$Q$5="",
   IF(Calc!BD100=0,
     IF('Waste results'!$S$29&lt;&gt;"data missing", Calc!BC100*'Waste results'!$S$29, "data missing"),
   IF(Calc!BC100=0,
     IF('Waste results'!$S$65&lt;&gt;"data missing", Calc!BD100*'Waste results'!$S$65, "data missing"),
   IF(OR('Waste results'!$S$29&lt;&gt;"data missing", 'Waste results'!$S$65&lt;&gt;"data missing"), Calc!BC100*'Waste results'!$S$29+ Calc!BD100*'Waste results'!$S$65, "data missing"))),
IF(AND('Field information 2'!$M$5&lt;&gt;"", 'Field information 2'!$O$5&lt;&gt;"", 'Field information 2'!$Q$5&lt;&gt;""),
   IF(AND(Calc!BD100=0,Calc!BE100=0),
     IF('Waste results'!$S$29&lt;&gt;"data missing", Calc!BC100*'Waste results'!$S$29, "data missing"),
   IF(AND(Calc!BC100=0,Calc!BE100=0),
     IF('Waste results'!$S$65&lt;&gt;"data missing", Calc!BD100*'Waste results'!$S$65, "data missing"),
   IF(AND(Calc!BC100=0,Calc!BD100=0),
     IF('Waste results'!$S$101&lt;&gt;"data missing", Calc!BE100*'Waste results'!$S$101, "data missing"),
   IF(Calc!BE100=0,
     IF(OR('Waste results'!$S$29&lt;&gt;"data missing", 'Waste results'!$S$65&lt;&gt;"data missing"), Calc!BC100*'Waste results'!$S$29+ Calc!BD100*'Waste results'!$S$65, "data missing"),
   IF(Calc!BD100=0,
     IF(OR('Waste results'!$S$29&lt;&gt;"data missing", 'Waste results'!$S$101&lt;&gt;"data missing"), Calc!BC100*'Waste results'!$S$29+ Calc!BE100*'Waste results'!$S$101, "data missing"),
   IF(Calc!BC100=0,
     IF(OR('Waste results'!$S$65&lt;&gt;"data missing", 'Waste results'!$S$101&lt;&gt;"data missing"), Calc!BD100*'Waste results'!$S$65+Calc!BE100*'Waste results'!$S$101, "data missing"),
   IF(OR('Waste results'!$S$29&lt;&gt;"data missing", 'Waste results'!$S$65&lt;&gt;"data missing", 'Waste results'!$S$101&lt;&gt;"data missing"), Calc!BC100*'Waste results'!$S$29+Calc!BD100*'Waste results'!$S$65+ Calc!BE100*'Waste results'!$S$101, "data missing")))))))))))</f>
        <v/>
      </c>
      <c r="BG102" s="239" t="str">
        <f ca="1">IF($B102="","",
IF(ISBLANK('Soil results'!O105),"data missing",'Soil results'!O105))</f>
        <v/>
      </c>
      <c r="BH102" s="239" t="str">
        <f t="shared" ca="1" si="30"/>
        <v/>
      </c>
      <c r="BI102" s="9" t="str">
        <f ca="1">IF(B102="","",
IF(BF102=0,"n/a",
IF(OR(BF102="data missing",BG102="data missing"),"data missing",
IF(BF102&gt;3,"application rate too high - permissible rate exceeds limit",
IF('Soil results'!F105&lt;=5.5,
  IF(BG102&gt;50,"no application - soil conc. already above limit",
  IF(BH102&gt;50,"application rate too high - soil conc. will exceed limit",
  IF(BG102&gt;50*0.9,"soil conc. is at or above 90% of the limit",
  IF(10*BF102*1000/3000+BG102&gt;50,"soil limit likely to be exceeded in 10yrs",
  IF(50*BF102*1000/3000+BG102&gt;50,"soil limit likely to be exceeded in 50yrs","ok"))))),
IF('Soil results'!F105&lt;=6,
  IF(BG102&gt;60,"no application - soil conc. already above limit",
  IF(BH102&gt;60,"application rate too high - soil conc. will exceed limit",
  IF(BG102&gt;60*0.9,"soil conc. is at or above 90% of the limit",
  IF(10*BF102*1000/3000+BG102&gt;60,"soil limit likely to be exceeded in 10yrs",
  IF(50*BF102*1000/3000+BG102&gt;60,"soil limit likely to be exceeded in 50yrs","ok"))))),
IF('Soil results'!F105&lt;=7,
  IF(BG102&gt;75,"no application - soil conc. already above limit",
  IF(BH102&gt;75,"application rate too high - soil conc. will exceed limit",
  IF(BG102&gt;75*0.9,"soil conc. is at or above 90% of the limit",
  IF(10*BF102*1000/3000+BG102&gt;75,"soil limit likely to be exceeded in 10yrs",
  IF(50*BF102*1000/3000+BG102&gt;75,"soil limit likely to be exceeded in 50yrs","ok"))))),
IF('Soil results'!F105&gt;7,
  IF(BG102&gt;100,"no application - soil conc. already above limit",
  IF(BH102&gt;100,"application rate too high - soil conc. will exceed limit",
  IF(BG102&gt;100*0.9,"soil conc. is at or above 90% of the limit",
  IF(10*BF102*1000/3000+BG102&gt;100,"soil limit likely to be exceeded in 10yrs",
  IF(50*BF102*1000/3000+BG102&gt;100,"soil limit likely to beexceeded in 50yrs","ok")))))
))))))))</f>
        <v/>
      </c>
      <c r="BK102" s="240" t="str">
        <f ca="1">IF(B102="","",
IF(AND('Field information 2'!$O$5="", 'Field information 2'!$Q$5=""),
   IF('Waste results'!$S$30&lt;&gt;"data missing", Calc!BC100*'Waste results'!$S$30, "data missing"),
IF('Field information 2'!$Q$5="",
   IF(Calc!BD100=0,
     IF('Waste results'!$S$30&lt;&gt;"data missing", Calc!BC100*'Waste results'!$S$30, "data missing"),
   IF(Calc!BC100=0,
     IF('Waste results'!$S$66&lt;&gt;"data missing", Calc!BD100*'Waste results'!$S$66, "data missing"),
   IF(OR('Waste results'!$S$30&lt;&gt;"data missing", 'Waste results'!$S$66&lt;&gt;"data missing"), Calc!BC100*'Waste results'!$S$30+ Calc!BD100*'Waste results'!$S$66, "data missing"))),
IF(AND('Field information 2'!$M$5&lt;&gt;"", 'Field information 2'!$O$5&lt;&gt;"", 'Field information 2'!$Q$5&lt;&gt;""),
   IF(AND(Calc!BD100=0,Calc!BE100=0),
     IF('Waste results'!$S$30&lt;&gt;"data missing", Calc!BC100*'Waste results'!$S$30, "data missing"),
   IF(AND(Calc!BC100=0,Calc!BE100=0),
     IF('Waste results'!$S$66&lt;&gt;"data missing", Calc!BD100*'Waste results'!$S$66, "data missing"),
   IF(AND(Calc!BC100=0,Calc!BD100=0),
     IF('Waste results'!$S$102&lt;&gt;"data missing", Calc!BE100*'Waste results'!$S$102, "data missing"),
   IF(Calc!BE100=0,
     IF(OR('Waste results'!$S$30&lt;&gt;"data missing", 'Waste results'!$S$66&lt;&gt;"data missing"), Calc!BC100*'Waste results'!$S$30+ Calc!BD100*'Waste results'!$S$66, "data missing"),
   IF(Calc!BD100=0,
     IF(OR('Waste results'!$S$30&lt;&gt;"data missing", 'Waste results'!$S$102&lt;&gt;"data missing"), Calc!BC100*'Waste results'!$S$30+ Calc!BE100*'Waste results'!$S$102, "data missing"),
   IF(Calc!BC100=0,
     IF(OR('Waste results'!$S$66&lt;&gt;"data missing", 'Waste results'!$S$102&lt;&gt;"data missing"), Calc!BD100*'Waste results'!$S$66+Calc!BE100*'Waste results'!$S$102, "data missing"),
   IF(OR('Waste results'!$S$30&lt;&gt;"data missing", 'Waste results'!$S$66&lt;&gt;"data missing", 'Waste results'!$S$102&lt;&gt;"data missing"), Calc!BC100*'Waste results'!$S$30+Calc!BD100*'Waste results'!$S$66+ Calc!BE100*'Waste results'!$S$102, "data missing")))))))))))</f>
        <v/>
      </c>
      <c r="BL102" s="241" t="str">
        <f ca="1">IF($B102="","",
IF(ISBLANK('Soil results'!P105),"data missing",'Soil results'!P105))</f>
        <v/>
      </c>
      <c r="BM102" s="241" t="str">
        <f t="shared" ca="1" si="31"/>
        <v/>
      </c>
      <c r="BN102" s="66" t="str">
        <f t="shared" ca="1" si="32"/>
        <v/>
      </c>
      <c r="BP102" s="238" t="str">
        <f ca="1">IF(B102="","",
IF(AND('Field information 2'!$O$5="", 'Field information 2'!$Q$5=""),
   IF('Waste results'!$S$31&lt;&gt;"data missing", Calc!BC100*'Waste results'!$S$31, "data missing"),
IF('Field information 2'!$Q$5="",
   IF(Calc!BD100=0,
     IF('Waste results'!$S$31&lt;&gt;"data missing", Calc!BC100*'Waste results'!$S$31, "data missing"),
   IF(Calc!BC100=0,
     IF('Waste results'!$S$67&lt;&gt;"data missing", Calc!BD100*'Waste results'!$S$67, "data missing"),
   IF(OR('Waste results'!$S$31&lt;&gt;"data missing", 'Waste results'!$S$67&lt;&gt;"data missing"), Calc!BC100*'Waste results'!$S$31+ Calc!BD100*'Waste results'!$S$67, "data missing"))),
IF(AND('Field information 2'!$M$5&lt;&gt;"", 'Field information 2'!$O$5&lt;&gt;"", 'Field information 2'!$Q$5&lt;&gt;""),
   IF(AND(Calc!BD100=0,Calc!BE100=0),
     IF('Waste results'!$S$31&lt;&gt;"data missing", Calc!BC100*'Waste results'!$S$31, "data missing"),
   IF(AND(Calc!BC100=0,Calc!BE100=0),
     IF('Waste results'!$S$67&lt;&gt;"data missing", Calc!BD100*'Waste results'!$S$67, "data missing"),
   IF(AND(Calc!BC100=0,Calc!BD100=0),
     IF('Waste results'!$S$103&lt;&gt;"data missing", Calc!BE100*'Waste results'!$S$103, "data missing"),
   IF(Calc!BE100=0,
     IF(OR('Waste results'!$S$31&lt;&gt;"data missing", 'Waste results'!$S$67&lt;&gt;"data missing"), Calc!BC100*'Waste results'!$S$31+ Calc!BD100*'Waste results'!$S$67, "data missing"),
   IF(Calc!BD100=0,
     IF(OR('Waste results'!$S$31&lt;&gt;"data missing", 'Waste results'!$S$103&lt;&gt;"data missing"), Calc!BC100*'Waste results'!$S$31+ Calc!BE100*'Waste results'!$S$103, "data missing"),
   IF(Calc!BC100=0,
     IF(OR('Waste results'!$S$67&lt;&gt;"data missing", 'Waste results'!$S$103&lt;&gt;"data missing"), Calc!BD100*'Waste results'!$S$67+Calc!BE100*'Waste results'!$S$103, "data missing"),
   IF(OR('Waste results'!$S$31&lt;&gt;"data missing", 'Waste results'!$S$67&lt;&gt;"data missing", 'Waste results'!$S$103&lt;&gt;"data missing"), Calc!BC100*'Waste results'!$S$31+Calc!BD100*'Waste results'!$S$67+ Calc!BE100*'Waste results'!$S$103, "data missing")))))))))))</f>
        <v/>
      </c>
      <c r="BQ102" s="239" t="str">
        <f ca="1">IF($B102="","",
IF(ISBLANK('Soil results'!Q105),"data missing",'Soil results'!Q105))</f>
        <v/>
      </c>
      <c r="BR102" s="239" t="str">
        <f t="shared" ca="1" si="33"/>
        <v/>
      </c>
      <c r="BS102" s="9" t="str">
        <f ca="1">IF(B102="","",
IF(BP102=0,"n/a",
IF(OR(BP102="data missing",BQ102=""),"data missing",
IF(BP102&gt;15,"application rate too high - permissible rate exceeds limit",
IF('Soil results'!F105&lt;=5.5,
  IF(BQ102&gt;200,"no application - soil conc. already above limit",
  IF(BR102&gt;200,"application rate too high - soil conc. will exceed limit",
  IF(BQ102&gt;200*0.9,"soil conc. is at or above 90% of the limit",
  IF(10*BP102*1000/3000+BQ102&gt;200,"soil limit likely to be exceeded in 10yrs",
  IF(50*BP102*1000/3000+BQ102&gt;200,"soil limit likely to be exceeded in 50yrs","ok"))))),
IF('Soil results'!F105&lt;=6,
  IF(BQ102&gt;250,"no application - soil conc. already above limit",
  IF(BR102&gt;250,"application rate too high - soil conc. will exceed limit",
  IF(BQ102&gt;250*0.9,"soil conc. is at or above 90% of the limit",
  IF(10*BP102*1000/3000+BQ102&gt;250,"soil limit likely to be exceeded in 10yrs",
  IF(50*BP102*1000/3000+BQ102&gt;250,"soil limit likely to be exceeded in 50yrs","ok"))))),
IF('Soil results'!F105&lt;=7,
  IF(BQ102&gt;300,"no application - soil conc. already above limit",
  IF(BR102&gt;300,"application rate too high - soil conc. will exceed limit",
  IF(BQ102&gt;300*0.9,"soil conc. is at or above 90% of the limit",
  IF(10*BP102*1000/3000+BQ102&gt;300,"soil limit likey to be exceeded in 10yrs",
  IF(50*BP102*1000/3000+BQ102&gt;300,"soil limit likely to be exceeded in 50yrs","ok"))))),
IF('Soil results'!F105&gt;7,
  IF(BQ102&gt;450,"no application - soil conc. already above limit",
  IF(BR102&gt;450,"application rate too high - soil conc. will exceed limit",
  IF(AW102&gt;450*0.9,"soil conc. is at or above 90% of the limit",
  IF(10*BP102*1000/3000+BQ102&gt;450,"soil limit likely to be exceeded in 10yrs",
  IF(50*BP102*1000/3000+BQ102&gt;450,"soil limit likely to be exceeded in 50yrs","ok")))))
))))))))</f>
        <v/>
      </c>
    </row>
    <row r="103" spans="2:71" s="9" customFormat="1" ht="15" x14ac:dyDescent="0.25">
      <c r="B103" s="236" t="str">
        <f ca="1">'Soil results'!B106</f>
        <v/>
      </c>
      <c r="C103" s="91" t="str">
        <f ca="1">IF(B103="","",
IF(AND('Field information 2'!$O$5="", 'Field information 2'!$Q$5=""),
   IF('Waste results'!$S$12&lt;&gt;"data missing", Calc!BC101*'Waste results'!$S$12, "data missing"),
IF('Field information 2'!$Q$5="",
   IF(Calc!BD101=0,
     IF('Waste results'!$S$12&lt;&gt;"data missing", Calc!BC101*'Waste results'!$S$12, "data missing"),
   IF(Calc!BC101=0,
     IF('Waste results'!$S$48&lt;&gt;"data missing", Calc!BD101*'Waste results'!$S$48, "data missing"),
   IF(OR('Waste results'!$S$12&lt;&gt;"data missing", 'Waste results'!$S$48&lt;&gt;"data missing"), Calc!BC101*'Waste results'!$S$12+ Calc!BD101*'Waste results'!$S$48, "data missing"))),
IF(AND('Field information 2'!$M$5&lt;&gt;"", 'Field information 2'!$O$5&lt;&gt;"", 'Field information 2'!$Q$5&lt;&gt;""),
   IF(AND(Calc!BD101=0,Calc!BE101=0),
     IF('Waste results'!$S$12&lt;&gt;"data missing", Calc!BC101*'Waste results'!$S$12, "data missing"),
   IF(AND(Calc!BC101=0,Calc!BE101=0),
     IF('Waste results'!$S$48&lt;&gt;"data missing", Calc!BD101*'Waste results'!$S$48, "data missing"),
   IF(AND(Calc!BC101=0,Calc!BD101=0),
     IF('Waste results'!$S$84&lt;&gt;"data missing", Calc!BE101*'Waste results'!$S$84, "data missing"),
   IF(Calc!BE101=0,
     IF(OR('Waste results'!$S$12&lt;&gt;"data missing", 'Waste results'!$S$48&lt;&gt;"data missing"), Calc!BC101*'Waste results'!$S$12+ Calc!BD101*'Waste results'!$S$48, "data missing"),
   IF(Calc!BD101=0,
     IF(OR('Waste results'!$S$12&lt;&gt;"data missing", 'Waste results'!$S$84&lt;&gt;"data missing"), Calc!BC101*'Waste results'!$S$12+ Calc!BE101*'Waste results'!$S$84, "data missing"),
   IF(Calc!BC101=0,
     IF(OR('Waste results'!$S$48&lt;&gt;"data missing", 'Waste results'!$S$84&lt;&gt;"data missing"), Calc!BD101*'Waste results'!$S$48+Calc!BE101*'Waste results'!$S$84, "data missing"),
   IF(OR('Waste results'!$S$12&lt;&gt;"data missing", 'Waste results'!$S$48&lt;&gt;"data missing", 'Waste results'!$S$84&lt;&gt;"data missing"), Calc!BC101*'Waste results'!$S$12+Calc!BD101*'Waste results'!$S$48+ Calc!BE101*'Waste results'!$S$84, "data missing")))))))))))</f>
        <v/>
      </c>
      <c r="D103" s="161" t="str">
        <f ca="1">IF(B103="","",
IF(Calc!BG101="","soil texture missing",
IF(OR(Calc!BG101="SL; SZL; ZL",Calc!BG101="SCL; CL; ZCL; SC; ZC; C"),VLOOKUP(Calc!BI101,'Fertiliser recommendations'!$A$4:$C$63,3,FALSE),
IF(Calc!BG101="S; LS",VLOOKUP(Calc!BI101,'Fertiliser recommendations'!$A$4:$C$63,3,FALSE)+VLOOKUP(Calc!BI101,'Fertiliser recommendations'!$A$4:$D$63,4,FALSE),
IF(Calc!BG101="10-25% OM",VLOOKUP(Calc!BI101,'Fertiliser recommendations'!$A$4:$C$63,3,FALSE)+VLOOKUP(Calc!BI101,'Fertiliser recommendations'!$A$4:$E$63,5,FALSE),
IF(Calc!BG101="&gt;25% OM",VLOOKUP(Calc!BI101,'Fertiliser recommendations'!$A$4:$C$63,3,FALSE)+VLOOKUP(Calc!BI101,'Fertiliser recommendations'!$A$4:$F$63,6,FALSE),
""))))))</f>
        <v/>
      </c>
      <c r="E103" s="91" t="str">
        <f t="shared" ca="1" si="17"/>
        <v/>
      </c>
      <c r="F103" s="9" t="str">
        <f ca="1">IF(B103="","",
IF(OR(C103="data missing",D103="soil texture missing"),"data missing",
IF(Calc!BF101=0,"n/a",
IF(C103&lt;0.1*D103,"no benefit",
IF(C103&lt;0.3*D103,"limited benefit",
IF(C103&gt;250,"exceeds limit",
IF(OR(AND(D103=0,C103&gt;75),C103&gt;1.25*D103),"excessive",
IF(D103=0, "no requirement",
"benefit"))))))))</f>
        <v/>
      </c>
      <c r="H103" s="91" t="str">
        <f ca="1">IF(B103="","",
IF(AND('Field information 2'!$O$5="", 'Field information 2'!$Q$5=""),
   IF('Waste results'!$S$17&lt;&gt;"data missing", Calc!BC101*'Waste results'!$S$17, "data missing"),
IF('Field information 2'!$Q$5="",
   IF(Calc!BD101=0,
     IF('Waste results'!$S$17&lt;&gt;"data missing", Calc!BC101*'Waste results'!$S$17, "data missing"),
   IF(Calc!BC101=0,
     IF('Waste results'!$S$53&lt;&gt;"data missing", Calc!BD101*'Waste results'!$S$53, "data missing"),
   IF(OR('Waste results'!$S$17&lt;&gt;"data missing", 'Waste results'!$S$53&lt;&gt;"data missing"), Calc!BC101*'Waste results'!$S$17+ Calc!BD101*'Waste results'!$S$53, "data missing"))),
IF(AND('Field information 2'!$M$5&lt;&gt;"", 'Field information 2'!$O$5&lt;&gt;"", 'Field information 2'!$Q$5&lt;&gt;""),
   IF(AND(Calc!BD101=0,Calc!BE101=0),
     IF('Waste results'!$S$17&lt;&gt;"data missing", Calc!BC101*'Waste results'!$S$17, "data missing"),
   IF(AND(Calc!BC101=0,Calc!BE101=0),
     IF('Waste results'!$S$53&lt;&gt;"data missing", Calc!BD101*'Waste results'!$S$53, "data missing"),
   IF(AND(Calc!BC101=0,Calc!BD101=0),
     IF('Waste results'!$S$89&lt;&gt;"data missing", Calc!BE101*'Waste results'!$S$89, "data missing"),
   IF(Calc!BE101=0,
     IF(OR('Waste results'!$S$17&lt;&gt;"data missing", 'Waste results'!$S$53&lt;&gt;"data missing"), Calc!BC101*'Waste results'!$S$17+ Calc!BD101*'Waste results'!$S$53, "data missing"),
   IF(Calc!BD101=0,
     IF(OR('Waste results'!$S$17&lt;&gt;"data missing", 'Waste results'!$S$89&lt;&gt;"data missing"), Calc!BC101*'Waste results'!$S$17+ Calc!BE101*'Waste results'!$S$89, "data missing"),
   IF(Calc!BC101=0,
     IF(OR('Waste results'!$S$53&lt;&gt;"data missing", 'Waste results'!$S$89&lt;&gt;"data missing"), Calc!BD101*'Waste results'!$S$53+Calc!BE101*'Waste results'!$S$89, "data missing"),
   IF(OR('Waste results'!$S$17&lt;&gt;"data missing", 'Waste results'!$S$53&lt;&gt;"data missing", 'Waste results'!$S$89&lt;&gt;"data missing"), Calc!BC101*'Waste results'!$S$17+Calc!BD101*'Waste results'!$S$53+ Calc!BE101*'Waste results'!$S$89, "data missing")))))))))))</f>
        <v/>
      </c>
      <c r="I103" s="195" t="str">
        <f ca="1">IF(B103="","",
IF(OR(ISBLANK('Soil results'!G106), ISBLANK('Soil results'!G$7)),"data missing",
IF(OR(AND('Soil results'!G$7="Olsen (ADAS)",'Soil results'!G106&lt;16),AND('Soil results'!G$7="modified Morgan (SAC)",'Soil results'!G106&lt;4.5)),50,100)))</f>
        <v/>
      </c>
      <c r="J103" s="49" t="str">
        <f ca="1">IF(B103="","",
IF(OR(ISBLANK('Soil results'!G$7),ISBLANK('Soil results'!G106)),"data missing",
IF(OR(AND('Soil results'!G$7="Olsen (ADAS)",'Soil results'!G106&gt;45),AND('Soil results'!G$7="modified Morgan (SAC)",'Soil results'!G106&gt;30)),0,
IF(OR(AND('Soil results'!G$7="Olsen (ADAS)",'Soil results'!G106&gt;=16,'Soil results'!G106&lt;=20),AND('Soil results'!G$7="modified Morgan (SAC)",'Soil results'!G106&gt;=4.5,'Soil results'!G106&lt;=9.4)),VLOOKUP(Calc!BI101,'Fertiliser recommendations'!$A$4:$I$63,9,FALSE),
IF(OR(AND('Soil results'!G$7="Olsen (ADAS)",'Soil results'!G106&lt;10),AND('Soil results'!G$7="modified Morgan (SAC)",'Soil results'!G106&lt;1.8)),VLOOKUP(Calc!BI101,'Fertiliser recommendations'!$A$4:$I$63,9,FALSE)+VLOOKUP(Calc!BI101,'Fertiliser recommendations'!$A$4:$J$63,10,FALSE),
IF(OR(AND('Soil results'!G$7="Olsen (ADAS)",'Soil results'!G106&lt;16),AND('Soil results'!G$7="modified Morgan (SAC)",'Soil results'!G106&lt;4.5)),VLOOKUP(Calc!BI101,'Fertiliser recommendations'!$A$4:$I$63,9,FALSE)+VLOOKUP(Calc!BI101,'Fertiliser recommendations'!$A$4:$K$63,11,FALSE),
IF(OR(AND('Soil results'!G$7="Olsen (ADAS)",'Soil results'!G106&lt;26),AND('Soil results'!G$7="modified Morgan (SAC)",'Soil results'!G106&lt;13.5)),VLOOKUP(Calc!BI101,'Fertiliser recommendations'!$A$4:$I$63,9,FALSE)+VLOOKUP(Calc!BI101,'Fertiliser recommendations'!$A$4:$L$63,12,FALSE),
IF(OR(AND('Soil results'!G$7="Olsen (ADAS)",'Soil results'!G106&lt;=45),AND('Soil results'!G$7="modified Morgan (SAC)",'Soil results'!G106&lt;=30)),VLOOKUP(Calc!BI101,'Fertiliser recommendations'!$A$4:$I$63,9,FALSE)+VLOOKUP(Calc!BI101,'Fertiliser recommendations'!$A$4:$M$63,13,FALSE),
""))))))))</f>
        <v/>
      </c>
      <c r="K103" s="161" t="str">
        <f t="shared" ca="1" si="18"/>
        <v/>
      </c>
      <c r="L103" s="47" t="str">
        <f ca="1">IF(OR(ISBLANK('Soil results'!G$7),ISBLANK('Soil results'!G106),B103="", H103="data missing"),"",
IF('Soil results'!G$7="Olsen (ADAS)",
IF(((H103*Calc!BM101/2.291-(VLOOKUP(Calc!BI101,'Fertiliser recommendations'!$A$4:$I$63,9,FALSE))/2.291)*10/(400/2.291)+'Soil results'!G106)&lt;10,"0 (VL)",
IF(((H103*Calc!BM101/2.291-(VLOOKUP(Calc!BI101,'Fertiliser recommendations'!$A$4:$I$63,9,FALSE))/2.291)*10/(400/2.291)+'Soil results'!G106)&lt;16,"1 (L)",
IF(((H103*Calc!BM101/2.291-(VLOOKUP(Calc!BI101,'Fertiliser recommendations'!$A$4:$I$63,9,FALSE))/2.291)*10/(400/2.291)+'Soil results'!G106)&lt;21,"2 (M-)",
IF(((H103*Calc!BM101/2.291-(VLOOKUP(Calc!BI101,'Fertiliser recommendations'!$A$4:$I$63,9,FALSE))/2.291)*10/(400/2.291)+'Soil results'!G106)&lt;26,"2 (M+)",
IF(((H103*Calc!BM101/2.291-(VLOOKUP(Calc!BI101,'Fertiliser recommendations'!$A$4:$I$63,9,FALSE))/2.291)*10/(400/2.291)+'Soil results'!G106)&lt;45,"3 (H)","&gt;3 (VH)"))))),
IF('Soil results'!G$7="modified Morgan (SAC)",
IF('Soil results'!G106&gt;=6,
IF(((H103*Calc!BM101/2.291-(VLOOKUP(Calc!BI101,'Fertiliser recommendations'!$A$4:$I$63,9,FALSE))/2.291)*5/(147/2.291)+'Soil results'!G106)&lt;9.5,"2 (M-)",
IF(((H103*Calc!BM101/2.291-(VLOOKUP(Calc!BI101,'Fertiliser recommendations'!$A$4:$I$63,9,FALSE))/2.291)*5/(147/2.291)+'Soil results'!G106)&lt;13.5,"2 (M+)",
IF(((H103*Calc!BM101/2.291-(VLOOKUP(Calc!BI101,'Fertiliser recommendations'!$A$4:$I$63,9,FALSE))/2.291)*5/(147/2.291)+'Soil results'!G106)&lt;30,"3 (H)","4 (VH)"))),
IF(((H103*Calc!BM101/2.291-(VLOOKUP(Calc!BI101,'Fertiliser recommendations'!$A$4:$I$63,9,FALSE))/2.291)*5/(346/2.291)+'Soil results'!G106)&lt;1.8,"0 (VL)",
IF(((H103*Calc!BM101/2.291-(VLOOKUP(Calc!BI101,'Fertiliser recommendations'!$A$4:$I$63,9,FALSE))/2.291)*5/(147/2.291)+'Soil results'!G106)&lt;4.5,"1 (L)","2 (M-)"))))))</f>
        <v/>
      </c>
      <c r="M103" s="9" t="str">
        <f ca="1">IF(B103="","",
IF(OR(H103="data missing",I103="data missing",J103="data missing"),"data missing",
IF(Calc!BF101=0,"n/a",
IF(OR(AND('Soil results'!G$7="Olsen (ADAS)",'Soil results'!G106&gt;45),AND('Soil results'!G$7="modified Morgan (SAC)",'Soil results'!G106&gt;30)),
IF(H103&gt;2,"too high, not acceptable","no requirement"),IF(OR(AND('Soil results'!G$7="Olsen (ADAS)",'Soil results'!G106&gt;25),AND('Soil results'!G$7="modified Morgan (SAC)",'Soil results'!G106&gt;13.4)),
IF(H103*(I103/100)&lt;0.1*J103,"no benefit",
IF(H103*(I103/100)&lt;0.3*J103,"limited benefit",
IF(H103*(I103/100)&lt;1.1*J103,"benefit",
IF(H103*(I103/100)&lt;0.7*VLOOKUP(Calc!BI101,'Fertiliser recommendations'!$A$4:$I$63,9,FALSE),"excessive","too high, not acceptable")))),
IF(OR(AND('Soil results'!G$7="Olsen (ADAS)",'Soil results'!G106&gt;20),AND('Soil results'!G$7="modified Morgan (SAC)",'Soil results'!G106&gt;9.4)),
IF(H103*Calc!BM101*(I103/100)&lt;0.1*J103,"no benefit",
IF(H103*Calc!BM101*(I103/100)&lt;0.3*J103,"limited benefit",
IF(H103*Calc!BM101*(I103/100)&lt;1.1*J103,"benefit",
IF(L103="3 (H)","too high, not acceptable","excessive")))),
IF(OR(AND('Soil results'!G$7="Olsen (ADAS)",'Soil results'!G106&gt;15),AND('Soil results'!G$7="modified Morgan (SAC)",'Soil results'!G106&gt;4.4)),
IF(H103*Calc!BM101*(I103/100)&lt;0.1*VLOOKUP(Calc!BI101,'Fertiliser recommendations'!$A$4:$I$63,9,FALSE),"no benefit",
IF(H103*Calc!BM101*(I103/100)&lt;0.3*VLOOKUP(Calc!BI101,'Fertiliser recommendations'!$A$4:$I$63,9,FALSE),"limited benefit",
IF(H103*Calc!BM101*(I103/100)&lt;1.1*VLOOKUP(Calc!BI101,'Fertiliser recommendations'!$A$4:$I$63,9,FALSE),"benefit",
IF(L103="3 (H)", "too high, not acceptable", "excessive")))),
IF(OR(AND('Soil results'!G$7="Olsen (ADAS)",'Soil results'!G106&lt;=15),AND('Soil results'!G$7="modified Morgan (SAC)",'Soil results'!G106&lt;=4.4)),
IF(H103*Calc!BM101*(I103/100)&lt;0.1*VLOOKUP(Calc!BI101,'Fertiliser recommendations'!$A$4:$I$63,9,FALSE),"no benefit",
IF(H103*Calc!BM101*(I103/100)&lt;0.3*VLOOKUP(Calc!BI101,'Fertiliser recommendations'!$A$4:$I$63,9,FALSE),"limited benefit",
IF(H103*Calc!BM101*(I103/100)&lt;1.1*J103,"benefit","excessive")))))))))))</f>
        <v/>
      </c>
      <c r="O103" s="91" t="str">
        <f ca="1">IF(B103="","",
IF(AND('Field information 2'!$O$5="", 'Field information 2'!$Q$5=""),
   IF('Waste results'!$S$19&lt;&gt;"data missing", Calc!BC101*'Waste results'!$S$19, "data missing"),
IF('Field information 2'!$Q$5="",
   IF(Calc!BD101=0,
     IF('Waste results'!$S$19&lt;&gt;"data missing", Calc!BC101*'Waste results'!$S$19, "data missing"),
   IF(Calc!BC101=0,
     IF('Waste results'!$S$55&lt;&gt;"data missing", Calc!BD101*'Waste results'!$S$55, "data missing"),
   IF(OR('Waste results'!$S$19&lt;&gt;"data missing", 'Waste results'!$S$55&lt;&gt;"data missing"), Calc!BC101*'Waste results'!$S$19+ Calc!BD101*'Waste results'!$S$55, "data missing"))),
IF(AND('Field information 2'!$M$5&lt;&gt;"", 'Field information 2'!$O$5&lt;&gt;"", 'Field information 2'!$Q$5&lt;&gt;""),
   IF(AND(Calc!BD101=0,Calc!BE101=0),
     IF('Waste results'!$S$19&lt;&gt;"data missing", Calc!BC101*'Waste results'!$S$19, "data missing"),
   IF(AND(Calc!BC101=0,Calc!BE101=0),
     IF('Waste results'!$S$55&lt;&gt;"data missing", Calc!BD101*'Waste results'!$S$55, "data missing"),
   IF(AND(Calc!BC101=0,Calc!BD101=0),
     IF('Waste results'!$S$91&lt;&gt;"data missing", Calc!BE101*'Waste results'!$S$91, "data missing"),
   IF(Calc!BE101=0,
     IF(OR('Waste results'!$S$19&lt;&gt;"data missing", 'Waste results'!$S$55&lt;&gt;"data missing"), Calc!BC101*'Waste results'!$S$19+ Calc!BD101*'Waste results'!$S$55, "data missing"),
   IF(Calc!BD101=0,
     IF(OR('Waste results'!$S$19&lt;&gt;"data missing", 'Waste results'!$S$91&lt;&gt;"data missing"), Calc!BC101*'Waste results'!$S$19+ Calc!BE101*'Waste results'!$S$91, "data missing"),
   IF(Calc!BC101=0,
     IF(OR('Waste results'!$S$55&lt;&gt;"data missing", 'Waste results'!$S$91&lt;&gt;"data missing"), Calc!BD101*'Waste results'!$S$55+Calc!BE101*'Waste results'!$S$91, "data missing"),
   IF(OR('Waste results'!$S$19&lt;&gt;"data missing", 'Waste results'!$S$55&lt;&gt;"data missing", 'Waste results'!$S$91&lt;&gt;"data missing"), Calc!BC101*'Waste results'!$S$19+Calc!BD101*'Waste results'!$S$55+ Calc!BE101*'Waste results'!$S$91, "data missing")))))))))))</f>
        <v/>
      </c>
      <c r="P103" s="91" t="str">
        <f ca="1">IF(B103="","",
IF(OR(ISBLANK('Soil results'!H$7),ISBLANK('Soil results'!H106)),"data missing",
IF(OR(AND('Soil results'!H$7="ammonium nitrate (ADAS)",'Soil results'!H106&gt;400),AND('Soil results'!H$7="modified Morgan (SAC)",'Soil results'!H106&gt;400)),0,
IF(OR(AND('Soil results'!H$7="ammonium nitrate (ADAS)",'Soil results'!H106&gt;=121,'Soil results'!H106&lt;=180),AND('Soil results'!H$7="modified Morgan (SAC)",'Soil results'!H106&gt;=76,'Soil results'!H106&lt;=140)),VLOOKUP(Calc!BI101,'Fertiliser recommendations'!$A$4:$Z$63,26,FALSE),
IF(OR(AND('Soil results'!H$7="ammonium nitrate (ADAS)",'Soil results'!H106&lt;61),AND('Soil results'!H$7="modified Morgan (SAC)",'Soil results'!H106&lt;40)),VLOOKUP(Calc!BI101,'Fertiliser recommendations'!$A$4:$Z$63,26,FALSE)+VLOOKUP(Calc!BI101,'Fertiliser recommendations'!$A$4:$AA$63,27,FALSE),
IF(OR(AND('Soil results'!H$7="ammonium nitrate (ADAS)",'Soil results'!H106&lt;121),AND('Soil results'!H$7="modified Morgan (SAC)",'Soil results'!H106&lt;76)),VLOOKUP(Calc!BI101,'Fertiliser recommendations'!$A$4:$Z$63,26,FALSE)+VLOOKUP(Calc!BI101,'Fertiliser recommendations'!$A$4:$AB$63,28,FALSE),
IF(OR(AND('Soil results'!H$7="ammonium nitrate (ADAS)",'Soil results'!H106&lt;241),AND('Soil results'!H$7="modified Morgan (SAC)",'Soil results'!H106&lt;201)),VLOOKUP(Calc!BI101,'Fertiliser recommendations'!$A$4:$Z$63,26,FALSE)+VLOOKUP(Calc!BI101,'Fertiliser recommendations'!$A$4:$AC$63,29,FALSE),
IF(OR(AND('Soil results'!H$7="ammonium nitrate (ADAS)",'Soil results'!H106&lt;=400),AND('Soil results'!H$7="modified Morgan (SAC)",'Soil results'!H106&lt;=400)),VLOOKUP(Calc!BI101,'Fertiliser recommendations'!$A$4:$Z$63,26,FALSE)+VLOOKUP(Calc!BI101,'Fertiliser recommendations'!$A$4:$AD$63,30,FALSE),
"??"))))))))</f>
        <v/>
      </c>
      <c r="Q103" s="91" t="str">
        <f t="shared" ca="1" si="19"/>
        <v/>
      </c>
      <c r="R103" s="9" t="str">
        <f ca="1">IF(B103="","",
IF(OR(O103="data missing",P103="data missing"),"data missing",
IF(Calc!BF101=0,"n/a",
IF(P103=0, "no requirement",
IF(O103&lt;0.1*P103,"no benefit",
IF(O103&lt;0.3*P103,"limited benefit",
IF(O103&gt;1.25*P103,"excessive",
"benefit")))))))</f>
        <v/>
      </c>
      <c r="T103" s="91" t="str">
        <f ca="1">IF(B103="","",
IF(AND('Field information 2'!$O$5="", 'Field information 2'!$Q$5=""),
   IF('Waste results'!$S$21&lt;&gt;"data missing", Calc!BC101*'Waste results'!$S$21, "data missing"),
IF('Field information 2'!$Q$5="",
   IF(Calc!BD101=0,
     IF('Waste results'!$S$21&lt;&gt;"data missing", Calc!BC101*'Waste results'!$S$21, "data missing"),
   IF(Calc!BC101=0,
     IF('Waste results'!$S$57&lt;&gt;"data missing", Calc!BD101*'Waste results'!$S$57, "data missing"),
   IF(OR('Waste results'!$S$21&lt;&gt;"data missing", 'Waste results'!$S$57&lt;&gt;"data missing"), Calc!BC101*'Waste results'!$S$21+ Calc!BD101*'Waste results'!$S$57, "data missing"))),
IF(AND('Field information 2'!$M$5&lt;&gt;"", 'Field information 2'!$O$5&lt;&gt;"", 'Field information 2'!$Q$5&lt;&gt;""),
   IF(AND(Calc!BD101=0,Calc!BE101=0),
     IF('Waste results'!$S$21&lt;&gt;"data missing", Calc!BC101*'Waste results'!$S$21, "data missing"),
   IF(AND(Calc!BC101=0,Calc!BE101=0),
     IF('Waste results'!$S$57&lt;&gt;"data missing", Calc!BD101*'Waste results'!$S$57, "data missing"),
   IF(AND(Calc!BC101=0,Calc!BD101=0),
     IF('Waste results'!$S$93&lt;&gt;"data missing", Calc!BE101*'Waste results'!$S$93, "data missing"),
   IF(Calc!BE101=0,
     IF(OR('Waste results'!$S$21&lt;&gt;"data missing", 'Waste results'!$S$57&lt;&gt;"data missing"), Calc!BC101*'Waste results'!$S$21+ Calc!BD101*'Waste results'!$S$57, "data missing"),
   IF(Calc!BD101=0,
     IF(OR('Waste results'!$S$21&lt;&gt;"data missing", 'Waste results'!$S$93&lt;&gt;"data missing"), Calc!BC101*'Waste results'!$S$21+ Calc!BE101*'Waste results'!$S$93, "data missing"),
   IF(Calc!BC101=0,
     IF(OR('Waste results'!$S$57&lt;&gt;"data missing", 'Waste results'!$S$93&lt;&gt;"data missing"), Calc!BD101*'Waste results'!$S$57+Calc!BE101*'Waste results'!$S$93, "data missing"),
   IF(OR('Waste results'!$S$21&lt;&gt;"data missing", 'Waste results'!$S$57&lt;&gt;"data missing", 'Waste results'!$S$93&lt;&gt;"data missing"), Calc!BC101*'Waste results'!$S$21+Calc!BD101*'Waste results'!$S$57+ Calc!BE101*'Waste results'!$S$93, "data missing")))))))))))</f>
        <v/>
      </c>
      <c r="U103" s="7" t="str">
        <f ca="1">IF(B103="","",
IF(OR(ISBLANK('Soil results'!I$7),ISBLANK('Soil results'!I106)),"data missing",
IF(OR(AND('Soil results'!I$7="ammonium nitrate (ADAS)",'Soil results'!I106&gt;51),AND('Soil results'!I$7="modified Morgan (SAC)",'Soil results'!I106&gt;61)),0,
IF(OR(AND('Soil results'!I$7="ammonium nitrate (ADAS)",'Soil results'!I106&lt;25),AND('Soil results'!I$7="modified Morgan (SAC)",'Soil results'!I106&lt;19)),VLOOKUP(Calc!BI101,'Fertiliser recommendations'!$A$4:$AH$63,34,FALSE),
IF(OR(AND('Soil results'!I$7="ammonium nitrate (ADAS)",'Soil results'!I106&lt;=51),AND('Soil results'!I$7="modified Morgan (SAC)",'Soil results'!I106&lt;=61)),VLOOKUP(Calc!BI101,'Fertiliser recommendations'!$A$4:$AI$63,35,FALSE),
"")))))</f>
        <v/>
      </c>
      <c r="V103" s="91" t="str">
        <f t="shared" ca="1" si="20"/>
        <v/>
      </c>
      <c r="W103" s="9" t="str">
        <f ca="1">IF(B103="","",
IF(OR(T103="data missing",U103="data missing"),"data missing",
IF(Calc!BF101=0,"n/a",
IF(U103=0,"no requirement",
IF(T103&lt;0.1*U103,"no benefit",
IF(T103&lt;0.3*U103,"limited benefit",
IF(OR(T103&gt;1.5*U103,AND(Calc!BJ101="g",T103&gt;100)),"excessive",
"benefit")))))))</f>
        <v/>
      </c>
      <c r="Y103" s="91" t="str">
        <f ca="1">IF(B103="","",
IF(AND('Field information 2'!$O$5="", 'Field information 2'!$Q$5=""),
   IF('Waste results'!$P$23&lt;&gt;"", Calc!BC101*'Waste results'!$P$23, "no data"),
IF('Field information 2'!$Q$5="",
   IF(Calc!BD101=0,
     IF('Waste results'!$P$23&lt;&gt;"", Calc!BC101*'Waste results'!$P$23, "no data"),
   IF(Calc!BC101=0,
     IF('Waste results'!$P$59&lt;&gt;"", Calc!BD101*'Waste results'!$P$59, "no data"),
   IF(OR('Waste results'!$P$23&lt;&gt;"", 'Waste results'!$P$59&lt;&gt;""), Calc!BC101*'Waste results'!$P$23+ Calc!BD101*'Waste results'!$P$59, "no data"))),
IF(AND('Field information 2'!$M$5&lt;&gt;"", 'Field information 2'!$O$5&lt;&gt;"", 'Field information 2'!$Q$5&lt;&gt;""),
   IF(AND(Calc!BD101=0,Calc!BE101=0),
     IF('Waste results'!$P$23&lt;&gt;"", Calc!BC101*'Waste results'!$P$23, "no data"),
   IF(AND(Calc!BC101=0,Calc!BE101=0),
     IF('Waste results'!$P$59&lt;&gt;"", Calc!BD101*'Waste results'!$P$59, "no data"),
   IF(AND(Calc!BC101=0,Calc!BD101=0),
     IF('Waste results'!$P$95&lt;&gt;"", Calc!BE101*'Waste results'!$P$95, "no data"),
   IF(Calc!BE101=0,
     IF(OR('Waste results'!$P$23&lt;&gt;"", 'Waste results'!$P$59&lt;&gt;""), Calc!BC101*'Waste results'!$P$23+ Calc!BD101*'Waste results'!$P$59, "no data"),
   IF(Calc!BD101=0,
     IF(OR('Waste results'!$P$23&lt;&gt;"", 'Waste results'!$P$95&lt;&gt;""), Calc!BC101*'Waste results'!$P$23+ Calc!BE101*'Waste results'!$P$95, "no data"),
   IF(Calc!BC101=0,
     IF(OR('Waste results'!$P$59&lt;&gt;"", 'Waste results'!$P$95&lt;&gt;""), Calc!BD101*'Waste results'!$P$59+Calc!BE101*'Waste results'!$P$95, "no data"),
   IF(OR('Waste results'!$P$23&lt;&gt;"", 'Waste results'!$P$59&lt;&gt;"", 'Waste results'!$P$95&lt;&gt;""), Calc!BC101*'Waste results'!$P$23+Calc!BD101*'Waste results'!$P$59+ Calc!BE101*'Waste results'!$P$95, "no data")))))))))))</f>
        <v/>
      </c>
      <c r="Z103" s="7" t="str">
        <f ca="1">IF(OR(ISBLANK('Soil results'!I$7),ISBLANK('Soil results'!I106),'Soil results'!B106=""),"",
VLOOKUP(Calc!BI101,'Fertiliser recommendations'!$A$4:$AM$63,39,FALSE))</f>
        <v/>
      </c>
      <c r="AA103" s="91" t="str">
        <f t="shared" ca="1" si="21"/>
        <v/>
      </c>
      <c r="AB103" s="9" t="str">
        <f t="shared" ca="1" si="22"/>
        <v/>
      </c>
      <c r="AD103" s="48" t="str">
        <f>IF(ISBLANK('Soil results'!F106),"",'Soil results'!F106)</f>
        <v/>
      </c>
      <c r="AE103" s="49" t="str">
        <f ca="1">IF(B103="","",
IF(AND(Calc!BJ101="g", VLOOKUP(LEFT($B103,LEN($B103)-2),'Field information 2'!$B$12:$P$111,9,FALSE)&lt;&gt;"yes"),
 IF(Calc!BG101="10-25% OM", 5.9, IF(Calc!BG101="&gt;25% OM", 5.5, 6.2)),
IF(OR(Calc!BJ101="a", VLOOKUP(LEFT($B103,LEN($B103)-2),'Field information 2'!$B$12:$P$111,9,FALSE)="yes"),
 IF(Calc!BG101="10-25% OM", 6.4, IF(Calc!BG101="&gt;25% OM", 6, 6.7)), "")))</f>
        <v/>
      </c>
      <c r="AF103" s="91" t="str">
        <f ca="1">IF(B103="","",
IF('Waste results'!$Q$33="","no (significant) liming properties",
IF('Waste results'!Q$33&gt;100,"no (significant) liming properties",
IF(AD103="","",
IF(AD103&gt;=AE103,0,ROUNDDOWN((AE103-AD103)*Calc!BK101*'Waste results'!$Q$33+0.2,0))))))</f>
        <v/>
      </c>
      <c r="AG103" s="9" t="str">
        <f ca="1">IF(B103="","",
IF(T103=0,"n/a",
IF(AD103="","data missing",
IF(AND(AD103&lt;5,AF103="no (significant) liming properties"),"no waste application - pH too low",
IF(AND(AD103&gt;5.1,AF103="no (significant) liming properties",Calc!BH101&gt;25, LEFT(Calc!BI101,4)="graz"),"ok",
IF(AND(AD103&lt;=5.2,AF103="no (significant) liming properties"),"liming highly recommended",
IF(AF103=0,"no waste application - liming not required",
IF(AF103&lt;Calc!BC101,"application rate too high - exceeds liming requirement",
"ok"))))))))</f>
        <v/>
      </c>
      <c r="AI103" s="91" t="str">
        <f ca="1">IF(B103="","",
IF(AND('Field information 2'!$O$5="", 'Field information 2'!$Q$5=""),
   IF('Waste results'!$P$10&lt;&gt;"data missing", Calc!BC101*'Waste results'!$P$10, "data missing"),
IF('Field information 2'!$Q$5="",
   IF(Calc!BD101=0,
     IF('Waste results'!$P$10&lt;&gt;"data missing", Calc!BC101*'Waste results'!$P$10, "data missing"),
   IF(Calc!BC101=0,
     IF('Waste results'!$P$45&lt;&gt;"data missing", Calc!BD101*'Waste results'!$P$45, "data missing"),
   IF(OR('Waste results'!$P$10&lt;&gt;"data missing", 'Waste results'!$P$45&lt;&gt;"data missing"), Calc!BC101*'Waste results'!$P$10+ Calc!BD101*'Waste results'!$P$45, "data missing"))),
IF(AND('Field information 2'!$M$5&lt;&gt;"", 'Field information 2'!$O$5&lt;&gt;"", 'Field information 2'!$Q$5&lt;&gt;""),
   IF(AND(Calc!BD101=0,Calc!BE101=0),
     IF('Waste results'!$P$10&lt;&gt;"data missing", Calc!BC101*'Waste results'!$P$10, "data missing"),
   IF(AND(Calc!BC101=0,Calc!BE101=0),
     IF('Waste results'!$P$45&lt;&gt;"data missing", Calc!BD101*'Waste results'!$P$45, "data missing"),
   IF(AND(Calc!BC101=0,Calc!BD101=0),
     IF('Waste results'!$P$82&lt;&gt;"data missing", Calc!BE101*'Waste results'!$P$82, "data missing"),
   IF(Calc!BE101=0,
     IF(OR('Waste results'!$P$10&lt;&gt;"data missing", 'Waste results'!$P$45&lt;&gt;"data missing"), Calc!BC101*'Waste results'!$P$10+ Calc!BD101*'Waste results'!$P$45, "data missing"),
   IF(Calc!BD101=0,
     IF(OR('Waste results'!$P$10&lt;&gt;"data missing", 'Waste results'!$P$82&lt;&gt;"data missing"), Calc!BC101*'Waste results'!$P$10+ Calc!BE101*'Waste results'!$P$82, "data missing"),
   IF(Calc!BC101=0,
     IF(OR('Waste results'!$P$45&lt;&gt;"data missing", 'Waste results'!$P$82&lt;&gt;"data missing"), Calc!BD101*'Waste results'!$P$45+Calc!BE101*'Waste results'!$P$82, "data missing"),
   IF(OR('Waste results'!$P$10&lt;&gt;"data missing", 'Waste results'!$P$45&lt;&gt;"data missing", 'Waste results'!$P$82&lt;&gt;"data missing"), Calc!BC101*'Waste results'!$P$10+Calc!BD101*'Waste results'!$P$45+ Calc!BE101*'Waste results'!$P$82, "data missing")))))))))))</f>
        <v/>
      </c>
      <c r="AJ103" s="237" t="str">
        <f ca="1">IF(B103="","",
IF(AI103="data missing","data missing",
IF(Calc!BF101=0,"n/a",
IF(AND(Calc!BH101&gt;=8,AI103&lt;500),"no benefit",
IF(OR(AND(Calc!BH101&lt;=4,AI103&gt;=500),AND(Calc!BH101&lt;8,AI103&gt;5000)),"benefit",
"limited benefit")))))</f>
        <v/>
      </c>
      <c r="AL103" s="238" t="str">
        <f ca="1">IF(B103="","",
IF(AND('Field information 2'!$O$5="", 'Field information 2'!$Q$5=""),
   IF('Waste results'!$S$25&lt;&gt;"data missing", Calc!BC101*'Waste results'!$S$25, "data missing"),
IF('Field information 2'!$Q$5="",
   IF(Calc!BD101=0,
     IF('Waste results'!$S$25&lt;&gt;"data missing", Calc!BC101*'Waste results'!$S$25, "data missing"),
   IF(Calc!BC101=0,
     IF('Waste results'!$S$61&lt;&gt;"data missing", Calc!BD101*'Waste results'!$S$61, "data missing"),
   IF(OR('Waste results'!$S$25&lt;&gt;"data missing", 'Waste results'!$S$61&lt;&gt;"data missing"), Calc!BC101*'Waste results'!$S$25+ Calc!BD101*'Waste results'!$S$61, "data missing"))),
IF(AND('Field information 2'!$M$5&lt;&gt;"", 'Field information 2'!$O$5&lt;&gt;"", 'Field information 2'!$Q$5&lt;&gt;""),
   IF(AND(Calc!BD101=0,Calc!BE101=0),
     IF('Waste results'!$S$25&lt;&gt;"data missing", Calc!BC101*'Waste results'!$S$25, "data missing"),
   IF(AND(Calc!BC101=0,Calc!BE101=0),
     IF('Waste results'!$S$61&lt;&gt;"data missing", Calc!BD101*'Waste results'!$S$61, "data missing"),
   IF(AND(Calc!BC101=0,Calc!BD101=0),
     IF('Waste results'!$S$97&lt;&gt;"data missing", Calc!BE101*'Waste results'!$S$97, "data missing"),
   IF(Calc!BE101=0,
     IF(OR('Waste results'!$S$25&lt;&gt;"data missing", 'Waste results'!$S$61&lt;&gt;"data missing"), Calc!BC101*'Waste results'!$S$25+ Calc!BD101*'Waste results'!$S$61, "data missing"),
   IF(Calc!BD101=0,
     IF(OR('Waste results'!$S$25&lt;&gt;"data missing", 'Waste results'!$S$97&lt;&gt;"data missing"), Calc!BC101*'Waste results'!$S$25+ Calc!BE101*'Waste results'!$S$97, "data missing"),
   IF(Calc!BC101=0,
     IF(OR('Waste results'!$S$61&lt;&gt;"data missing", 'Waste results'!$S$97&lt;&gt;"data missing"), Calc!BD101*'Waste results'!$S$61+Calc!BE101*'Waste results'!$S$97, "data missing"),
   IF(OR('Waste results'!$S$25&lt;&gt;"data missing", 'Waste results'!$S$61&lt;&gt;"data missing", 'Waste results'!$S$97&lt;&gt;"data missing"), Calc!BC101*'Waste results'!$S$25+Calc!BD101*'Waste results'!$S$61+ Calc!BE101*'Waste results'!$S$97, "data missing")))))))))))</f>
        <v/>
      </c>
      <c r="AM103" s="239" t="str">
        <f ca="1">IF($B103="","",
IF(ISBLANK('Soil results'!K106),"data missing",'Soil results'!K106))</f>
        <v/>
      </c>
      <c r="AN103" s="239" t="str">
        <f t="shared" ca="1" si="23"/>
        <v/>
      </c>
      <c r="AO103" s="9" t="str">
        <f t="shared" ca="1" si="24"/>
        <v/>
      </c>
      <c r="AQ103" s="240" t="str">
        <f ca="1">IF(B103="","",
IF(AND('Field information 2'!$O$5="", 'Field information 2'!$Q$5=""),
   IF('Waste results'!$S$26&lt;&gt;"data missing", Calc!BC101*'Waste results'!$S$26, "data missing"),
IF('Field information 2'!$Q$5="",
   IF(Calc!BD101=0,
     IF('Waste results'!$S$26&lt;&gt;"data missing", Calc!BC101*'Waste results'!$S$26, "data missing"),
   IF(Calc!BC101=0,
     IF('Waste results'!$S$62&lt;&gt;"data missing", Calc!BD101*'Waste results'!$S$62, "data missing"),
   IF(OR('Waste results'!$S$26&lt;&gt;"data missing", 'Waste results'!$S$62&lt;&gt;"data missing"), Calc!BC101*'Waste results'!$S$26+ Calc!BD101*'Waste results'!$S$62, "data missing"))),
IF(AND('Field information 2'!$M$5&lt;&gt;"", 'Field information 2'!$O$5&lt;&gt;"", 'Field information 2'!$Q$5&lt;&gt;""),
   IF(AND(Calc!BD101=0,Calc!BE101=0),
     IF('Waste results'!$S$26&lt;&gt;"data missing", Calc!BC101*'Waste results'!$S$26, "data missing"),
   IF(AND(Calc!BC101=0,Calc!BE101=0),
     IF('Waste results'!$S$62&lt;&gt;"data missing", Calc!BD101*'Waste results'!$S$62, "data missing"),
   IF(AND(Calc!BC101=0,Calc!BD101=0),
     IF('Waste results'!$S$98&lt;&gt;"data missing", Calc!BE101*'Waste results'!$S$98, "data missing"),
   IF(Calc!BE101=0,
     IF(OR('Waste results'!$S$26&lt;&gt;"data missing", 'Waste results'!$S$62&lt;&gt;"data missing"), Calc!BC101*'Waste results'!$S$26+ Calc!BD101*'Waste results'!$S$62, "data missing"),
   IF(Calc!BD101=0,
     IF(OR('Waste results'!$S$26&lt;&gt;"data missing", 'Waste results'!$S$98&lt;&gt;"data missing"), Calc!BC101*'Waste results'!$S$26+ Calc!BE101*'Waste results'!$S$98, "data missing"),
   IF(Calc!BC101=0,
     IF(OR('Waste results'!$S$62&lt;&gt;"data missing", 'Waste results'!$S$98&lt;&gt;"data missing"), Calc!BD101*'Waste results'!$S$62+Calc!BE101*'Waste results'!$S$98, "data missing"),
   IF(OR('Waste results'!$S$26&lt;&gt;"data missing", 'Waste results'!$S$62&lt;&gt;"data missing", 'Waste results'!$S$98&lt;&gt;"data missing"), Calc!BC101*'Waste results'!$S$26+Calc!BD101*'Waste results'!$S$62+ Calc!BE101*'Waste results'!$S$98, "data missing")))))))))))</f>
        <v/>
      </c>
      <c r="AR103" s="241" t="str">
        <f ca="1">IF($B103="","",
IF(ISBLANK('Soil results'!L106),"data missing",'Soil results'!L106))</f>
        <v/>
      </c>
      <c r="AS103" s="241" t="str">
        <f t="shared" ca="1" si="25"/>
        <v/>
      </c>
      <c r="AT103" s="66" t="str">
        <f t="shared" ca="1" si="26"/>
        <v/>
      </c>
      <c r="AV103" s="238" t="str">
        <f ca="1">IF(B103="","",
IF(AND('Field information 2'!$O$5="", 'Field information 2'!$Q$5=""),
   IF('Waste results'!$S$27&lt;&gt;"data missing", Calc!BC101*'Waste results'!$S$27, "data missing"),
IF('Field information 2'!$Q$5="",
   IF(Calc!BD101=0,
     IF('Waste results'!$S$27&lt;&gt;"data missing", Calc!BC101*'Waste results'!$S$27, "data missing"),
   IF(Calc!BC101=0,
     IF('Waste results'!$S$63&lt;&gt;"data missing", Calc!BD101*'Waste results'!$S$63, "data missing"),
   IF(OR('Waste results'!$S$27&lt;&gt;"data missing", 'Waste results'!$S$63&lt;&gt;"data missing"), Calc!BC101*'Waste results'!$S$27+ Calc!BD101*'Waste results'!$S$63, "data missing"))),
IF(AND('Field information 2'!$M$5&lt;&gt;"", 'Field information 2'!$O$5&lt;&gt;"", 'Field information 2'!$Q$5&lt;&gt;""),
   IF(AND(Calc!BD101=0,Calc!BE101=0),
     IF('Waste results'!$S$27&lt;&gt;"data missing", Calc!BC101*'Waste results'!$S$27, "data missing"),
   IF(AND(Calc!BC101=0,Calc!BE101=0),
     IF('Waste results'!$S$63&lt;&gt;"data missing", Calc!BD101*'Waste results'!$S$63, "data missing"),
   IF(AND(Calc!BC101=0,Calc!BD101=0),
     IF('Waste results'!$S$99&lt;&gt;"data missing", Calc!BE101*'Waste results'!$S$99, "data missing"),
   IF(Calc!BE101=0,
     IF(OR('Waste results'!$S$27&lt;&gt;"data missing", 'Waste results'!$S$63&lt;&gt;"data missing"), Calc!BC101*'Waste results'!$S$27+ Calc!BD101*'Waste results'!$S$63, "data missing"),
   IF(Calc!BD101=0,
     IF(OR('Waste results'!$S$27&lt;&gt;"data missing", 'Waste results'!$S$99&lt;&gt;"data missing"), Calc!BC101*'Waste results'!$S$27+ Calc!BE101*'Waste results'!$S$99, "data missing"),
   IF(Calc!BC101=0,
     IF(OR('Waste results'!$S$63&lt;&gt;"data missing", 'Waste results'!$S$99&lt;&gt;"data missing"), Calc!BD101*'Waste results'!$S$63+Calc!BE101*'Waste results'!$S$99, "data missing"),
   IF(OR('Waste results'!$S$27&lt;&gt;"data missing", 'Waste results'!$S$63&lt;&gt;"data missing", 'Waste results'!$S$99&lt;&gt;"data missing"), Calc!BC101*'Waste results'!$S$27+Calc!BD101*'Waste results'!$S$63+ Calc!BE101*'Waste results'!$S$99, "data missing")))))))))))</f>
        <v/>
      </c>
      <c r="AW103" s="239" t="str">
        <f ca="1">IF($B103="","",
IF(ISBLANK('Soil results'!M106),"data missing",'Soil results'!M106))</f>
        <v/>
      </c>
      <c r="AX103" s="239" t="str">
        <f t="shared" ca="1" si="27"/>
        <v/>
      </c>
      <c r="AY103" s="9" t="str">
        <f ca="1">IF(B103="","",
IF(AV103=0,"n/a",
IF(OR(AV103="data missing",AW103="data missing"),"data missing",
IF(AV103&gt;7.5,"application rate too high - permissible rate exceeds limit",
IF('Soil results'!$F106&lt;=5.5,
  IF(AW103&gt;80,"no application - soil conc. already above limit",
  IF(AX103&gt;80,"application rate too high - soil conc. will exceed limit",
  IF(AW103&gt;80*0.9,"soil conc. is at or above 90% of the limit",
  IF(10*AV103*1000/3000+AW103&gt;80,"soil limit likely to be exceeded in 10yrs",
  IF(50*AV103*1000/3000+AW103&gt;80,"soil limit likely to be exceeded in 50yrs","ok"))))),
IF('Soil results'!$F106&lt;=6,
  IF(AW103&gt;100,"no application - soil conc. already above limit",
  IF(AX103&gt;100,"application rate too high - soil conc. will exceed limit",
  IF(AW103&gt;100*0.9,"soil conc. is at or above 90% of the limit",
  IF(10*AV103*1000/3000+AW103&gt;100,"soil limit likely to be exceeded in 10yrs",
  IF(50*AV103*1000/3000+AW103&gt;100,"soil limit likely to be exceeded in 50yrs","ok"))))),
IF('Soil results'!$F106&lt;=7,
  IF(AW103&gt;135,"no application - soil conc. already above limit",
  IF(AX103&gt;135,"application rate too high - soil conc. will exceed limit",
  IF(AW103&gt;135*0.9,"soil conc. is at or above 90% of the limit",
  IF(10*AV103*1000/3000+AW103&gt;135,"soil limit likely to be exceeded in 10yrs",
  IF(50*AV103*1000/3000+AW103&gt;135,"soil limit likely to be exceeded in 50yrs","ok"))))),
IF('Soil results'!$F106&gt;7,
  IF(AW103&gt;200,"no application - soil conc. already above limit",
  IF(AX103&gt;200,"application too high - soil conc. will exceed limit",
  IF(AW103&gt;200*0.9,"soil conc. is at or above 90% of the limit",
  IF(10*AV103*1000/3000+AW103&gt;200,"soil limit likely to be exceeded in 10yrs",
  IF(50*AV103*1000/3000+AW103&gt;200,"soil limit likely to be exceeded in 50yrs","ok")))))
))))))))</f>
        <v/>
      </c>
      <c r="BA103" s="238" t="str">
        <f ca="1">IF(B103="","",
IF(AND('Field information 2'!$O$5="", 'Field information 2'!$Q$5=""),
   IF('Waste results'!$S$28&lt;&gt;"data missing", Calc!BC101*'Waste results'!$S$28, "data missing"),
IF('Field information 2'!$Q$5="",
   IF(Calc!BD101=0,
     IF('Waste results'!$S$28&lt;&gt;"data missing", Calc!BC101*'Waste results'!$S$28, "data missing"),
   IF(Calc!BC101=0,
     IF('Waste results'!$S$64&lt;&gt;"data missing", Calc!BD101*'Waste results'!$S$64, "data missing"),
   IF(OR('Waste results'!$S$28&lt;&gt;"data missing", 'Waste results'!$S$64&lt;&gt;"data missing"), Calc!BC101*'Waste results'!$S$28+ Calc!BD101*'Waste results'!$S$64, "data missing"))),
IF(AND('Field information 2'!$M$5&lt;&gt;"", 'Field information 2'!$O$5&lt;&gt;"", 'Field information 2'!$Q$5&lt;&gt;""),
   IF(AND(Calc!BD101=0,Calc!BE101=0),
     IF('Waste results'!$S$28&lt;&gt;"data missing", Calc!BC101*'Waste results'!$S$28, "data missing"),
   IF(AND(Calc!BC101=0,Calc!BE101=0),
     IF('Waste results'!$S$64&lt;&gt;"data missing", Calc!BD101*'Waste results'!$S$64, "data missing"),
   IF(AND(Calc!BC101=0,Calc!BD101=0),
     IF('Waste results'!$S$100&lt;&gt;"data missing", Calc!BE101*'Waste results'!$S$100, "data missing"),
   IF(Calc!BE101=0,
     IF(OR('Waste results'!$S$28&lt;&gt;"data missing", 'Waste results'!$S$64&lt;&gt;"data missing"), Calc!BC101*'Waste results'!$S$28+ Calc!BD101*'Waste results'!$S$64, "data missing"),
   IF(Calc!BD101=0,
     IF(OR('Waste results'!$S$28&lt;&gt;"data missing", 'Waste results'!$S$100&lt;&gt;"data missing"), Calc!BC101*'Waste results'!$S$28+ Calc!BE101*'Waste results'!$S$100, "data missing"),
   IF(Calc!BC101=0,
     IF(OR('Waste results'!$S$64&lt;&gt;"data missing", 'Waste results'!$S$100&lt;&gt;"data missing"), Calc!BD101*'Waste results'!$S$64+Calc!BE101*'Waste results'!$S$100, "data missing"),
   IF(OR('Waste results'!$S$28&lt;&gt;"data missing", 'Waste results'!$S$64&lt;&gt;"data missing", 'Waste results'!$S$100&lt;&gt;"data missing"), Calc!BC101*'Waste results'!$S$28+Calc!BD101*'Waste results'!$S$64+ Calc!BE101*'Waste results'!$S$100, "data missing")))))))))))</f>
        <v/>
      </c>
      <c r="BB103" s="239" t="str">
        <f ca="1">IF($B103="","",
IF(ISBLANK('Soil results'!N106),"data missing",'Soil results'!N106))</f>
        <v/>
      </c>
      <c r="BC103" s="239" t="str">
        <f t="shared" ca="1" si="28"/>
        <v/>
      </c>
      <c r="BD103" s="9" t="str">
        <f t="shared" ca="1" si="29"/>
        <v/>
      </c>
      <c r="BF103" s="238" t="str">
        <f ca="1">IF(B103="","",
IF(AND('Field information 2'!$O$5="", 'Field information 2'!$Q$5=""),
   IF('Waste results'!$S$29&lt;&gt;"data missing", Calc!BC101*'Waste results'!$S$29, "data missing"),
IF('Field information 2'!$Q$5="",
   IF(Calc!BD101=0,
     IF('Waste results'!$S$29&lt;&gt;"data missing", Calc!BC101*'Waste results'!$S$29, "data missing"),
   IF(Calc!BC101=0,
     IF('Waste results'!$S$65&lt;&gt;"data missing", Calc!BD101*'Waste results'!$S$65, "data missing"),
   IF(OR('Waste results'!$S$29&lt;&gt;"data missing", 'Waste results'!$S$65&lt;&gt;"data missing"), Calc!BC101*'Waste results'!$S$29+ Calc!BD101*'Waste results'!$S$65, "data missing"))),
IF(AND('Field information 2'!$M$5&lt;&gt;"", 'Field information 2'!$O$5&lt;&gt;"", 'Field information 2'!$Q$5&lt;&gt;""),
   IF(AND(Calc!BD101=0,Calc!BE101=0),
     IF('Waste results'!$S$29&lt;&gt;"data missing", Calc!BC101*'Waste results'!$S$29, "data missing"),
   IF(AND(Calc!BC101=0,Calc!BE101=0),
     IF('Waste results'!$S$65&lt;&gt;"data missing", Calc!BD101*'Waste results'!$S$65, "data missing"),
   IF(AND(Calc!BC101=0,Calc!BD101=0),
     IF('Waste results'!$S$101&lt;&gt;"data missing", Calc!BE101*'Waste results'!$S$101, "data missing"),
   IF(Calc!BE101=0,
     IF(OR('Waste results'!$S$29&lt;&gt;"data missing", 'Waste results'!$S$65&lt;&gt;"data missing"), Calc!BC101*'Waste results'!$S$29+ Calc!BD101*'Waste results'!$S$65, "data missing"),
   IF(Calc!BD101=0,
     IF(OR('Waste results'!$S$29&lt;&gt;"data missing", 'Waste results'!$S$101&lt;&gt;"data missing"), Calc!BC101*'Waste results'!$S$29+ Calc!BE101*'Waste results'!$S$101, "data missing"),
   IF(Calc!BC101=0,
     IF(OR('Waste results'!$S$65&lt;&gt;"data missing", 'Waste results'!$S$101&lt;&gt;"data missing"), Calc!BD101*'Waste results'!$S$65+Calc!BE101*'Waste results'!$S$101, "data missing"),
   IF(OR('Waste results'!$S$29&lt;&gt;"data missing", 'Waste results'!$S$65&lt;&gt;"data missing", 'Waste results'!$S$101&lt;&gt;"data missing"), Calc!BC101*'Waste results'!$S$29+Calc!BD101*'Waste results'!$S$65+ Calc!BE101*'Waste results'!$S$101, "data missing")))))))))))</f>
        <v/>
      </c>
      <c r="BG103" s="239" t="str">
        <f ca="1">IF($B103="","",
IF(ISBLANK('Soil results'!O106),"data missing",'Soil results'!O106))</f>
        <v/>
      </c>
      <c r="BH103" s="239" t="str">
        <f t="shared" ca="1" si="30"/>
        <v/>
      </c>
      <c r="BI103" s="9" t="str">
        <f ca="1">IF(B103="","",
IF(BF103=0,"n/a",
IF(OR(BF103="data missing",BG103="data missing"),"data missing",
IF(BF103&gt;3,"application rate too high - permissible rate exceeds limit",
IF('Soil results'!F106&lt;=5.5,
  IF(BG103&gt;50,"no application - soil conc. already above limit",
  IF(BH103&gt;50,"application rate too high - soil conc. will exceed limit",
  IF(BG103&gt;50*0.9,"soil conc. is at or above 90% of the limit",
  IF(10*BF103*1000/3000+BG103&gt;50,"soil limit likely to be exceeded in 10yrs",
  IF(50*BF103*1000/3000+BG103&gt;50,"soil limit likely to be exceeded in 50yrs","ok"))))),
IF('Soil results'!F106&lt;=6,
  IF(BG103&gt;60,"no application - soil conc. already above limit",
  IF(BH103&gt;60,"application rate too high - soil conc. will exceed limit",
  IF(BG103&gt;60*0.9,"soil conc. is at or above 90% of the limit",
  IF(10*BF103*1000/3000+BG103&gt;60,"soil limit likely to be exceeded in 10yrs",
  IF(50*BF103*1000/3000+BG103&gt;60,"soil limit likely to be exceeded in 50yrs","ok"))))),
IF('Soil results'!F106&lt;=7,
  IF(BG103&gt;75,"no application - soil conc. already above limit",
  IF(BH103&gt;75,"application rate too high - soil conc. will exceed limit",
  IF(BG103&gt;75*0.9,"soil conc. is at or above 90% of the limit",
  IF(10*BF103*1000/3000+BG103&gt;75,"soil limit likely to be exceeded in 10yrs",
  IF(50*BF103*1000/3000+BG103&gt;75,"soil limit likely to be exceeded in 50yrs","ok"))))),
IF('Soil results'!F106&gt;7,
  IF(BG103&gt;100,"no application - soil conc. already above limit",
  IF(BH103&gt;100,"application rate too high - soil conc. will exceed limit",
  IF(BG103&gt;100*0.9,"soil conc. is at or above 90% of the limit",
  IF(10*BF103*1000/3000+BG103&gt;100,"soil limit likely to be exceeded in 10yrs",
  IF(50*BF103*1000/3000+BG103&gt;100,"soil limit likely to beexceeded in 50yrs","ok")))))
))))))))</f>
        <v/>
      </c>
      <c r="BK103" s="240" t="str">
        <f ca="1">IF(B103="","",
IF(AND('Field information 2'!$O$5="", 'Field information 2'!$Q$5=""),
   IF('Waste results'!$S$30&lt;&gt;"data missing", Calc!BC101*'Waste results'!$S$30, "data missing"),
IF('Field information 2'!$Q$5="",
   IF(Calc!BD101=0,
     IF('Waste results'!$S$30&lt;&gt;"data missing", Calc!BC101*'Waste results'!$S$30, "data missing"),
   IF(Calc!BC101=0,
     IF('Waste results'!$S$66&lt;&gt;"data missing", Calc!BD101*'Waste results'!$S$66, "data missing"),
   IF(OR('Waste results'!$S$30&lt;&gt;"data missing", 'Waste results'!$S$66&lt;&gt;"data missing"), Calc!BC101*'Waste results'!$S$30+ Calc!BD101*'Waste results'!$S$66, "data missing"))),
IF(AND('Field information 2'!$M$5&lt;&gt;"", 'Field information 2'!$O$5&lt;&gt;"", 'Field information 2'!$Q$5&lt;&gt;""),
   IF(AND(Calc!BD101=0,Calc!BE101=0),
     IF('Waste results'!$S$30&lt;&gt;"data missing", Calc!BC101*'Waste results'!$S$30, "data missing"),
   IF(AND(Calc!BC101=0,Calc!BE101=0),
     IF('Waste results'!$S$66&lt;&gt;"data missing", Calc!BD101*'Waste results'!$S$66, "data missing"),
   IF(AND(Calc!BC101=0,Calc!BD101=0),
     IF('Waste results'!$S$102&lt;&gt;"data missing", Calc!BE101*'Waste results'!$S$102, "data missing"),
   IF(Calc!BE101=0,
     IF(OR('Waste results'!$S$30&lt;&gt;"data missing", 'Waste results'!$S$66&lt;&gt;"data missing"), Calc!BC101*'Waste results'!$S$30+ Calc!BD101*'Waste results'!$S$66, "data missing"),
   IF(Calc!BD101=0,
     IF(OR('Waste results'!$S$30&lt;&gt;"data missing", 'Waste results'!$S$102&lt;&gt;"data missing"), Calc!BC101*'Waste results'!$S$30+ Calc!BE101*'Waste results'!$S$102, "data missing"),
   IF(Calc!BC101=0,
     IF(OR('Waste results'!$S$66&lt;&gt;"data missing", 'Waste results'!$S$102&lt;&gt;"data missing"), Calc!BD101*'Waste results'!$S$66+Calc!BE101*'Waste results'!$S$102, "data missing"),
   IF(OR('Waste results'!$S$30&lt;&gt;"data missing", 'Waste results'!$S$66&lt;&gt;"data missing", 'Waste results'!$S$102&lt;&gt;"data missing"), Calc!BC101*'Waste results'!$S$30+Calc!BD101*'Waste results'!$S$66+ Calc!BE101*'Waste results'!$S$102, "data missing")))))))))))</f>
        <v/>
      </c>
      <c r="BL103" s="241" t="str">
        <f ca="1">IF($B103="","",
IF(ISBLANK('Soil results'!P106),"data missing",'Soil results'!P106))</f>
        <v/>
      </c>
      <c r="BM103" s="241" t="str">
        <f t="shared" ca="1" si="31"/>
        <v/>
      </c>
      <c r="BN103" s="66" t="str">
        <f t="shared" ca="1" si="32"/>
        <v/>
      </c>
      <c r="BP103" s="238" t="str">
        <f ca="1">IF(B103="","",
IF(AND('Field information 2'!$O$5="", 'Field information 2'!$Q$5=""),
   IF('Waste results'!$S$31&lt;&gt;"data missing", Calc!BC101*'Waste results'!$S$31, "data missing"),
IF('Field information 2'!$Q$5="",
   IF(Calc!BD101=0,
     IF('Waste results'!$S$31&lt;&gt;"data missing", Calc!BC101*'Waste results'!$S$31, "data missing"),
   IF(Calc!BC101=0,
     IF('Waste results'!$S$67&lt;&gt;"data missing", Calc!BD101*'Waste results'!$S$67, "data missing"),
   IF(OR('Waste results'!$S$31&lt;&gt;"data missing", 'Waste results'!$S$67&lt;&gt;"data missing"), Calc!BC101*'Waste results'!$S$31+ Calc!BD101*'Waste results'!$S$67, "data missing"))),
IF(AND('Field information 2'!$M$5&lt;&gt;"", 'Field information 2'!$O$5&lt;&gt;"", 'Field information 2'!$Q$5&lt;&gt;""),
   IF(AND(Calc!BD101=0,Calc!BE101=0),
     IF('Waste results'!$S$31&lt;&gt;"data missing", Calc!BC101*'Waste results'!$S$31, "data missing"),
   IF(AND(Calc!BC101=0,Calc!BE101=0),
     IF('Waste results'!$S$67&lt;&gt;"data missing", Calc!BD101*'Waste results'!$S$67, "data missing"),
   IF(AND(Calc!BC101=0,Calc!BD101=0),
     IF('Waste results'!$S$103&lt;&gt;"data missing", Calc!BE101*'Waste results'!$S$103, "data missing"),
   IF(Calc!BE101=0,
     IF(OR('Waste results'!$S$31&lt;&gt;"data missing", 'Waste results'!$S$67&lt;&gt;"data missing"), Calc!BC101*'Waste results'!$S$31+ Calc!BD101*'Waste results'!$S$67, "data missing"),
   IF(Calc!BD101=0,
     IF(OR('Waste results'!$S$31&lt;&gt;"data missing", 'Waste results'!$S$103&lt;&gt;"data missing"), Calc!BC101*'Waste results'!$S$31+ Calc!BE101*'Waste results'!$S$103, "data missing"),
   IF(Calc!BC101=0,
     IF(OR('Waste results'!$S$67&lt;&gt;"data missing", 'Waste results'!$S$103&lt;&gt;"data missing"), Calc!BD101*'Waste results'!$S$67+Calc!BE101*'Waste results'!$S$103, "data missing"),
   IF(OR('Waste results'!$S$31&lt;&gt;"data missing", 'Waste results'!$S$67&lt;&gt;"data missing", 'Waste results'!$S$103&lt;&gt;"data missing"), Calc!BC101*'Waste results'!$S$31+Calc!BD101*'Waste results'!$S$67+ Calc!BE101*'Waste results'!$S$103, "data missing")))))))))))</f>
        <v/>
      </c>
      <c r="BQ103" s="239" t="str">
        <f ca="1">IF($B103="","",
IF(ISBLANK('Soil results'!Q106),"data missing",'Soil results'!Q106))</f>
        <v/>
      </c>
      <c r="BR103" s="239" t="str">
        <f t="shared" ca="1" si="33"/>
        <v/>
      </c>
      <c r="BS103" s="9" t="str">
        <f ca="1">IF(B103="","",
IF(BP103=0,"n/a",
IF(OR(BP103="data missing",BQ103=""),"data missing",
IF(BP103&gt;15,"application rate too high - permissible rate exceeds limit",
IF('Soil results'!F106&lt;=5.5,
  IF(BQ103&gt;200,"no application - soil conc. already above limit",
  IF(BR103&gt;200,"application rate too high - soil conc. will exceed limit",
  IF(BQ103&gt;200*0.9,"soil conc. is at or above 90% of the limit",
  IF(10*BP103*1000/3000+BQ103&gt;200,"soil limit likely to be exceeded in 10yrs",
  IF(50*BP103*1000/3000+BQ103&gt;200,"soil limit likely to be exceeded in 50yrs","ok"))))),
IF('Soil results'!F106&lt;=6,
  IF(BQ103&gt;250,"no application - soil conc. already above limit",
  IF(BR103&gt;250,"application rate too high - soil conc. will exceed limit",
  IF(BQ103&gt;250*0.9,"soil conc. is at or above 90% of the limit",
  IF(10*BP103*1000/3000+BQ103&gt;250,"soil limit likely to be exceeded in 10yrs",
  IF(50*BP103*1000/3000+BQ103&gt;250,"soil limit likely to be exceeded in 50yrs","ok"))))),
IF('Soil results'!F106&lt;=7,
  IF(BQ103&gt;300,"no application - soil conc. already above limit",
  IF(BR103&gt;300,"application rate too high - soil conc. will exceed limit",
  IF(BQ103&gt;300*0.9,"soil conc. is at or above 90% of the limit",
  IF(10*BP103*1000/3000+BQ103&gt;300,"soil limit likey to be exceeded in 10yrs",
  IF(50*BP103*1000/3000+BQ103&gt;300,"soil limit likely to be exceeded in 50yrs","ok"))))),
IF('Soil results'!F106&gt;7,
  IF(BQ103&gt;450,"no application - soil conc. already above limit",
  IF(BR103&gt;450,"application rate too high - soil conc. will exceed limit",
  IF(AW103&gt;450*0.9,"soil conc. is at or above 90% of the limit",
  IF(10*BP103*1000/3000+BQ103&gt;450,"soil limit likely to be exceeded in 10yrs",
  IF(50*BP103*1000/3000+BQ103&gt;450,"soil limit likely to be exceeded in 50yrs","ok")))))
))))))))</f>
        <v/>
      </c>
    </row>
    <row r="104" spans="2:71" s="9" customFormat="1" ht="15" x14ac:dyDescent="0.25">
      <c r="B104" s="236" t="str">
        <f ca="1">'Soil results'!B107</f>
        <v/>
      </c>
      <c r="C104" s="91" t="str">
        <f ca="1">IF(B104="","",
IF(AND('Field information 2'!$O$5="", 'Field information 2'!$Q$5=""),
   IF('Waste results'!$S$12&lt;&gt;"data missing", Calc!BC102*'Waste results'!$S$12, "data missing"),
IF('Field information 2'!$Q$5="",
   IF(Calc!BD102=0,
     IF('Waste results'!$S$12&lt;&gt;"data missing", Calc!BC102*'Waste results'!$S$12, "data missing"),
   IF(Calc!BC102=0,
     IF('Waste results'!$S$48&lt;&gt;"data missing", Calc!BD102*'Waste results'!$S$48, "data missing"),
   IF(OR('Waste results'!$S$12&lt;&gt;"data missing", 'Waste results'!$S$48&lt;&gt;"data missing"), Calc!BC102*'Waste results'!$S$12+ Calc!BD102*'Waste results'!$S$48, "data missing"))),
IF(AND('Field information 2'!$M$5&lt;&gt;"", 'Field information 2'!$O$5&lt;&gt;"", 'Field information 2'!$Q$5&lt;&gt;""),
   IF(AND(Calc!BD102=0,Calc!BE102=0),
     IF('Waste results'!$S$12&lt;&gt;"data missing", Calc!BC102*'Waste results'!$S$12, "data missing"),
   IF(AND(Calc!BC102=0,Calc!BE102=0),
     IF('Waste results'!$S$48&lt;&gt;"data missing", Calc!BD102*'Waste results'!$S$48, "data missing"),
   IF(AND(Calc!BC102=0,Calc!BD102=0),
     IF('Waste results'!$S$84&lt;&gt;"data missing", Calc!BE102*'Waste results'!$S$84, "data missing"),
   IF(Calc!BE102=0,
     IF(OR('Waste results'!$S$12&lt;&gt;"data missing", 'Waste results'!$S$48&lt;&gt;"data missing"), Calc!BC102*'Waste results'!$S$12+ Calc!BD102*'Waste results'!$S$48, "data missing"),
   IF(Calc!BD102=0,
     IF(OR('Waste results'!$S$12&lt;&gt;"data missing", 'Waste results'!$S$84&lt;&gt;"data missing"), Calc!BC102*'Waste results'!$S$12+ Calc!BE102*'Waste results'!$S$84, "data missing"),
   IF(Calc!BC102=0,
     IF(OR('Waste results'!$S$48&lt;&gt;"data missing", 'Waste results'!$S$84&lt;&gt;"data missing"), Calc!BD102*'Waste results'!$S$48+Calc!BE102*'Waste results'!$S$84, "data missing"),
   IF(OR('Waste results'!$S$12&lt;&gt;"data missing", 'Waste results'!$S$48&lt;&gt;"data missing", 'Waste results'!$S$84&lt;&gt;"data missing"), Calc!BC102*'Waste results'!$S$12+Calc!BD102*'Waste results'!$S$48+ Calc!BE102*'Waste results'!$S$84, "data missing")))))))))))</f>
        <v/>
      </c>
      <c r="D104" s="161" t="str">
        <f ca="1">IF(B104="","",
IF(Calc!BG102="","soil texture missing",
IF(OR(Calc!BG102="SL; SZL; ZL",Calc!BG102="SCL; CL; ZCL; SC; ZC; C"),VLOOKUP(Calc!BI102,'Fertiliser recommendations'!$A$4:$C$63,3,FALSE),
IF(Calc!BG102="S; LS",VLOOKUP(Calc!BI102,'Fertiliser recommendations'!$A$4:$C$63,3,FALSE)+VLOOKUP(Calc!BI102,'Fertiliser recommendations'!$A$4:$D$63,4,FALSE),
IF(Calc!BG102="10-25% OM",VLOOKUP(Calc!BI102,'Fertiliser recommendations'!$A$4:$C$63,3,FALSE)+VLOOKUP(Calc!BI102,'Fertiliser recommendations'!$A$4:$E$63,5,FALSE),
IF(Calc!BG102="&gt;25% OM",VLOOKUP(Calc!BI102,'Fertiliser recommendations'!$A$4:$C$63,3,FALSE)+VLOOKUP(Calc!BI102,'Fertiliser recommendations'!$A$4:$F$63,6,FALSE),
""))))))</f>
        <v/>
      </c>
      <c r="E104" s="91" t="str">
        <f t="shared" ca="1" si="17"/>
        <v/>
      </c>
      <c r="F104" s="9" t="str">
        <f ca="1">IF(B104="","",
IF(OR(C104="data missing",D104="soil texture missing"),"data missing",
IF(Calc!BF102=0,"n/a",
IF(C104&lt;0.1*D104,"no benefit",
IF(C104&lt;0.3*D104,"limited benefit",
IF(C104&gt;250,"exceeds limit",
IF(OR(AND(D104=0,C104&gt;75),C104&gt;1.25*D104),"excessive",
IF(D104=0, "no requirement",
"benefit"))))))))</f>
        <v/>
      </c>
      <c r="H104" s="91" t="str">
        <f ca="1">IF(B104="","",
IF(AND('Field information 2'!$O$5="", 'Field information 2'!$Q$5=""),
   IF('Waste results'!$S$17&lt;&gt;"data missing", Calc!BC102*'Waste results'!$S$17, "data missing"),
IF('Field information 2'!$Q$5="",
   IF(Calc!BD102=0,
     IF('Waste results'!$S$17&lt;&gt;"data missing", Calc!BC102*'Waste results'!$S$17, "data missing"),
   IF(Calc!BC102=0,
     IF('Waste results'!$S$53&lt;&gt;"data missing", Calc!BD102*'Waste results'!$S$53, "data missing"),
   IF(OR('Waste results'!$S$17&lt;&gt;"data missing", 'Waste results'!$S$53&lt;&gt;"data missing"), Calc!BC102*'Waste results'!$S$17+ Calc!BD102*'Waste results'!$S$53, "data missing"))),
IF(AND('Field information 2'!$M$5&lt;&gt;"", 'Field information 2'!$O$5&lt;&gt;"", 'Field information 2'!$Q$5&lt;&gt;""),
   IF(AND(Calc!BD102=0,Calc!BE102=0),
     IF('Waste results'!$S$17&lt;&gt;"data missing", Calc!BC102*'Waste results'!$S$17, "data missing"),
   IF(AND(Calc!BC102=0,Calc!BE102=0),
     IF('Waste results'!$S$53&lt;&gt;"data missing", Calc!BD102*'Waste results'!$S$53, "data missing"),
   IF(AND(Calc!BC102=0,Calc!BD102=0),
     IF('Waste results'!$S$89&lt;&gt;"data missing", Calc!BE102*'Waste results'!$S$89, "data missing"),
   IF(Calc!BE102=0,
     IF(OR('Waste results'!$S$17&lt;&gt;"data missing", 'Waste results'!$S$53&lt;&gt;"data missing"), Calc!BC102*'Waste results'!$S$17+ Calc!BD102*'Waste results'!$S$53, "data missing"),
   IF(Calc!BD102=0,
     IF(OR('Waste results'!$S$17&lt;&gt;"data missing", 'Waste results'!$S$89&lt;&gt;"data missing"), Calc!BC102*'Waste results'!$S$17+ Calc!BE102*'Waste results'!$S$89, "data missing"),
   IF(Calc!BC102=0,
     IF(OR('Waste results'!$S$53&lt;&gt;"data missing", 'Waste results'!$S$89&lt;&gt;"data missing"), Calc!BD102*'Waste results'!$S$53+Calc!BE102*'Waste results'!$S$89, "data missing"),
   IF(OR('Waste results'!$S$17&lt;&gt;"data missing", 'Waste results'!$S$53&lt;&gt;"data missing", 'Waste results'!$S$89&lt;&gt;"data missing"), Calc!BC102*'Waste results'!$S$17+Calc!BD102*'Waste results'!$S$53+ Calc!BE102*'Waste results'!$S$89, "data missing")))))))))))</f>
        <v/>
      </c>
      <c r="I104" s="195" t="str">
        <f ca="1">IF(B104="","",
IF(OR(ISBLANK('Soil results'!G107), ISBLANK('Soil results'!G$7)),"data missing",
IF(OR(AND('Soil results'!G$7="Olsen (ADAS)",'Soil results'!G107&lt;16),AND('Soil results'!G$7="modified Morgan (SAC)",'Soil results'!G107&lt;4.5)),50,100)))</f>
        <v/>
      </c>
      <c r="J104" s="49" t="str">
        <f ca="1">IF(B104="","",
IF(OR(ISBLANK('Soil results'!G$7),ISBLANK('Soil results'!G107)),"data missing",
IF(OR(AND('Soil results'!G$7="Olsen (ADAS)",'Soil results'!G107&gt;45),AND('Soil results'!G$7="modified Morgan (SAC)",'Soil results'!G107&gt;30)),0,
IF(OR(AND('Soil results'!G$7="Olsen (ADAS)",'Soil results'!G107&gt;=16,'Soil results'!G107&lt;=20),AND('Soil results'!G$7="modified Morgan (SAC)",'Soil results'!G107&gt;=4.5,'Soil results'!G107&lt;=9.4)),VLOOKUP(Calc!BI102,'Fertiliser recommendations'!$A$4:$I$63,9,FALSE),
IF(OR(AND('Soil results'!G$7="Olsen (ADAS)",'Soil results'!G107&lt;10),AND('Soil results'!G$7="modified Morgan (SAC)",'Soil results'!G107&lt;1.8)),VLOOKUP(Calc!BI102,'Fertiliser recommendations'!$A$4:$I$63,9,FALSE)+VLOOKUP(Calc!BI102,'Fertiliser recommendations'!$A$4:$J$63,10,FALSE),
IF(OR(AND('Soil results'!G$7="Olsen (ADAS)",'Soil results'!G107&lt;16),AND('Soil results'!G$7="modified Morgan (SAC)",'Soil results'!G107&lt;4.5)),VLOOKUP(Calc!BI102,'Fertiliser recommendations'!$A$4:$I$63,9,FALSE)+VLOOKUP(Calc!BI102,'Fertiliser recommendations'!$A$4:$K$63,11,FALSE),
IF(OR(AND('Soil results'!G$7="Olsen (ADAS)",'Soil results'!G107&lt;26),AND('Soil results'!G$7="modified Morgan (SAC)",'Soil results'!G107&lt;13.5)),VLOOKUP(Calc!BI102,'Fertiliser recommendations'!$A$4:$I$63,9,FALSE)+VLOOKUP(Calc!BI102,'Fertiliser recommendations'!$A$4:$L$63,12,FALSE),
IF(OR(AND('Soil results'!G$7="Olsen (ADAS)",'Soil results'!G107&lt;=45),AND('Soil results'!G$7="modified Morgan (SAC)",'Soil results'!G107&lt;=30)),VLOOKUP(Calc!BI102,'Fertiliser recommendations'!$A$4:$I$63,9,FALSE)+VLOOKUP(Calc!BI102,'Fertiliser recommendations'!$A$4:$M$63,13,FALSE),
""))))))))</f>
        <v/>
      </c>
      <c r="K104" s="161" t="str">
        <f t="shared" ca="1" si="18"/>
        <v/>
      </c>
      <c r="L104" s="47" t="str">
        <f ca="1">IF(OR(ISBLANK('Soil results'!G$7),ISBLANK('Soil results'!G107),B104="", H104="data missing"),"",
IF('Soil results'!G$7="Olsen (ADAS)",
IF(((H104*Calc!BM102/2.291-(VLOOKUP(Calc!BI102,'Fertiliser recommendations'!$A$4:$I$63,9,FALSE))/2.291)*10/(400/2.291)+'Soil results'!G107)&lt;10,"0 (VL)",
IF(((H104*Calc!BM102/2.291-(VLOOKUP(Calc!BI102,'Fertiliser recommendations'!$A$4:$I$63,9,FALSE))/2.291)*10/(400/2.291)+'Soil results'!G107)&lt;16,"1 (L)",
IF(((H104*Calc!BM102/2.291-(VLOOKUP(Calc!BI102,'Fertiliser recommendations'!$A$4:$I$63,9,FALSE))/2.291)*10/(400/2.291)+'Soil results'!G107)&lt;21,"2 (M-)",
IF(((H104*Calc!BM102/2.291-(VLOOKUP(Calc!BI102,'Fertiliser recommendations'!$A$4:$I$63,9,FALSE))/2.291)*10/(400/2.291)+'Soil results'!G107)&lt;26,"2 (M+)",
IF(((H104*Calc!BM102/2.291-(VLOOKUP(Calc!BI102,'Fertiliser recommendations'!$A$4:$I$63,9,FALSE))/2.291)*10/(400/2.291)+'Soil results'!G107)&lt;45,"3 (H)","&gt;3 (VH)"))))),
IF('Soil results'!G$7="modified Morgan (SAC)",
IF('Soil results'!G107&gt;=6,
IF(((H104*Calc!BM102/2.291-(VLOOKUP(Calc!BI102,'Fertiliser recommendations'!$A$4:$I$63,9,FALSE))/2.291)*5/(147/2.291)+'Soil results'!G107)&lt;9.5,"2 (M-)",
IF(((H104*Calc!BM102/2.291-(VLOOKUP(Calc!BI102,'Fertiliser recommendations'!$A$4:$I$63,9,FALSE))/2.291)*5/(147/2.291)+'Soil results'!G107)&lt;13.5,"2 (M+)",
IF(((H104*Calc!BM102/2.291-(VLOOKUP(Calc!BI102,'Fertiliser recommendations'!$A$4:$I$63,9,FALSE))/2.291)*5/(147/2.291)+'Soil results'!G107)&lt;30,"3 (H)","4 (VH)"))),
IF(((H104*Calc!BM102/2.291-(VLOOKUP(Calc!BI102,'Fertiliser recommendations'!$A$4:$I$63,9,FALSE))/2.291)*5/(346/2.291)+'Soil results'!G107)&lt;1.8,"0 (VL)",
IF(((H104*Calc!BM102/2.291-(VLOOKUP(Calc!BI102,'Fertiliser recommendations'!$A$4:$I$63,9,FALSE))/2.291)*5/(147/2.291)+'Soil results'!G107)&lt;4.5,"1 (L)","2 (M-)"))))))</f>
        <v/>
      </c>
      <c r="M104" s="9" t="str">
        <f ca="1">IF(B104="","",
IF(OR(H104="data missing",I104="data missing",J104="data missing"),"data missing",
IF(Calc!BF102=0,"n/a",
IF(OR(AND('Soil results'!G$7="Olsen (ADAS)",'Soil results'!G107&gt;45),AND('Soil results'!G$7="modified Morgan (SAC)",'Soil results'!G107&gt;30)),
IF(H104&gt;2,"too high, not acceptable","no requirement"),IF(OR(AND('Soil results'!G$7="Olsen (ADAS)",'Soil results'!G107&gt;25),AND('Soil results'!G$7="modified Morgan (SAC)",'Soil results'!G107&gt;13.4)),
IF(H104*(I104/100)&lt;0.1*J104,"no benefit",
IF(H104*(I104/100)&lt;0.3*J104,"limited benefit",
IF(H104*(I104/100)&lt;1.1*J104,"benefit",
IF(H104*(I104/100)&lt;0.7*VLOOKUP(Calc!BI102,'Fertiliser recommendations'!$A$4:$I$63,9,FALSE),"excessive","too high, not acceptable")))),
IF(OR(AND('Soil results'!G$7="Olsen (ADAS)",'Soil results'!G107&gt;20),AND('Soil results'!G$7="modified Morgan (SAC)",'Soil results'!G107&gt;9.4)),
IF(H104*Calc!BM102*(I104/100)&lt;0.1*J104,"no benefit",
IF(H104*Calc!BM102*(I104/100)&lt;0.3*J104,"limited benefit",
IF(H104*Calc!BM102*(I104/100)&lt;1.1*J104,"benefit",
IF(L104="3 (H)","too high, not acceptable","excessive")))),
IF(OR(AND('Soil results'!G$7="Olsen (ADAS)",'Soil results'!G107&gt;15),AND('Soil results'!G$7="modified Morgan (SAC)",'Soil results'!G107&gt;4.4)),
IF(H104*Calc!BM102*(I104/100)&lt;0.1*VLOOKUP(Calc!BI102,'Fertiliser recommendations'!$A$4:$I$63,9,FALSE),"no benefit",
IF(H104*Calc!BM102*(I104/100)&lt;0.3*VLOOKUP(Calc!BI102,'Fertiliser recommendations'!$A$4:$I$63,9,FALSE),"limited benefit",
IF(H104*Calc!BM102*(I104/100)&lt;1.1*VLOOKUP(Calc!BI102,'Fertiliser recommendations'!$A$4:$I$63,9,FALSE),"benefit",
IF(L104="3 (H)", "too high, not acceptable", "excessive")))),
IF(OR(AND('Soil results'!G$7="Olsen (ADAS)",'Soil results'!G107&lt;=15),AND('Soil results'!G$7="modified Morgan (SAC)",'Soil results'!G107&lt;=4.4)),
IF(H104*Calc!BM102*(I104/100)&lt;0.1*VLOOKUP(Calc!BI102,'Fertiliser recommendations'!$A$4:$I$63,9,FALSE),"no benefit",
IF(H104*Calc!BM102*(I104/100)&lt;0.3*VLOOKUP(Calc!BI102,'Fertiliser recommendations'!$A$4:$I$63,9,FALSE),"limited benefit",
IF(H104*Calc!BM102*(I104/100)&lt;1.1*J104,"benefit","excessive")))))))))))</f>
        <v/>
      </c>
      <c r="O104" s="91" t="str">
        <f ca="1">IF(B104="","",
IF(AND('Field information 2'!$O$5="", 'Field information 2'!$Q$5=""),
   IF('Waste results'!$S$19&lt;&gt;"data missing", Calc!BC102*'Waste results'!$S$19, "data missing"),
IF('Field information 2'!$Q$5="",
   IF(Calc!BD102=0,
     IF('Waste results'!$S$19&lt;&gt;"data missing", Calc!BC102*'Waste results'!$S$19, "data missing"),
   IF(Calc!BC102=0,
     IF('Waste results'!$S$55&lt;&gt;"data missing", Calc!BD102*'Waste results'!$S$55, "data missing"),
   IF(OR('Waste results'!$S$19&lt;&gt;"data missing", 'Waste results'!$S$55&lt;&gt;"data missing"), Calc!BC102*'Waste results'!$S$19+ Calc!BD102*'Waste results'!$S$55, "data missing"))),
IF(AND('Field information 2'!$M$5&lt;&gt;"", 'Field information 2'!$O$5&lt;&gt;"", 'Field information 2'!$Q$5&lt;&gt;""),
   IF(AND(Calc!BD102=0,Calc!BE102=0),
     IF('Waste results'!$S$19&lt;&gt;"data missing", Calc!BC102*'Waste results'!$S$19, "data missing"),
   IF(AND(Calc!BC102=0,Calc!BE102=0),
     IF('Waste results'!$S$55&lt;&gt;"data missing", Calc!BD102*'Waste results'!$S$55, "data missing"),
   IF(AND(Calc!BC102=0,Calc!BD102=0),
     IF('Waste results'!$S$91&lt;&gt;"data missing", Calc!BE102*'Waste results'!$S$91, "data missing"),
   IF(Calc!BE102=0,
     IF(OR('Waste results'!$S$19&lt;&gt;"data missing", 'Waste results'!$S$55&lt;&gt;"data missing"), Calc!BC102*'Waste results'!$S$19+ Calc!BD102*'Waste results'!$S$55, "data missing"),
   IF(Calc!BD102=0,
     IF(OR('Waste results'!$S$19&lt;&gt;"data missing", 'Waste results'!$S$91&lt;&gt;"data missing"), Calc!BC102*'Waste results'!$S$19+ Calc!BE102*'Waste results'!$S$91, "data missing"),
   IF(Calc!BC102=0,
     IF(OR('Waste results'!$S$55&lt;&gt;"data missing", 'Waste results'!$S$91&lt;&gt;"data missing"), Calc!BD102*'Waste results'!$S$55+Calc!BE102*'Waste results'!$S$91, "data missing"),
   IF(OR('Waste results'!$S$19&lt;&gt;"data missing", 'Waste results'!$S$55&lt;&gt;"data missing", 'Waste results'!$S$91&lt;&gt;"data missing"), Calc!BC102*'Waste results'!$S$19+Calc!BD102*'Waste results'!$S$55+ Calc!BE102*'Waste results'!$S$91, "data missing")))))))))))</f>
        <v/>
      </c>
      <c r="P104" s="91" t="str">
        <f ca="1">IF(B104="","",
IF(OR(ISBLANK('Soil results'!H$7),ISBLANK('Soil results'!H107)),"data missing",
IF(OR(AND('Soil results'!H$7="ammonium nitrate (ADAS)",'Soil results'!H107&gt;400),AND('Soil results'!H$7="modified Morgan (SAC)",'Soil results'!H107&gt;400)),0,
IF(OR(AND('Soil results'!H$7="ammonium nitrate (ADAS)",'Soil results'!H107&gt;=121,'Soil results'!H107&lt;=180),AND('Soil results'!H$7="modified Morgan (SAC)",'Soil results'!H107&gt;=76,'Soil results'!H107&lt;=140)),VLOOKUP(Calc!BI102,'Fertiliser recommendations'!$A$4:$Z$63,26,FALSE),
IF(OR(AND('Soil results'!H$7="ammonium nitrate (ADAS)",'Soil results'!H107&lt;61),AND('Soil results'!H$7="modified Morgan (SAC)",'Soil results'!H107&lt;40)),VLOOKUP(Calc!BI102,'Fertiliser recommendations'!$A$4:$Z$63,26,FALSE)+VLOOKUP(Calc!BI102,'Fertiliser recommendations'!$A$4:$AA$63,27,FALSE),
IF(OR(AND('Soil results'!H$7="ammonium nitrate (ADAS)",'Soil results'!H107&lt;121),AND('Soil results'!H$7="modified Morgan (SAC)",'Soil results'!H107&lt;76)),VLOOKUP(Calc!BI102,'Fertiliser recommendations'!$A$4:$Z$63,26,FALSE)+VLOOKUP(Calc!BI102,'Fertiliser recommendations'!$A$4:$AB$63,28,FALSE),
IF(OR(AND('Soil results'!H$7="ammonium nitrate (ADAS)",'Soil results'!H107&lt;241),AND('Soil results'!H$7="modified Morgan (SAC)",'Soil results'!H107&lt;201)),VLOOKUP(Calc!BI102,'Fertiliser recommendations'!$A$4:$Z$63,26,FALSE)+VLOOKUP(Calc!BI102,'Fertiliser recommendations'!$A$4:$AC$63,29,FALSE),
IF(OR(AND('Soil results'!H$7="ammonium nitrate (ADAS)",'Soil results'!H107&lt;=400),AND('Soil results'!H$7="modified Morgan (SAC)",'Soil results'!H107&lt;=400)),VLOOKUP(Calc!BI102,'Fertiliser recommendations'!$A$4:$Z$63,26,FALSE)+VLOOKUP(Calc!BI102,'Fertiliser recommendations'!$A$4:$AD$63,30,FALSE),
"??"))))))))</f>
        <v/>
      </c>
      <c r="Q104" s="91" t="str">
        <f t="shared" ca="1" si="19"/>
        <v/>
      </c>
      <c r="R104" s="9" t="str">
        <f ca="1">IF(B104="","",
IF(OR(O104="data missing",P104="data missing"),"data missing",
IF(Calc!BF102=0,"n/a",
IF(P104=0, "no requirement",
IF(O104&lt;0.1*P104,"no benefit",
IF(O104&lt;0.3*P104,"limited benefit",
IF(O104&gt;1.25*P104,"excessive",
"benefit")))))))</f>
        <v/>
      </c>
      <c r="T104" s="91" t="str">
        <f ca="1">IF(B104="","",
IF(AND('Field information 2'!$O$5="", 'Field information 2'!$Q$5=""),
   IF('Waste results'!$S$21&lt;&gt;"data missing", Calc!BC102*'Waste results'!$S$21, "data missing"),
IF('Field information 2'!$Q$5="",
   IF(Calc!BD102=0,
     IF('Waste results'!$S$21&lt;&gt;"data missing", Calc!BC102*'Waste results'!$S$21, "data missing"),
   IF(Calc!BC102=0,
     IF('Waste results'!$S$57&lt;&gt;"data missing", Calc!BD102*'Waste results'!$S$57, "data missing"),
   IF(OR('Waste results'!$S$21&lt;&gt;"data missing", 'Waste results'!$S$57&lt;&gt;"data missing"), Calc!BC102*'Waste results'!$S$21+ Calc!BD102*'Waste results'!$S$57, "data missing"))),
IF(AND('Field information 2'!$M$5&lt;&gt;"", 'Field information 2'!$O$5&lt;&gt;"", 'Field information 2'!$Q$5&lt;&gt;""),
   IF(AND(Calc!BD102=0,Calc!BE102=0),
     IF('Waste results'!$S$21&lt;&gt;"data missing", Calc!BC102*'Waste results'!$S$21, "data missing"),
   IF(AND(Calc!BC102=0,Calc!BE102=0),
     IF('Waste results'!$S$57&lt;&gt;"data missing", Calc!BD102*'Waste results'!$S$57, "data missing"),
   IF(AND(Calc!BC102=0,Calc!BD102=0),
     IF('Waste results'!$S$93&lt;&gt;"data missing", Calc!BE102*'Waste results'!$S$93, "data missing"),
   IF(Calc!BE102=0,
     IF(OR('Waste results'!$S$21&lt;&gt;"data missing", 'Waste results'!$S$57&lt;&gt;"data missing"), Calc!BC102*'Waste results'!$S$21+ Calc!BD102*'Waste results'!$S$57, "data missing"),
   IF(Calc!BD102=0,
     IF(OR('Waste results'!$S$21&lt;&gt;"data missing", 'Waste results'!$S$93&lt;&gt;"data missing"), Calc!BC102*'Waste results'!$S$21+ Calc!BE102*'Waste results'!$S$93, "data missing"),
   IF(Calc!BC102=0,
     IF(OR('Waste results'!$S$57&lt;&gt;"data missing", 'Waste results'!$S$93&lt;&gt;"data missing"), Calc!BD102*'Waste results'!$S$57+Calc!BE102*'Waste results'!$S$93, "data missing"),
   IF(OR('Waste results'!$S$21&lt;&gt;"data missing", 'Waste results'!$S$57&lt;&gt;"data missing", 'Waste results'!$S$93&lt;&gt;"data missing"), Calc!BC102*'Waste results'!$S$21+Calc!BD102*'Waste results'!$S$57+ Calc!BE102*'Waste results'!$S$93, "data missing")))))))))))</f>
        <v/>
      </c>
      <c r="U104" s="7" t="str">
        <f ca="1">IF(B104="","",
IF(OR(ISBLANK('Soil results'!I$7),ISBLANK('Soil results'!I107)),"data missing",
IF(OR(AND('Soil results'!I$7="ammonium nitrate (ADAS)",'Soil results'!I107&gt;51),AND('Soil results'!I$7="modified Morgan (SAC)",'Soil results'!I107&gt;61)),0,
IF(OR(AND('Soil results'!I$7="ammonium nitrate (ADAS)",'Soil results'!I107&lt;25),AND('Soil results'!I$7="modified Morgan (SAC)",'Soil results'!I107&lt;19)),VLOOKUP(Calc!BI102,'Fertiliser recommendations'!$A$4:$AH$63,34,FALSE),
IF(OR(AND('Soil results'!I$7="ammonium nitrate (ADAS)",'Soil results'!I107&lt;=51),AND('Soil results'!I$7="modified Morgan (SAC)",'Soil results'!I107&lt;=61)),VLOOKUP(Calc!BI102,'Fertiliser recommendations'!$A$4:$AI$63,35,FALSE),
"")))))</f>
        <v/>
      </c>
      <c r="V104" s="91" t="str">
        <f t="shared" ca="1" si="20"/>
        <v/>
      </c>
      <c r="W104" s="9" t="str">
        <f ca="1">IF(B104="","",
IF(OR(T104="data missing",U104="data missing"),"data missing",
IF(Calc!BF102=0,"n/a",
IF(U104=0,"no requirement",
IF(T104&lt;0.1*U104,"no benefit",
IF(T104&lt;0.3*U104,"limited benefit",
IF(OR(T104&gt;1.5*U104,AND(Calc!BJ102="g",T104&gt;100)),"excessive",
"benefit")))))))</f>
        <v/>
      </c>
      <c r="Y104" s="91" t="str">
        <f ca="1">IF(B104="","",
IF(AND('Field information 2'!$O$5="", 'Field information 2'!$Q$5=""),
   IF('Waste results'!$P$23&lt;&gt;"", Calc!BC102*'Waste results'!$P$23, "no data"),
IF('Field information 2'!$Q$5="",
   IF(Calc!BD102=0,
     IF('Waste results'!$P$23&lt;&gt;"", Calc!BC102*'Waste results'!$P$23, "no data"),
   IF(Calc!BC102=0,
     IF('Waste results'!$P$59&lt;&gt;"", Calc!BD102*'Waste results'!$P$59, "no data"),
   IF(OR('Waste results'!$P$23&lt;&gt;"", 'Waste results'!$P$59&lt;&gt;""), Calc!BC102*'Waste results'!$P$23+ Calc!BD102*'Waste results'!$P$59, "no data"))),
IF(AND('Field information 2'!$M$5&lt;&gt;"", 'Field information 2'!$O$5&lt;&gt;"", 'Field information 2'!$Q$5&lt;&gt;""),
   IF(AND(Calc!BD102=0,Calc!BE102=0),
     IF('Waste results'!$P$23&lt;&gt;"", Calc!BC102*'Waste results'!$P$23, "no data"),
   IF(AND(Calc!BC102=0,Calc!BE102=0),
     IF('Waste results'!$P$59&lt;&gt;"", Calc!BD102*'Waste results'!$P$59, "no data"),
   IF(AND(Calc!BC102=0,Calc!BD102=0),
     IF('Waste results'!$P$95&lt;&gt;"", Calc!BE102*'Waste results'!$P$95, "no data"),
   IF(Calc!BE102=0,
     IF(OR('Waste results'!$P$23&lt;&gt;"", 'Waste results'!$P$59&lt;&gt;""), Calc!BC102*'Waste results'!$P$23+ Calc!BD102*'Waste results'!$P$59, "no data"),
   IF(Calc!BD102=0,
     IF(OR('Waste results'!$P$23&lt;&gt;"", 'Waste results'!$P$95&lt;&gt;""), Calc!BC102*'Waste results'!$P$23+ Calc!BE102*'Waste results'!$P$95, "no data"),
   IF(Calc!BC102=0,
     IF(OR('Waste results'!$P$59&lt;&gt;"", 'Waste results'!$P$95&lt;&gt;""), Calc!BD102*'Waste results'!$P$59+Calc!BE102*'Waste results'!$P$95, "no data"),
   IF(OR('Waste results'!$P$23&lt;&gt;"", 'Waste results'!$P$59&lt;&gt;"", 'Waste results'!$P$95&lt;&gt;""), Calc!BC102*'Waste results'!$P$23+Calc!BD102*'Waste results'!$P$59+ Calc!BE102*'Waste results'!$P$95, "no data")))))))))))</f>
        <v/>
      </c>
      <c r="Z104" s="7" t="str">
        <f ca="1">IF(OR(ISBLANK('Soil results'!I$7),ISBLANK('Soil results'!I107),'Soil results'!B107=""),"",
VLOOKUP(Calc!BI102,'Fertiliser recommendations'!$A$4:$AM$63,39,FALSE))</f>
        <v/>
      </c>
      <c r="AA104" s="91" t="str">
        <f t="shared" ca="1" si="21"/>
        <v/>
      </c>
      <c r="AB104" s="9" t="str">
        <f t="shared" ca="1" si="22"/>
        <v/>
      </c>
      <c r="AD104" s="48" t="str">
        <f>IF(ISBLANK('Soil results'!F107),"",'Soil results'!F107)</f>
        <v/>
      </c>
      <c r="AE104" s="49" t="str">
        <f ca="1">IF(B104="","",
IF(AND(Calc!BJ102="g", VLOOKUP(LEFT($B104,LEN($B104)-2),'Field information 2'!$B$12:$P$111,9,FALSE)&lt;&gt;"yes"),
 IF(Calc!BG102="10-25% OM", 5.9, IF(Calc!BG102="&gt;25% OM", 5.5, 6.2)),
IF(OR(Calc!BJ102="a", VLOOKUP(LEFT($B104,LEN($B104)-2),'Field information 2'!$B$12:$P$111,9,FALSE)="yes"),
 IF(Calc!BG102="10-25% OM", 6.4, IF(Calc!BG102="&gt;25% OM", 6, 6.7)), "")))</f>
        <v/>
      </c>
      <c r="AF104" s="91" t="str">
        <f ca="1">IF(B104="","",
IF('Waste results'!$Q$33="","no (significant) liming properties",
IF('Waste results'!Q$33&gt;100,"no (significant) liming properties",
IF(AD104="","",
IF(AD104&gt;=AE104,0,ROUNDDOWN((AE104-AD104)*Calc!BK102*'Waste results'!$Q$33+0.2,0))))))</f>
        <v/>
      </c>
      <c r="AG104" s="9" t="str">
        <f ca="1">IF(B104="","",
IF(T104=0,"n/a",
IF(AD104="","data missing",
IF(AND(AD104&lt;5,AF104="no (significant) liming properties"),"no waste application - pH too low",
IF(AND(AD104&gt;5.1,AF104="no (significant) liming properties",Calc!BH102&gt;25, LEFT(Calc!BI102,4)="graz"),"ok",
IF(AND(AD104&lt;=5.2,AF104="no (significant) liming properties"),"liming highly recommended",
IF(AF104=0,"no waste application - liming not required",
IF(AF104&lt;Calc!BC102,"application rate too high - exceeds liming requirement",
"ok"))))))))</f>
        <v/>
      </c>
      <c r="AI104" s="91" t="str">
        <f ca="1">IF(B104="","",
IF(AND('Field information 2'!$O$5="", 'Field information 2'!$Q$5=""),
   IF('Waste results'!$P$10&lt;&gt;"data missing", Calc!BC102*'Waste results'!$P$10, "data missing"),
IF('Field information 2'!$Q$5="",
   IF(Calc!BD102=0,
     IF('Waste results'!$P$10&lt;&gt;"data missing", Calc!BC102*'Waste results'!$P$10, "data missing"),
   IF(Calc!BC102=0,
     IF('Waste results'!$P$45&lt;&gt;"data missing", Calc!BD102*'Waste results'!$P$45, "data missing"),
   IF(OR('Waste results'!$P$10&lt;&gt;"data missing", 'Waste results'!$P$45&lt;&gt;"data missing"), Calc!BC102*'Waste results'!$P$10+ Calc!BD102*'Waste results'!$P$45, "data missing"))),
IF(AND('Field information 2'!$M$5&lt;&gt;"", 'Field information 2'!$O$5&lt;&gt;"", 'Field information 2'!$Q$5&lt;&gt;""),
   IF(AND(Calc!BD102=0,Calc!BE102=0),
     IF('Waste results'!$P$10&lt;&gt;"data missing", Calc!BC102*'Waste results'!$P$10, "data missing"),
   IF(AND(Calc!BC102=0,Calc!BE102=0),
     IF('Waste results'!$P$45&lt;&gt;"data missing", Calc!BD102*'Waste results'!$P$45, "data missing"),
   IF(AND(Calc!BC102=0,Calc!BD102=0),
     IF('Waste results'!$P$82&lt;&gt;"data missing", Calc!BE102*'Waste results'!$P$82, "data missing"),
   IF(Calc!BE102=0,
     IF(OR('Waste results'!$P$10&lt;&gt;"data missing", 'Waste results'!$P$45&lt;&gt;"data missing"), Calc!BC102*'Waste results'!$P$10+ Calc!BD102*'Waste results'!$P$45, "data missing"),
   IF(Calc!BD102=0,
     IF(OR('Waste results'!$P$10&lt;&gt;"data missing", 'Waste results'!$P$82&lt;&gt;"data missing"), Calc!BC102*'Waste results'!$P$10+ Calc!BE102*'Waste results'!$P$82, "data missing"),
   IF(Calc!BC102=0,
     IF(OR('Waste results'!$P$45&lt;&gt;"data missing", 'Waste results'!$P$82&lt;&gt;"data missing"), Calc!BD102*'Waste results'!$P$45+Calc!BE102*'Waste results'!$P$82, "data missing"),
   IF(OR('Waste results'!$P$10&lt;&gt;"data missing", 'Waste results'!$P$45&lt;&gt;"data missing", 'Waste results'!$P$82&lt;&gt;"data missing"), Calc!BC102*'Waste results'!$P$10+Calc!BD102*'Waste results'!$P$45+ Calc!BE102*'Waste results'!$P$82, "data missing")))))))))))</f>
        <v/>
      </c>
      <c r="AJ104" s="237" t="str">
        <f ca="1">IF(B104="","",
IF(AI104="data missing","data missing",
IF(Calc!BF102=0,"n/a",
IF(AND(Calc!BH102&gt;=8,AI104&lt;500),"no benefit",
IF(OR(AND(Calc!BH102&lt;=4,AI104&gt;=500),AND(Calc!BH102&lt;8,AI104&gt;5000)),"benefit",
"limited benefit")))))</f>
        <v/>
      </c>
      <c r="AL104" s="238" t="str">
        <f ca="1">IF(B104="","",
IF(AND('Field information 2'!$O$5="", 'Field information 2'!$Q$5=""),
   IF('Waste results'!$S$25&lt;&gt;"data missing", Calc!BC102*'Waste results'!$S$25, "data missing"),
IF('Field information 2'!$Q$5="",
   IF(Calc!BD102=0,
     IF('Waste results'!$S$25&lt;&gt;"data missing", Calc!BC102*'Waste results'!$S$25, "data missing"),
   IF(Calc!BC102=0,
     IF('Waste results'!$S$61&lt;&gt;"data missing", Calc!BD102*'Waste results'!$S$61, "data missing"),
   IF(OR('Waste results'!$S$25&lt;&gt;"data missing", 'Waste results'!$S$61&lt;&gt;"data missing"), Calc!BC102*'Waste results'!$S$25+ Calc!BD102*'Waste results'!$S$61, "data missing"))),
IF(AND('Field information 2'!$M$5&lt;&gt;"", 'Field information 2'!$O$5&lt;&gt;"", 'Field information 2'!$Q$5&lt;&gt;""),
   IF(AND(Calc!BD102=0,Calc!BE102=0),
     IF('Waste results'!$S$25&lt;&gt;"data missing", Calc!BC102*'Waste results'!$S$25, "data missing"),
   IF(AND(Calc!BC102=0,Calc!BE102=0),
     IF('Waste results'!$S$61&lt;&gt;"data missing", Calc!BD102*'Waste results'!$S$61, "data missing"),
   IF(AND(Calc!BC102=0,Calc!BD102=0),
     IF('Waste results'!$S$97&lt;&gt;"data missing", Calc!BE102*'Waste results'!$S$97, "data missing"),
   IF(Calc!BE102=0,
     IF(OR('Waste results'!$S$25&lt;&gt;"data missing", 'Waste results'!$S$61&lt;&gt;"data missing"), Calc!BC102*'Waste results'!$S$25+ Calc!BD102*'Waste results'!$S$61, "data missing"),
   IF(Calc!BD102=0,
     IF(OR('Waste results'!$S$25&lt;&gt;"data missing", 'Waste results'!$S$97&lt;&gt;"data missing"), Calc!BC102*'Waste results'!$S$25+ Calc!BE102*'Waste results'!$S$97, "data missing"),
   IF(Calc!BC102=0,
     IF(OR('Waste results'!$S$61&lt;&gt;"data missing", 'Waste results'!$S$97&lt;&gt;"data missing"), Calc!BD102*'Waste results'!$S$61+Calc!BE102*'Waste results'!$S$97, "data missing"),
   IF(OR('Waste results'!$S$25&lt;&gt;"data missing", 'Waste results'!$S$61&lt;&gt;"data missing", 'Waste results'!$S$97&lt;&gt;"data missing"), Calc!BC102*'Waste results'!$S$25+Calc!BD102*'Waste results'!$S$61+ Calc!BE102*'Waste results'!$S$97, "data missing")))))))))))</f>
        <v/>
      </c>
      <c r="AM104" s="239" t="str">
        <f ca="1">IF($B104="","",
IF(ISBLANK('Soil results'!K107),"data missing",'Soil results'!K107))</f>
        <v/>
      </c>
      <c r="AN104" s="239" t="str">
        <f t="shared" ca="1" si="23"/>
        <v/>
      </c>
      <c r="AO104" s="9" t="str">
        <f t="shared" ca="1" si="24"/>
        <v/>
      </c>
      <c r="AQ104" s="240" t="str">
        <f ca="1">IF(B104="","",
IF(AND('Field information 2'!$O$5="", 'Field information 2'!$Q$5=""),
   IF('Waste results'!$S$26&lt;&gt;"data missing", Calc!BC102*'Waste results'!$S$26, "data missing"),
IF('Field information 2'!$Q$5="",
   IF(Calc!BD102=0,
     IF('Waste results'!$S$26&lt;&gt;"data missing", Calc!BC102*'Waste results'!$S$26, "data missing"),
   IF(Calc!BC102=0,
     IF('Waste results'!$S$62&lt;&gt;"data missing", Calc!BD102*'Waste results'!$S$62, "data missing"),
   IF(OR('Waste results'!$S$26&lt;&gt;"data missing", 'Waste results'!$S$62&lt;&gt;"data missing"), Calc!BC102*'Waste results'!$S$26+ Calc!BD102*'Waste results'!$S$62, "data missing"))),
IF(AND('Field information 2'!$M$5&lt;&gt;"", 'Field information 2'!$O$5&lt;&gt;"", 'Field information 2'!$Q$5&lt;&gt;""),
   IF(AND(Calc!BD102=0,Calc!BE102=0),
     IF('Waste results'!$S$26&lt;&gt;"data missing", Calc!BC102*'Waste results'!$S$26, "data missing"),
   IF(AND(Calc!BC102=0,Calc!BE102=0),
     IF('Waste results'!$S$62&lt;&gt;"data missing", Calc!BD102*'Waste results'!$S$62, "data missing"),
   IF(AND(Calc!BC102=0,Calc!BD102=0),
     IF('Waste results'!$S$98&lt;&gt;"data missing", Calc!BE102*'Waste results'!$S$98, "data missing"),
   IF(Calc!BE102=0,
     IF(OR('Waste results'!$S$26&lt;&gt;"data missing", 'Waste results'!$S$62&lt;&gt;"data missing"), Calc!BC102*'Waste results'!$S$26+ Calc!BD102*'Waste results'!$S$62, "data missing"),
   IF(Calc!BD102=0,
     IF(OR('Waste results'!$S$26&lt;&gt;"data missing", 'Waste results'!$S$98&lt;&gt;"data missing"), Calc!BC102*'Waste results'!$S$26+ Calc!BE102*'Waste results'!$S$98, "data missing"),
   IF(Calc!BC102=0,
     IF(OR('Waste results'!$S$62&lt;&gt;"data missing", 'Waste results'!$S$98&lt;&gt;"data missing"), Calc!BD102*'Waste results'!$S$62+Calc!BE102*'Waste results'!$S$98, "data missing"),
   IF(OR('Waste results'!$S$26&lt;&gt;"data missing", 'Waste results'!$S$62&lt;&gt;"data missing", 'Waste results'!$S$98&lt;&gt;"data missing"), Calc!BC102*'Waste results'!$S$26+Calc!BD102*'Waste results'!$S$62+ Calc!BE102*'Waste results'!$S$98, "data missing")))))))))))</f>
        <v/>
      </c>
      <c r="AR104" s="241" t="str">
        <f ca="1">IF($B104="","",
IF(ISBLANK('Soil results'!L107),"data missing",'Soil results'!L107))</f>
        <v/>
      </c>
      <c r="AS104" s="241" t="str">
        <f t="shared" ca="1" si="25"/>
        <v/>
      </c>
      <c r="AT104" s="66" t="str">
        <f t="shared" ca="1" si="26"/>
        <v/>
      </c>
      <c r="AV104" s="238" t="str">
        <f ca="1">IF(B104="","",
IF(AND('Field information 2'!$O$5="", 'Field information 2'!$Q$5=""),
   IF('Waste results'!$S$27&lt;&gt;"data missing", Calc!BC102*'Waste results'!$S$27, "data missing"),
IF('Field information 2'!$Q$5="",
   IF(Calc!BD102=0,
     IF('Waste results'!$S$27&lt;&gt;"data missing", Calc!BC102*'Waste results'!$S$27, "data missing"),
   IF(Calc!BC102=0,
     IF('Waste results'!$S$63&lt;&gt;"data missing", Calc!BD102*'Waste results'!$S$63, "data missing"),
   IF(OR('Waste results'!$S$27&lt;&gt;"data missing", 'Waste results'!$S$63&lt;&gt;"data missing"), Calc!BC102*'Waste results'!$S$27+ Calc!BD102*'Waste results'!$S$63, "data missing"))),
IF(AND('Field information 2'!$M$5&lt;&gt;"", 'Field information 2'!$O$5&lt;&gt;"", 'Field information 2'!$Q$5&lt;&gt;""),
   IF(AND(Calc!BD102=0,Calc!BE102=0),
     IF('Waste results'!$S$27&lt;&gt;"data missing", Calc!BC102*'Waste results'!$S$27, "data missing"),
   IF(AND(Calc!BC102=0,Calc!BE102=0),
     IF('Waste results'!$S$63&lt;&gt;"data missing", Calc!BD102*'Waste results'!$S$63, "data missing"),
   IF(AND(Calc!BC102=0,Calc!BD102=0),
     IF('Waste results'!$S$99&lt;&gt;"data missing", Calc!BE102*'Waste results'!$S$99, "data missing"),
   IF(Calc!BE102=0,
     IF(OR('Waste results'!$S$27&lt;&gt;"data missing", 'Waste results'!$S$63&lt;&gt;"data missing"), Calc!BC102*'Waste results'!$S$27+ Calc!BD102*'Waste results'!$S$63, "data missing"),
   IF(Calc!BD102=0,
     IF(OR('Waste results'!$S$27&lt;&gt;"data missing", 'Waste results'!$S$99&lt;&gt;"data missing"), Calc!BC102*'Waste results'!$S$27+ Calc!BE102*'Waste results'!$S$99, "data missing"),
   IF(Calc!BC102=0,
     IF(OR('Waste results'!$S$63&lt;&gt;"data missing", 'Waste results'!$S$99&lt;&gt;"data missing"), Calc!BD102*'Waste results'!$S$63+Calc!BE102*'Waste results'!$S$99, "data missing"),
   IF(OR('Waste results'!$S$27&lt;&gt;"data missing", 'Waste results'!$S$63&lt;&gt;"data missing", 'Waste results'!$S$99&lt;&gt;"data missing"), Calc!BC102*'Waste results'!$S$27+Calc!BD102*'Waste results'!$S$63+ Calc!BE102*'Waste results'!$S$99, "data missing")))))))))))</f>
        <v/>
      </c>
      <c r="AW104" s="239" t="str">
        <f ca="1">IF($B104="","",
IF(ISBLANK('Soil results'!M107),"data missing",'Soil results'!M107))</f>
        <v/>
      </c>
      <c r="AX104" s="239" t="str">
        <f t="shared" ca="1" si="27"/>
        <v/>
      </c>
      <c r="AY104" s="9" t="str">
        <f ca="1">IF(B104="","",
IF(AV104=0,"n/a",
IF(OR(AV104="data missing",AW104="data missing"),"data missing",
IF(AV104&gt;7.5,"application rate too high - permissible rate exceeds limit",
IF('Soil results'!$F107&lt;=5.5,
  IF(AW104&gt;80,"no application - soil conc. already above limit",
  IF(AX104&gt;80,"application rate too high - soil conc. will exceed limit",
  IF(AW104&gt;80*0.9,"soil conc. is at or above 90% of the limit",
  IF(10*AV104*1000/3000+AW104&gt;80,"soil limit likely to be exceeded in 10yrs",
  IF(50*AV104*1000/3000+AW104&gt;80,"soil limit likely to be exceeded in 50yrs","ok"))))),
IF('Soil results'!$F107&lt;=6,
  IF(AW104&gt;100,"no application - soil conc. already above limit",
  IF(AX104&gt;100,"application rate too high - soil conc. will exceed limit",
  IF(AW104&gt;100*0.9,"soil conc. is at or above 90% of the limit",
  IF(10*AV104*1000/3000+AW104&gt;100,"soil limit likely to be exceeded in 10yrs",
  IF(50*AV104*1000/3000+AW104&gt;100,"soil limit likely to be exceeded in 50yrs","ok"))))),
IF('Soil results'!$F107&lt;=7,
  IF(AW104&gt;135,"no application - soil conc. already above limit",
  IF(AX104&gt;135,"application rate too high - soil conc. will exceed limit",
  IF(AW104&gt;135*0.9,"soil conc. is at or above 90% of the limit",
  IF(10*AV104*1000/3000+AW104&gt;135,"soil limit likely to be exceeded in 10yrs",
  IF(50*AV104*1000/3000+AW104&gt;135,"soil limit likely to be exceeded in 50yrs","ok"))))),
IF('Soil results'!$F107&gt;7,
  IF(AW104&gt;200,"no application - soil conc. already above limit",
  IF(AX104&gt;200,"application too high - soil conc. will exceed limit",
  IF(AW104&gt;200*0.9,"soil conc. is at or above 90% of the limit",
  IF(10*AV104*1000/3000+AW104&gt;200,"soil limit likely to be exceeded in 10yrs",
  IF(50*AV104*1000/3000+AW104&gt;200,"soil limit likely to be exceeded in 50yrs","ok")))))
))))))))</f>
        <v/>
      </c>
      <c r="BA104" s="238" t="str">
        <f ca="1">IF(B104="","",
IF(AND('Field information 2'!$O$5="", 'Field information 2'!$Q$5=""),
   IF('Waste results'!$S$28&lt;&gt;"data missing", Calc!BC102*'Waste results'!$S$28, "data missing"),
IF('Field information 2'!$Q$5="",
   IF(Calc!BD102=0,
     IF('Waste results'!$S$28&lt;&gt;"data missing", Calc!BC102*'Waste results'!$S$28, "data missing"),
   IF(Calc!BC102=0,
     IF('Waste results'!$S$64&lt;&gt;"data missing", Calc!BD102*'Waste results'!$S$64, "data missing"),
   IF(OR('Waste results'!$S$28&lt;&gt;"data missing", 'Waste results'!$S$64&lt;&gt;"data missing"), Calc!BC102*'Waste results'!$S$28+ Calc!BD102*'Waste results'!$S$64, "data missing"))),
IF(AND('Field information 2'!$M$5&lt;&gt;"", 'Field information 2'!$O$5&lt;&gt;"", 'Field information 2'!$Q$5&lt;&gt;""),
   IF(AND(Calc!BD102=0,Calc!BE102=0),
     IF('Waste results'!$S$28&lt;&gt;"data missing", Calc!BC102*'Waste results'!$S$28, "data missing"),
   IF(AND(Calc!BC102=0,Calc!BE102=0),
     IF('Waste results'!$S$64&lt;&gt;"data missing", Calc!BD102*'Waste results'!$S$64, "data missing"),
   IF(AND(Calc!BC102=0,Calc!BD102=0),
     IF('Waste results'!$S$100&lt;&gt;"data missing", Calc!BE102*'Waste results'!$S$100, "data missing"),
   IF(Calc!BE102=0,
     IF(OR('Waste results'!$S$28&lt;&gt;"data missing", 'Waste results'!$S$64&lt;&gt;"data missing"), Calc!BC102*'Waste results'!$S$28+ Calc!BD102*'Waste results'!$S$64, "data missing"),
   IF(Calc!BD102=0,
     IF(OR('Waste results'!$S$28&lt;&gt;"data missing", 'Waste results'!$S$100&lt;&gt;"data missing"), Calc!BC102*'Waste results'!$S$28+ Calc!BE102*'Waste results'!$S$100, "data missing"),
   IF(Calc!BC102=0,
     IF(OR('Waste results'!$S$64&lt;&gt;"data missing", 'Waste results'!$S$100&lt;&gt;"data missing"), Calc!BD102*'Waste results'!$S$64+Calc!BE102*'Waste results'!$S$100, "data missing"),
   IF(OR('Waste results'!$S$28&lt;&gt;"data missing", 'Waste results'!$S$64&lt;&gt;"data missing", 'Waste results'!$S$100&lt;&gt;"data missing"), Calc!BC102*'Waste results'!$S$28+Calc!BD102*'Waste results'!$S$64+ Calc!BE102*'Waste results'!$S$100, "data missing")))))))))))</f>
        <v/>
      </c>
      <c r="BB104" s="239" t="str">
        <f ca="1">IF($B104="","",
IF(ISBLANK('Soil results'!N107),"data missing",'Soil results'!N107))</f>
        <v/>
      </c>
      <c r="BC104" s="239" t="str">
        <f t="shared" ca="1" si="28"/>
        <v/>
      </c>
      <c r="BD104" s="9" t="str">
        <f t="shared" ca="1" si="29"/>
        <v/>
      </c>
      <c r="BF104" s="238" t="str">
        <f ca="1">IF(B104="","",
IF(AND('Field information 2'!$O$5="", 'Field information 2'!$Q$5=""),
   IF('Waste results'!$S$29&lt;&gt;"data missing", Calc!BC102*'Waste results'!$S$29, "data missing"),
IF('Field information 2'!$Q$5="",
   IF(Calc!BD102=0,
     IF('Waste results'!$S$29&lt;&gt;"data missing", Calc!BC102*'Waste results'!$S$29, "data missing"),
   IF(Calc!BC102=0,
     IF('Waste results'!$S$65&lt;&gt;"data missing", Calc!BD102*'Waste results'!$S$65, "data missing"),
   IF(OR('Waste results'!$S$29&lt;&gt;"data missing", 'Waste results'!$S$65&lt;&gt;"data missing"), Calc!BC102*'Waste results'!$S$29+ Calc!BD102*'Waste results'!$S$65, "data missing"))),
IF(AND('Field information 2'!$M$5&lt;&gt;"", 'Field information 2'!$O$5&lt;&gt;"", 'Field information 2'!$Q$5&lt;&gt;""),
   IF(AND(Calc!BD102=0,Calc!BE102=0),
     IF('Waste results'!$S$29&lt;&gt;"data missing", Calc!BC102*'Waste results'!$S$29, "data missing"),
   IF(AND(Calc!BC102=0,Calc!BE102=0),
     IF('Waste results'!$S$65&lt;&gt;"data missing", Calc!BD102*'Waste results'!$S$65, "data missing"),
   IF(AND(Calc!BC102=0,Calc!BD102=0),
     IF('Waste results'!$S$101&lt;&gt;"data missing", Calc!BE102*'Waste results'!$S$101, "data missing"),
   IF(Calc!BE102=0,
     IF(OR('Waste results'!$S$29&lt;&gt;"data missing", 'Waste results'!$S$65&lt;&gt;"data missing"), Calc!BC102*'Waste results'!$S$29+ Calc!BD102*'Waste results'!$S$65, "data missing"),
   IF(Calc!BD102=0,
     IF(OR('Waste results'!$S$29&lt;&gt;"data missing", 'Waste results'!$S$101&lt;&gt;"data missing"), Calc!BC102*'Waste results'!$S$29+ Calc!BE102*'Waste results'!$S$101, "data missing"),
   IF(Calc!BC102=0,
     IF(OR('Waste results'!$S$65&lt;&gt;"data missing", 'Waste results'!$S$101&lt;&gt;"data missing"), Calc!BD102*'Waste results'!$S$65+Calc!BE102*'Waste results'!$S$101, "data missing"),
   IF(OR('Waste results'!$S$29&lt;&gt;"data missing", 'Waste results'!$S$65&lt;&gt;"data missing", 'Waste results'!$S$101&lt;&gt;"data missing"), Calc!BC102*'Waste results'!$S$29+Calc!BD102*'Waste results'!$S$65+ Calc!BE102*'Waste results'!$S$101, "data missing")))))))))))</f>
        <v/>
      </c>
      <c r="BG104" s="239" t="str">
        <f ca="1">IF($B104="","",
IF(ISBLANK('Soil results'!O107),"data missing",'Soil results'!O107))</f>
        <v/>
      </c>
      <c r="BH104" s="239" t="str">
        <f t="shared" ca="1" si="30"/>
        <v/>
      </c>
      <c r="BI104" s="9" t="str">
        <f ca="1">IF(B104="","",
IF(BF104=0,"n/a",
IF(OR(BF104="data missing",BG104="data missing"),"data missing",
IF(BF104&gt;3,"application rate too high - permissible rate exceeds limit",
IF('Soil results'!F107&lt;=5.5,
  IF(BG104&gt;50,"no application - soil conc. already above limit",
  IF(BH104&gt;50,"application rate too high - soil conc. will exceed limit",
  IF(BG104&gt;50*0.9,"soil conc. is at or above 90% of the limit",
  IF(10*BF104*1000/3000+BG104&gt;50,"soil limit likely to be exceeded in 10yrs",
  IF(50*BF104*1000/3000+BG104&gt;50,"soil limit likely to be exceeded in 50yrs","ok"))))),
IF('Soil results'!F107&lt;=6,
  IF(BG104&gt;60,"no application - soil conc. already above limit",
  IF(BH104&gt;60,"application rate too high - soil conc. will exceed limit",
  IF(BG104&gt;60*0.9,"soil conc. is at or above 90% of the limit",
  IF(10*BF104*1000/3000+BG104&gt;60,"soil limit likely to be exceeded in 10yrs",
  IF(50*BF104*1000/3000+BG104&gt;60,"soil limit likely to be exceeded in 50yrs","ok"))))),
IF('Soil results'!F107&lt;=7,
  IF(BG104&gt;75,"no application - soil conc. already above limit",
  IF(BH104&gt;75,"application rate too high - soil conc. will exceed limit",
  IF(BG104&gt;75*0.9,"soil conc. is at or above 90% of the limit",
  IF(10*BF104*1000/3000+BG104&gt;75,"soil limit likely to be exceeded in 10yrs",
  IF(50*BF104*1000/3000+BG104&gt;75,"soil limit likely to be exceeded in 50yrs","ok"))))),
IF('Soil results'!F107&gt;7,
  IF(BG104&gt;100,"no application - soil conc. already above limit",
  IF(BH104&gt;100,"application rate too high - soil conc. will exceed limit",
  IF(BG104&gt;100*0.9,"soil conc. is at or above 90% of the limit",
  IF(10*BF104*1000/3000+BG104&gt;100,"soil limit likely to be exceeded in 10yrs",
  IF(50*BF104*1000/3000+BG104&gt;100,"soil limit likely to beexceeded in 50yrs","ok")))))
))))))))</f>
        <v/>
      </c>
      <c r="BK104" s="240" t="str">
        <f ca="1">IF(B104="","",
IF(AND('Field information 2'!$O$5="", 'Field information 2'!$Q$5=""),
   IF('Waste results'!$S$30&lt;&gt;"data missing", Calc!BC102*'Waste results'!$S$30, "data missing"),
IF('Field information 2'!$Q$5="",
   IF(Calc!BD102=0,
     IF('Waste results'!$S$30&lt;&gt;"data missing", Calc!BC102*'Waste results'!$S$30, "data missing"),
   IF(Calc!BC102=0,
     IF('Waste results'!$S$66&lt;&gt;"data missing", Calc!BD102*'Waste results'!$S$66, "data missing"),
   IF(OR('Waste results'!$S$30&lt;&gt;"data missing", 'Waste results'!$S$66&lt;&gt;"data missing"), Calc!BC102*'Waste results'!$S$30+ Calc!BD102*'Waste results'!$S$66, "data missing"))),
IF(AND('Field information 2'!$M$5&lt;&gt;"", 'Field information 2'!$O$5&lt;&gt;"", 'Field information 2'!$Q$5&lt;&gt;""),
   IF(AND(Calc!BD102=0,Calc!BE102=0),
     IF('Waste results'!$S$30&lt;&gt;"data missing", Calc!BC102*'Waste results'!$S$30, "data missing"),
   IF(AND(Calc!BC102=0,Calc!BE102=0),
     IF('Waste results'!$S$66&lt;&gt;"data missing", Calc!BD102*'Waste results'!$S$66, "data missing"),
   IF(AND(Calc!BC102=0,Calc!BD102=0),
     IF('Waste results'!$S$102&lt;&gt;"data missing", Calc!BE102*'Waste results'!$S$102, "data missing"),
   IF(Calc!BE102=0,
     IF(OR('Waste results'!$S$30&lt;&gt;"data missing", 'Waste results'!$S$66&lt;&gt;"data missing"), Calc!BC102*'Waste results'!$S$30+ Calc!BD102*'Waste results'!$S$66, "data missing"),
   IF(Calc!BD102=0,
     IF(OR('Waste results'!$S$30&lt;&gt;"data missing", 'Waste results'!$S$102&lt;&gt;"data missing"), Calc!BC102*'Waste results'!$S$30+ Calc!BE102*'Waste results'!$S$102, "data missing"),
   IF(Calc!BC102=0,
     IF(OR('Waste results'!$S$66&lt;&gt;"data missing", 'Waste results'!$S$102&lt;&gt;"data missing"), Calc!BD102*'Waste results'!$S$66+Calc!BE102*'Waste results'!$S$102, "data missing"),
   IF(OR('Waste results'!$S$30&lt;&gt;"data missing", 'Waste results'!$S$66&lt;&gt;"data missing", 'Waste results'!$S$102&lt;&gt;"data missing"), Calc!BC102*'Waste results'!$S$30+Calc!BD102*'Waste results'!$S$66+ Calc!BE102*'Waste results'!$S$102, "data missing")))))))))))</f>
        <v/>
      </c>
      <c r="BL104" s="241" t="str">
        <f ca="1">IF($B104="","",
IF(ISBLANK('Soil results'!P107),"data missing",'Soil results'!P107))</f>
        <v/>
      </c>
      <c r="BM104" s="241" t="str">
        <f t="shared" ca="1" si="31"/>
        <v/>
      </c>
      <c r="BN104" s="66" t="str">
        <f t="shared" ca="1" si="32"/>
        <v/>
      </c>
      <c r="BP104" s="238" t="str">
        <f ca="1">IF(B104="","",
IF(AND('Field information 2'!$O$5="", 'Field information 2'!$Q$5=""),
   IF('Waste results'!$S$31&lt;&gt;"data missing", Calc!BC102*'Waste results'!$S$31, "data missing"),
IF('Field information 2'!$Q$5="",
   IF(Calc!BD102=0,
     IF('Waste results'!$S$31&lt;&gt;"data missing", Calc!BC102*'Waste results'!$S$31, "data missing"),
   IF(Calc!BC102=0,
     IF('Waste results'!$S$67&lt;&gt;"data missing", Calc!BD102*'Waste results'!$S$67, "data missing"),
   IF(OR('Waste results'!$S$31&lt;&gt;"data missing", 'Waste results'!$S$67&lt;&gt;"data missing"), Calc!BC102*'Waste results'!$S$31+ Calc!BD102*'Waste results'!$S$67, "data missing"))),
IF(AND('Field information 2'!$M$5&lt;&gt;"", 'Field information 2'!$O$5&lt;&gt;"", 'Field information 2'!$Q$5&lt;&gt;""),
   IF(AND(Calc!BD102=0,Calc!BE102=0),
     IF('Waste results'!$S$31&lt;&gt;"data missing", Calc!BC102*'Waste results'!$S$31, "data missing"),
   IF(AND(Calc!BC102=0,Calc!BE102=0),
     IF('Waste results'!$S$67&lt;&gt;"data missing", Calc!BD102*'Waste results'!$S$67, "data missing"),
   IF(AND(Calc!BC102=0,Calc!BD102=0),
     IF('Waste results'!$S$103&lt;&gt;"data missing", Calc!BE102*'Waste results'!$S$103, "data missing"),
   IF(Calc!BE102=0,
     IF(OR('Waste results'!$S$31&lt;&gt;"data missing", 'Waste results'!$S$67&lt;&gt;"data missing"), Calc!BC102*'Waste results'!$S$31+ Calc!BD102*'Waste results'!$S$67, "data missing"),
   IF(Calc!BD102=0,
     IF(OR('Waste results'!$S$31&lt;&gt;"data missing", 'Waste results'!$S$103&lt;&gt;"data missing"), Calc!BC102*'Waste results'!$S$31+ Calc!BE102*'Waste results'!$S$103, "data missing"),
   IF(Calc!BC102=0,
     IF(OR('Waste results'!$S$67&lt;&gt;"data missing", 'Waste results'!$S$103&lt;&gt;"data missing"), Calc!BD102*'Waste results'!$S$67+Calc!BE102*'Waste results'!$S$103, "data missing"),
   IF(OR('Waste results'!$S$31&lt;&gt;"data missing", 'Waste results'!$S$67&lt;&gt;"data missing", 'Waste results'!$S$103&lt;&gt;"data missing"), Calc!BC102*'Waste results'!$S$31+Calc!BD102*'Waste results'!$S$67+ Calc!BE102*'Waste results'!$S$103, "data missing")))))))))))</f>
        <v/>
      </c>
      <c r="BQ104" s="239" t="str">
        <f ca="1">IF($B104="","",
IF(ISBLANK('Soil results'!Q107),"data missing",'Soil results'!Q107))</f>
        <v/>
      </c>
      <c r="BR104" s="239" t="str">
        <f t="shared" ca="1" si="33"/>
        <v/>
      </c>
      <c r="BS104" s="9" t="str">
        <f ca="1">IF(B104="","",
IF(BP104=0,"n/a",
IF(OR(BP104="data missing",BQ104=""),"data missing",
IF(BP104&gt;15,"application rate too high - permissible rate exceeds limit",
IF('Soil results'!F107&lt;=5.5,
  IF(BQ104&gt;200,"no application - soil conc. already above limit",
  IF(BR104&gt;200,"application rate too high - soil conc. will exceed limit",
  IF(BQ104&gt;200*0.9,"soil conc. is at or above 90% of the limit",
  IF(10*BP104*1000/3000+BQ104&gt;200,"soil limit likely to be exceeded in 10yrs",
  IF(50*BP104*1000/3000+BQ104&gt;200,"soil limit likely to be exceeded in 50yrs","ok"))))),
IF('Soil results'!F107&lt;=6,
  IF(BQ104&gt;250,"no application - soil conc. already above limit",
  IF(BR104&gt;250,"application rate too high - soil conc. will exceed limit",
  IF(BQ104&gt;250*0.9,"soil conc. is at or above 90% of the limit",
  IF(10*BP104*1000/3000+BQ104&gt;250,"soil limit likely to be exceeded in 10yrs",
  IF(50*BP104*1000/3000+BQ104&gt;250,"soil limit likely to be exceeded in 50yrs","ok"))))),
IF('Soil results'!F107&lt;=7,
  IF(BQ104&gt;300,"no application - soil conc. already above limit",
  IF(BR104&gt;300,"application rate too high - soil conc. will exceed limit",
  IF(BQ104&gt;300*0.9,"soil conc. is at or above 90% of the limit",
  IF(10*BP104*1000/3000+BQ104&gt;300,"soil limit likey to be exceeded in 10yrs",
  IF(50*BP104*1000/3000+BQ104&gt;300,"soil limit likely to be exceeded in 50yrs","ok"))))),
IF('Soil results'!F107&gt;7,
  IF(BQ104&gt;450,"no application - soil conc. already above limit",
  IF(BR104&gt;450,"application rate too high - soil conc. will exceed limit",
  IF(AW104&gt;450*0.9,"soil conc. is at or above 90% of the limit",
  IF(10*BP104*1000/3000+BQ104&gt;450,"soil limit likely to be exceeded in 10yrs",
  IF(50*BP104*1000/3000+BQ104&gt;450,"soil limit likely to be exceeded in 50yrs","ok")))))
))))))))</f>
        <v/>
      </c>
    </row>
    <row r="105" spans="2:71" s="9" customFormat="1" ht="15" x14ac:dyDescent="0.25">
      <c r="B105" s="236" t="str">
        <f ca="1">'Soil results'!B108</f>
        <v/>
      </c>
      <c r="C105" s="91" t="str">
        <f ca="1">IF(B105="","",
IF(AND('Field information 2'!$O$5="", 'Field information 2'!$Q$5=""),
   IF('Waste results'!$S$12&lt;&gt;"data missing", Calc!BC103*'Waste results'!$S$12, "data missing"),
IF('Field information 2'!$Q$5="",
   IF(Calc!BD103=0,
     IF('Waste results'!$S$12&lt;&gt;"data missing", Calc!BC103*'Waste results'!$S$12, "data missing"),
   IF(Calc!BC103=0,
     IF('Waste results'!$S$48&lt;&gt;"data missing", Calc!BD103*'Waste results'!$S$48, "data missing"),
   IF(OR('Waste results'!$S$12&lt;&gt;"data missing", 'Waste results'!$S$48&lt;&gt;"data missing"), Calc!BC103*'Waste results'!$S$12+ Calc!BD103*'Waste results'!$S$48, "data missing"))),
IF(AND('Field information 2'!$M$5&lt;&gt;"", 'Field information 2'!$O$5&lt;&gt;"", 'Field information 2'!$Q$5&lt;&gt;""),
   IF(AND(Calc!BD103=0,Calc!BE103=0),
     IF('Waste results'!$S$12&lt;&gt;"data missing", Calc!BC103*'Waste results'!$S$12, "data missing"),
   IF(AND(Calc!BC103=0,Calc!BE103=0),
     IF('Waste results'!$S$48&lt;&gt;"data missing", Calc!BD103*'Waste results'!$S$48, "data missing"),
   IF(AND(Calc!BC103=0,Calc!BD103=0),
     IF('Waste results'!$S$84&lt;&gt;"data missing", Calc!BE103*'Waste results'!$S$84, "data missing"),
   IF(Calc!BE103=0,
     IF(OR('Waste results'!$S$12&lt;&gt;"data missing", 'Waste results'!$S$48&lt;&gt;"data missing"), Calc!BC103*'Waste results'!$S$12+ Calc!BD103*'Waste results'!$S$48, "data missing"),
   IF(Calc!BD103=0,
     IF(OR('Waste results'!$S$12&lt;&gt;"data missing", 'Waste results'!$S$84&lt;&gt;"data missing"), Calc!BC103*'Waste results'!$S$12+ Calc!BE103*'Waste results'!$S$84, "data missing"),
   IF(Calc!BC103=0,
     IF(OR('Waste results'!$S$48&lt;&gt;"data missing", 'Waste results'!$S$84&lt;&gt;"data missing"), Calc!BD103*'Waste results'!$S$48+Calc!BE103*'Waste results'!$S$84, "data missing"),
   IF(OR('Waste results'!$S$12&lt;&gt;"data missing", 'Waste results'!$S$48&lt;&gt;"data missing", 'Waste results'!$S$84&lt;&gt;"data missing"), Calc!BC103*'Waste results'!$S$12+Calc!BD103*'Waste results'!$S$48+ Calc!BE103*'Waste results'!$S$84, "data missing")))))))))))</f>
        <v/>
      </c>
      <c r="D105" s="161" t="str">
        <f ca="1">IF(B105="","",
IF(Calc!BG103="","soil texture missing",
IF(OR(Calc!BG103="SL; SZL; ZL",Calc!BG103="SCL; CL; ZCL; SC; ZC; C"),VLOOKUP(Calc!BI103,'Fertiliser recommendations'!$A$4:$C$63,3,FALSE),
IF(Calc!BG103="S; LS",VLOOKUP(Calc!BI103,'Fertiliser recommendations'!$A$4:$C$63,3,FALSE)+VLOOKUP(Calc!BI103,'Fertiliser recommendations'!$A$4:$D$63,4,FALSE),
IF(Calc!BG103="10-25% OM",VLOOKUP(Calc!BI103,'Fertiliser recommendations'!$A$4:$C$63,3,FALSE)+VLOOKUP(Calc!BI103,'Fertiliser recommendations'!$A$4:$E$63,5,FALSE),
IF(Calc!BG103="&gt;25% OM",VLOOKUP(Calc!BI103,'Fertiliser recommendations'!$A$4:$C$63,3,FALSE)+VLOOKUP(Calc!BI103,'Fertiliser recommendations'!$A$4:$F$63,6,FALSE),
""))))))</f>
        <v/>
      </c>
      <c r="E105" s="91" t="str">
        <f t="shared" ca="1" si="17"/>
        <v/>
      </c>
      <c r="F105" s="9" t="str">
        <f ca="1">IF(B105="","",
IF(OR(C105="data missing",D105="soil texture missing"),"data missing",
IF(Calc!BF103=0,"n/a",
IF(C105&lt;0.1*D105,"no benefit",
IF(C105&lt;0.3*D105,"limited benefit",
IF(C105&gt;250,"exceeds limit",
IF(OR(AND(D105=0,C105&gt;75),C105&gt;1.25*D105),"excessive",
IF(D105=0, "no requirement",
"benefit"))))))))</f>
        <v/>
      </c>
      <c r="H105" s="91" t="str">
        <f ca="1">IF(B105="","",
IF(AND('Field information 2'!$O$5="", 'Field information 2'!$Q$5=""),
   IF('Waste results'!$S$17&lt;&gt;"data missing", Calc!BC103*'Waste results'!$S$17, "data missing"),
IF('Field information 2'!$Q$5="",
   IF(Calc!BD103=0,
     IF('Waste results'!$S$17&lt;&gt;"data missing", Calc!BC103*'Waste results'!$S$17, "data missing"),
   IF(Calc!BC103=0,
     IF('Waste results'!$S$53&lt;&gt;"data missing", Calc!BD103*'Waste results'!$S$53, "data missing"),
   IF(OR('Waste results'!$S$17&lt;&gt;"data missing", 'Waste results'!$S$53&lt;&gt;"data missing"), Calc!BC103*'Waste results'!$S$17+ Calc!BD103*'Waste results'!$S$53, "data missing"))),
IF(AND('Field information 2'!$M$5&lt;&gt;"", 'Field information 2'!$O$5&lt;&gt;"", 'Field information 2'!$Q$5&lt;&gt;""),
   IF(AND(Calc!BD103=0,Calc!BE103=0),
     IF('Waste results'!$S$17&lt;&gt;"data missing", Calc!BC103*'Waste results'!$S$17, "data missing"),
   IF(AND(Calc!BC103=0,Calc!BE103=0),
     IF('Waste results'!$S$53&lt;&gt;"data missing", Calc!BD103*'Waste results'!$S$53, "data missing"),
   IF(AND(Calc!BC103=0,Calc!BD103=0),
     IF('Waste results'!$S$89&lt;&gt;"data missing", Calc!BE103*'Waste results'!$S$89, "data missing"),
   IF(Calc!BE103=0,
     IF(OR('Waste results'!$S$17&lt;&gt;"data missing", 'Waste results'!$S$53&lt;&gt;"data missing"), Calc!BC103*'Waste results'!$S$17+ Calc!BD103*'Waste results'!$S$53, "data missing"),
   IF(Calc!BD103=0,
     IF(OR('Waste results'!$S$17&lt;&gt;"data missing", 'Waste results'!$S$89&lt;&gt;"data missing"), Calc!BC103*'Waste results'!$S$17+ Calc!BE103*'Waste results'!$S$89, "data missing"),
   IF(Calc!BC103=0,
     IF(OR('Waste results'!$S$53&lt;&gt;"data missing", 'Waste results'!$S$89&lt;&gt;"data missing"), Calc!BD103*'Waste results'!$S$53+Calc!BE103*'Waste results'!$S$89, "data missing"),
   IF(OR('Waste results'!$S$17&lt;&gt;"data missing", 'Waste results'!$S$53&lt;&gt;"data missing", 'Waste results'!$S$89&lt;&gt;"data missing"), Calc!BC103*'Waste results'!$S$17+Calc!BD103*'Waste results'!$S$53+ Calc!BE103*'Waste results'!$S$89, "data missing")))))))))))</f>
        <v/>
      </c>
      <c r="I105" s="195" t="str">
        <f ca="1">IF(B105="","",
IF(OR(ISBLANK('Soil results'!G108), ISBLANK('Soil results'!G$7)),"data missing",
IF(OR(AND('Soil results'!G$7="Olsen (ADAS)",'Soil results'!G108&lt;16),AND('Soil results'!G$7="modified Morgan (SAC)",'Soil results'!G108&lt;4.5)),50,100)))</f>
        <v/>
      </c>
      <c r="J105" s="49" t="str">
        <f ca="1">IF(B105="","",
IF(OR(ISBLANK('Soil results'!G$7),ISBLANK('Soil results'!G108)),"data missing",
IF(OR(AND('Soil results'!G$7="Olsen (ADAS)",'Soil results'!G108&gt;45),AND('Soil results'!G$7="modified Morgan (SAC)",'Soil results'!G108&gt;30)),0,
IF(OR(AND('Soil results'!G$7="Olsen (ADAS)",'Soil results'!G108&gt;=16,'Soil results'!G108&lt;=20),AND('Soil results'!G$7="modified Morgan (SAC)",'Soil results'!G108&gt;=4.5,'Soil results'!G108&lt;=9.4)),VLOOKUP(Calc!BI103,'Fertiliser recommendations'!$A$4:$I$63,9,FALSE),
IF(OR(AND('Soil results'!G$7="Olsen (ADAS)",'Soil results'!G108&lt;10),AND('Soil results'!G$7="modified Morgan (SAC)",'Soil results'!G108&lt;1.8)),VLOOKUP(Calc!BI103,'Fertiliser recommendations'!$A$4:$I$63,9,FALSE)+VLOOKUP(Calc!BI103,'Fertiliser recommendations'!$A$4:$J$63,10,FALSE),
IF(OR(AND('Soil results'!G$7="Olsen (ADAS)",'Soil results'!G108&lt;16),AND('Soil results'!G$7="modified Morgan (SAC)",'Soil results'!G108&lt;4.5)),VLOOKUP(Calc!BI103,'Fertiliser recommendations'!$A$4:$I$63,9,FALSE)+VLOOKUP(Calc!BI103,'Fertiliser recommendations'!$A$4:$K$63,11,FALSE),
IF(OR(AND('Soil results'!G$7="Olsen (ADAS)",'Soil results'!G108&lt;26),AND('Soil results'!G$7="modified Morgan (SAC)",'Soil results'!G108&lt;13.5)),VLOOKUP(Calc!BI103,'Fertiliser recommendations'!$A$4:$I$63,9,FALSE)+VLOOKUP(Calc!BI103,'Fertiliser recommendations'!$A$4:$L$63,12,FALSE),
IF(OR(AND('Soil results'!G$7="Olsen (ADAS)",'Soil results'!G108&lt;=45),AND('Soil results'!G$7="modified Morgan (SAC)",'Soil results'!G108&lt;=30)),VLOOKUP(Calc!BI103,'Fertiliser recommendations'!$A$4:$I$63,9,FALSE)+VLOOKUP(Calc!BI103,'Fertiliser recommendations'!$A$4:$M$63,13,FALSE),
""))))))))</f>
        <v/>
      </c>
      <c r="K105" s="161" t="str">
        <f t="shared" ca="1" si="18"/>
        <v/>
      </c>
      <c r="L105" s="47" t="str">
        <f ca="1">IF(OR(ISBLANK('Soil results'!G$7),ISBLANK('Soil results'!G108),B105="", H105="data missing"),"",
IF('Soil results'!G$7="Olsen (ADAS)",
IF(((H105*Calc!BM103/2.291-(VLOOKUP(Calc!BI103,'Fertiliser recommendations'!$A$4:$I$63,9,FALSE))/2.291)*10/(400/2.291)+'Soil results'!G108)&lt;10,"0 (VL)",
IF(((H105*Calc!BM103/2.291-(VLOOKUP(Calc!BI103,'Fertiliser recommendations'!$A$4:$I$63,9,FALSE))/2.291)*10/(400/2.291)+'Soil results'!G108)&lt;16,"1 (L)",
IF(((H105*Calc!BM103/2.291-(VLOOKUP(Calc!BI103,'Fertiliser recommendations'!$A$4:$I$63,9,FALSE))/2.291)*10/(400/2.291)+'Soil results'!G108)&lt;21,"2 (M-)",
IF(((H105*Calc!BM103/2.291-(VLOOKUP(Calc!BI103,'Fertiliser recommendations'!$A$4:$I$63,9,FALSE))/2.291)*10/(400/2.291)+'Soil results'!G108)&lt;26,"2 (M+)",
IF(((H105*Calc!BM103/2.291-(VLOOKUP(Calc!BI103,'Fertiliser recommendations'!$A$4:$I$63,9,FALSE))/2.291)*10/(400/2.291)+'Soil results'!G108)&lt;45,"3 (H)","&gt;3 (VH)"))))),
IF('Soil results'!G$7="modified Morgan (SAC)",
IF('Soil results'!G108&gt;=6,
IF(((H105*Calc!BM103/2.291-(VLOOKUP(Calc!BI103,'Fertiliser recommendations'!$A$4:$I$63,9,FALSE))/2.291)*5/(147/2.291)+'Soil results'!G108)&lt;9.5,"2 (M-)",
IF(((H105*Calc!BM103/2.291-(VLOOKUP(Calc!BI103,'Fertiliser recommendations'!$A$4:$I$63,9,FALSE))/2.291)*5/(147/2.291)+'Soil results'!G108)&lt;13.5,"2 (M+)",
IF(((H105*Calc!BM103/2.291-(VLOOKUP(Calc!BI103,'Fertiliser recommendations'!$A$4:$I$63,9,FALSE))/2.291)*5/(147/2.291)+'Soil results'!G108)&lt;30,"3 (H)","4 (VH)"))),
IF(((H105*Calc!BM103/2.291-(VLOOKUP(Calc!BI103,'Fertiliser recommendations'!$A$4:$I$63,9,FALSE))/2.291)*5/(346/2.291)+'Soil results'!G108)&lt;1.8,"0 (VL)",
IF(((H105*Calc!BM103/2.291-(VLOOKUP(Calc!BI103,'Fertiliser recommendations'!$A$4:$I$63,9,FALSE))/2.291)*5/(147/2.291)+'Soil results'!G108)&lt;4.5,"1 (L)","2 (M-)"))))))</f>
        <v/>
      </c>
      <c r="M105" s="9" t="str">
        <f ca="1">IF(B105="","",
IF(OR(H105="data missing",I105="data missing",J105="data missing"),"data missing",
IF(Calc!BF103=0,"n/a",
IF(OR(AND('Soil results'!G$7="Olsen (ADAS)",'Soil results'!G108&gt;45),AND('Soil results'!G$7="modified Morgan (SAC)",'Soil results'!G108&gt;30)),
IF(H105&gt;2,"too high, not acceptable","no requirement"),IF(OR(AND('Soil results'!G$7="Olsen (ADAS)",'Soil results'!G108&gt;25),AND('Soil results'!G$7="modified Morgan (SAC)",'Soil results'!G108&gt;13.4)),
IF(H105*(I105/100)&lt;0.1*J105,"no benefit",
IF(H105*(I105/100)&lt;0.3*J105,"limited benefit",
IF(H105*(I105/100)&lt;1.1*J105,"benefit",
IF(H105*(I105/100)&lt;0.7*VLOOKUP(Calc!BI103,'Fertiliser recommendations'!$A$4:$I$63,9,FALSE),"excessive","too high, not acceptable")))),
IF(OR(AND('Soil results'!G$7="Olsen (ADAS)",'Soil results'!G108&gt;20),AND('Soil results'!G$7="modified Morgan (SAC)",'Soil results'!G108&gt;9.4)),
IF(H105*Calc!BM103*(I105/100)&lt;0.1*J105,"no benefit",
IF(H105*Calc!BM103*(I105/100)&lt;0.3*J105,"limited benefit",
IF(H105*Calc!BM103*(I105/100)&lt;1.1*J105,"benefit",
IF(L105="3 (H)","too high, not acceptable","excessive")))),
IF(OR(AND('Soil results'!G$7="Olsen (ADAS)",'Soil results'!G108&gt;15),AND('Soil results'!G$7="modified Morgan (SAC)",'Soil results'!G108&gt;4.4)),
IF(H105*Calc!BM103*(I105/100)&lt;0.1*VLOOKUP(Calc!BI103,'Fertiliser recommendations'!$A$4:$I$63,9,FALSE),"no benefit",
IF(H105*Calc!BM103*(I105/100)&lt;0.3*VLOOKUP(Calc!BI103,'Fertiliser recommendations'!$A$4:$I$63,9,FALSE),"limited benefit",
IF(H105*Calc!BM103*(I105/100)&lt;1.1*VLOOKUP(Calc!BI103,'Fertiliser recommendations'!$A$4:$I$63,9,FALSE),"benefit",
IF(L105="3 (H)", "too high, not acceptable", "excessive")))),
IF(OR(AND('Soil results'!G$7="Olsen (ADAS)",'Soil results'!G108&lt;=15),AND('Soil results'!G$7="modified Morgan (SAC)",'Soil results'!G108&lt;=4.4)),
IF(H105*Calc!BM103*(I105/100)&lt;0.1*VLOOKUP(Calc!BI103,'Fertiliser recommendations'!$A$4:$I$63,9,FALSE),"no benefit",
IF(H105*Calc!BM103*(I105/100)&lt;0.3*VLOOKUP(Calc!BI103,'Fertiliser recommendations'!$A$4:$I$63,9,FALSE),"limited benefit",
IF(H105*Calc!BM103*(I105/100)&lt;1.1*J105,"benefit","excessive")))))))))))</f>
        <v/>
      </c>
      <c r="O105" s="91" t="str">
        <f ca="1">IF(B105="","",
IF(AND('Field information 2'!$O$5="", 'Field information 2'!$Q$5=""),
   IF('Waste results'!$S$19&lt;&gt;"data missing", Calc!BC103*'Waste results'!$S$19, "data missing"),
IF('Field information 2'!$Q$5="",
   IF(Calc!BD103=0,
     IF('Waste results'!$S$19&lt;&gt;"data missing", Calc!BC103*'Waste results'!$S$19, "data missing"),
   IF(Calc!BC103=0,
     IF('Waste results'!$S$55&lt;&gt;"data missing", Calc!BD103*'Waste results'!$S$55, "data missing"),
   IF(OR('Waste results'!$S$19&lt;&gt;"data missing", 'Waste results'!$S$55&lt;&gt;"data missing"), Calc!BC103*'Waste results'!$S$19+ Calc!BD103*'Waste results'!$S$55, "data missing"))),
IF(AND('Field information 2'!$M$5&lt;&gt;"", 'Field information 2'!$O$5&lt;&gt;"", 'Field information 2'!$Q$5&lt;&gt;""),
   IF(AND(Calc!BD103=0,Calc!BE103=0),
     IF('Waste results'!$S$19&lt;&gt;"data missing", Calc!BC103*'Waste results'!$S$19, "data missing"),
   IF(AND(Calc!BC103=0,Calc!BE103=0),
     IF('Waste results'!$S$55&lt;&gt;"data missing", Calc!BD103*'Waste results'!$S$55, "data missing"),
   IF(AND(Calc!BC103=0,Calc!BD103=0),
     IF('Waste results'!$S$91&lt;&gt;"data missing", Calc!BE103*'Waste results'!$S$91, "data missing"),
   IF(Calc!BE103=0,
     IF(OR('Waste results'!$S$19&lt;&gt;"data missing", 'Waste results'!$S$55&lt;&gt;"data missing"), Calc!BC103*'Waste results'!$S$19+ Calc!BD103*'Waste results'!$S$55, "data missing"),
   IF(Calc!BD103=0,
     IF(OR('Waste results'!$S$19&lt;&gt;"data missing", 'Waste results'!$S$91&lt;&gt;"data missing"), Calc!BC103*'Waste results'!$S$19+ Calc!BE103*'Waste results'!$S$91, "data missing"),
   IF(Calc!BC103=0,
     IF(OR('Waste results'!$S$55&lt;&gt;"data missing", 'Waste results'!$S$91&lt;&gt;"data missing"), Calc!BD103*'Waste results'!$S$55+Calc!BE103*'Waste results'!$S$91, "data missing"),
   IF(OR('Waste results'!$S$19&lt;&gt;"data missing", 'Waste results'!$S$55&lt;&gt;"data missing", 'Waste results'!$S$91&lt;&gt;"data missing"), Calc!BC103*'Waste results'!$S$19+Calc!BD103*'Waste results'!$S$55+ Calc!BE103*'Waste results'!$S$91, "data missing")))))))))))</f>
        <v/>
      </c>
      <c r="P105" s="91" t="str">
        <f ca="1">IF(B105="","",
IF(OR(ISBLANK('Soil results'!H$7),ISBLANK('Soil results'!H108)),"data missing",
IF(OR(AND('Soil results'!H$7="ammonium nitrate (ADAS)",'Soil results'!H108&gt;400),AND('Soil results'!H$7="modified Morgan (SAC)",'Soil results'!H108&gt;400)),0,
IF(OR(AND('Soil results'!H$7="ammonium nitrate (ADAS)",'Soil results'!H108&gt;=121,'Soil results'!H108&lt;=180),AND('Soil results'!H$7="modified Morgan (SAC)",'Soil results'!H108&gt;=76,'Soil results'!H108&lt;=140)),VLOOKUP(Calc!BI103,'Fertiliser recommendations'!$A$4:$Z$63,26,FALSE),
IF(OR(AND('Soil results'!H$7="ammonium nitrate (ADAS)",'Soil results'!H108&lt;61),AND('Soil results'!H$7="modified Morgan (SAC)",'Soil results'!H108&lt;40)),VLOOKUP(Calc!BI103,'Fertiliser recommendations'!$A$4:$Z$63,26,FALSE)+VLOOKUP(Calc!BI103,'Fertiliser recommendations'!$A$4:$AA$63,27,FALSE),
IF(OR(AND('Soil results'!H$7="ammonium nitrate (ADAS)",'Soil results'!H108&lt;121),AND('Soil results'!H$7="modified Morgan (SAC)",'Soil results'!H108&lt;76)),VLOOKUP(Calc!BI103,'Fertiliser recommendations'!$A$4:$Z$63,26,FALSE)+VLOOKUP(Calc!BI103,'Fertiliser recommendations'!$A$4:$AB$63,28,FALSE),
IF(OR(AND('Soil results'!H$7="ammonium nitrate (ADAS)",'Soil results'!H108&lt;241),AND('Soil results'!H$7="modified Morgan (SAC)",'Soil results'!H108&lt;201)),VLOOKUP(Calc!BI103,'Fertiliser recommendations'!$A$4:$Z$63,26,FALSE)+VLOOKUP(Calc!BI103,'Fertiliser recommendations'!$A$4:$AC$63,29,FALSE),
IF(OR(AND('Soil results'!H$7="ammonium nitrate (ADAS)",'Soil results'!H108&lt;=400),AND('Soil results'!H$7="modified Morgan (SAC)",'Soil results'!H108&lt;=400)),VLOOKUP(Calc!BI103,'Fertiliser recommendations'!$A$4:$Z$63,26,FALSE)+VLOOKUP(Calc!BI103,'Fertiliser recommendations'!$A$4:$AD$63,30,FALSE),
"??"))))))))</f>
        <v/>
      </c>
      <c r="Q105" s="91" t="str">
        <f t="shared" ca="1" si="19"/>
        <v/>
      </c>
      <c r="R105" s="9" t="str">
        <f ca="1">IF(B105="","",
IF(OR(O105="data missing",P105="data missing"),"data missing",
IF(Calc!BF103=0,"n/a",
IF(P105=0, "no requirement",
IF(O105&lt;0.1*P105,"no benefit",
IF(O105&lt;0.3*P105,"limited benefit",
IF(O105&gt;1.25*P105,"excessive",
"benefit")))))))</f>
        <v/>
      </c>
      <c r="T105" s="91" t="str">
        <f ca="1">IF(B105="","",
IF(AND('Field information 2'!$O$5="", 'Field information 2'!$Q$5=""),
   IF('Waste results'!$S$21&lt;&gt;"data missing", Calc!BC103*'Waste results'!$S$21, "data missing"),
IF('Field information 2'!$Q$5="",
   IF(Calc!BD103=0,
     IF('Waste results'!$S$21&lt;&gt;"data missing", Calc!BC103*'Waste results'!$S$21, "data missing"),
   IF(Calc!BC103=0,
     IF('Waste results'!$S$57&lt;&gt;"data missing", Calc!BD103*'Waste results'!$S$57, "data missing"),
   IF(OR('Waste results'!$S$21&lt;&gt;"data missing", 'Waste results'!$S$57&lt;&gt;"data missing"), Calc!BC103*'Waste results'!$S$21+ Calc!BD103*'Waste results'!$S$57, "data missing"))),
IF(AND('Field information 2'!$M$5&lt;&gt;"", 'Field information 2'!$O$5&lt;&gt;"", 'Field information 2'!$Q$5&lt;&gt;""),
   IF(AND(Calc!BD103=0,Calc!BE103=0),
     IF('Waste results'!$S$21&lt;&gt;"data missing", Calc!BC103*'Waste results'!$S$21, "data missing"),
   IF(AND(Calc!BC103=0,Calc!BE103=0),
     IF('Waste results'!$S$57&lt;&gt;"data missing", Calc!BD103*'Waste results'!$S$57, "data missing"),
   IF(AND(Calc!BC103=0,Calc!BD103=0),
     IF('Waste results'!$S$93&lt;&gt;"data missing", Calc!BE103*'Waste results'!$S$93, "data missing"),
   IF(Calc!BE103=0,
     IF(OR('Waste results'!$S$21&lt;&gt;"data missing", 'Waste results'!$S$57&lt;&gt;"data missing"), Calc!BC103*'Waste results'!$S$21+ Calc!BD103*'Waste results'!$S$57, "data missing"),
   IF(Calc!BD103=0,
     IF(OR('Waste results'!$S$21&lt;&gt;"data missing", 'Waste results'!$S$93&lt;&gt;"data missing"), Calc!BC103*'Waste results'!$S$21+ Calc!BE103*'Waste results'!$S$93, "data missing"),
   IF(Calc!BC103=0,
     IF(OR('Waste results'!$S$57&lt;&gt;"data missing", 'Waste results'!$S$93&lt;&gt;"data missing"), Calc!BD103*'Waste results'!$S$57+Calc!BE103*'Waste results'!$S$93, "data missing"),
   IF(OR('Waste results'!$S$21&lt;&gt;"data missing", 'Waste results'!$S$57&lt;&gt;"data missing", 'Waste results'!$S$93&lt;&gt;"data missing"), Calc!BC103*'Waste results'!$S$21+Calc!BD103*'Waste results'!$S$57+ Calc!BE103*'Waste results'!$S$93, "data missing")))))))))))</f>
        <v/>
      </c>
      <c r="U105" s="7" t="str">
        <f ca="1">IF(B105="","",
IF(OR(ISBLANK('Soil results'!I$7),ISBLANK('Soil results'!I108)),"data missing",
IF(OR(AND('Soil results'!I$7="ammonium nitrate (ADAS)",'Soil results'!I108&gt;51),AND('Soil results'!I$7="modified Morgan (SAC)",'Soil results'!I108&gt;61)),0,
IF(OR(AND('Soil results'!I$7="ammonium nitrate (ADAS)",'Soil results'!I108&lt;25),AND('Soil results'!I$7="modified Morgan (SAC)",'Soil results'!I108&lt;19)),VLOOKUP(Calc!BI103,'Fertiliser recommendations'!$A$4:$AH$63,34,FALSE),
IF(OR(AND('Soil results'!I$7="ammonium nitrate (ADAS)",'Soil results'!I108&lt;=51),AND('Soil results'!I$7="modified Morgan (SAC)",'Soil results'!I108&lt;=61)),VLOOKUP(Calc!BI103,'Fertiliser recommendations'!$A$4:$AI$63,35,FALSE),
"")))))</f>
        <v/>
      </c>
      <c r="V105" s="91" t="str">
        <f t="shared" ca="1" si="20"/>
        <v/>
      </c>
      <c r="W105" s="9" t="str">
        <f ca="1">IF(B105="","",
IF(OR(T105="data missing",U105="data missing"),"data missing",
IF(Calc!BF103=0,"n/a",
IF(U105=0,"no requirement",
IF(T105&lt;0.1*U105,"no benefit",
IF(T105&lt;0.3*U105,"limited benefit",
IF(OR(T105&gt;1.5*U105,AND(Calc!BJ103="g",T105&gt;100)),"excessive",
"benefit")))))))</f>
        <v/>
      </c>
      <c r="Y105" s="91" t="str">
        <f ca="1">IF(B105="","",
IF(AND('Field information 2'!$O$5="", 'Field information 2'!$Q$5=""),
   IF('Waste results'!$P$23&lt;&gt;"", Calc!BC103*'Waste results'!$P$23, "no data"),
IF('Field information 2'!$Q$5="",
   IF(Calc!BD103=0,
     IF('Waste results'!$P$23&lt;&gt;"", Calc!BC103*'Waste results'!$P$23, "no data"),
   IF(Calc!BC103=0,
     IF('Waste results'!$P$59&lt;&gt;"", Calc!BD103*'Waste results'!$P$59, "no data"),
   IF(OR('Waste results'!$P$23&lt;&gt;"", 'Waste results'!$P$59&lt;&gt;""), Calc!BC103*'Waste results'!$P$23+ Calc!BD103*'Waste results'!$P$59, "no data"))),
IF(AND('Field information 2'!$M$5&lt;&gt;"", 'Field information 2'!$O$5&lt;&gt;"", 'Field information 2'!$Q$5&lt;&gt;""),
   IF(AND(Calc!BD103=0,Calc!BE103=0),
     IF('Waste results'!$P$23&lt;&gt;"", Calc!BC103*'Waste results'!$P$23, "no data"),
   IF(AND(Calc!BC103=0,Calc!BE103=0),
     IF('Waste results'!$P$59&lt;&gt;"", Calc!BD103*'Waste results'!$P$59, "no data"),
   IF(AND(Calc!BC103=0,Calc!BD103=0),
     IF('Waste results'!$P$95&lt;&gt;"", Calc!BE103*'Waste results'!$P$95, "no data"),
   IF(Calc!BE103=0,
     IF(OR('Waste results'!$P$23&lt;&gt;"", 'Waste results'!$P$59&lt;&gt;""), Calc!BC103*'Waste results'!$P$23+ Calc!BD103*'Waste results'!$P$59, "no data"),
   IF(Calc!BD103=0,
     IF(OR('Waste results'!$P$23&lt;&gt;"", 'Waste results'!$P$95&lt;&gt;""), Calc!BC103*'Waste results'!$P$23+ Calc!BE103*'Waste results'!$P$95, "no data"),
   IF(Calc!BC103=0,
     IF(OR('Waste results'!$P$59&lt;&gt;"", 'Waste results'!$P$95&lt;&gt;""), Calc!BD103*'Waste results'!$P$59+Calc!BE103*'Waste results'!$P$95, "no data"),
   IF(OR('Waste results'!$P$23&lt;&gt;"", 'Waste results'!$P$59&lt;&gt;"", 'Waste results'!$P$95&lt;&gt;""), Calc!BC103*'Waste results'!$P$23+Calc!BD103*'Waste results'!$P$59+ Calc!BE103*'Waste results'!$P$95, "no data")))))))))))</f>
        <v/>
      </c>
      <c r="Z105" s="7" t="str">
        <f ca="1">IF(OR(ISBLANK('Soil results'!I$7),ISBLANK('Soil results'!I108),'Soil results'!B108=""),"",
VLOOKUP(Calc!BI103,'Fertiliser recommendations'!$A$4:$AM$63,39,FALSE))</f>
        <v/>
      </c>
      <c r="AA105" s="91" t="str">
        <f t="shared" ca="1" si="21"/>
        <v/>
      </c>
      <c r="AB105" s="9" t="str">
        <f t="shared" ca="1" si="22"/>
        <v/>
      </c>
      <c r="AD105" s="48" t="str">
        <f>IF(ISBLANK('Soil results'!F108),"",'Soil results'!F108)</f>
        <v/>
      </c>
      <c r="AE105" s="49" t="str">
        <f ca="1">IF(B105="","",
IF(AND(Calc!BJ103="g", VLOOKUP(LEFT($B105,LEN($B105)-2),'Field information 2'!$B$12:$P$111,9,FALSE)&lt;&gt;"yes"),
 IF(Calc!BG103="10-25% OM", 5.9, IF(Calc!BG103="&gt;25% OM", 5.5, 6.2)),
IF(OR(Calc!BJ103="a", VLOOKUP(LEFT($B105,LEN($B105)-2),'Field information 2'!$B$12:$P$111,9,FALSE)="yes"),
 IF(Calc!BG103="10-25% OM", 6.4, IF(Calc!BG103="&gt;25% OM", 6, 6.7)), "")))</f>
        <v/>
      </c>
      <c r="AF105" s="91" t="str">
        <f ca="1">IF(B105="","",
IF('Waste results'!$Q$33="","no (significant) liming properties",
IF('Waste results'!Q$33&gt;100,"no (significant) liming properties",
IF(AD105="","",
IF(AD105&gt;=AE105,0,ROUNDDOWN((AE105-AD105)*Calc!BK103*'Waste results'!$Q$33+0.2,0))))))</f>
        <v/>
      </c>
      <c r="AG105" s="9" t="str">
        <f ca="1">IF(B105="","",
IF(T105=0,"n/a",
IF(AD105="","data missing",
IF(AND(AD105&lt;5,AF105="no (significant) liming properties"),"no waste application - pH too low",
IF(AND(AD105&gt;5.1,AF105="no (significant) liming properties",Calc!BH103&gt;25, LEFT(Calc!BI103,4)="graz"),"ok",
IF(AND(AD105&lt;=5.2,AF105="no (significant) liming properties"),"liming highly recommended",
IF(AF105=0,"no waste application - liming not required",
IF(AF105&lt;Calc!BC103,"application rate too high - exceeds liming requirement",
"ok"))))))))</f>
        <v/>
      </c>
      <c r="AI105" s="91" t="str">
        <f ca="1">IF(B105="","",
IF(AND('Field information 2'!$O$5="", 'Field information 2'!$Q$5=""),
   IF('Waste results'!$P$10&lt;&gt;"data missing", Calc!BC103*'Waste results'!$P$10, "data missing"),
IF('Field information 2'!$Q$5="",
   IF(Calc!BD103=0,
     IF('Waste results'!$P$10&lt;&gt;"data missing", Calc!BC103*'Waste results'!$P$10, "data missing"),
   IF(Calc!BC103=0,
     IF('Waste results'!$P$45&lt;&gt;"data missing", Calc!BD103*'Waste results'!$P$45, "data missing"),
   IF(OR('Waste results'!$P$10&lt;&gt;"data missing", 'Waste results'!$P$45&lt;&gt;"data missing"), Calc!BC103*'Waste results'!$P$10+ Calc!BD103*'Waste results'!$P$45, "data missing"))),
IF(AND('Field information 2'!$M$5&lt;&gt;"", 'Field information 2'!$O$5&lt;&gt;"", 'Field information 2'!$Q$5&lt;&gt;""),
   IF(AND(Calc!BD103=0,Calc!BE103=0),
     IF('Waste results'!$P$10&lt;&gt;"data missing", Calc!BC103*'Waste results'!$P$10, "data missing"),
   IF(AND(Calc!BC103=0,Calc!BE103=0),
     IF('Waste results'!$P$45&lt;&gt;"data missing", Calc!BD103*'Waste results'!$P$45, "data missing"),
   IF(AND(Calc!BC103=0,Calc!BD103=0),
     IF('Waste results'!$P$82&lt;&gt;"data missing", Calc!BE103*'Waste results'!$P$82, "data missing"),
   IF(Calc!BE103=0,
     IF(OR('Waste results'!$P$10&lt;&gt;"data missing", 'Waste results'!$P$45&lt;&gt;"data missing"), Calc!BC103*'Waste results'!$P$10+ Calc!BD103*'Waste results'!$P$45, "data missing"),
   IF(Calc!BD103=0,
     IF(OR('Waste results'!$P$10&lt;&gt;"data missing", 'Waste results'!$P$82&lt;&gt;"data missing"), Calc!BC103*'Waste results'!$P$10+ Calc!BE103*'Waste results'!$P$82, "data missing"),
   IF(Calc!BC103=0,
     IF(OR('Waste results'!$P$45&lt;&gt;"data missing", 'Waste results'!$P$82&lt;&gt;"data missing"), Calc!BD103*'Waste results'!$P$45+Calc!BE103*'Waste results'!$P$82, "data missing"),
   IF(OR('Waste results'!$P$10&lt;&gt;"data missing", 'Waste results'!$P$45&lt;&gt;"data missing", 'Waste results'!$P$82&lt;&gt;"data missing"), Calc!BC103*'Waste results'!$P$10+Calc!BD103*'Waste results'!$P$45+ Calc!BE103*'Waste results'!$P$82, "data missing")))))))))))</f>
        <v/>
      </c>
      <c r="AJ105" s="237" t="str">
        <f ca="1">IF(B105="","",
IF(AI105="data missing","data missing",
IF(Calc!BF103=0,"n/a",
IF(AND(Calc!BH103&gt;=8,AI105&lt;500),"no benefit",
IF(OR(AND(Calc!BH103&lt;=4,AI105&gt;=500),AND(Calc!BH103&lt;8,AI105&gt;5000)),"benefit",
"limited benefit")))))</f>
        <v/>
      </c>
      <c r="AL105" s="238" t="str">
        <f ca="1">IF(B105="","",
IF(AND('Field information 2'!$O$5="", 'Field information 2'!$Q$5=""),
   IF('Waste results'!$S$25&lt;&gt;"data missing", Calc!BC103*'Waste results'!$S$25, "data missing"),
IF('Field information 2'!$Q$5="",
   IF(Calc!BD103=0,
     IF('Waste results'!$S$25&lt;&gt;"data missing", Calc!BC103*'Waste results'!$S$25, "data missing"),
   IF(Calc!BC103=0,
     IF('Waste results'!$S$61&lt;&gt;"data missing", Calc!BD103*'Waste results'!$S$61, "data missing"),
   IF(OR('Waste results'!$S$25&lt;&gt;"data missing", 'Waste results'!$S$61&lt;&gt;"data missing"), Calc!BC103*'Waste results'!$S$25+ Calc!BD103*'Waste results'!$S$61, "data missing"))),
IF(AND('Field information 2'!$M$5&lt;&gt;"", 'Field information 2'!$O$5&lt;&gt;"", 'Field information 2'!$Q$5&lt;&gt;""),
   IF(AND(Calc!BD103=0,Calc!BE103=0),
     IF('Waste results'!$S$25&lt;&gt;"data missing", Calc!BC103*'Waste results'!$S$25, "data missing"),
   IF(AND(Calc!BC103=0,Calc!BE103=0),
     IF('Waste results'!$S$61&lt;&gt;"data missing", Calc!BD103*'Waste results'!$S$61, "data missing"),
   IF(AND(Calc!BC103=0,Calc!BD103=0),
     IF('Waste results'!$S$97&lt;&gt;"data missing", Calc!BE103*'Waste results'!$S$97, "data missing"),
   IF(Calc!BE103=0,
     IF(OR('Waste results'!$S$25&lt;&gt;"data missing", 'Waste results'!$S$61&lt;&gt;"data missing"), Calc!BC103*'Waste results'!$S$25+ Calc!BD103*'Waste results'!$S$61, "data missing"),
   IF(Calc!BD103=0,
     IF(OR('Waste results'!$S$25&lt;&gt;"data missing", 'Waste results'!$S$97&lt;&gt;"data missing"), Calc!BC103*'Waste results'!$S$25+ Calc!BE103*'Waste results'!$S$97, "data missing"),
   IF(Calc!BC103=0,
     IF(OR('Waste results'!$S$61&lt;&gt;"data missing", 'Waste results'!$S$97&lt;&gt;"data missing"), Calc!BD103*'Waste results'!$S$61+Calc!BE103*'Waste results'!$S$97, "data missing"),
   IF(OR('Waste results'!$S$25&lt;&gt;"data missing", 'Waste results'!$S$61&lt;&gt;"data missing", 'Waste results'!$S$97&lt;&gt;"data missing"), Calc!BC103*'Waste results'!$S$25+Calc!BD103*'Waste results'!$S$61+ Calc!BE103*'Waste results'!$S$97, "data missing")))))))))))</f>
        <v/>
      </c>
      <c r="AM105" s="239" t="str">
        <f ca="1">IF($B105="","",
IF(ISBLANK('Soil results'!K108),"data missing",'Soil results'!K108))</f>
        <v/>
      </c>
      <c r="AN105" s="239" t="str">
        <f t="shared" ca="1" si="23"/>
        <v/>
      </c>
      <c r="AO105" s="9" t="str">
        <f t="shared" ca="1" si="24"/>
        <v/>
      </c>
      <c r="AQ105" s="240" t="str">
        <f ca="1">IF(B105="","",
IF(AND('Field information 2'!$O$5="", 'Field information 2'!$Q$5=""),
   IF('Waste results'!$S$26&lt;&gt;"data missing", Calc!BC103*'Waste results'!$S$26, "data missing"),
IF('Field information 2'!$Q$5="",
   IF(Calc!BD103=0,
     IF('Waste results'!$S$26&lt;&gt;"data missing", Calc!BC103*'Waste results'!$S$26, "data missing"),
   IF(Calc!BC103=0,
     IF('Waste results'!$S$62&lt;&gt;"data missing", Calc!BD103*'Waste results'!$S$62, "data missing"),
   IF(OR('Waste results'!$S$26&lt;&gt;"data missing", 'Waste results'!$S$62&lt;&gt;"data missing"), Calc!BC103*'Waste results'!$S$26+ Calc!BD103*'Waste results'!$S$62, "data missing"))),
IF(AND('Field information 2'!$M$5&lt;&gt;"", 'Field information 2'!$O$5&lt;&gt;"", 'Field information 2'!$Q$5&lt;&gt;""),
   IF(AND(Calc!BD103=0,Calc!BE103=0),
     IF('Waste results'!$S$26&lt;&gt;"data missing", Calc!BC103*'Waste results'!$S$26, "data missing"),
   IF(AND(Calc!BC103=0,Calc!BE103=0),
     IF('Waste results'!$S$62&lt;&gt;"data missing", Calc!BD103*'Waste results'!$S$62, "data missing"),
   IF(AND(Calc!BC103=0,Calc!BD103=0),
     IF('Waste results'!$S$98&lt;&gt;"data missing", Calc!BE103*'Waste results'!$S$98, "data missing"),
   IF(Calc!BE103=0,
     IF(OR('Waste results'!$S$26&lt;&gt;"data missing", 'Waste results'!$S$62&lt;&gt;"data missing"), Calc!BC103*'Waste results'!$S$26+ Calc!BD103*'Waste results'!$S$62, "data missing"),
   IF(Calc!BD103=0,
     IF(OR('Waste results'!$S$26&lt;&gt;"data missing", 'Waste results'!$S$98&lt;&gt;"data missing"), Calc!BC103*'Waste results'!$S$26+ Calc!BE103*'Waste results'!$S$98, "data missing"),
   IF(Calc!BC103=0,
     IF(OR('Waste results'!$S$62&lt;&gt;"data missing", 'Waste results'!$S$98&lt;&gt;"data missing"), Calc!BD103*'Waste results'!$S$62+Calc!BE103*'Waste results'!$S$98, "data missing"),
   IF(OR('Waste results'!$S$26&lt;&gt;"data missing", 'Waste results'!$S$62&lt;&gt;"data missing", 'Waste results'!$S$98&lt;&gt;"data missing"), Calc!BC103*'Waste results'!$S$26+Calc!BD103*'Waste results'!$S$62+ Calc!BE103*'Waste results'!$S$98, "data missing")))))))))))</f>
        <v/>
      </c>
      <c r="AR105" s="241" t="str">
        <f ca="1">IF($B105="","",
IF(ISBLANK('Soil results'!L108),"data missing",'Soil results'!L108))</f>
        <v/>
      </c>
      <c r="AS105" s="241" t="str">
        <f t="shared" ca="1" si="25"/>
        <v/>
      </c>
      <c r="AT105" s="66" t="str">
        <f t="shared" ca="1" si="26"/>
        <v/>
      </c>
      <c r="AV105" s="238" t="str">
        <f ca="1">IF(B105="","",
IF(AND('Field information 2'!$O$5="", 'Field information 2'!$Q$5=""),
   IF('Waste results'!$S$27&lt;&gt;"data missing", Calc!BC103*'Waste results'!$S$27, "data missing"),
IF('Field information 2'!$Q$5="",
   IF(Calc!BD103=0,
     IF('Waste results'!$S$27&lt;&gt;"data missing", Calc!BC103*'Waste results'!$S$27, "data missing"),
   IF(Calc!BC103=0,
     IF('Waste results'!$S$63&lt;&gt;"data missing", Calc!BD103*'Waste results'!$S$63, "data missing"),
   IF(OR('Waste results'!$S$27&lt;&gt;"data missing", 'Waste results'!$S$63&lt;&gt;"data missing"), Calc!BC103*'Waste results'!$S$27+ Calc!BD103*'Waste results'!$S$63, "data missing"))),
IF(AND('Field information 2'!$M$5&lt;&gt;"", 'Field information 2'!$O$5&lt;&gt;"", 'Field information 2'!$Q$5&lt;&gt;""),
   IF(AND(Calc!BD103=0,Calc!BE103=0),
     IF('Waste results'!$S$27&lt;&gt;"data missing", Calc!BC103*'Waste results'!$S$27, "data missing"),
   IF(AND(Calc!BC103=0,Calc!BE103=0),
     IF('Waste results'!$S$63&lt;&gt;"data missing", Calc!BD103*'Waste results'!$S$63, "data missing"),
   IF(AND(Calc!BC103=0,Calc!BD103=0),
     IF('Waste results'!$S$99&lt;&gt;"data missing", Calc!BE103*'Waste results'!$S$99, "data missing"),
   IF(Calc!BE103=0,
     IF(OR('Waste results'!$S$27&lt;&gt;"data missing", 'Waste results'!$S$63&lt;&gt;"data missing"), Calc!BC103*'Waste results'!$S$27+ Calc!BD103*'Waste results'!$S$63, "data missing"),
   IF(Calc!BD103=0,
     IF(OR('Waste results'!$S$27&lt;&gt;"data missing", 'Waste results'!$S$99&lt;&gt;"data missing"), Calc!BC103*'Waste results'!$S$27+ Calc!BE103*'Waste results'!$S$99, "data missing"),
   IF(Calc!BC103=0,
     IF(OR('Waste results'!$S$63&lt;&gt;"data missing", 'Waste results'!$S$99&lt;&gt;"data missing"), Calc!BD103*'Waste results'!$S$63+Calc!BE103*'Waste results'!$S$99, "data missing"),
   IF(OR('Waste results'!$S$27&lt;&gt;"data missing", 'Waste results'!$S$63&lt;&gt;"data missing", 'Waste results'!$S$99&lt;&gt;"data missing"), Calc!BC103*'Waste results'!$S$27+Calc!BD103*'Waste results'!$S$63+ Calc!BE103*'Waste results'!$S$99, "data missing")))))))))))</f>
        <v/>
      </c>
      <c r="AW105" s="239" t="str">
        <f ca="1">IF($B105="","",
IF(ISBLANK('Soil results'!M108),"data missing",'Soil results'!M108))</f>
        <v/>
      </c>
      <c r="AX105" s="239" t="str">
        <f t="shared" ca="1" si="27"/>
        <v/>
      </c>
      <c r="AY105" s="9" t="str">
        <f ca="1">IF(B105="","",
IF(AV105=0,"n/a",
IF(OR(AV105="data missing",AW105="data missing"),"data missing",
IF(AV105&gt;7.5,"application rate too high - permissible rate exceeds limit",
IF('Soil results'!$F108&lt;=5.5,
  IF(AW105&gt;80,"no application - soil conc. already above limit",
  IF(AX105&gt;80,"application rate too high - soil conc. will exceed limit",
  IF(AW105&gt;80*0.9,"soil conc. is at or above 90% of the limit",
  IF(10*AV105*1000/3000+AW105&gt;80,"soil limit likely to be exceeded in 10yrs",
  IF(50*AV105*1000/3000+AW105&gt;80,"soil limit likely to be exceeded in 50yrs","ok"))))),
IF('Soil results'!$F108&lt;=6,
  IF(AW105&gt;100,"no application - soil conc. already above limit",
  IF(AX105&gt;100,"application rate too high - soil conc. will exceed limit",
  IF(AW105&gt;100*0.9,"soil conc. is at or above 90% of the limit",
  IF(10*AV105*1000/3000+AW105&gt;100,"soil limit likely to be exceeded in 10yrs",
  IF(50*AV105*1000/3000+AW105&gt;100,"soil limit likely to be exceeded in 50yrs","ok"))))),
IF('Soil results'!$F108&lt;=7,
  IF(AW105&gt;135,"no application - soil conc. already above limit",
  IF(AX105&gt;135,"application rate too high - soil conc. will exceed limit",
  IF(AW105&gt;135*0.9,"soil conc. is at or above 90% of the limit",
  IF(10*AV105*1000/3000+AW105&gt;135,"soil limit likely to be exceeded in 10yrs",
  IF(50*AV105*1000/3000+AW105&gt;135,"soil limit likely to be exceeded in 50yrs","ok"))))),
IF('Soil results'!$F108&gt;7,
  IF(AW105&gt;200,"no application - soil conc. already above limit",
  IF(AX105&gt;200,"application too high - soil conc. will exceed limit",
  IF(AW105&gt;200*0.9,"soil conc. is at or above 90% of the limit",
  IF(10*AV105*1000/3000+AW105&gt;200,"soil limit likely to be exceeded in 10yrs",
  IF(50*AV105*1000/3000+AW105&gt;200,"soil limit likely to be exceeded in 50yrs","ok")))))
))))))))</f>
        <v/>
      </c>
      <c r="BA105" s="238" t="str">
        <f ca="1">IF(B105="","",
IF(AND('Field information 2'!$O$5="", 'Field information 2'!$Q$5=""),
   IF('Waste results'!$S$28&lt;&gt;"data missing", Calc!BC103*'Waste results'!$S$28, "data missing"),
IF('Field information 2'!$Q$5="",
   IF(Calc!BD103=0,
     IF('Waste results'!$S$28&lt;&gt;"data missing", Calc!BC103*'Waste results'!$S$28, "data missing"),
   IF(Calc!BC103=0,
     IF('Waste results'!$S$64&lt;&gt;"data missing", Calc!BD103*'Waste results'!$S$64, "data missing"),
   IF(OR('Waste results'!$S$28&lt;&gt;"data missing", 'Waste results'!$S$64&lt;&gt;"data missing"), Calc!BC103*'Waste results'!$S$28+ Calc!BD103*'Waste results'!$S$64, "data missing"))),
IF(AND('Field information 2'!$M$5&lt;&gt;"", 'Field information 2'!$O$5&lt;&gt;"", 'Field information 2'!$Q$5&lt;&gt;""),
   IF(AND(Calc!BD103=0,Calc!BE103=0),
     IF('Waste results'!$S$28&lt;&gt;"data missing", Calc!BC103*'Waste results'!$S$28, "data missing"),
   IF(AND(Calc!BC103=0,Calc!BE103=0),
     IF('Waste results'!$S$64&lt;&gt;"data missing", Calc!BD103*'Waste results'!$S$64, "data missing"),
   IF(AND(Calc!BC103=0,Calc!BD103=0),
     IF('Waste results'!$S$100&lt;&gt;"data missing", Calc!BE103*'Waste results'!$S$100, "data missing"),
   IF(Calc!BE103=0,
     IF(OR('Waste results'!$S$28&lt;&gt;"data missing", 'Waste results'!$S$64&lt;&gt;"data missing"), Calc!BC103*'Waste results'!$S$28+ Calc!BD103*'Waste results'!$S$64, "data missing"),
   IF(Calc!BD103=0,
     IF(OR('Waste results'!$S$28&lt;&gt;"data missing", 'Waste results'!$S$100&lt;&gt;"data missing"), Calc!BC103*'Waste results'!$S$28+ Calc!BE103*'Waste results'!$S$100, "data missing"),
   IF(Calc!BC103=0,
     IF(OR('Waste results'!$S$64&lt;&gt;"data missing", 'Waste results'!$S$100&lt;&gt;"data missing"), Calc!BD103*'Waste results'!$S$64+Calc!BE103*'Waste results'!$S$100, "data missing"),
   IF(OR('Waste results'!$S$28&lt;&gt;"data missing", 'Waste results'!$S$64&lt;&gt;"data missing", 'Waste results'!$S$100&lt;&gt;"data missing"), Calc!BC103*'Waste results'!$S$28+Calc!BD103*'Waste results'!$S$64+ Calc!BE103*'Waste results'!$S$100, "data missing")))))))))))</f>
        <v/>
      </c>
      <c r="BB105" s="239" t="str">
        <f ca="1">IF($B105="","",
IF(ISBLANK('Soil results'!N108),"data missing",'Soil results'!N108))</f>
        <v/>
      </c>
      <c r="BC105" s="239" t="str">
        <f t="shared" ca="1" si="28"/>
        <v/>
      </c>
      <c r="BD105" s="9" t="str">
        <f t="shared" ca="1" si="29"/>
        <v/>
      </c>
      <c r="BF105" s="238" t="str">
        <f ca="1">IF(B105="","",
IF(AND('Field information 2'!$O$5="", 'Field information 2'!$Q$5=""),
   IF('Waste results'!$S$29&lt;&gt;"data missing", Calc!BC103*'Waste results'!$S$29, "data missing"),
IF('Field information 2'!$Q$5="",
   IF(Calc!BD103=0,
     IF('Waste results'!$S$29&lt;&gt;"data missing", Calc!BC103*'Waste results'!$S$29, "data missing"),
   IF(Calc!BC103=0,
     IF('Waste results'!$S$65&lt;&gt;"data missing", Calc!BD103*'Waste results'!$S$65, "data missing"),
   IF(OR('Waste results'!$S$29&lt;&gt;"data missing", 'Waste results'!$S$65&lt;&gt;"data missing"), Calc!BC103*'Waste results'!$S$29+ Calc!BD103*'Waste results'!$S$65, "data missing"))),
IF(AND('Field information 2'!$M$5&lt;&gt;"", 'Field information 2'!$O$5&lt;&gt;"", 'Field information 2'!$Q$5&lt;&gt;""),
   IF(AND(Calc!BD103=0,Calc!BE103=0),
     IF('Waste results'!$S$29&lt;&gt;"data missing", Calc!BC103*'Waste results'!$S$29, "data missing"),
   IF(AND(Calc!BC103=0,Calc!BE103=0),
     IF('Waste results'!$S$65&lt;&gt;"data missing", Calc!BD103*'Waste results'!$S$65, "data missing"),
   IF(AND(Calc!BC103=0,Calc!BD103=0),
     IF('Waste results'!$S$101&lt;&gt;"data missing", Calc!BE103*'Waste results'!$S$101, "data missing"),
   IF(Calc!BE103=0,
     IF(OR('Waste results'!$S$29&lt;&gt;"data missing", 'Waste results'!$S$65&lt;&gt;"data missing"), Calc!BC103*'Waste results'!$S$29+ Calc!BD103*'Waste results'!$S$65, "data missing"),
   IF(Calc!BD103=0,
     IF(OR('Waste results'!$S$29&lt;&gt;"data missing", 'Waste results'!$S$101&lt;&gt;"data missing"), Calc!BC103*'Waste results'!$S$29+ Calc!BE103*'Waste results'!$S$101, "data missing"),
   IF(Calc!BC103=0,
     IF(OR('Waste results'!$S$65&lt;&gt;"data missing", 'Waste results'!$S$101&lt;&gt;"data missing"), Calc!BD103*'Waste results'!$S$65+Calc!BE103*'Waste results'!$S$101, "data missing"),
   IF(OR('Waste results'!$S$29&lt;&gt;"data missing", 'Waste results'!$S$65&lt;&gt;"data missing", 'Waste results'!$S$101&lt;&gt;"data missing"), Calc!BC103*'Waste results'!$S$29+Calc!BD103*'Waste results'!$S$65+ Calc!BE103*'Waste results'!$S$101, "data missing")))))))))))</f>
        <v/>
      </c>
      <c r="BG105" s="239" t="str">
        <f ca="1">IF($B105="","",
IF(ISBLANK('Soil results'!O108),"data missing",'Soil results'!O108))</f>
        <v/>
      </c>
      <c r="BH105" s="239" t="str">
        <f t="shared" ca="1" si="30"/>
        <v/>
      </c>
      <c r="BI105" s="9" t="str">
        <f ca="1">IF(B105="","",
IF(BF105=0,"n/a",
IF(OR(BF105="data missing",BG105="data missing"),"data missing",
IF(BF105&gt;3,"application rate too high - permissible rate exceeds limit",
IF('Soil results'!F108&lt;=5.5,
  IF(BG105&gt;50,"no application - soil conc. already above limit",
  IF(BH105&gt;50,"application rate too high - soil conc. will exceed limit",
  IF(BG105&gt;50*0.9,"soil conc. is at or above 90% of the limit",
  IF(10*BF105*1000/3000+BG105&gt;50,"soil limit likely to be exceeded in 10yrs",
  IF(50*BF105*1000/3000+BG105&gt;50,"soil limit likely to be exceeded in 50yrs","ok"))))),
IF('Soil results'!F108&lt;=6,
  IF(BG105&gt;60,"no application - soil conc. already above limit",
  IF(BH105&gt;60,"application rate too high - soil conc. will exceed limit",
  IF(BG105&gt;60*0.9,"soil conc. is at or above 90% of the limit",
  IF(10*BF105*1000/3000+BG105&gt;60,"soil limit likely to be exceeded in 10yrs",
  IF(50*BF105*1000/3000+BG105&gt;60,"soil limit likely to be exceeded in 50yrs","ok"))))),
IF('Soil results'!F108&lt;=7,
  IF(BG105&gt;75,"no application - soil conc. already above limit",
  IF(BH105&gt;75,"application rate too high - soil conc. will exceed limit",
  IF(BG105&gt;75*0.9,"soil conc. is at or above 90% of the limit",
  IF(10*BF105*1000/3000+BG105&gt;75,"soil limit likely to be exceeded in 10yrs",
  IF(50*BF105*1000/3000+BG105&gt;75,"soil limit likely to be exceeded in 50yrs","ok"))))),
IF('Soil results'!F108&gt;7,
  IF(BG105&gt;100,"no application - soil conc. already above limit",
  IF(BH105&gt;100,"application rate too high - soil conc. will exceed limit",
  IF(BG105&gt;100*0.9,"soil conc. is at or above 90% of the limit",
  IF(10*BF105*1000/3000+BG105&gt;100,"soil limit likely to be exceeded in 10yrs",
  IF(50*BF105*1000/3000+BG105&gt;100,"soil limit likely to beexceeded in 50yrs","ok")))))
))))))))</f>
        <v/>
      </c>
      <c r="BK105" s="240" t="str">
        <f ca="1">IF(B105="","",
IF(AND('Field information 2'!$O$5="", 'Field information 2'!$Q$5=""),
   IF('Waste results'!$S$30&lt;&gt;"data missing", Calc!BC103*'Waste results'!$S$30, "data missing"),
IF('Field information 2'!$Q$5="",
   IF(Calc!BD103=0,
     IF('Waste results'!$S$30&lt;&gt;"data missing", Calc!BC103*'Waste results'!$S$30, "data missing"),
   IF(Calc!BC103=0,
     IF('Waste results'!$S$66&lt;&gt;"data missing", Calc!BD103*'Waste results'!$S$66, "data missing"),
   IF(OR('Waste results'!$S$30&lt;&gt;"data missing", 'Waste results'!$S$66&lt;&gt;"data missing"), Calc!BC103*'Waste results'!$S$30+ Calc!BD103*'Waste results'!$S$66, "data missing"))),
IF(AND('Field information 2'!$M$5&lt;&gt;"", 'Field information 2'!$O$5&lt;&gt;"", 'Field information 2'!$Q$5&lt;&gt;""),
   IF(AND(Calc!BD103=0,Calc!BE103=0),
     IF('Waste results'!$S$30&lt;&gt;"data missing", Calc!BC103*'Waste results'!$S$30, "data missing"),
   IF(AND(Calc!BC103=0,Calc!BE103=0),
     IF('Waste results'!$S$66&lt;&gt;"data missing", Calc!BD103*'Waste results'!$S$66, "data missing"),
   IF(AND(Calc!BC103=0,Calc!BD103=0),
     IF('Waste results'!$S$102&lt;&gt;"data missing", Calc!BE103*'Waste results'!$S$102, "data missing"),
   IF(Calc!BE103=0,
     IF(OR('Waste results'!$S$30&lt;&gt;"data missing", 'Waste results'!$S$66&lt;&gt;"data missing"), Calc!BC103*'Waste results'!$S$30+ Calc!BD103*'Waste results'!$S$66, "data missing"),
   IF(Calc!BD103=0,
     IF(OR('Waste results'!$S$30&lt;&gt;"data missing", 'Waste results'!$S$102&lt;&gt;"data missing"), Calc!BC103*'Waste results'!$S$30+ Calc!BE103*'Waste results'!$S$102, "data missing"),
   IF(Calc!BC103=0,
     IF(OR('Waste results'!$S$66&lt;&gt;"data missing", 'Waste results'!$S$102&lt;&gt;"data missing"), Calc!BD103*'Waste results'!$S$66+Calc!BE103*'Waste results'!$S$102, "data missing"),
   IF(OR('Waste results'!$S$30&lt;&gt;"data missing", 'Waste results'!$S$66&lt;&gt;"data missing", 'Waste results'!$S$102&lt;&gt;"data missing"), Calc!BC103*'Waste results'!$S$30+Calc!BD103*'Waste results'!$S$66+ Calc!BE103*'Waste results'!$S$102, "data missing")))))))))))</f>
        <v/>
      </c>
      <c r="BL105" s="241" t="str">
        <f ca="1">IF($B105="","",
IF(ISBLANK('Soil results'!P108),"data missing",'Soil results'!P108))</f>
        <v/>
      </c>
      <c r="BM105" s="241" t="str">
        <f t="shared" ca="1" si="31"/>
        <v/>
      </c>
      <c r="BN105" s="66" t="str">
        <f t="shared" ca="1" si="32"/>
        <v/>
      </c>
      <c r="BP105" s="238" t="str">
        <f ca="1">IF(B105="","",
IF(AND('Field information 2'!$O$5="", 'Field information 2'!$Q$5=""),
   IF('Waste results'!$S$31&lt;&gt;"data missing", Calc!BC103*'Waste results'!$S$31, "data missing"),
IF('Field information 2'!$Q$5="",
   IF(Calc!BD103=0,
     IF('Waste results'!$S$31&lt;&gt;"data missing", Calc!BC103*'Waste results'!$S$31, "data missing"),
   IF(Calc!BC103=0,
     IF('Waste results'!$S$67&lt;&gt;"data missing", Calc!BD103*'Waste results'!$S$67, "data missing"),
   IF(OR('Waste results'!$S$31&lt;&gt;"data missing", 'Waste results'!$S$67&lt;&gt;"data missing"), Calc!BC103*'Waste results'!$S$31+ Calc!BD103*'Waste results'!$S$67, "data missing"))),
IF(AND('Field information 2'!$M$5&lt;&gt;"", 'Field information 2'!$O$5&lt;&gt;"", 'Field information 2'!$Q$5&lt;&gt;""),
   IF(AND(Calc!BD103=0,Calc!BE103=0),
     IF('Waste results'!$S$31&lt;&gt;"data missing", Calc!BC103*'Waste results'!$S$31, "data missing"),
   IF(AND(Calc!BC103=0,Calc!BE103=0),
     IF('Waste results'!$S$67&lt;&gt;"data missing", Calc!BD103*'Waste results'!$S$67, "data missing"),
   IF(AND(Calc!BC103=0,Calc!BD103=0),
     IF('Waste results'!$S$103&lt;&gt;"data missing", Calc!BE103*'Waste results'!$S$103, "data missing"),
   IF(Calc!BE103=0,
     IF(OR('Waste results'!$S$31&lt;&gt;"data missing", 'Waste results'!$S$67&lt;&gt;"data missing"), Calc!BC103*'Waste results'!$S$31+ Calc!BD103*'Waste results'!$S$67, "data missing"),
   IF(Calc!BD103=0,
     IF(OR('Waste results'!$S$31&lt;&gt;"data missing", 'Waste results'!$S$103&lt;&gt;"data missing"), Calc!BC103*'Waste results'!$S$31+ Calc!BE103*'Waste results'!$S$103, "data missing"),
   IF(Calc!BC103=0,
     IF(OR('Waste results'!$S$67&lt;&gt;"data missing", 'Waste results'!$S$103&lt;&gt;"data missing"), Calc!BD103*'Waste results'!$S$67+Calc!BE103*'Waste results'!$S$103, "data missing"),
   IF(OR('Waste results'!$S$31&lt;&gt;"data missing", 'Waste results'!$S$67&lt;&gt;"data missing", 'Waste results'!$S$103&lt;&gt;"data missing"), Calc!BC103*'Waste results'!$S$31+Calc!BD103*'Waste results'!$S$67+ Calc!BE103*'Waste results'!$S$103, "data missing")))))))))))</f>
        <v/>
      </c>
      <c r="BQ105" s="239" t="str">
        <f ca="1">IF($B105="","",
IF(ISBLANK('Soil results'!Q108),"data missing",'Soil results'!Q108))</f>
        <v/>
      </c>
      <c r="BR105" s="239" t="str">
        <f t="shared" ca="1" si="33"/>
        <v/>
      </c>
      <c r="BS105" s="9" t="str">
        <f ca="1">IF(B105="","",
IF(BP105=0,"n/a",
IF(OR(BP105="data missing",BQ105=""),"data missing",
IF(BP105&gt;15,"application rate too high - permissible rate exceeds limit",
IF('Soil results'!F108&lt;=5.5,
  IF(BQ105&gt;200,"no application - soil conc. already above limit",
  IF(BR105&gt;200,"application rate too high - soil conc. will exceed limit",
  IF(BQ105&gt;200*0.9,"soil conc. is at or above 90% of the limit",
  IF(10*BP105*1000/3000+BQ105&gt;200,"soil limit likely to be exceeded in 10yrs",
  IF(50*BP105*1000/3000+BQ105&gt;200,"soil limit likely to be exceeded in 50yrs","ok"))))),
IF('Soil results'!F108&lt;=6,
  IF(BQ105&gt;250,"no application - soil conc. already above limit",
  IF(BR105&gt;250,"application rate too high - soil conc. will exceed limit",
  IF(BQ105&gt;250*0.9,"soil conc. is at or above 90% of the limit",
  IF(10*BP105*1000/3000+BQ105&gt;250,"soil limit likely to be exceeded in 10yrs",
  IF(50*BP105*1000/3000+BQ105&gt;250,"soil limit likely to be exceeded in 50yrs","ok"))))),
IF('Soil results'!F108&lt;=7,
  IF(BQ105&gt;300,"no application - soil conc. already above limit",
  IF(BR105&gt;300,"application rate too high - soil conc. will exceed limit",
  IF(BQ105&gt;300*0.9,"soil conc. is at or above 90% of the limit",
  IF(10*BP105*1000/3000+BQ105&gt;300,"soil limit likey to be exceeded in 10yrs",
  IF(50*BP105*1000/3000+BQ105&gt;300,"soil limit likely to be exceeded in 50yrs","ok"))))),
IF('Soil results'!F108&gt;7,
  IF(BQ105&gt;450,"no application - soil conc. already above limit",
  IF(BR105&gt;450,"application rate too high - soil conc. will exceed limit",
  IF(AW105&gt;450*0.9,"soil conc. is at or above 90% of the limit",
  IF(10*BP105*1000/3000+BQ105&gt;450,"soil limit likely to be exceeded in 10yrs",
  IF(50*BP105*1000/3000+BQ105&gt;450,"soil limit likely to be exceeded in 50yrs","ok")))))
))))))))</f>
        <v/>
      </c>
    </row>
    <row r="106" spans="2:71" s="9" customFormat="1" ht="15" x14ac:dyDescent="0.25">
      <c r="B106" s="236" t="str">
        <f ca="1">'Soil results'!B109</f>
        <v/>
      </c>
      <c r="C106" s="91" t="str">
        <f ca="1">IF(B106="","",
IF(AND('Field information 2'!$O$5="", 'Field information 2'!$Q$5=""),
   IF('Waste results'!$S$12&lt;&gt;"data missing", Calc!BC104*'Waste results'!$S$12, "data missing"),
IF('Field information 2'!$Q$5="",
   IF(Calc!BD104=0,
     IF('Waste results'!$S$12&lt;&gt;"data missing", Calc!BC104*'Waste results'!$S$12, "data missing"),
   IF(Calc!BC104=0,
     IF('Waste results'!$S$48&lt;&gt;"data missing", Calc!BD104*'Waste results'!$S$48, "data missing"),
   IF(OR('Waste results'!$S$12&lt;&gt;"data missing", 'Waste results'!$S$48&lt;&gt;"data missing"), Calc!BC104*'Waste results'!$S$12+ Calc!BD104*'Waste results'!$S$48, "data missing"))),
IF(AND('Field information 2'!$M$5&lt;&gt;"", 'Field information 2'!$O$5&lt;&gt;"", 'Field information 2'!$Q$5&lt;&gt;""),
   IF(AND(Calc!BD104=0,Calc!BE104=0),
     IF('Waste results'!$S$12&lt;&gt;"data missing", Calc!BC104*'Waste results'!$S$12, "data missing"),
   IF(AND(Calc!BC104=0,Calc!BE104=0),
     IF('Waste results'!$S$48&lt;&gt;"data missing", Calc!BD104*'Waste results'!$S$48, "data missing"),
   IF(AND(Calc!BC104=0,Calc!BD104=0),
     IF('Waste results'!$S$84&lt;&gt;"data missing", Calc!BE104*'Waste results'!$S$84, "data missing"),
   IF(Calc!BE104=0,
     IF(OR('Waste results'!$S$12&lt;&gt;"data missing", 'Waste results'!$S$48&lt;&gt;"data missing"), Calc!BC104*'Waste results'!$S$12+ Calc!BD104*'Waste results'!$S$48, "data missing"),
   IF(Calc!BD104=0,
     IF(OR('Waste results'!$S$12&lt;&gt;"data missing", 'Waste results'!$S$84&lt;&gt;"data missing"), Calc!BC104*'Waste results'!$S$12+ Calc!BE104*'Waste results'!$S$84, "data missing"),
   IF(Calc!BC104=0,
     IF(OR('Waste results'!$S$48&lt;&gt;"data missing", 'Waste results'!$S$84&lt;&gt;"data missing"), Calc!BD104*'Waste results'!$S$48+Calc!BE104*'Waste results'!$S$84, "data missing"),
   IF(OR('Waste results'!$S$12&lt;&gt;"data missing", 'Waste results'!$S$48&lt;&gt;"data missing", 'Waste results'!$S$84&lt;&gt;"data missing"), Calc!BC104*'Waste results'!$S$12+Calc!BD104*'Waste results'!$S$48+ Calc!BE104*'Waste results'!$S$84, "data missing")))))))))))</f>
        <v/>
      </c>
      <c r="D106" s="161" t="str">
        <f ca="1">IF(B106="","",
IF(Calc!BG104="","soil texture missing",
IF(OR(Calc!BG104="SL; SZL; ZL",Calc!BG104="SCL; CL; ZCL; SC; ZC; C"),VLOOKUP(Calc!BI104,'Fertiliser recommendations'!$A$4:$C$63,3,FALSE),
IF(Calc!BG104="S; LS",VLOOKUP(Calc!BI104,'Fertiliser recommendations'!$A$4:$C$63,3,FALSE)+VLOOKUP(Calc!BI104,'Fertiliser recommendations'!$A$4:$D$63,4,FALSE),
IF(Calc!BG104="10-25% OM",VLOOKUP(Calc!BI104,'Fertiliser recommendations'!$A$4:$C$63,3,FALSE)+VLOOKUP(Calc!BI104,'Fertiliser recommendations'!$A$4:$E$63,5,FALSE),
IF(Calc!BG104="&gt;25% OM",VLOOKUP(Calc!BI104,'Fertiliser recommendations'!$A$4:$C$63,3,FALSE)+VLOOKUP(Calc!BI104,'Fertiliser recommendations'!$A$4:$F$63,6,FALSE),
""))))))</f>
        <v/>
      </c>
      <c r="E106" s="91" t="str">
        <f t="shared" ca="1" si="17"/>
        <v/>
      </c>
      <c r="F106" s="9" t="str">
        <f ca="1">IF(B106="","",
IF(OR(C106="data missing",D106="soil texture missing"),"data missing",
IF(Calc!BF104=0,"n/a",
IF(C106&lt;0.1*D106,"no benefit",
IF(C106&lt;0.3*D106,"limited benefit",
IF(C106&gt;250,"exceeds limit",
IF(OR(AND(D106=0,C106&gt;75),C106&gt;1.25*D106),"excessive",
IF(D106=0, "no requirement",
"benefit"))))))))</f>
        <v/>
      </c>
      <c r="H106" s="91" t="str">
        <f ca="1">IF(B106="","",
IF(AND('Field information 2'!$O$5="", 'Field information 2'!$Q$5=""),
   IF('Waste results'!$S$17&lt;&gt;"data missing", Calc!BC104*'Waste results'!$S$17, "data missing"),
IF('Field information 2'!$Q$5="",
   IF(Calc!BD104=0,
     IF('Waste results'!$S$17&lt;&gt;"data missing", Calc!BC104*'Waste results'!$S$17, "data missing"),
   IF(Calc!BC104=0,
     IF('Waste results'!$S$53&lt;&gt;"data missing", Calc!BD104*'Waste results'!$S$53, "data missing"),
   IF(OR('Waste results'!$S$17&lt;&gt;"data missing", 'Waste results'!$S$53&lt;&gt;"data missing"), Calc!BC104*'Waste results'!$S$17+ Calc!BD104*'Waste results'!$S$53, "data missing"))),
IF(AND('Field information 2'!$M$5&lt;&gt;"", 'Field information 2'!$O$5&lt;&gt;"", 'Field information 2'!$Q$5&lt;&gt;""),
   IF(AND(Calc!BD104=0,Calc!BE104=0),
     IF('Waste results'!$S$17&lt;&gt;"data missing", Calc!BC104*'Waste results'!$S$17, "data missing"),
   IF(AND(Calc!BC104=0,Calc!BE104=0),
     IF('Waste results'!$S$53&lt;&gt;"data missing", Calc!BD104*'Waste results'!$S$53, "data missing"),
   IF(AND(Calc!BC104=0,Calc!BD104=0),
     IF('Waste results'!$S$89&lt;&gt;"data missing", Calc!BE104*'Waste results'!$S$89, "data missing"),
   IF(Calc!BE104=0,
     IF(OR('Waste results'!$S$17&lt;&gt;"data missing", 'Waste results'!$S$53&lt;&gt;"data missing"), Calc!BC104*'Waste results'!$S$17+ Calc!BD104*'Waste results'!$S$53, "data missing"),
   IF(Calc!BD104=0,
     IF(OR('Waste results'!$S$17&lt;&gt;"data missing", 'Waste results'!$S$89&lt;&gt;"data missing"), Calc!BC104*'Waste results'!$S$17+ Calc!BE104*'Waste results'!$S$89, "data missing"),
   IF(Calc!BC104=0,
     IF(OR('Waste results'!$S$53&lt;&gt;"data missing", 'Waste results'!$S$89&lt;&gt;"data missing"), Calc!BD104*'Waste results'!$S$53+Calc!BE104*'Waste results'!$S$89, "data missing"),
   IF(OR('Waste results'!$S$17&lt;&gt;"data missing", 'Waste results'!$S$53&lt;&gt;"data missing", 'Waste results'!$S$89&lt;&gt;"data missing"), Calc!BC104*'Waste results'!$S$17+Calc!BD104*'Waste results'!$S$53+ Calc!BE104*'Waste results'!$S$89, "data missing")))))))))))</f>
        <v/>
      </c>
      <c r="I106" s="195" t="str">
        <f ca="1">IF(B106="","",
IF(OR(ISBLANK('Soil results'!G109), ISBLANK('Soil results'!G$7)),"data missing",
IF(OR(AND('Soil results'!G$7="Olsen (ADAS)",'Soil results'!G109&lt;16),AND('Soil results'!G$7="modified Morgan (SAC)",'Soil results'!G109&lt;4.5)),50,100)))</f>
        <v/>
      </c>
      <c r="J106" s="49" t="str">
        <f ca="1">IF(B106="","",
IF(OR(ISBLANK('Soil results'!G$7),ISBLANK('Soil results'!G109)),"data missing",
IF(OR(AND('Soil results'!G$7="Olsen (ADAS)",'Soil results'!G109&gt;45),AND('Soil results'!G$7="modified Morgan (SAC)",'Soil results'!G109&gt;30)),0,
IF(OR(AND('Soil results'!G$7="Olsen (ADAS)",'Soil results'!G109&gt;=16,'Soil results'!G109&lt;=20),AND('Soil results'!G$7="modified Morgan (SAC)",'Soil results'!G109&gt;=4.5,'Soil results'!G109&lt;=9.4)),VLOOKUP(Calc!BI104,'Fertiliser recommendations'!$A$4:$I$63,9,FALSE),
IF(OR(AND('Soil results'!G$7="Olsen (ADAS)",'Soil results'!G109&lt;10),AND('Soil results'!G$7="modified Morgan (SAC)",'Soil results'!G109&lt;1.8)),VLOOKUP(Calc!BI104,'Fertiliser recommendations'!$A$4:$I$63,9,FALSE)+VLOOKUP(Calc!BI104,'Fertiliser recommendations'!$A$4:$J$63,10,FALSE),
IF(OR(AND('Soil results'!G$7="Olsen (ADAS)",'Soil results'!G109&lt;16),AND('Soil results'!G$7="modified Morgan (SAC)",'Soil results'!G109&lt;4.5)),VLOOKUP(Calc!BI104,'Fertiliser recommendations'!$A$4:$I$63,9,FALSE)+VLOOKUP(Calc!BI104,'Fertiliser recommendations'!$A$4:$K$63,11,FALSE),
IF(OR(AND('Soil results'!G$7="Olsen (ADAS)",'Soil results'!G109&lt;26),AND('Soil results'!G$7="modified Morgan (SAC)",'Soil results'!G109&lt;13.5)),VLOOKUP(Calc!BI104,'Fertiliser recommendations'!$A$4:$I$63,9,FALSE)+VLOOKUP(Calc!BI104,'Fertiliser recommendations'!$A$4:$L$63,12,FALSE),
IF(OR(AND('Soil results'!G$7="Olsen (ADAS)",'Soil results'!G109&lt;=45),AND('Soil results'!G$7="modified Morgan (SAC)",'Soil results'!G109&lt;=30)),VLOOKUP(Calc!BI104,'Fertiliser recommendations'!$A$4:$I$63,9,FALSE)+VLOOKUP(Calc!BI104,'Fertiliser recommendations'!$A$4:$M$63,13,FALSE),
""))))))))</f>
        <v/>
      </c>
      <c r="K106" s="161" t="str">
        <f t="shared" ca="1" si="18"/>
        <v/>
      </c>
      <c r="L106" s="47" t="str">
        <f ca="1">IF(OR(ISBLANK('Soil results'!G$7),ISBLANK('Soil results'!G109),B106="", H106="data missing"),"",
IF('Soil results'!G$7="Olsen (ADAS)",
IF(((H106*Calc!BM104/2.291-(VLOOKUP(Calc!BI104,'Fertiliser recommendations'!$A$4:$I$63,9,FALSE))/2.291)*10/(400/2.291)+'Soil results'!G109)&lt;10,"0 (VL)",
IF(((H106*Calc!BM104/2.291-(VLOOKUP(Calc!BI104,'Fertiliser recommendations'!$A$4:$I$63,9,FALSE))/2.291)*10/(400/2.291)+'Soil results'!G109)&lt;16,"1 (L)",
IF(((H106*Calc!BM104/2.291-(VLOOKUP(Calc!BI104,'Fertiliser recommendations'!$A$4:$I$63,9,FALSE))/2.291)*10/(400/2.291)+'Soil results'!G109)&lt;21,"2 (M-)",
IF(((H106*Calc!BM104/2.291-(VLOOKUP(Calc!BI104,'Fertiliser recommendations'!$A$4:$I$63,9,FALSE))/2.291)*10/(400/2.291)+'Soil results'!G109)&lt;26,"2 (M+)",
IF(((H106*Calc!BM104/2.291-(VLOOKUP(Calc!BI104,'Fertiliser recommendations'!$A$4:$I$63,9,FALSE))/2.291)*10/(400/2.291)+'Soil results'!G109)&lt;45,"3 (H)","&gt;3 (VH)"))))),
IF('Soil results'!G$7="modified Morgan (SAC)",
IF('Soil results'!G109&gt;=6,
IF(((H106*Calc!BM104/2.291-(VLOOKUP(Calc!BI104,'Fertiliser recommendations'!$A$4:$I$63,9,FALSE))/2.291)*5/(147/2.291)+'Soil results'!G109)&lt;9.5,"2 (M-)",
IF(((H106*Calc!BM104/2.291-(VLOOKUP(Calc!BI104,'Fertiliser recommendations'!$A$4:$I$63,9,FALSE))/2.291)*5/(147/2.291)+'Soil results'!G109)&lt;13.5,"2 (M+)",
IF(((H106*Calc!BM104/2.291-(VLOOKUP(Calc!BI104,'Fertiliser recommendations'!$A$4:$I$63,9,FALSE))/2.291)*5/(147/2.291)+'Soil results'!G109)&lt;30,"3 (H)","4 (VH)"))),
IF(((H106*Calc!BM104/2.291-(VLOOKUP(Calc!BI104,'Fertiliser recommendations'!$A$4:$I$63,9,FALSE))/2.291)*5/(346/2.291)+'Soil results'!G109)&lt;1.8,"0 (VL)",
IF(((H106*Calc!BM104/2.291-(VLOOKUP(Calc!BI104,'Fertiliser recommendations'!$A$4:$I$63,9,FALSE))/2.291)*5/(147/2.291)+'Soil results'!G109)&lt;4.5,"1 (L)","2 (M-)"))))))</f>
        <v/>
      </c>
      <c r="M106" s="9" t="str">
        <f ca="1">IF(B106="","",
IF(OR(H106="data missing",I106="data missing",J106="data missing"),"data missing",
IF(Calc!BF104=0,"n/a",
IF(OR(AND('Soil results'!G$7="Olsen (ADAS)",'Soil results'!G109&gt;45),AND('Soil results'!G$7="modified Morgan (SAC)",'Soil results'!G109&gt;30)),
IF(H106&gt;2,"too high, not acceptable","no requirement"),IF(OR(AND('Soil results'!G$7="Olsen (ADAS)",'Soil results'!G109&gt;25),AND('Soil results'!G$7="modified Morgan (SAC)",'Soil results'!G109&gt;13.4)),
IF(H106*(I106/100)&lt;0.1*J106,"no benefit",
IF(H106*(I106/100)&lt;0.3*J106,"limited benefit",
IF(H106*(I106/100)&lt;1.1*J106,"benefit",
IF(H106*(I106/100)&lt;0.7*VLOOKUP(Calc!BI104,'Fertiliser recommendations'!$A$4:$I$63,9,FALSE),"excessive","too high, not acceptable")))),
IF(OR(AND('Soil results'!G$7="Olsen (ADAS)",'Soil results'!G109&gt;20),AND('Soil results'!G$7="modified Morgan (SAC)",'Soil results'!G109&gt;9.4)),
IF(H106*Calc!BM104*(I106/100)&lt;0.1*J106,"no benefit",
IF(H106*Calc!BM104*(I106/100)&lt;0.3*J106,"limited benefit",
IF(H106*Calc!BM104*(I106/100)&lt;1.1*J106,"benefit",
IF(L106="3 (H)","too high, not acceptable","excessive")))),
IF(OR(AND('Soil results'!G$7="Olsen (ADAS)",'Soil results'!G109&gt;15),AND('Soil results'!G$7="modified Morgan (SAC)",'Soil results'!G109&gt;4.4)),
IF(H106*Calc!BM104*(I106/100)&lt;0.1*VLOOKUP(Calc!BI104,'Fertiliser recommendations'!$A$4:$I$63,9,FALSE),"no benefit",
IF(H106*Calc!BM104*(I106/100)&lt;0.3*VLOOKUP(Calc!BI104,'Fertiliser recommendations'!$A$4:$I$63,9,FALSE),"limited benefit",
IF(H106*Calc!BM104*(I106/100)&lt;1.1*VLOOKUP(Calc!BI104,'Fertiliser recommendations'!$A$4:$I$63,9,FALSE),"benefit",
IF(L106="3 (H)", "too high, not acceptable", "excessive")))),
IF(OR(AND('Soil results'!G$7="Olsen (ADAS)",'Soil results'!G109&lt;=15),AND('Soil results'!G$7="modified Morgan (SAC)",'Soil results'!G109&lt;=4.4)),
IF(H106*Calc!BM104*(I106/100)&lt;0.1*VLOOKUP(Calc!BI104,'Fertiliser recommendations'!$A$4:$I$63,9,FALSE),"no benefit",
IF(H106*Calc!BM104*(I106/100)&lt;0.3*VLOOKUP(Calc!BI104,'Fertiliser recommendations'!$A$4:$I$63,9,FALSE),"limited benefit",
IF(H106*Calc!BM104*(I106/100)&lt;1.1*J106,"benefit","excessive")))))))))))</f>
        <v/>
      </c>
      <c r="O106" s="91" t="str">
        <f ca="1">IF(B106="","",
IF(AND('Field information 2'!$O$5="", 'Field information 2'!$Q$5=""),
   IF('Waste results'!$S$19&lt;&gt;"data missing", Calc!BC104*'Waste results'!$S$19, "data missing"),
IF('Field information 2'!$Q$5="",
   IF(Calc!BD104=0,
     IF('Waste results'!$S$19&lt;&gt;"data missing", Calc!BC104*'Waste results'!$S$19, "data missing"),
   IF(Calc!BC104=0,
     IF('Waste results'!$S$55&lt;&gt;"data missing", Calc!BD104*'Waste results'!$S$55, "data missing"),
   IF(OR('Waste results'!$S$19&lt;&gt;"data missing", 'Waste results'!$S$55&lt;&gt;"data missing"), Calc!BC104*'Waste results'!$S$19+ Calc!BD104*'Waste results'!$S$55, "data missing"))),
IF(AND('Field information 2'!$M$5&lt;&gt;"", 'Field information 2'!$O$5&lt;&gt;"", 'Field information 2'!$Q$5&lt;&gt;""),
   IF(AND(Calc!BD104=0,Calc!BE104=0),
     IF('Waste results'!$S$19&lt;&gt;"data missing", Calc!BC104*'Waste results'!$S$19, "data missing"),
   IF(AND(Calc!BC104=0,Calc!BE104=0),
     IF('Waste results'!$S$55&lt;&gt;"data missing", Calc!BD104*'Waste results'!$S$55, "data missing"),
   IF(AND(Calc!BC104=0,Calc!BD104=0),
     IF('Waste results'!$S$91&lt;&gt;"data missing", Calc!BE104*'Waste results'!$S$91, "data missing"),
   IF(Calc!BE104=0,
     IF(OR('Waste results'!$S$19&lt;&gt;"data missing", 'Waste results'!$S$55&lt;&gt;"data missing"), Calc!BC104*'Waste results'!$S$19+ Calc!BD104*'Waste results'!$S$55, "data missing"),
   IF(Calc!BD104=0,
     IF(OR('Waste results'!$S$19&lt;&gt;"data missing", 'Waste results'!$S$91&lt;&gt;"data missing"), Calc!BC104*'Waste results'!$S$19+ Calc!BE104*'Waste results'!$S$91, "data missing"),
   IF(Calc!BC104=0,
     IF(OR('Waste results'!$S$55&lt;&gt;"data missing", 'Waste results'!$S$91&lt;&gt;"data missing"), Calc!BD104*'Waste results'!$S$55+Calc!BE104*'Waste results'!$S$91, "data missing"),
   IF(OR('Waste results'!$S$19&lt;&gt;"data missing", 'Waste results'!$S$55&lt;&gt;"data missing", 'Waste results'!$S$91&lt;&gt;"data missing"), Calc!BC104*'Waste results'!$S$19+Calc!BD104*'Waste results'!$S$55+ Calc!BE104*'Waste results'!$S$91, "data missing")))))))))))</f>
        <v/>
      </c>
      <c r="P106" s="91" t="str">
        <f ca="1">IF(B106="","",
IF(OR(ISBLANK('Soil results'!H$7),ISBLANK('Soil results'!H109)),"data missing",
IF(OR(AND('Soil results'!H$7="ammonium nitrate (ADAS)",'Soil results'!H109&gt;400),AND('Soil results'!H$7="modified Morgan (SAC)",'Soil results'!H109&gt;400)),0,
IF(OR(AND('Soil results'!H$7="ammonium nitrate (ADAS)",'Soil results'!H109&gt;=121,'Soil results'!H109&lt;=180),AND('Soil results'!H$7="modified Morgan (SAC)",'Soil results'!H109&gt;=76,'Soil results'!H109&lt;=140)),VLOOKUP(Calc!BI104,'Fertiliser recommendations'!$A$4:$Z$63,26,FALSE),
IF(OR(AND('Soil results'!H$7="ammonium nitrate (ADAS)",'Soil results'!H109&lt;61),AND('Soil results'!H$7="modified Morgan (SAC)",'Soil results'!H109&lt;40)),VLOOKUP(Calc!BI104,'Fertiliser recommendations'!$A$4:$Z$63,26,FALSE)+VLOOKUP(Calc!BI104,'Fertiliser recommendations'!$A$4:$AA$63,27,FALSE),
IF(OR(AND('Soil results'!H$7="ammonium nitrate (ADAS)",'Soil results'!H109&lt;121),AND('Soil results'!H$7="modified Morgan (SAC)",'Soil results'!H109&lt;76)),VLOOKUP(Calc!BI104,'Fertiliser recommendations'!$A$4:$Z$63,26,FALSE)+VLOOKUP(Calc!BI104,'Fertiliser recommendations'!$A$4:$AB$63,28,FALSE),
IF(OR(AND('Soil results'!H$7="ammonium nitrate (ADAS)",'Soil results'!H109&lt;241),AND('Soil results'!H$7="modified Morgan (SAC)",'Soil results'!H109&lt;201)),VLOOKUP(Calc!BI104,'Fertiliser recommendations'!$A$4:$Z$63,26,FALSE)+VLOOKUP(Calc!BI104,'Fertiliser recommendations'!$A$4:$AC$63,29,FALSE),
IF(OR(AND('Soil results'!H$7="ammonium nitrate (ADAS)",'Soil results'!H109&lt;=400),AND('Soil results'!H$7="modified Morgan (SAC)",'Soil results'!H109&lt;=400)),VLOOKUP(Calc!BI104,'Fertiliser recommendations'!$A$4:$Z$63,26,FALSE)+VLOOKUP(Calc!BI104,'Fertiliser recommendations'!$A$4:$AD$63,30,FALSE),
"??"))))))))</f>
        <v/>
      </c>
      <c r="Q106" s="91" t="str">
        <f t="shared" ca="1" si="19"/>
        <v/>
      </c>
      <c r="R106" s="9" t="str">
        <f ca="1">IF(B106="","",
IF(OR(O106="data missing",P106="data missing"),"data missing",
IF(Calc!BF104=0,"n/a",
IF(P106=0, "no requirement",
IF(O106&lt;0.1*P106,"no benefit",
IF(O106&lt;0.3*P106,"limited benefit",
IF(O106&gt;1.25*P106,"excessive",
"benefit")))))))</f>
        <v/>
      </c>
      <c r="T106" s="91" t="str">
        <f ca="1">IF(B106="","",
IF(AND('Field information 2'!$O$5="", 'Field information 2'!$Q$5=""),
   IF('Waste results'!$S$21&lt;&gt;"data missing", Calc!BC104*'Waste results'!$S$21, "data missing"),
IF('Field information 2'!$Q$5="",
   IF(Calc!BD104=0,
     IF('Waste results'!$S$21&lt;&gt;"data missing", Calc!BC104*'Waste results'!$S$21, "data missing"),
   IF(Calc!BC104=0,
     IF('Waste results'!$S$57&lt;&gt;"data missing", Calc!BD104*'Waste results'!$S$57, "data missing"),
   IF(OR('Waste results'!$S$21&lt;&gt;"data missing", 'Waste results'!$S$57&lt;&gt;"data missing"), Calc!BC104*'Waste results'!$S$21+ Calc!BD104*'Waste results'!$S$57, "data missing"))),
IF(AND('Field information 2'!$M$5&lt;&gt;"", 'Field information 2'!$O$5&lt;&gt;"", 'Field information 2'!$Q$5&lt;&gt;""),
   IF(AND(Calc!BD104=0,Calc!BE104=0),
     IF('Waste results'!$S$21&lt;&gt;"data missing", Calc!BC104*'Waste results'!$S$21, "data missing"),
   IF(AND(Calc!BC104=0,Calc!BE104=0),
     IF('Waste results'!$S$57&lt;&gt;"data missing", Calc!BD104*'Waste results'!$S$57, "data missing"),
   IF(AND(Calc!BC104=0,Calc!BD104=0),
     IF('Waste results'!$S$93&lt;&gt;"data missing", Calc!BE104*'Waste results'!$S$93, "data missing"),
   IF(Calc!BE104=0,
     IF(OR('Waste results'!$S$21&lt;&gt;"data missing", 'Waste results'!$S$57&lt;&gt;"data missing"), Calc!BC104*'Waste results'!$S$21+ Calc!BD104*'Waste results'!$S$57, "data missing"),
   IF(Calc!BD104=0,
     IF(OR('Waste results'!$S$21&lt;&gt;"data missing", 'Waste results'!$S$93&lt;&gt;"data missing"), Calc!BC104*'Waste results'!$S$21+ Calc!BE104*'Waste results'!$S$93, "data missing"),
   IF(Calc!BC104=0,
     IF(OR('Waste results'!$S$57&lt;&gt;"data missing", 'Waste results'!$S$93&lt;&gt;"data missing"), Calc!BD104*'Waste results'!$S$57+Calc!BE104*'Waste results'!$S$93, "data missing"),
   IF(OR('Waste results'!$S$21&lt;&gt;"data missing", 'Waste results'!$S$57&lt;&gt;"data missing", 'Waste results'!$S$93&lt;&gt;"data missing"), Calc!BC104*'Waste results'!$S$21+Calc!BD104*'Waste results'!$S$57+ Calc!BE104*'Waste results'!$S$93, "data missing")))))))))))</f>
        <v/>
      </c>
      <c r="U106" s="7" t="str">
        <f ca="1">IF(B106="","",
IF(OR(ISBLANK('Soil results'!I$7),ISBLANK('Soil results'!I109)),"data missing",
IF(OR(AND('Soil results'!I$7="ammonium nitrate (ADAS)",'Soil results'!I109&gt;51),AND('Soil results'!I$7="modified Morgan (SAC)",'Soil results'!I109&gt;61)),0,
IF(OR(AND('Soil results'!I$7="ammonium nitrate (ADAS)",'Soil results'!I109&lt;25),AND('Soil results'!I$7="modified Morgan (SAC)",'Soil results'!I109&lt;19)),VLOOKUP(Calc!BI104,'Fertiliser recommendations'!$A$4:$AH$63,34,FALSE),
IF(OR(AND('Soil results'!I$7="ammonium nitrate (ADAS)",'Soil results'!I109&lt;=51),AND('Soil results'!I$7="modified Morgan (SAC)",'Soil results'!I109&lt;=61)),VLOOKUP(Calc!BI104,'Fertiliser recommendations'!$A$4:$AI$63,35,FALSE),
"")))))</f>
        <v/>
      </c>
      <c r="V106" s="91" t="str">
        <f t="shared" ca="1" si="20"/>
        <v/>
      </c>
      <c r="W106" s="9" t="str">
        <f ca="1">IF(B106="","",
IF(OR(T106="data missing",U106="data missing"),"data missing",
IF(Calc!BF104=0,"n/a",
IF(U106=0,"no requirement",
IF(T106&lt;0.1*U106,"no benefit",
IF(T106&lt;0.3*U106,"limited benefit",
IF(OR(T106&gt;1.5*U106,AND(Calc!BJ104="g",T106&gt;100)),"excessive",
"benefit")))))))</f>
        <v/>
      </c>
      <c r="Y106" s="91" t="str">
        <f ca="1">IF(B106="","",
IF(AND('Field information 2'!$O$5="", 'Field information 2'!$Q$5=""),
   IF('Waste results'!$P$23&lt;&gt;"", Calc!BC104*'Waste results'!$P$23, "no data"),
IF('Field information 2'!$Q$5="",
   IF(Calc!BD104=0,
     IF('Waste results'!$P$23&lt;&gt;"", Calc!BC104*'Waste results'!$P$23, "no data"),
   IF(Calc!BC104=0,
     IF('Waste results'!$P$59&lt;&gt;"", Calc!BD104*'Waste results'!$P$59, "no data"),
   IF(OR('Waste results'!$P$23&lt;&gt;"", 'Waste results'!$P$59&lt;&gt;""), Calc!BC104*'Waste results'!$P$23+ Calc!BD104*'Waste results'!$P$59, "no data"))),
IF(AND('Field information 2'!$M$5&lt;&gt;"", 'Field information 2'!$O$5&lt;&gt;"", 'Field information 2'!$Q$5&lt;&gt;""),
   IF(AND(Calc!BD104=0,Calc!BE104=0),
     IF('Waste results'!$P$23&lt;&gt;"", Calc!BC104*'Waste results'!$P$23, "no data"),
   IF(AND(Calc!BC104=0,Calc!BE104=0),
     IF('Waste results'!$P$59&lt;&gt;"", Calc!BD104*'Waste results'!$P$59, "no data"),
   IF(AND(Calc!BC104=0,Calc!BD104=0),
     IF('Waste results'!$P$95&lt;&gt;"", Calc!BE104*'Waste results'!$P$95, "no data"),
   IF(Calc!BE104=0,
     IF(OR('Waste results'!$P$23&lt;&gt;"", 'Waste results'!$P$59&lt;&gt;""), Calc!BC104*'Waste results'!$P$23+ Calc!BD104*'Waste results'!$P$59, "no data"),
   IF(Calc!BD104=0,
     IF(OR('Waste results'!$P$23&lt;&gt;"", 'Waste results'!$P$95&lt;&gt;""), Calc!BC104*'Waste results'!$P$23+ Calc!BE104*'Waste results'!$P$95, "no data"),
   IF(Calc!BC104=0,
     IF(OR('Waste results'!$P$59&lt;&gt;"", 'Waste results'!$P$95&lt;&gt;""), Calc!BD104*'Waste results'!$P$59+Calc!BE104*'Waste results'!$P$95, "no data"),
   IF(OR('Waste results'!$P$23&lt;&gt;"", 'Waste results'!$P$59&lt;&gt;"", 'Waste results'!$P$95&lt;&gt;""), Calc!BC104*'Waste results'!$P$23+Calc!BD104*'Waste results'!$P$59+ Calc!BE104*'Waste results'!$P$95, "no data")))))))))))</f>
        <v/>
      </c>
      <c r="Z106" s="7" t="str">
        <f ca="1">IF(OR(ISBLANK('Soil results'!I$7),ISBLANK('Soil results'!I109),'Soil results'!B109=""),"",
VLOOKUP(Calc!BI104,'Fertiliser recommendations'!$A$4:$AM$63,39,FALSE))</f>
        <v/>
      </c>
      <c r="AA106" s="91" t="str">
        <f t="shared" ca="1" si="21"/>
        <v/>
      </c>
      <c r="AB106" s="9" t="str">
        <f t="shared" ca="1" si="22"/>
        <v/>
      </c>
      <c r="AD106" s="48" t="str">
        <f>IF(ISBLANK('Soil results'!F109),"",'Soil results'!F109)</f>
        <v/>
      </c>
      <c r="AE106" s="49" t="str">
        <f ca="1">IF(B106="","",
IF(AND(Calc!BJ104="g", VLOOKUP(LEFT($B106,LEN($B106)-2),'Field information 2'!$B$12:$P$111,9,FALSE)&lt;&gt;"yes"),
 IF(Calc!BG104="10-25% OM", 5.9, IF(Calc!BG104="&gt;25% OM", 5.5, 6.2)),
IF(OR(Calc!BJ104="a", VLOOKUP(LEFT($B106,LEN($B106)-2),'Field information 2'!$B$12:$P$111,9,FALSE)="yes"),
 IF(Calc!BG104="10-25% OM", 6.4, IF(Calc!BG104="&gt;25% OM", 6, 6.7)), "")))</f>
        <v/>
      </c>
      <c r="AF106" s="91" t="str">
        <f ca="1">IF(B106="","",
IF('Waste results'!$Q$33="","no (significant) liming properties",
IF('Waste results'!Q$33&gt;100,"no (significant) liming properties",
IF(AD106="","",
IF(AD106&gt;=AE106,0,ROUNDDOWN((AE106-AD106)*Calc!BK104*'Waste results'!$Q$33+0.2,0))))))</f>
        <v/>
      </c>
      <c r="AG106" s="9" t="str">
        <f ca="1">IF(B106="","",
IF(T106=0,"n/a",
IF(AD106="","data missing",
IF(AND(AD106&lt;5,AF106="no (significant) liming properties"),"no waste application - pH too low",
IF(AND(AD106&gt;5.1,AF106="no (significant) liming properties",Calc!BH104&gt;25, LEFT(Calc!BI104,4)="graz"),"ok",
IF(AND(AD106&lt;=5.2,AF106="no (significant) liming properties"),"liming highly recommended",
IF(AF106=0,"no waste application - liming not required",
IF(AF106&lt;Calc!BC104,"application rate too high - exceeds liming requirement",
"ok"))))))))</f>
        <v/>
      </c>
      <c r="AI106" s="91" t="str">
        <f ca="1">IF(B106="","",
IF(AND('Field information 2'!$O$5="", 'Field information 2'!$Q$5=""),
   IF('Waste results'!$P$10&lt;&gt;"data missing", Calc!BC104*'Waste results'!$P$10, "data missing"),
IF('Field information 2'!$Q$5="",
   IF(Calc!BD104=0,
     IF('Waste results'!$P$10&lt;&gt;"data missing", Calc!BC104*'Waste results'!$P$10, "data missing"),
   IF(Calc!BC104=0,
     IF('Waste results'!$P$45&lt;&gt;"data missing", Calc!BD104*'Waste results'!$P$45, "data missing"),
   IF(OR('Waste results'!$P$10&lt;&gt;"data missing", 'Waste results'!$P$45&lt;&gt;"data missing"), Calc!BC104*'Waste results'!$P$10+ Calc!BD104*'Waste results'!$P$45, "data missing"))),
IF(AND('Field information 2'!$M$5&lt;&gt;"", 'Field information 2'!$O$5&lt;&gt;"", 'Field information 2'!$Q$5&lt;&gt;""),
   IF(AND(Calc!BD104=0,Calc!BE104=0),
     IF('Waste results'!$P$10&lt;&gt;"data missing", Calc!BC104*'Waste results'!$P$10, "data missing"),
   IF(AND(Calc!BC104=0,Calc!BE104=0),
     IF('Waste results'!$P$45&lt;&gt;"data missing", Calc!BD104*'Waste results'!$P$45, "data missing"),
   IF(AND(Calc!BC104=0,Calc!BD104=0),
     IF('Waste results'!$P$82&lt;&gt;"data missing", Calc!BE104*'Waste results'!$P$82, "data missing"),
   IF(Calc!BE104=0,
     IF(OR('Waste results'!$P$10&lt;&gt;"data missing", 'Waste results'!$P$45&lt;&gt;"data missing"), Calc!BC104*'Waste results'!$P$10+ Calc!BD104*'Waste results'!$P$45, "data missing"),
   IF(Calc!BD104=0,
     IF(OR('Waste results'!$P$10&lt;&gt;"data missing", 'Waste results'!$P$82&lt;&gt;"data missing"), Calc!BC104*'Waste results'!$P$10+ Calc!BE104*'Waste results'!$P$82, "data missing"),
   IF(Calc!BC104=0,
     IF(OR('Waste results'!$P$45&lt;&gt;"data missing", 'Waste results'!$P$82&lt;&gt;"data missing"), Calc!BD104*'Waste results'!$P$45+Calc!BE104*'Waste results'!$P$82, "data missing"),
   IF(OR('Waste results'!$P$10&lt;&gt;"data missing", 'Waste results'!$P$45&lt;&gt;"data missing", 'Waste results'!$P$82&lt;&gt;"data missing"), Calc!BC104*'Waste results'!$P$10+Calc!BD104*'Waste results'!$P$45+ Calc!BE104*'Waste results'!$P$82, "data missing")))))))))))</f>
        <v/>
      </c>
      <c r="AJ106" s="237" t="str">
        <f ca="1">IF(B106="","",
IF(AI106="data missing","data missing",
IF(Calc!BF104=0,"n/a",
IF(AND(Calc!BH104&gt;=8,AI106&lt;500),"no benefit",
IF(OR(AND(Calc!BH104&lt;=4,AI106&gt;=500),AND(Calc!BH104&lt;8,AI106&gt;5000)),"benefit",
"limited benefit")))))</f>
        <v/>
      </c>
      <c r="AL106" s="238" t="str">
        <f ca="1">IF(B106="","",
IF(AND('Field information 2'!$O$5="", 'Field information 2'!$Q$5=""),
   IF('Waste results'!$S$25&lt;&gt;"data missing", Calc!BC104*'Waste results'!$S$25, "data missing"),
IF('Field information 2'!$Q$5="",
   IF(Calc!BD104=0,
     IF('Waste results'!$S$25&lt;&gt;"data missing", Calc!BC104*'Waste results'!$S$25, "data missing"),
   IF(Calc!BC104=0,
     IF('Waste results'!$S$61&lt;&gt;"data missing", Calc!BD104*'Waste results'!$S$61, "data missing"),
   IF(OR('Waste results'!$S$25&lt;&gt;"data missing", 'Waste results'!$S$61&lt;&gt;"data missing"), Calc!BC104*'Waste results'!$S$25+ Calc!BD104*'Waste results'!$S$61, "data missing"))),
IF(AND('Field information 2'!$M$5&lt;&gt;"", 'Field information 2'!$O$5&lt;&gt;"", 'Field information 2'!$Q$5&lt;&gt;""),
   IF(AND(Calc!BD104=0,Calc!BE104=0),
     IF('Waste results'!$S$25&lt;&gt;"data missing", Calc!BC104*'Waste results'!$S$25, "data missing"),
   IF(AND(Calc!BC104=0,Calc!BE104=0),
     IF('Waste results'!$S$61&lt;&gt;"data missing", Calc!BD104*'Waste results'!$S$61, "data missing"),
   IF(AND(Calc!BC104=0,Calc!BD104=0),
     IF('Waste results'!$S$97&lt;&gt;"data missing", Calc!BE104*'Waste results'!$S$97, "data missing"),
   IF(Calc!BE104=0,
     IF(OR('Waste results'!$S$25&lt;&gt;"data missing", 'Waste results'!$S$61&lt;&gt;"data missing"), Calc!BC104*'Waste results'!$S$25+ Calc!BD104*'Waste results'!$S$61, "data missing"),
   IF(Calc!BD104=0,
     IF(OR('Waste results'!$S$25&lt;&gt;"data missing", 'Waste results'!$S$97&lt;&gt;"data missing"), Calc!BC104*'Waste results'!$S$25+ Calc!BE104*'Waste results'!$S$97, "data missing"),
   IF(Calc!BC104=0,
     IF(OR('Waste results'!$S$61&lt;&gt;"data missing", 'Waste results'!$S$97&lt;&gt;"data missing"), Calc!BD104*'Waste results'!$S$61+Calc!BE104*'Waste results'!$S$97, "data missing"),
   IF(OR('Waste results'!$S$25&lt;&gt;"data missing", 'Waste results'!$S$61&lt;&gt;"data missing", 'Waste results'!$S$97&lt;&gt;"data missing"), Calc!BC104*'Waste results'!$S$25+Calc!BD104*'Waste results'!$S$61+ Calc!BE104*'Waste results'!$S$97, "data missing")))))))))))</f>
        <v/>
      </c>
      <c r="AM106" s="239" t="str">
        <f ca="1">IF($B106="","",
IF(ISBLANK('Soil results'!K109),"data missing",'Soil results'!K109))</f>
        <v/>
      </c>
      <c r="AN106" s="239" t="str">
        <f t="shared" ca="1" si="23"/>
        <v/>
      </c>
      <c r="AO106" s="9" t="str">
        <f t="shared" ca="1" si="24"/>
        <v/>
      </c>
      <c r="AQ106" s="240" t="str">
        <f ca="1">IF(B106="","",
IF(AND('Field information 2'!$O$5="", 'Field information 2'!$Q$5=""),
   IF('Waste results'!$S$26&lt;&gt;"data missing", Calc!BC104*'Waste results'!$S$26, "data missing"),
IF('Field information 2'!$Q$5="",
   IF(Calc!BD104=0,
     IF('Waste results'!$S$26&lt;&gt;"data missing", Calc!BC104*'Waste results'!$S$26, "data missing"),
   IF(Calc!BC104=0,
     IF('Waste results'!$S$62&lt;&gt;"data missing", Calc!BD104*'Waste results'!$S$62, "data missing"),
   IF(OR('Waste results'!$S$26&lt;&gt;"data missing", 'Waste results'!$S$62&lt;&gt;"data missing"), Calc!BC104*'Waste results'!$S$26+ Calc!BD104*'Waste results'!$S$62, "data missing"))),
IF(AND('Field information 2'!$M$5&lt;&gt;"", 'Field information 2'!$O$5&lt;&gt;"", 'Field information 2'!$Q$5&lt;&gt;""),
   IF(AND(Calc!BD104=0,Calc!BE104=0),
     IF('Waste results'!$S$26&lt;&gt;"data missing", Calc!BC104*'Waste results'!$S$26, "data missing"),
   IF(AND(Calc!BC104=0,Calc!BE104=0),
     IF('Waste results'!$S$62&lt;&gt;"data missing", Calc!BD104*'Waste results'!$S$62, "data missing"),
   IF(AND(Calc!BC104=0,Calc!BD104=0),
     IF('Waste results'!$S$98&lt;&gt;"data missing", Calc!BE104*'Waste results'!$S$98, "data missing"),
   IF(Calc!BE104=0,
     IF(OR('Waste results'!$S$26&lt;&gt;"data missing", 'Waste results'!$S$62&lt;&gt;"data missing"), Calc!BC104*'Waste results'!$S$26+ Calc!BD104*'Waste results'!$S$62, "data missing"),
   IF(Calc!BD104=0,
     IF(OR('Waste results'!$S$26&lt;&gt;"data missing", 'Waste results'!$S$98&lt;&gt;"data missing"), Calc!BC104*'Waste results'!$S$26+ Calc!BE104*'Waste results'!$S$98, "data missing"),
   IF(Calc!BC104=0,
     IF(OR('Waste results'!$S$62&lt;&gt;"data missing", 'Waste results'!$S$98&lt;&gt;"data missing"), Calc!BD104*'Waste results'!$S$62+Calc!BE104*'Waste results'!$S$98, "data missing"),
   IF(OR('Waste results'!$S$26&lt;&gt;"data missing", 'Waste results'!$S$62&lt;&gt;"data missing", 'Waste results'!$S$98&lt;&gt;"data missing"), Calc!BC104*'Waste results'!$S$26+Calc!BD104*'Waste results'!$S$62+ Calc!BE104*'Waste results'!$S$98, "data missing")))))))))))</f>
        <v/>
      </c>
      <c r="AR106" s="241" t="str">
        <f ca="1">IF($B106="","",
IF(ISBLANK('Soil results'!L109),"data missing",'Soil results'!L109))</f>
        <v/>
      </c>
      <c r="AS106" s="241" t="str">
        <f t="shared" ca="1" si="25"/>
        <v/>
      </c>
      <c r="AT106" s="66" t="str">
        <f t="shared" ca="1" si="26"/>
        <v/>
      </c>
      <c r="AV106" s="238" t="str">
        <f ca="1">IF(B106="","",
IF(AND('Field information 2'!$O$5="", 'Field information 2'!$Q$5=""),
   IF('Waste results'!$S$27&lt;&gt;"data missing", Calc!BC104*'Waste results'!$S$27, "data missing"),
IF('Field information 2'!$Q$5="",
   IF(Calc!BD104=0,
     IF('Waste results'!$S$27&lt;&gt;"data missing", Calc!BC104*'Waste results'!$S$27, "data missing"),
   IF(Calc!BC104=0,
     IF('Waste results'!$S$63&lt;&gt;"data missing", Calc!BD104*'Waste results'!$S$63, "data missing"),
   IF(OR('Waste results'!$S$27&lt;&gt;"data missing", 'Waste results'!$S$63&lt;&gt;"data missing"), Calc!BC104*'Waste results'!$S$27+ Calc!BD104*'Waste results'!$S$63, "data missing"))),
IF(AND('Field information 2'!$M$5&lt;&gt;"", 'Field information 2'!$O$5&lt;&gt;"", 'Field information 2'!$Q$5&lt;&gt;""),
   IF(AND(Calc!BD104=0,Calc!BE104=0),
     IF('Waste results'!$S$27&lt;&gt;"data missing", Calc!BC104*'Waste results'!$S$27, "data missing"),
   IF(AND(Calc!BC104=0,Calc!BE104=0),
     IF('Waste results'!$S$63&lt;&gt;"data missing", Calc!BD104*'Waste results'!$S$63, "data missing"),
   IF(AND(Calc!BC104=0,Calc!BD104=0),
     IF('Waste results'!$S$99&lt;&gt;"data missing", Calc!BE104*'Waste results'!$S$99, "data missing"),
   IF(Calc!BE104=0,
     IF(OR('Waste results'!$S$27&lt;&gt;"data missing", 'Waste results'!$S$63&lt;&gt;"data missing"), Calc!BC104*'Waste results'!$S$27+ Calc!BD104*'Waste results'!$S$63, "data missing"),
   IF(Calc!BD104=0,
     IF(OR('Waste results'!$S$27&lt;&gt;"data missing", 'Waste results'!$S$99&lt;&gt;"data missing"), Calc!BC104*'Waste results'!$S$27+ Calc!BE104*'Waste results'!$S$99, "data missing"),
   IF(Calc!BC104=0,
     IF(OR('Waste results'!$S$63&lt;&gt;"data missing", 'Waste results'!$S$99&lt;&gt;"data missing"), Calc!BD104*'Waste results'!$S$63+Calc!BE104*'Waste results'!$S$99, "data missing"),
   IF(OR('Waste results'!$S$27&lt;&gt;"data missing", 'Waste results'!$S$63&lt;&gt;"data missing", 'Waste results'!$S$99&lt;&gt;"data missing"), Calc!BC104*'Waste results'!$S$27+Calc!BD104*'Waste results'!$S$63+ Calc!BE104*'Waste results'!$S$99, "data missing")))))))))))</f>
        <v/>
      </c>
      <c r="AW106" s="239" t="str">
        <f ca="1">IF($B106="","",
IF(ISBLANK('Soil results'!M109),"data missing",'Soil results'!M109))</f>
        <v/>
      </c>
      <c r="AX106" s="239" t="str">
        <f t="shared" ca="1" si="27"/>
        <v/>
      </c>
      <c r="AY106" s="9" t="str">
        <f ca="1">IF(B106="","",
IF(AV106=0,"n/a",
IF(OR(AV106="data missing",AW106="data missing"),"data missing",
IF(AV106&gt;7.5,"application rate too high - permissible rate exceeds limit",
IF('Soil results'!$F109&lt;=5.5,
  IF(AW106&gt;80,"no application - soil conc. already above limit",
  IF(AX106&gt;80,"application rate too high - soil conc. will exceed limit",
  IF(AW106&gt;80*0.9,"soil conc. is at or above 90% of the limit",
  IF(10*AV106*1000/3000+AW106&gt;80,"soil limit likely to be exceeded in 10yrs",
  IF(50*AV106*1000/3000+AW106&gt;80,"soil limit likely to be exceeded in 50yrs","ok"))))),
IF('Soil results'!$F109&lt;=6,
  IF(AW106&gt;100,"no application - soil conc. already above limit",
  IF(AX106&gt;100,"application rate too high - soil conc. will exceed limit",
  IF(AW106&gt;100*0.9,"soil conc. is at or above 90% of the limit",
  IF(10*AV106*1000/3000+AW106&gt;100,"soil limit likely to be exceeded in 10yrs",
  IF(50*AV106*1000/3000+AW106&gt;100,"soil limit likely to be exceeded in 50yrs","ok"))))),
IF('Soil results'!$F109&lt;=7,
  IF(AW106&gt;135,"no application - soil conc. already above limit",
  IF(AX106&gt;135,"application rate too high - soil conc. will exceed limit",
  IF(AW106&gt;135*0.9,"soil conc. is at or above 90% of the limit",
  IF(10*AV106*1000/3000+AW106&gt;135,"soil limit likely to be exceeded in 10yrs",
  IF(50*AV106*1000/3000+AW106&gt;135,"soil limit likely to be exceeded in 50yrs","ok"))))),
IF('Soil results'!$F109&gt;7,
  IF(AW106&gt;200,"no application - soil conc. already above limit",
  IF(AX106&gt;200,"application too high - soil conc. will exceed limit",
  IF(AW106&gt;200*0.9,"soil conc. is at or above 90% of the limit",
  IF(10*AV106*1000/3000+AW106&gt;200,"soil limit likely to be exceeded in 10yrs",
  IF(50*AV106*1000/3000+AW106&gt;200,"soil limit likely to be exceeded in 50yrs","ok")))))
))))))))</f>
        <v/>
      </c>
      <c r="BA106" s="238" t="str">
        <f ca="1">IF(B106="","",
IF(AND('Field information 2'!$O$5="", 'Field information 2'!$Q$5=""),
   IF('Waste results'!$S$28&lt;&gt;"data missing", Calc!BC104*'Waste results'!$S$28, "data missing"),
IF('Field information 2'!$Q$5="",
   IF(Calc!BD104=0,
     IF('Waste results'!$S$28&lt;&gt;"data missing", Calc!BC104*'Waste results'!$S$28, "data missing"),
   IF(Calc!BC104=0,
     IF('Waste results'!$S$64&lt;&gt;"data missing", Calc!BD104*'Waste results'!$S$64, "data missing"),
   IF(OR('Waste results'!$S$28&lt;&gt;"data missing", 'Waste results'!$S$64&lt;&gt;"data missing"), Calc!BC104*'Waste results'!$S$28+ Calc!BD104*'Waste results'!$S$64, "data missing"))),
IF(AND('Field information 2'!$M$5&lt;&gt;"", 'Field information 2'!$O$5&lt;&gt;"", 'Field information 2'!$Q$5&lt;&gt;""),
   IF(AND(Calc!BD104=0,Calc!BE104=0),
     IF('Waste results'!$S$28&lt;&gt;"data missing", Calc!BC104*'Waste results'!$S$28, "data missing"),
   IF(AND(Calc!BC104=0,Calc!BE104=0),
     IF('Waste results'!$S$64&lt;&gt;"data missing", Calc!BD104*'Waste results'!$S$64, "data missing"),
   IF(AND(Calc!BC104=0,Calc!BD104=0),
     IF('Waste results'!$S$100&lt;&gt;"data missing", Calc!BE104*'Waste results'!$S$100, "data missing"),
   IF(Calc!BE104=0,
     IF(OR('Waste results'!$S$28&lt;&gt;"data missing", 'Waste results'!$S$64&lt;&gt;"data missing"), Calc!BC104*'Waste results'!$S$28+ Calc!BD104*'Waste results'!$S$64, "data missing"),
   IF(Calc!BD104=0,
     IF(OR('Waste results'!$S$28&lt;&gt;"data missing", 'Waste results'!$S$100&lt;&gt;"data missing"), Calc!BC104*'Waste results'!$S$28+ Calc!BE104*'Waste results'!$S$100, "data missing"),
   IF(Calc!BC104=0,
     IF(OR('Waste results'!$S$64&lt;&gt;"data missing", 'Waste results'!$S$100&lt;&gt;"data missing"), Calc!BD104*'Waste results'!$S$64+Calc!BE104*'Waste results'!$S$100, "data missing"),
   IF(OR('Waste results'!$S$28&lt;&gt;"data missing", 'Waste results'!$S$64&lt;&gt;"data missing", 'Waste results'!$S$100&lt;&gt;"data missing"), Calc!BC104*'Waste results'!$S$28+Calc!BD104*'Waste results'!$S$64+ Calc!BE104*'Waste results'!$S$100, "data missing")))))))))))</f>
        <v/>
      </c>
      <c r="BB106" s="239" t="str">
        <f ca="1">IF($B106="","",
IF(ISBLANK('Soil results'!N109),"data missing",'Soil results'!N109))</f>
        <v/>
      </c>
      <c r="BC106" s="239" t="str">
        <f t="shared" ca="1" si="28"/>
        <v/>
      </c>
      <c r="BD106" s="9" t="str">
        <f t="shared" ca="1" si="29"/>
        <v/>
      </c>
      <c r="BF106" s="238" t="str">
        <f ca="1">IF(B106="","",
IF(AND('Field information 2'!$O$5="", 'Field information 2'!$Q$5=""),
   IF('Waste results'!$S$29&lt;&gt;"data missing", Calc!BC104*'Waste results'!$S$29, "data missing"),
IF('Field information 2'!$Q$5="",
   IF(Calc!BD104=0,
     IF('Waste results'!$S$29&lt;&gt;"data missing", Calc!BC104*'Waste results'!$S$29, "data missing"),
   IF(Calc!BC104=0,
     IF('Waste results'!$S$65&lt;&gt;"data missing", Calc!BD104*'Waste results'!$S$65, "data missing"),
   IF(OR('Waste results'!$S$29&lt;&gt;"data missing", 'Waste results'!$S$65&lt;&gt;"data missing"), Calc!BC104*'Waste results'!$S$29+ Calc!BD104*'Waste results'!$S$65, "data missing"))),
IF(AND('Field information 2'!$M$5&lt;&gt;"", 'Field information 2'!$O$5&lt;&gt;"", 'Field information 2'!$Q$5&lt;&gt;""),
   IF(AND(Calc!BD104=0,Calc!BE104=0),
     IF('Waste results'!$S$29&lt;&gt;"data missing", Calc!BC104*'Waste results'!$S$29, "data missing"),
   IF(AND(Calc!BC104=0,Calc!BE104=0),
     IF('Waste results'!$S$65&lt;&gt;"data missing", Calc!BD104*'Waste results'!$S$65, "data missing"),
   IF(AND(Calc!BC104=0,Calc!BD104=0),
     IF('Waste results'!$S$101&lt;&gt;"data missing", Calc!BE104*'Waste results'!$S$101, "data missing"),
   IF(Calc!BE104=0,
     IF(OR('Waste results'!$S$29&lt;&gt;"data missing", 'Waste results'!$S$65&lt;&gt;"data missing"), Calc!BC104*'Waste results'!$S$29+ Calc!BD104*'Waste results'!$S$65, "data missing"),
   IF(Calc!BD104=0,
     IF(OR('Waste results'!$S$29&lt;&gt;"data missing", 'Waste results'!$S$101&lt;&gt;"data missing"), Calc!BC104*'Waste results'!$S$29+ Calc!BE104*'Waste results'!$S$101, "data missing"),
   IF(Calc!BC104=0,
     IF(OR('Waste results'!$S$65&lt;&gt;"data missing", 'Waste results'!$S$101&lt;&gt;"data missing"), Calc!BD104*'Waste results'!$S$65+Calc!BE104*'Waste results'!$S$101, "data missing"),
   IF(OR('Waste results'!$S$29&lt;&gt;"data missing", 'Waste results'!$S$65&lt;&gt;"data missing", 'Waste results'!$S$101&lt;&gt;"data missing"), Calc!BC104*'Waste results'!$S$29+Calc!BD104*'Waste results'!$S$65+ Calc!BE104*'Waste results'!$S$101, "data missing")))))))))))</f>
        <v/>
      </c>
      <c r="BG106" s="239" t="str">
        <f ca="1">IF($B106="","",
IF(ISBLANK('Soil results'!O109),"data missing",'Soil results'!O109))</f>
        <v/>
      </c>
      <c r="BH106" s="239" t="str">
        <f t="shared" ca="1" si="30"/>
        <v/>
      </c>
      <c r="BI106" s="9" t="str">
        <f ca="1">IF(B106="","",
IF(BF106=0,"n/a",
IF(OR(BF106="data missing",BG106="data missing"),"data missing",
IF(BF106&gt;3,"application rate too high - permissible rate exceeds limit",
IF('Soil results'!F109&lt;=5.5,
  IF(BG106&gt;50,"no application - soil conc. already above limit",
  IF(BH106&gt;50,"application rate too high - soil conc. will exceed limit",
  IF(BG106&gt;50*0.9,"soil conc. is at or above 90% of the limit",
  IF(10*BF106*1000/3000+BG106&gt;50,"soil limit likely to be exceeded in 10yrs",
  IF(50*BF106*1000/3000+BG106&gt;50,"soil limit likely to be exceeded in 50yrs","ok"))))),
IF('Soil results'!F109&lt;=6,
  IF(BG106&gt;60,"no application - soil conc. already above limit",
  IF(BH106&gt;60,"application rate too high - soil conc. will exceed limit",
  IF(BG106&gt;60*0.9,"soil conc. is at or above 90% of the limit",
  IF(10*BF106*1000/3000+BG106&gt;60,"soil limit likely to be exceeded in 10yrs",
  IF(50*BF106*1000/3000+BG106&gt;60,"soil limit likely to be exceeded in 50yrs","ok"))))),
IF('Soil results'!F109&lt;=7,
  IF(BG106&gt;75,"no application - soil conc. already above limit",
  IF(BH106&gt;75,"application rate too high - soil conc. will exceed limit",
  IF(BG106&gt;75*0.9,"soil conc. is at or above 90% of the limit",
  IF(10*BF106*1000/3000+BG106&gt;75,"soil limit likely to be exceeded in 10yrs",
  IF(50*BF106*1000/3000+BG106&gt;75,"soil limit likely to be exceeded in 50yrs","ok"))))),
IF('Soil results'!F109&gt;7,
  IF(BG106&gt;100,"no application - soil conc. already above limit",
  IF(BH106&gt;100,"application rate too high - soil conc. will exceed limit",
  IF(BG106&gt;100*0.9,"soil conc. is at or above 90% of the limit",
  IF(10*BF106*1000/3000+BG106&gt;100,"soil limit likely to be exceeded in 10yrs",
  IF(50*BF106*1000/3000+BG106&gt;100,"soil limit likely to beexceeded in 50yrs","ok")))))
))))))))</f>
        <v/>
      </c>
      <c r="BK106" s="240" t="str">
        <f ca="1">IF(B106="","",
IF(AND('Field information 2'!$O$5="", 'Field information 2'!$Q$5=""),
   IF('Waste results'!$S$30&lt;&gt;"data missing", Calc!BC104*'Waste results'!$S$30, "data missing"),
IF('Field information 2'!$Q$5="",
   IF(Calc!BD104=0,
     IF('Waste results'!$S$30&lt;&gt;"data missing", Calc!BC104*'Waste results'!$S$30, "data missing"),
   IF(Calc!BC104=0,
     IF('Waste results'!$S$66&lt;&gt;"data missing", Calc!BD104*'Waste results'!$S$66, "data missing"),
   IF(OR('Waste results'!$S$30&lt;&gt;"data missing", 'Waste results'!$S$66&lt;&gt;"data missing"), Calc!BC104*'Waste results'!$S$30+ Calc!BD104*'Waste results'!$S$66, "data missing"))),
IF(AND('Field information 2'!$M$5&lt;&gt;"", 'Field information 2'!$O$5&lt;&gt;"", 'Field information 2'!$Q$5&lt;&gt;""),
   IF(AND(Calc!BD104=0,Calc!BE104=0),
     IF('Waste results'!$S$30&lt;&gt;"data missing", Calc!BC104*'Waste results'!$S$30, "data missing"),
   IF(AND(Calc!BC104=0,Calc!BE104=0),
     IF('Waste results'!$S$66&lt;&gt;"data missing", Calc!BD104*'Waste results'!$S$66, "data missing"),
   IF(AND(Calc!BC104=0,Calc!BD104=0),
     IF('Waste results'!$S$102&lt;&gt;"data missing", Calc!BE104*'Waste results'!$S$102, "data missing"),
   IF(Calc!BE104=0,
     IF(OR('Waste results'!$S$30&lt;&gt;"data missing", 'Waste results'!$S$66&lt;&gt;"data missing"), Calc!BC104*'Waste results'!$S$30+ Calc!BD104*'Waste results'!$S$66, "data missing"),
   IF(Calc!BD104=0,
     IF(OR('Waste results'!$S$30&lt;&gt;"data missing", 'Waste results'!$S$102&lt;&gt;"data missing"), Calc!BC104*'Waste results'!$S$30+ Calc!BE104*'Waste results'!$S$102, "data missing"),
   IF(Calc!BC104=0,
     IF(OR('Waste results'!$S$66&lt;&gt;"data missing", 'Waste results'!$S$102&lt;&gt;"data missing"), Calc!BD104*'Waste results'!$S$66+Calc!BE104*'Waste results'!$S$102, "data missing"),
   IF(OR('Waste results'!$S$30&lt;&gt;"data missing", 'Waste results'!$S$66&lt;&gt;"data missing", 'Waste results'!$S$102&lt;&gt;"data missing"), Calc!BC104*'Waste results'!$S$30+Calc!BD104*'Waste results'!$S$66+ Calc!BE104*'Waste results'!$S$102, "data missing")))))))))))</f>
        <v/>
      </c>
      <c r="BL106" s="241" t="str">
        <f ca="1">IF($B106="","",
IF(ISBLANK('Soil results'!P109),"data missing",'Soil results'!P109))</f>
        <v/>
      </c>
      <c r="BM106" s="241" t="str">
        <f t="shared" ca="1" si="31"/>
        <v/>
      </c>
      <c r="BN106" s="66" t="str">
        <f t="shared" ca="1" si="32"/>
        <v/>
      </c>
      <c r="BP106" s="238" t="str">
        <f ca="1">IF(B106="","",
IF(AND('Field information 2'!$O$5="", 'Field information 2'!$Q$5=""),
   IF('Waste results'!$S$31&lt;&gt;"data missing", Calc!BC104*'Waste results'!$S$31, "data missing"),
IF('Field information 2'!$Q$5="",
   IF(Calc!BD104=0,
     IF('Waste results'!$S$31&lt;&gt;"data missing", Calc!BC104*'Waste results'!$S$31, "data missing"),
   IF(Calc!BC104=0,
     IF('Waste results'!$S$67&lt;&gt;"data missing", Calc!BD104*'Waste results'!$S$67, "data missing"),
   IF(OR('Waste results'!$S$31&lt;&gt;"data missing", 'Waste results'!$S$67&lt;&gt;"data missing"), Calc!BC104*'Waste results'!$S$31+ Calc!BD104*'Waste results'!$S$67, "data missing"))),
IF(AND('Field information 2'!$M$5&lt;&gt;"", 'Field information 2'!$O$5&lt;&gt;"", 'Field information 2'!$Q$5&lt;&gt;""),
   IF(AND(Calc!BD104=0,Calc!BE104=0),
     IF('Waste results'!$S$31&lt;&gt;"data missing", Calc!BC104*'Waste results'!$S$31, "data missing"),
   IF(AND(Calc!BC104=0,Calc!BE104=0),
     IF('Waste results'!$S$67&lt;&gt;"data missing", Calc!BD104*'Waste results'!$S$67, "data missing"),
   IF(AND(Calc!BC104=0,Calc!BD104=0),
     IF('Waste results'!$S$103&lt;&gt;"data missing", Calc!BE104*'Waste results'!$S$103, "data missing"),
   IF(Calc!BE104=0,
     IF(OR('Waste results'!$S$31&lt;&gt;"data missing", 'Waste results'!$S$67&lt;&gt;"data missing"), Calc!BC104*'Waste results'!$S$31+ Calc!BD104*'Waste results'!$S$67, "data missing"),
   IF(Calc!BD104=0,
     IF(OR('Waste results'!$S$31&lt;&gt;"data missing", 'Waste results'!$S$103&lt;&gt;"data missing"), Calc!BC104*'Waste results'!$S$31+ Calc!BE104*'Waste results'!$S$103, "data missing"),
   IF(Calc!BC104=0,
     IF(OR('Waste results'!$S$67&lt;&gt;"data missing", 'Waste results'!$S$103&lt;&gt;"data missing"), Calc!BD104*'Waste results'!$S$67+Calc!BE104*'Waste results'!$S$103, "data missing"),
   IF(OR('Waste results'!$S$31&lt;&gt;"data missing", 'Waste results'!$S$67&lt;&gt;"data missing", 'Waste results'!$S$103&lt;&gt;"data missing"), Calc!BC104*'Waste results'!$S$31+Calc!BD104*'Waste results'!$S$67+ Calc!BE104*'Waste results'!$S$103, "data missing")))))))))))</f>
        <v/>
      </c>
      <c r="BQ106" s="239" t="str">
        <f ca="1">IF($B106="","",
IF(ISBLANK('Soil results'!Q109),"data missing",'Soil results'!Q109))</f>
        <v/>
      </c>
      <c r="BR106" s="239" t="str">
        <f t="shared" ca="1" si="33"/>
        <v/>
      </c>
      <c r="BS106" s="9" t="str">
        <f ca="1">IF(B106="","",
IF(BP106=0,"n/a",
IF(OR(BP106="data missing",BQ106=""),"data missing",
IF(BP106&gt;15,"application rate too high - permissible rate exceeds limit",
IF('Soil results'!F109&lt;=5.5,
  IF(BQ106&gt;200,"no application - soil conc. already above limit",
  IF(BR106&gt;200,"application rate too high - soil conc. will exceed limit",
  IF(BQ106&gt;200*0.9,"soil conc. is at or above 90% of the limit",
  IF(10*BP106*1000/3000+BQ106&gt;200,"soil limit likely to be exceeded in 10yrs",
  IF(50*BP106*1000/3000+BQ106&gt;200,"soil limit likely to be exceeded in 50yrs","ok"))))),
IF('Soil results'!F109&lt;=6,
  IF(BQ106&gt;250,"no application - soil conc. already above limit",
  IF(BR106&gt;250,"application rate too high - soil conc. will exceed limit",
  IF(BQ106&gt;250*0.9,"soil conc. is at or above 90% of the limit",
  IF(10*BP106*1000/3000+BQ106&gt;250,"soil limit likely to be exceeded in 10yrs",
  IF(50*BP106*1000/3000+BQ106&gt;250,"soil limit likely to be exceeded in 50yrs","ok"))))),
IF('Soil results'!F109&lt;=7,
  IF(BQ106&gt;300,"no application - soil conc. already above limit",
  IF(BR106&gt;300,"application rate too high - soil conc. will exceed limit",
  IF(BQ106&gt;300*0.9,"soil conc. is at or above 90% of the limit",
  IF(10*BP106*1000/3000+BQ106&gt;300,"soil limit likey to be exceeded in 10yrs",
  IF(50*BP106*1000/3000+BQ106&gt;300,"soil limit likely to be exceeded in 50yrs","ok"))))),
IF('Soil results'!F109&gt;7,
  IF(BQ106&gt;450,"no application - soil conc. already above limit",
  IF(BR106&gt;450,"application rate too high - soil conc. will exceed limit",
  IF(AW106&gt;450*0.9,"soil conc. is at or above 90% of the limit",
  IF(10*BP106*1000/3000+BQ106&gt;450,"soil limit likely to be exceeded in 10yrs",
  IF(50*BP106*1000/3000+BQ106&gt;450,"soil limit likely to be exceeded in 50yrs","ok")))))
))))))))</f>
        <v/>
      </c>
    </row>
    <row r="107" spans="2:71" ht="15" x14ac:dyDescent="0.25">
      <c r="B107" s="236" t="str">
        <f ca="1">'Soil results'!B110</f>
        <v/>
      </c>
      <c r="C107" s="91" t="str">
        <f ca="1">IF(B107="","",
IF(AND('Field information 2'!$O$5="", 'Field information 2'!$Q$5=""),
   IF('Waste results'!$S$12&lt;&gt;"data missing", Calc!BC105*'Waste results'!$S$12, "data missing"),
IF('Field information 2'!$Q$5="",
   IF(Calc!BD105=0,
     IF('Waste results'!$S$12&lt;&gt;"data missing", Calc!BC105*'Waste results'!$S$12, "data missing"),
   IF(Calc!BC105=0,
     IF('Waste results'!$S$48&lt;&gt;"data missing", Calc!BD105*'Waste results'!$S$48, "data missing"),
   IF(OR('Waste results'!$S$12&lt;&gt;"data missing", 'Waste results'!$S$48&lt;&gt;"data missing"), Calc!BC105*'Waste results'!$S$12+ Calc!BD105*'Waste results'!$S$48, "data missing"))),
IF(AND('Field information 2'!$M$5&lt;&gt;"", 'Field information 2'!$O$5&lt;&gt;"", 'Field information 2'!$Q$5&lt;&gt;""),
   IF(AND(Calc!BD105=0,Calc!BE105=0),
     IF('Waste results'!$S$12&lt;&gt;"data missing", Calc!BC105*'Waste results'!$S$12, "data missing"),
   IF(AND(Calc!BC105=0,Calc!BE105=0),
     IF('Waste results'!$S$48&lt;&gt;"data missing", Calc!BD105*'Waste results'!$S$48, "data missing"),
   IF(AND(Calc!BC105=0,Calc!BD105=0),
     IF('Waste results'!$S$84&lt;&gt;"data missing", Calc!BE105*'Waste results'!$S$84, "data missing"),
   IF(Calc!BE105=0,
     IF(OR('Waste results'!$S$12&lt;&gt;"data missing", 'Waste results'!$S$48&lt;&gt;"data missing"), Calc!BC105*'Waste results'!$S$12+ Calc!BD105*'Waste results'!$S$48, "data missing"),
   IF(Calc!BD105=0,
     IF(OR('Waste results'!$S$12&lt;&gt;"data missing", 'Waste results'!$S$84&lt;&gt;"data missing"), Calc!BC105*'Waste results'!$S$12+ Calc!BE105*'Waste results'!$S$84, "data missing"),
   IF(Calc!BC105=0,
     IF(OR('Waste results'!$S$48&lt;&gt;"data missing", 'Waste results'!$S$84&lt;&gt;"data missing"), Calc!BD105*'Waste results'!$S$48+Calc!BE105*'Waste results'!$S$84, "data missing"),
   IF(OR('Waste results'!$S$12&lt;&gt;"data missing", 'Waste results'!$S$48&lt;&gt;"data missing", 'Waste results'!$S$84&lt;&gt;"data missing"), Calc!BC105*'Waste results'!$S$12+Calc!BD105*'Waste results'!$S$48+ Calc!BE105*'Waste results'!$S$84, "data missing")))))))))))</f>
        <v/>
      </c>
      <c r="D107" s="161" t="str">
        <f ca="1">IF(B107="","",
IF(Calc!BG105="","soil texture missing",
IF(OR(Calc!BG105="SL; SZL; ZL",Calc!BG105="SCL; CL; ZCL; SC; ZC; C"),VLOOKUP(Calc!BI105,'Fertiliser recommendations'!$A$4:$C$63,3,FALSE),
IF(Calc!BG105="S; LS",VLOOKUP(Calc!BI105,'Fertiliser recommendations'!$A$4:$C$63,3,FALSE)+VLOOKUP(Calc!BI105,'Fertiliser recommendations'!$A$4:$D$63,4,FALSE),
IF(Calc!BG105="10-25% OM",VLOOKUP(Calc!BI105,'Fertiliser recommendations'!$A$4:$C$63,3,FALSE)+VLOOKUP(Calc!BI105,'Fertiliser recommendations'!$A$4:$E$63,5,FALSE),
IF(Calc!BG105="&gt;25% OM",VLOOKUP(Calc!BI105,'Fertiliser recommendations'!$A$4:$C$63,3,FALSE)+VLOOKUP(Calc!BI105,'Fertiliser recommendations'!$A$4:$F$63,6,FALSE),
""))))))</f>
        <v/>
      </c>
      <c r="E107" s="91" t="str">
        <f t="shared" ref="E107:E156" ca="1" si="34">IF(OR(C107="data missing",ISTEXT(D107)),"",C107-D107)</f>
        <v/>
      </c>
      <c r="F107" s="9" t="str">
        <f ca="1">IF(B107="","",
IF(OR(C107="data missing",D107="soil texture missing"),"data missing",
IF(Calc!BF105=0,"n/a",
IF(C107&lt;0.1*D107,"no benefit",
IF(C107&lt;0.3*D107,"limited benefit",
IF(C107&gt;250,"exceeds limit",
IF(OR(AND(D107=0,C107&gt;75),C107&gt;1.25*D107),"excessive",
IF(D107=0, "no requirement",
"benefit"))))))))</f>
        <v/>
      </c>
      <c r="G107" s="9"/>
      <c r="H107" s="91" t="str">
        <f ca="1">IF(B107="","",
IF(AND('Field information 2'!$O$5="", 'Field information 2'!$Q$5=""),
   IF('Waste results'!$S$17&lt;&gt;"data missing", Calc!BC105*'Waste results'!$S$17, "data missing"),
IF('Field information 2'!$Q$5="",
   IF(Calc!BD105=0,
     IF('Waste results'!$S$17&lt;&gt;"data missing", Calc!BC105*'Waste results'!$S$17, "data missing"),
   IF(Calc!BC105=0,
     IF('Waste results'!$S$53&lt;&gt;"data missing", Calc!BD105*'Waste results'!$S$53, "data missing"),
   IF(OR('Waste results'!$S$17&lt;&gt;"data missing", 'Waste results'!$S$53&lt;&gt;"data missing"), Calc!BC105*'Waste results'!$S$17+ Calc!BD105*'Waste results'!$S$53, "data missing"))),
IF(AND('Field information 2'!$M$5&lt;&gt;"", 'Field information 2'!$O$5&lt;&gt;"", 'Field information 2'!$Q$5&lt;&gt;""),
   IF(AND(Calc!BD105=0,Calc!BE105=0),
     IF('Waste results'!$S$17&lt;&gt;"data missing", Calc!BC105*'Waste results'!$S$17, "data missing"),
   IF(AND(Calc!BC105=0,Calc!BE105=0),
     IF('Waste results'!$S$53&lt;&gt;"data missing", Calc!BD105*'Waste results'!$S$53, "data missing"),
   IF(AND(Calc!BC105=0,Calc!BD105=0),
     IF('Waste results'!$S$89&lt;&gt;"data missing", Calc!BE105*'Waste results'!$S$89, "data missing"),
   IF(Calc!BE105=0,
     IF(OR('Waste results'!$S$17&lt;&gt;"data missing", 'Waste results'!$S$53&lt;&gt;"data missing"), Calc!BC105*'Waste results'!$S$17+ Calc!BD105*'Waste results'!$S$53, "data missing"),
   IF(Calc!BD105=0,
     IF(OR('Waste results'!$S$17&lt;&gt;"data missing", 'Waste results'!$S$89&lt;&gt;"data missing"), Calc!BC105*'Waste results'!$S$17+ Calc!BE105*'Waste results'!$S$89, "data missing"),
   IF(Calc!BC105=0,
     IF(OR('Waste results'!$S$53&lt;&gt;"data missing", 'Waste results'!$S$89&lt;&gt;"data missing"), Calc!BD105*'Waste results'!$S$53+Calc!BE105*'Waste results'!$S$89, "data missing"),
   IF(OR('Waste results'!$S$17&lt;&gt;"data missing", 'Waste results'!$S$53&lt;&gt;"data missing", 'Waste results'!$S$89&lt;&gt;"data missing"), Calc!BC105*'Waste results'!$S$17+Calc!BD105*'Waste results'!$S$53+ Calc!BE105*'Waste results'!$S$89, "data missing")))))))))))</f>
        <v/>
      </c>
      <c r="I107" s="195" t="str">
        <f ca="1">IF(B107="","",
IF(OR(ISBLANK('Soil results'!G110), ISBLANK('Soil results'!G$7)),"data missing",
IF(OR(AND('Soil results'!G$7="Olsen (ADAS)",'Soil results'!G110&lt;16),AND('Soil results'!G$7="modified Morgan (SAC)",'Soil results'!G110&lt;4.5)),50,100)))</f>
        <v/>
      </c>
      <c r="J107" s="49" t="str">
        <f ca="1">IF(B107="","",
IF(OR(ISBLANK('Soil results'!G$7),ISBLANK('Soil results'!G110)),"data missing",
IF(OR(AND('Soil results'!G$7="Olsen (ADAS)",'Soil results'!G110&gt;45),AND('Soil results'!G$7="modified Morgan (SAC)",'Soil results'!G110&gt;30)),0,
IF(OR(AND('Soil results'!G$7="Olsen (ADAS)",'Soil results'!G110&gt;=16,'Soil results'!G110&lt;=20),AND('Soil results'!G$7="modified Morgan (SAC)",'Soil results'!G110&gt;=4.5,'Soil results'!G110&lt;=9.4)),VLOOKUP(Calc!BI105,'Fertiliser recommendations'!$A$4:$I$63,9,FALSE),
IF(OR(AND('Soil results'!G$7="Olsen (ADAS)",'Soil results'!G110&lt;10),AND('Soil results'!G$7="modified Morgan (SAC)",'Soil results'!G110&lt;1.8)),VLOOKUP(Calc!BI105,'Fertiliser recommendations'!$A$4:$I$63,9,FALSE)+VLOOKUP(Calc!BI105,'Fertiliser recommendations'!$A$4:$J$63,10,FALSE),
IF(OR(AND('Soil results'!G$7="Olsen (ADAS)",'Soil results'!G110&lt;16),AND('Soil results'!G$7="modified Morgan (SAC)",'Soil results'!G110&lt;4.5)),VLOOKUP(Calc!BI105,'Fertiliser recommendations'!$A$4:$I$63,9,FALSE)+VLOOKUP(Calc!BI105,'Fertiliser recommendations'!$A$4:$K$63,11,FALSE),
IF(OR(AND('Soil results'!G$7="Olsen (ADAS)",'Soil results'!G110&lt;26),AND('Soil results'!G$7="modified Morgan (SAC)",'Soil results'!G110&lt;13.5)),VLOOKUP(Calc!BI105,'Fertiliser recommendations'!$A$4:$I$63,9,FALSE)+VLOOKUP(Calc!BI105,'Fertiliser recommendations'!$A$4:$L$63,12,FALSE),
IF(OR(AND('Soil results'!G$7="Olsen (ADAS)",'Soil results'!G110&lt;=45),AND('Soil results'!G$7="modified Morgan (SAC)",'Soil results'!G110&lt;=30)),VLOOKUP(Calc!BI105,'Fertiliser recommendations'!$A$4:$I$63,9,FALSE)+VLOOKUP(Calc!BI105,'Fertiliser recommendations'!$A$4:$M$63,13,FALSE),
""))))))))</f>
        <v/>
      </c>
      <c r="K107" s="161" t="str">
        <f t="shared" ref="K107:K156" ca="1" si="35">IF(OR(H107="data missing",I107="",J107="",I107="data missing",J107="data missing"),"",(H107*I107/100)-J107)</f>
        <v/>
      </c>
      <c r="L107" s="47" t="str">
        <f ca="1">IF(OR(ISBLANK('Soil results'!G$7),ISBLANK('Soil results'!G110),B107="", H107="data missing"),"",
IF('Soil results'!G$7="Olsen (ADAS)",
IF(((H107*Calc!BM105/2.291-(VLOOKUP(Calc!BI105,'Fertiliser recommendations'!$A$4:$I$63,9,FALSE))/2.291)*10/(400/2.291)+'Soil results'!G110)&lt;10,"0 (VL)",
IF(((H107*Calc!BM105/2.291-(VLOOKUP(Calc!BI105,'Fertiliser recommendations'!$A$4:$I$63,9,FALSE))/2.291)*10/(400/2.291)+'Soil results'!G110)&lt;16,"1 (L)",
IF(((H107*Calc!BM105/2.291-(VLOOKUP(Calc!BI105,'Fertiliser recommendations'!$A$4:$I$63,9,FALSE))/2.291)*10/(400/2.291)+'Soil results'!G110)&lt;21,"2 (M-)",
IF(((H107*Calc!BM105/2.291-(VLOOKUP(Calc!BI105,'Fertiliser recommendations'!$A$4:$I$63,9,FALSE))/2.291)*10/(400/2.291)+'Soil results'!G110)&lt;26,"2 (M+)",
IF(((H107*Calc!BM105/2.291-(VLOOKUP(Calc!BI105,'Fertiliser recommendations'!$A$4:$I$63,9,FALSE))/2.291)*10/(400/2.291)+'Soil results'!G110)&lt;45,"3 (H)","&gt;3 (VH)"))))),
IF('Soil results'!G$7="modified Morgan (SAC)",
IF('Soil results'!G110&gt;=6,
IF(((H107*Calc!BM105/2.291-(VLOOKUP(Calc!BI105,'Fertiliser recommendations'!$A$4:$I$63,9,FALSE))/2.291)*5/(147/2.291)+'Soil results'!G110)&lt;9.5,"2 (M-)",
IF(((H107*Calc!BM105/2.291-(VLOOKUP(Calc!BI105,'Fertiliser recommendations'!$A$4:$I$63,9,FALSE))/2.291)*5/(147/2.291)+'Soil results'!G110)&lt;13.5,"2 (M+)",
IF(((H107*Calc!BM105/2.291-(VLOOKUP(Calc!BI105,'Fertiliser recommendations'!$A$4:$I$63,9,FALSE))/2.291)*5/(147/2.291)+'Soil results'!G110)&lt;30,"3 (H)","4 (VH)"))),
IF(((H107*Calc!BM105/2.291-(VLOOKUP(Calc!BI105,'Fertiliser recommendations'!$A$4:$I$63,9,FALSE))/2.291)*5/(346/2.291)+'Soil results'!G110)&lt;1.8,"0 (VL)",
IF(((H107*Calc!BM105/2.291-(VLOOKUP(Calc!BI105,'Fertiliser recommendations'!$A$4:$I$63,9,FALSE))/2.291)*5/(147/2.291)+'Soil results'!G110)&lt;4.5,"1 (L)","2 (M-)"))))))</f>
        <v/>
      </c>
      <c r="M107" s="9" t="str">
        <f ca="1">IF(B107="","",
IF(OR(H107="data missing",I107="data missing",J107="data missing"),"data missing",
IF(Calc!BF105=0,"n/a",
IF(OR(AND('Soil results'!G$7="Olsen (ADAS)",'Soil results'!G110&gt;45),AND('Soil results'!G$7="modified Morgan (SAC)",'Soil results'!G110&gt;30)),
IF(H107&gt;2,"too high, not acceptable","no requirement"),IF(OR(AND('Soil results'!G$7="Olsen (ADAS)",'Soil results'!G110&gt;25),AND('Soil results'!G$7="modified Morgan (SAC)",'Soil results'!G110&gt;13.4)),
IF(H107*(I107/100)&lt;0.1*J107,"no benefit",
IF(H107*(I107/100)&lt;0.3*J107,"limited benefit",
IF(H107*(I107/100)&lt;1.1*J107,"benefit",
IF(H107*(I107/100)&lt;0.7*VLOOKUP(Calc!BI105,'Fertiliser recommendations'!$A$4:$I$63,9,FALSE),"excessive","too high, not acceptable")))),
IF(OR(AND('Soil results'!G$7="Olsen (ADAS)",'Soil results'!G110&gt;20),AND('Soil results'!G$7="modified Morgan (SAC)",'Soil results'!G110&gt;9.4)),
IF(H107*Calc!BM105*(I107/100)&lt;0.1*J107,"no benefit",
IF(H107*Calc!BM105*(I107/100)&lt;0.3*J107,"limited benefit",
IF(H107*Calc!BM105*(I107/100)&lt;1.1*J107,"benefit",
IF(L107="3 (H)","too high, not acceptable","excessive")))),
IF(OR(AND('Soil results'!G$7="Olsen (ADAS)",'Soil results'!G110&gt;15),AND('Soil results'!G$7="modified Morgan (SAC)",'Soil results'!G110&gt;4.4)),
IF(H107*Calc!BM105*(I107/100)&lt;0.1*VLOOKUP(Calc!BI105,'Fertiliser recommendations'!$A$4:$I$63,9,FALSE),"no benefit",
IF(H107*Calc!BM105*(I107/100)&lt;0.3*VLOOKUP(Calc!BI105,'Fertiliser recommendations'!$A$4:$I$63,9,FALSE),"limited benefit",
IF(H107*Calc!BM105*(I107/100)&lt;1.1*VLOOKUP(Calc!BI105,'Fertiliser recommendations'!$A$4:$I$63,9,FALSE),"benefit",
IF(L107="3 (H)", "too high, not acceptable", "excessive")))),
IF(OR(AND('Soil results'!G$7="Olsen (ADAS)",'Soil results'!G110&lt;=15),AND('Soil results'!G$7="modified Morgan (SAC)",'Soil results'!G110&lt;=4.4)),
IF(H107*Calc!BM105*(I107/100)&lt;0.1*VLOOKUP(Calc!BI105,'Fertiliser recommendations'!$A$4:$I$63,9,FALSE),"no benefit",
IF(H107*Calc!BM105*(I107/100)&lt;0.3*VLOOKUP(Calc!BI105,'Fertiliser recommendations'!$A$4:$I$63,9,FALSE),"limited benefit",
IF(H107*Calc!BM105*(I107/100)&lt;1.1*J107,"benefit","excessive")))))))))))</f>
        <v/>
      </c>
      <c r="N107" s="9"/>
      <c r="O107" s="91" t="str">
        <f ca="1">IF(B107="","",
IF(AND('Field information 2'!$O$5="", 'Field information 2'!$Q$5=""),
   IF('Waste results'!$S$19&lt;&gt;"data missing", Calc!BC105*'Waste results'!$S$19, "data missing"),
IF('Field information 2'!$Q$5="",
   IF(Calc!BD105=0,
     IF('Waste results'!$S$19&lt;&gt;"data missing", Calc!BC105*'Waste results'!$S$19, "data missing"),
   IF(Calc!BC105=0,
     IF('Waste results'!$S$55&lt;&gt;"data missing", Calc!BD105*'Waste results'!$S$55, "data missing"),
   IF(OR('Waste results'!$S$19&lt;&gt;"data missing", 'Waste results'!$S$55&lt;&gt;"data missing"), Calc!BC105*'Waste results'!$S$19+ Calc!BD105*'Waste results'!$S$55, "data missing"))),
IF(AND('Field information 2'!$M$5&lt;&gt;"", 'Field information 2'!$O$5&lt;&gt;"", 'Field information 2'!$Q$5&lt;&gt;""),
   IF(AND(Calc!BD105=0,Calc!BE105=0),
     IF('Waste results'!$S$19&lt;&gt;"data missing", Calc!BC105*'Waste results'!$S$19, "data missing"),
   IF(AND(Calc!BC105=0,Calc!BE105=0),
     IF('Waste results'!$S$55&lt;&gt;"data missing", Calc!BD105*'Waste results'!$S$55, "data missing"),
   IF(AND(Calc!BC105=0,Calc!BD105=0),
     IF('Waste results'!$S$91&lt;&gt;"data missing", Calc!BE105*'Waste results'!$S$91, "data missing"),
   IF(Calc!BE105=0,
     IF(OR('Waste results'!$S$19&lt;&gt;"data missing", 'Waste results'!$S$55&lt;&gt;"data missing"), Calc!BC105*'Waste results'!$S$19+ Calc!BD105*'Waste results'!$S$55, "data missing"),
   IF(Calc!BD105=0,
     IF(OR('Waste results'!$S$19&lt;&gt;"data missing", 'Waste results'!$S$91&lt;&gt;"data missing"), Calc!BC105*'Waste results'!$S$19+ Calc!BE105*'Waste results'!$S$91, "data missing"),
   IF(Calc!BC105=0,
     IF(OR('Waste results'!$S$55&lt;&gt;"data missing", 'Waste results'!$S$91&lt;&gt;"data missing"), Calc!BD105*'Waste results'!$S$55+Calc!BE105*'Waste results'!$S$91, "data missing"),
   IF(OR('Waste results'!$S$19&lt;&gt;"data missing", 'Waste results'!$S$55&lt;&gt;"data missing", 'Waste results'!$S$91&lt;&gt;"data missing"), Calc!BC105*'Waste results'!$S$19+Calc!BD105*'Waste results'!$S$55+ Calc!BE105*'Waste results'!$S$91, "data missing")))))))))))</f>
        <v/>
      </c>
      <c r="P107" s="91" t="str">
        <f ca="1">IF(B107="","",
IF(OR(ISBLANK('Soil results'!H$7),ISBLANK('Soil results'!H110)),"data missing",
IF(OR(AND('Soil results'!H$7="ammonium nitrate (ADAS)",'Soil results'!H110&gt;400),AND('Soil results'!H$7="modified Morgan (SAC)",'Soil results'!H110&gt;400)),0,
IF(OR(AND('Soil results'!H$7="ammonium nitrate (ADAS)",'Soil results'!H110&gt;=121,'Soil results'!H110&lt;=180),AND('Soil results'!H$7="modified Morgan (SAC)",'Soil results'!H110&gt;=76,'Soil results'!H110&lt;=140)),VLOOKUP(Calc!BI105,'Fertiliser recommendations'!$A$4:$Z$63,26,FALSE),
IF(OR(AND('Soil results'!H$7="ammonium nitrate (ADAS)",'Soil results'!H110&lt;61),AND('Soil results'!H$7="modified Morgan (SAC)",'Soil results'!H110&lt;40)),VLOOKUP(Calc!BI105,'Fertiliser recommendations'!$A$4:$Z$63,26,FALSE)+VLOOKUP(Calc!BI105,'Fertiliser recommendations'!$A$4:$AA$63,27,FALSE),
IF(OR(AND('Soil results'!H$7="ammonium nitrate (ADAS)",'Soil results'!H110&lt;121),AND('Soil results'!H$7="modified Morgan (SAC)",'Soil results'!H110&lt;76)),VLOOKUP(Calc!BI105,'Fertiliser recommendations'!$A$4:$Z$63,26,FALSE)+VLOOKUP(Calc!BI105,'Fertiliser recommendations'!$A$4:$AB$63,28,FALSE),
IF(OR(AND('Soil results'!H$7="ammonium nitrate (ADAS)",'Soil results'!H110&lt;241),AND('Soil results'!H$7="modified Morgan (SAC)",'Soil results'!H110&lt;201)),VLOOKUP(Calc!BI105,'Fertiliser recommendations'!$A$4:$Z$63,26,FALSE)+VLOOKUP(Calc!BI105,'Fertiliser recommendations'!$A$4:$AC$63,29,FALSE),
IF(OR(AND('Soil results'!H$7="ammonium nitrate (ADAS)",'Soil results'!H110&lt;=400),AND('Soil results'!H$7="modified Morgan (SAC)",'Soil results'!H110&lt;=400)),VLOOKUP(Calc!BI105,'Fertiliser recommendations'!$A$4:$Z$63,26,FALSE)+VLOOKUP(Calc!BI105,'Fertiliser recommendations'!$A$4:$AD$63,30,FALSE),
"??"))))))))</f>
        <v/>
      </c>
      <c r="Q107" s="91" t="str">
        <f t="shared" ref="Q107:Q156" ca="1" si="36">IF(OR(O107="",P107="",O107="data missing",P107="data missing"),"",O107-P107)</f>
        <v/>
      </c>
      <c r="R107" s="9" t="str">
        <f ca="1">IF(B107="","",
IF(OR(O107="data missing",P107="data missing"),"data missing",
IF(Calc!BF105=0,"n/a",
IF(P107=0, "no requirement",
IF(O107&lt;0.1*P107,"no benefit",
IF(O107&lt;0.3*P107,"limited benefit",
IF(O107&gt;1.25*P107,"excessive",
"benefit")))))))</f>
        <v/>
      </c>
      <c r="S107" s="9"/>
      <c r="T107" s="91" t="str">
        <f ca="1">IF(B107="","",
IF(AND('Field information 2'!$O$5="", 'Field information 2'!$Q$5=""),
   IF('Waste results'!$S$21&lt;&gt;"data missing", Calc!BC105*'Waste results'!$S$21, "data missing"),
IF('Field information 2'!$Q$5="",
   IF(Calc!BD105=0,
     IF('Waste results'!$S$21&lt;&gt;"data missing", Calc!BC105*'Waste results'!$S$21, "data missing"),
   IF(Calc!BC105=0,
     IF('Waste results'!$S$57&lt;&gt;"data missing", Calc!BD105*'Waste results'!$S$57, "data missing"),
   IF(OR('Waste results'!$S$21&lt;&gt;"data missing", 'Waste results'!$S$57&lt;&gt;"data missing"), Calc!BC105*'Waste results'!$S$21+ Calc!BD105*'Waste results'!$S$57, "data missing"))),
IF(AND('Field information 2'!$M$5&lt;&gt;"", 'Field information 2'!$O$5&lt;&gt;"", 'Field information 2'!$Q$5&lt;&gt;""),
   IF(AND(Calc!BD105=0,Calc!BE105=0),
     IF('Waste results'!$S$21&lt;&gt;"data missing", Calc!BC105*'Waste results'!$S$21, "data missing"),
   IF(AND(Calc!BC105=0,Calc!BE105=0),
     IF('Waste results'!$S$57&lt;&gt;"data missing", Calc!BD105*'Waste results'!$S$57, "data missing"),
   IF(AND(Calc!BC105=0,Calc!BD105=0),
     IF('Waste results'!$S$93&lt;&gt;"data missing", Calc!BE105*'Waste results'!$S$93, "data missing"),
   IF(Calc!BE105=0,
     IF(OR('Waste results'!$S$21&lt;&gt;"data missing", 'Waste results'!$S$57&lt;&gt;"data missing"), Calc!BC105*'Waste results'!$S$21+ Calc!BD105*'Waste results'!$S$57, "data missing"),
   IF(Calc!BD105=0,
     IF(OR('Waste results'!$S$21&lt;&gt;"data missing", 'Waste results'!$S$93&lt;&gt;"data missing"), Calc!BC105*'Waste results'!$S$21+ Calc!BE105*'Waste results'!$S$93, "data missing"),
   IF(Calc!BC105=0,
     IF(OR('Waste results'!$S$57&lt;&gt;"data missing", 'Waste results'!$S$93&lt;&gt;"data missing"), Calc!BD105*'Waste results'!$S$57+Calc!BE105*'Waste results'!$S$93, "data missing"),
   IF(OR('Waste results'!$S$21&lt;&gt;"data missing", 'Waste results'!$S$57&lt;&gt;"data missing", 'Waste results'!$S$93&lt;&gt;"data missing"), Calc!BC105*'Waste results'!$S$21+Calc!BD105*'Waste results'!$S$57+ Calc!BE105*'Waste results'!$S$93, "data missing")))))))))))</f>
        <v/>
      </c>
      <c r="U107" s="7" t="str">
        <f ca="1">IF(B107="","",
IF(OR(ISBLANK('Soil results'!I$7),ISBLANK('Soil results'!I110)),"data missing",
IF(OR(AND('Soil results'!I$7="ammonium nitrate (ADAS)",'Soil results'!I110&gt;51),AND('Soil results'!I$7="modified Morgan (SAC)",'Soil results'!I110&gt;61)),0,
IF(OR(AND('Soil results'!I$7="ammonium nitrate (ADAS)",'Soil results'!I110&lt;25),AND('Soil results'!I$7="modified Morgan (SAC)",'Soil results'!I110&lt;19)),VLOOKUP(Calc!BI105,'Fertiliser recommendations'!$A$4:$AH$63,34,FALSE),
IF(OR(AND('Soil results'!I$7="ammonium nitrate (ADAS)",'Soil results'!I110&lt;=51),AND('Soil results'!I$7="modified Morgan (SAC)",'Soil results'!I110&lt;=61)),VLOOKUP(Calc!BI105,'Fertiliser recommendations'!$A$4:$AI$63,35,FALSE),
"")))))</f>
        <v/>
      </c>
      <c r="V107" s="91" t="str">
        <f t="shared" ref="V107:V156" ca="1" si="37">IF(OR(T107="",U107="",T107="data missing",U107="data missing"),"",T107-U107)</f>
        <v/>
      </c>
      <c r="W107" s="9" t="str">
        <f ca="1">IF(B107="","",
IF(OR(T107="data missing",U107="data missing"),"data missing",
IF(Calc!BF105=0,"n/a",
IF(U107=0,"no requirement",
IF(T107&lt;0.1*U107,"no benefit",
IF(T107&lt;0.3*U107,"limited benefit",
IF(OR(T107&gt;1.5*U107,AND(Calc!BJ105="g",T107&gt;100)),"excessive",
"benefit")))))))</f>
        <v/>
      </c>
      <c r="X107" s="9"/>
      <c r="Y107" s="91" t="str">
        <f ca="1">IF(B107="","",
IF(AND('Field information 2'!$O$5="", 'Field information 2'!$Q$5=""),
   IF('Waste results'!$P$23&lt;&gt;"", Calc!BC105*'Waste results'!$P$23, "no data"),
IF('Field information 2'!$Q$5="",
   IF(Calc!BD105=0,
     IF('Waste results'!$P$23&lt;&gt;"", Calc!BC105*'Waste results'!$P$23, "no data"),
   IF(Calc!BC105=0,
     IF('Waste results'!$P$59&lt;&gt;"", Calc!BD105*'Waste results'!$P$59, "no data"),
   IF(OR('Waste results'!$P$23&lt;&gt;"", 'Waste results'!$P$59&lt;&gt;""), Calc!BC105*'Waste results'!$P$23+ Calc!BD105*'Waste results'!$P$59, "no data"))),
IF(AND('Field information 2'!$M$5&lt;&gt;"", 'Field information 2'!$O$5&lt;&gt;"", 'Field information 2'!$Q$5&lt;&gt;""),
   IF(AND(Calc!BD105=0,Calc!BE105=0),
     IF('Waste results'!$P$23&lt;&gt;"", Calc!BC105*'Waste results'!$P$23, "no data"),
   IF(AND(Calc!BC105=0,Calc!BE105=0),
     IF('Waste results'!$P$59&lt;&gt;"", Calc!BD105*'Waste results'!$P$59, "no data"),
   IF(AND(Calc!BC105=0,Calc!BD105=0),
     IF('Waste results'!$P$95&lt;&gt;"", Calc!BE105*'Waste results'!$P$95, "no data"),
   IF(Calc!BE105=0,
     IF(OR('Waste results'!$P$23&lt;&gt;"", 'Waste results'!$P$59&lt;&gt;""), Calc!BC105*'Waste results'!$P$23+ Calc!BD105*'Waste results'!$P$59, "no data"),
   IF(Calc!BD105=0,
     IF(OR('Waste results'!$P$23&lt;&gt;"", 'Waste results'!$P$95&lt;&gt;""), Calc!BC105*'Waste results'!$P$23+ Calc!BE105*'Waste results'!$P$95, "no data"),
   IF(Calc!BC105=0,
     IF(OR('Waste results'!$P$59&lt;&gt;"", 'Waste results'!$P$95&lt;&gt;""), Calc!BD105*'Waste results'!$P$59+Calc!BE105*'Waste results'!$P$95, "no data"),
   IF(OR('Waste results'!$P$23&lt;&gt;"", 'Waste results'!$P$59&lt;&gt;"", 'Waste results'!$P$95&lt;&gt;""), Calc!BC105*'Waste results'!$P$23+Calc!BD105*'Waste results'!$P$59+ Calc!BE105*'Waste results'!$P$95, "no data")))))))))))</f>
        <v/>
      </c>
      <c r="Z107" s="7" t="str">
        <f ca="1">IF(OR(ISBLANK('Soil results'!I$7),ISBLANK('Soil results'!I110),'Soil results'!B110=""),"",
VLOOKUP(Calc!BI105,'Fertiliser recommendations'!$A$4:$AM$63,39,FALSE))</f>
        <v/>
      </c>
      <c r="AA107" s="91" t="str">
        <f t="shared" ref="AA107:AA156" ca="1" si="38">IF(OR(Y107="no data",Z107=""),"",Y107-Z107)</f>
        <v/>
      </c>
      <c r="AB107" s="9" t="str">
        <f t="shared" ref="AB107:AB156" ca="1" si="39">IF(OR(B107="",Y107="no data",Z107=""),"",
IF(T107=0,"n/a",
IF(Z107=0,"no requirement",
IF(Y107&lt;0.1*Z107,"no benefit",
IF(Y107&lt;0.3*Z107,"limited benefit",
IF(Y107&gt;1.5*Z107,"excessive",
"benefit"))))))</f>
        <v/>
      </c>
      <c r="AC107" s="9"/>
      <c r="AD107" s="48" t="str">
        <f>IF(ISBLANK('Soil results'!F110),"",'Soil results'!F110)</f>
        <v/>
      </c>
      <c r="AE107" s="49" t="str">
        <f ca="1">IF(B107="","",
IF(AND(Calc!BJ105="g", VLOOKUP(LEFT($B107,LEN($B107)-2),'Field information 2'!$B$12:$P$111,9,FALSE)&lt;&gt;"yes"),
 IF(Calc!BG105="10-25% OM", 5.9, IF(Calc!BG105="&gt;25% OM", 5.5, 6.2)),
IF(OR(Calc!BJ105="a", VLOOKUP(LEFT($B107,LEN($B107)-2),'Field information 2'!$B$12:$P$111,9,FALSE)="yes"),
 IF(Calc!BG105="10-25% OM", 6.4, IF(Calc!BG105="&gt;25% OM", 6, 6.7)), "")))</f>
        <v/>
      </c>
      <c r="AF107" s="91" t="str">
        <f ca="1">IF(B107="","",
IF('Waste results'!$Q$33="","no (significant) liming properties",
IF('Waste results'!Q$33&gt;100,"no (significant) liming properties",
IF(AD107="","",
IF(AD107&gt;=AE107,0,ROUNDDOWN((AE107-AD107)*Calc!BK105*'Waste results'!$Q$33+0.2,0))))))</f>
        <v/>
      </c>
      <c r="AG107" s="9" t="str">
        <f ca="1">IF(B107="","",
IF(T107=0,"n/a",
IF(AD107="","data missing",
IF(AND(AD107&lt;5,AF107="no (significant) liming properties"),"no waste application - pH too low",
IF(AND(AD107&gt;5.1,AF107="no (significant) liming properties",Calc!BH105&gt;25, LEFT(Calc!BI105,4)="graz"),"ok",
IF(AND(AD107&lt;=5.2,AF107="no (significant) liming properties"),"liming highly recommended",
IF(AF107=0,"no waste application - liming not required",
IF(AF107&lt;Calc!BC105,"application rate too high - exceeds liming requirement",
"ok"))))))))</f>
        <v/>
      </c>
      <c r="AH107" s="9"/>
      <c r="AI107" s="91" t="str">
        <f ca="1">IF(B107="","",
IF(AND('Field information 2'!$O$5="", 'Field information 2'!$Q$5=""),
   IF('Waste results'!$P$10&lt;&gt;"data missing", Calc!BC105*'Waste results'!$P$10, "data missing"),
IF('Field information 2'!$Q$5="",
   IF(Calc!BD105=0,
     IF('Waste results'!$P$10&lt;&gt;"data missing", Calc!BC105*'Waste results'!$P$10, "data missing"),
   IF(Calc!BC105=0,
     IF('Waste results'!$P$45&lt;&gt;"data missing", Calc!BD105*'Waste results'!$P$45, "data missing"),
   IF(OR('Waste results'!$P$10&lt;&gt;"data missing", 'Waste results'!$P$45&lt;&gt;"data missing"), Calc!BC105*'Waste results'!$P$10+ Calc!BD105*'Waste results'!$P$45, "data missing"))),
IF(AND('Field information 2'!$M$5&lt;&gt;"", 'Field information 2'!$O$5&lt;&gt;"", 'Field information 2'!$Q$5&lt;&gt;""),
   IF(AND(Calc!BD105=0,Calc!BE105=0),
     IF('Waste results'!$P$10&lt;&gt;"data missing", Calc!BC105*'Waste results'!$P$10, "data missing"),
   IF(AND(Calc!BC105=0,Calc!BE105=0),
     IF('Waste results'!$P$45&lt;&gt;"data missing", Calc!BD105*'Waste results'!$P$45, "data missing"),
   IF(AND(Calc!BC105=0,Calc!BD105=0),
     IF('Waste results'!$P$82&lt;&gt;"data missing", Calc!BE105*'Waste results'!$P$82, "data missing"),
   IF(Calc!BE105=0,
     IF(OR('Waste results'!$P$10&lt;&gt;"data missing", 'Waste results'!$P$45&lt;&gt;"data missing"), Calc!BC105*'Waste results'!$P$10+ Calc!BD105*'Waste results'!$P$45, "data missing"),
   IF(Calc!BD105=0,
     IF(OR('Waste results'!$P$10&lt;&gt;"data missing", 'Waste results'!$P$82&lt;&gt;"data missing"), Calc!BC105*'Waste results'!$P$10+ Calc!BE105*'Waste results'!$P$82, "data missing"),
   IF(Calc!BC105=0,
     IF(OR('Waste results'!$P$45&lt;&gt;"data missing", 'Waste results'!$P$82&lt;&gt;"data missing"), Calc!BD105*'Waste results'!$P$45+Calc!BE105*'Waste results'!$P$82, "data missing"),
   IF(OR('Waste results'!$P$10&lt;&gt;"data missing", 'Waste results'!$P$45&lt;&gt;"data missing", 'Waste results'!$P$82&lt;&gt;"data missing"), Calc!BC105*'Waste results'!$P$10+Calc!BD105*'Waste results'!$P$45+ Calc!BE105*'Waste results'!$P$82, "data missing")))))))))))</f>
        <v/>
      </c>
      <c r="AJ107" s="237" t="str">
        <f ca="1">IF(B107="","",
IF(AI107="data missing","data missing",
IF(Calc!BF105=0,"n/a",
IF(AND(Calc!BH105&gt;=8,AI107&lt;500),"no benefit",
IF(OR(AND(Calc!BH105&lt;=4,AI107&gt;=500),AND(Calc!BH105&lt;8,AI107&gt;5000)),"benefit",
"limited benefit")))))</f>
        <v/>
      </c>
      <c r="AK107" s="9"/>
      <c r="AL107" s="238" t="str">
        <f ca="1">IF(B107="","",
IF(AND('Field information 2'!$O$5="", 'Field information 2'!$Q$5=""),
   IF('Waste results'!$S$25&lt;&gt;"data missing", Calc!BC105*'Waste results'!$S$25, "data missing"),
IF('Field information 2'!$Q$5="",
   IF(Calc!BD105=0,
     IF('Waste results'!$S$25&lt;&gt;"data missing", Calc!BC105*'Waste results'!$S$25, "data missing"),
   IF(Calc!BC105=0,
     IF('Waste results'!$S$61&lt;&gt;"data missing", Calc!BD105*'Waste results'!$S$61, "data missing"),
   IF(OR('Waste results'!$S$25&lt;&gt;"data missing", 'Waste results'!$S$61&lt;&gt;"data missing"), Calc!BC105*'Waste results'!$S$25+ Calc!BD105*'Waste results'!$S$61, "data missing"))),
IF(AND('Field information 2'!$M$5&lt;&gt;"", 'Field information 2'!$O$5&lt;&gt;"", 'Field information 2'!$Q$5&lt;&gt;""),
   IF(AND(Calc!BD105=0,Calc!BE105=0),
     IF('Waste results'!$S$25&lt;&gt;"data missing", Calc!BC105*'Waste results'!$S$25, "data missing"),
   IF(AND(Calc!BC105=0,Calc!BE105=0),
     IF('Waste results'!$S$61&lt;&gt;"data missing", Calc!BD105*'Waste results'!$S$61, "data missing"),
   IF(AND(Calc!BC105=0,Calc!BD105=0),
     IF('Waste results'!$S$97&lt;&gt;"data missing", Calc!BE105*'Waste results'!$S$97, "data missing"),
   IF(Calc!BE105=0,
     IF(OR('Waste results'!$S$25&lt;&gt;"data missing", 'Waste results'!$S$61&lt;&gt;"data missing"), Calc!BC105*'Waste results'!$S$25+ Calc!BD105*'Waste results'!$S$61, "data missing"),
   IF(Calc!BD105=0,
     IF(OR('Waste results'!$S$25&lt;&gt;"data missing", 'Waste results'!$S$97&lt;&gt;"data missing"), Calc!BC105*'Waste results'!$S$25+ Calc!BE105*'Waste results'!$S$97, "data missing"),
   IF(Calc!BC105=0,
     IF(OR('Waste results'!$S$61&lt;&gt;"data missing", 'Waste results'!$S$97&lt;&gt;"data missing"), Calc!BD105*'Waste results'!$S$61+Calc!BE105*'Waste results'!$S$97, "data missing"),
   IF(OR('Waste results'!$S$25&lt;&gt;"data missing", 'Waste results'!$S$61&lt;&gt;"data missing", 'Waste results'!$S$97&lt;&gt;"data missing"), Calc!BC105*'Waste results'!$S$25+Calc!BD105*'Waste results'!$S$61+ Calc!BE105*'Waste results'!$S$97, "data missing")))))))))))</f>
        <v/>
      </c>
      <c r="AM107" s="239" t="str">
        <f ca="1">IF($B107="","",
IF(ISBLANK('Soil results'!K110),"data missing",'Soil results'!K110))</f>
        <v/>
      </c>
      <c r="AN107" s="239" t="str">
        <f t="shared" ref="AN107:AN156" ca="1" si="40">IF(OR($B107="",AM107="data missing"),"",AL107*1000/3000+AM107)</f>
        <v/>
      </c>
      <c r="AO107" s="9" t="str">
        <f t="shared" ref="AO107:AO156" ca="1" si="41">IF(B107="","",
IF(AL107=0,"n/a",
IF(OR(AL107="data missing",AM107="data missing"),"data missing",
IF(AL107&gt;0.15,"application rate too high - permissible rate exceeds limit",
IF(AM107&gt;3,"no application - soil conc. already above limit",
IF(AN107&gt;3,"application rate too high - soil conc. will exceed limit",
IF(AM107&gt;3*0.9,"soil conc. is at or above 90% of the limit",
IF(10*AL107*1000/3000+AM107&gt;3,"soil limit likely to be exceeded in 10yrs",
IF(50*AL107*1000/3000+AM107&gt;3,"soil limit likely to be exceeded in 50yrs","ok")))))))))</f>
        <v/>
      </c>
      <c r="AP107" s="9"/>
      <c r="AQ107" s="240" t="str">
        <f ca="1">IF(B107="","",
IF(AND('Field information 2'!$O$5="", 'Field information 2'!$Q$5=""),
   IF('Waste results'!$S$26&lt;&gt;"data missing", Calc!BC105*'Waste results'!$S$26, "data missing"),
IF('Field information 2'!$Q$5="",
   IF(Calc!BD105=0,
     IF('Waste results'!$S$26&lt;&gt;"data missing", Calc!BC105*'Waste results'!$S$26, "data missing"),
   IF(Calc!BC105=0,
     IF('Waste results'!$S$62&lt;&gt;"data missing", Calc!BD105*'Waste results'!$S$62, "data missing"),
   IF(OR('Waste results'!$S$26&lt;&gt;"data missing", 'Waste results'!$S$62&lt;&gt;"data missing"), Calc!BC105*'Waste results'!$S$26+ Calc!BD105*'Waste results'!$S$62, "data missing"))),
IF(AND('Field information 2'!$M$5&lt;&gt;"", 'Field information 2'!$O$5&lt;&gt;"", 'Field information 2'!$Q$5&lt;&gt;""),
   IF(AND(Calc!BD105=0,Calc!BE105=0),
     IF('Waste results'!$S$26&lt;&gt;"data missing", Calc!BC105*'Waste results'!$S$26, "data missing"),
   IF(AND(Calc!BC105=0,Calc!BE105=0),
     IF('Waste results'!$S$62&lt;&gt;"data missing", Calc!BD105*'Waste results'!$S$62, "data missing"),
   IF(AND(Calc!BC105=0,Calc!BD105=0),
     IF('Waste results'!$S$98&lt;&gt;"data missing", Calc!BE105*'Waste results'!$S$98, "data missing"),
   IF(Calc!BE105=0,
     IF(OR('Waste results'!$S$26&lt;&gt;"data missing", 'Waste results'!$S$62&lt;&gt;"data missing"), Calc!BC105*'Waste results'!$S$26+ Calc!BD105*'Waste results'!$S$62, "data missing"),
   IF(Calc!BD105=0,
     IF(OR('Waste results'!$S$26&lt;&gt;"data missing", 'Waste results'!$S$98&lt;&gt;"data missing"), Calc!BC105*'Waste results'!$S$26+ Calc!BE105*'Waste results'!$S$98, "data missing"),
   IF(Calc!BC105=0,
     IF(OR('Waste results'!$S$62&lt;&gt;"data missing", 'Waste results'!$S$98&lt;&gt;"data missing"), Calc!BD105*'Waste results'!$S$62+Calc!BE105*'Waste results'!$S$98, "data missing"),
   IF(OR('Waste results'!$S$26&lt;&gt;"data missing", 'Waste results'!$S$62&lt;&gt;"data missing", 'Waste results'!$S$98&lt;&gt;"data missing"), Calc!BC105*'Waste results'!$S$26+Calc!BD105*'Waste results'!$S$62+ Calc!BE105*'Waste results'!$S$98, "data missing")))))))))))</f>
        <v/>
      </c>
      <c r="AR107" s="241" t="str">
        <f ca="1">IF($B107="","",
IF(ISBLANK('Soil results'!L110),"data missing",'Soil results'!L110))</f>
        <v/>
      </c>
      <c r="AS107" s="241" t="str">
        <f t="shared" ref="AS107:AS156" ca="1" si="42">IF(OR($B107="",AR107="data missing"),"",AQ107*1000/3000+AR107)</f>
        <v/>
      </c>
      <c r="AT107" s="66" t="str">
        <f t="shared" ref="AT107:AT156" ca="1" si="43">IF(B107="","",
IF(AQ107=0,"n/a",
IF(OR(AQ107="data missing",AR107="data missing"),"data missing",
IF(AQ107&gt;15,"application rate too high - permissible rate exceeds limit",
IF(AR107&gt;400,"no application - soil conc. already above limit",
IF(AS107&gt;400,"application rate too high - soil conc. will exceed limit",
IF(AR107&gt;400*0.9,"soil conc. is at or above 90% of the limit",
IF(10*AQ107*1000/3000+AR107&gt;400,"soil limit likely to be exceeded in 10yrs",
IF(50*AQ107*1000/3000+AR107&gt;400,"soil limit likely to be exceeded in 50yrs","ok")))))))))</f>
        <v/>
      </c>
      <c r="AU107" s="9"/>
      <c r="AV107" s="238" t="str">
        <f ca="1">IF(B107="","",
IF(AND('Field information 2'!$O$5="", 'Field information 2'!$Q$5=""),
   IF('Waste results'!$S$27&lt;&gt;"data missing", Calc!BC105*'Waste results'!$S$27, "data missing"),
IF('Field information 2'!$Q$5="",
   IF(Calc!BD105=0,
     IF('Waste results'!$S$27&lt;&gt;"data missing", Calc!BC105*'Waste results'!$S$27, "data missing"),
   IF(Calc!BC105=0,
     IF('Waste results'!$S$63&lt;&gt;"data missing", Calc!BD105*'Waste results'!$S$63, "data missing"),
   IF(OR('Waste results'!$S$27&lt;&gt;"data missing", 'Waste results'!$S$63&lt;&gt;"data missing"), Calc!BC105*'Waste results'!$S$27+ Calc!BD105*'Waste results'!$S$63, "data missing"))),
IF(AND('Field information 2'!$M$5&lt;&gt;"", 'Field information 2'!$O$5&lt;&gt;"", 'Field information 2'!$Q$5&lt;&gt;""),
   IF(AND(Calc!BD105=0,Calc!BE105=0),
     IF('Waste results'!$S$27&lt;&gt;"data missing", Calc!BC105*'Waste results'!$S$27, "data missing"),
   IF(AND(Calc!BC105=0,Calc!BE105=0),
     IF('Waste results'!$S$63&lt;&gt;"data missing", Calc!BD105*'Waste results'!$S$63, "data missing"),
   IF(AND(Calc!BC105=0,Calc!BD105=0),
     IF('Waste results'!$S$99&lt;&gt;"data missing", Calc!BE105*'Waste results'!$S$99, "data missing"),
   IF(Calc!BE105=0,
     IF(OR('Waste results'!$S$27&lt;&gt;"data missing", 'Waste results'!$S$63&lt;&gt;"data missing"), Calc!BC105*'Waste results'!$S$27+ Calc!BD105*'Waste results'!$S$63, "data missing"),
   IF(Calc!BD105=0,
     IF(OR('Waste results'!$S$27&lt;&gt;"data missing", 'Waste results'!$S$99&lt;&gt;"data missing"), Calc!BC105*'Waste results'!$S$27+ Calc!BE105*'Waste results'!$S$99, "data missing"),
   IF(Calc!BC105=0,
     IF(OR('Waste results'!$S$63&lt;&gt;"data missing", 'Waste results'!$S$99&lt;&gt;"data missing"), Calc!BD105*'Waste results'!$S$63+Calc!BE105*'Waste results'!$S$99, "data missing"),
   IF(OR('Waste results'!$S$27&lt;&gt;"data missing", 'Waste results'!$S$63&lt;&gt;"data missing", 'Waste results'!$S$99&lt;&gt;"data missing"), Calc!BC105*'Waste results'!$S$27+Calc!BD105*'Waste results'!$S$63+ Calc!BE105*'Waste results'!$S$99, "data missing")))))))))))</f>
        <v/>
      </c>
      <c r="AW107" s="239" t="str">
        <f ca="1">IF($B107="","",
IF(ISBLANK('Soil results'!M110),"data missing",'Soil results'!M110))</f>
        <v/>
      </c>
      <c r="AX107" s="239" t="str">
        <f t="shared" ref="AX107:AX156" ca="1" si="44">IF(OR($B107="",AW107="data missing"),"",AV107*1000/3000+AW107)</f>
        <v/>
      </c>
      <c r="AY107" s="9" t="str">
        <f ca="1">IF(B107="","",
IF(AV107=0,"n/a",
IF(OR(AV107="data missing",AW107="data missing"),"data missing",
IF(AV107&gt;7.5,"application rate too high - permissible rate exceeds limit",
IF('Soil results'!$F110&lt;=5.5,
  IF(AW107&gt;80,"no application - soil conc. already above limit",
  IF(AX107&gt;80,"application rate too high - soil conc. will exceed limit",
  IF(AW107&gt;80*0.9,"soil conc. is at or above 90% of the limit",
  IF(10*AV107*1000/3000+AW107&gt;80,"soil limit likely to be exceeded in 10yrs",
  IF(50*AV107*1000/3000+AW107&gt;80,"soil limit likely to be exceeded in 50yrs","ok"))))),
IF('Soil results'!$F110&lt;=6,
  IF(AW107&gt;100,"no application - soil conc. already above limit",
  IF(AX107&gt;100,"application rate too high - soil conc. will exceed limit",
  IF(AW107&gt;100*0.9,"soil conc. is at or above 90% of the limit",
  IF(10*AV107*1000/3000+AW107&gt;100,"soil limit likely to be exceeded in 10yrs",
  IF(50*AV107*1000/3000+AW107&gt;100,"soil limit likely to be exceeded in 50yrs","ok"))))),
IF('Soil results'!$F110&lt;=7,
  IF(AW107&gt;135,"no application - soil conc. already above limit",
  IF(AX107&gt;135,"application rate too high - soil conc. will exceed limit",
  IF(AW107&gt;135*0.9,"soil conc. is at or above 90% of the limit",
  IF(10*AV107*1000/3000+AW107&gt;135,"soil limit likely to be exceeded in 10yrs",
  IF(50*AV107*1000/3000+AW107&gt;135,"soil limit likely to be exceeded in 50yrs","ok"))))),
IF('Soil results'!$F110&gt;7,
  IF(AW107&gt;200,"no application - soil conc. already above limit",
  IF(AX107&gt;200,"application too high - soil conc. will exceed limit",
  IF(AW107&gt;200*0.9,"soil conc. is at or above 90% of the limit",
  IF(10*AV107*1000/3000+AW107&gt;200,"soil limit likely to be exceeded in 10yrs",
  IF(50*AV107*1000/3000+AW107&gt;200,"soil limit likely to be exceeded in 50yrs","ok")))))
))))))))</f>
        <v/>
      </c>
      <c r="AZ107" s="9"/>
      <c r="BA107" s="238" t="str">
        <f ca="1">IF(B107="","",
IF(AND('Field information 2'!$O$5="", 'Field information 2'!$Q$5=""),
   IF('Waste results'!$S$28&lt;&gt;"data missing", Calc!BC105*'Waste results'!$S$28, "data missing"),
IF('Field information 2'!$Q$5="",
   IF(Calc!BD105=0,
     IF('Waste results'!$S$28&lt;&gt;"data missing", Calc!BC105*'Waste results'!$S$28, "data missing"),
   IF(Calc!BC105=0,
     IF('Waste results'!$S$64&lt;&gt;"data missing", Calc!BD105*'Waste results'!$S$64, "data missing"),
   IF(OR('Waste results'!$S$28&lt;&gt;"data missing", 'Waste results'!$S$64&lt;&gt;"data missing"), Calc!BC105*'Waste results'!$S$28+ Calc!BD105*'Waste results'!$S$64, "data missing"))),
IF(AND('Field information 2'!$M$5&lt;&gt;"", 'Field information 2'!$O$5&lt;&gt;"", 'Field information 2'!$Q$5&lt;&gt;""),
   IF(AND(Calc!BD105=0,Calc!BE105=0),
     IF('Waste results'!$S$28&lt;&gt;"data missing", Calc!BC105*'Waste results'!$S$28, "data missing"),
   IF(AND(Calc!BC105=0,Calc!BE105=0),
     IF('Waste results'!$S$64&lt;&gt;"data missing", Calc!BD105*'Waste results'!$S$64, "data missing"),
   IF(AND(Calc!BC105=0,Calc!BD105=0),
     IF('Waste results'!$S$100&lt;&gt;"data missing", Calc!BE105*'Waste results'!$S$100, "data missing"),
   IF(Calc!BE105=0,
     IF(OR('Waste results'!$S$28&lt;&gt;"data missing", 'Waste results'!$S$64&lt;&gt;"data missing"), Calc!BC105*'Waste results'!$S$28+ Calc!BD105*'Waste results'!$S$64, "data missing"),
   IF(Calc!BD105=0,
     IF(OR('Waste results'!$S$28&lt;&gt;"data missing", 'Waste results'!$S$100&lt;&gt;"data missing"), Calc!BC105*'Waste results'!$S$28+ Calc!BE105*'Waste results'!$S$100, "data missing"),
   IF(Calc!BC105=0,
     IF(OR('Waste results'!$S$64&lt;&gt;"data missing", 'Waste results'!$S$100&lt;&gt;"data missing"), Calc!BD105*'Waste results'!$S$64+Calc!BE105*'Waste results'!$S$100, "data missing"),
   IF(OR('Waste results'!$S$28&lt;&gt;"data missing", 'Waste results'!$S$64&lt;&gt;"data missing", 'Waste results'!$S$100&lt;&gt;"data missing"), Calc!BC105*'Waste results'!$S$28+Calc!BD105*'Waste results'!$S$64+ Calc!BE105*'Waste results'!$S$100, "data missing")))))))))))</f>
        <v/>
      </c>
      <c r="BB107" s="239" t="str">
        <f ca="1">IF($B107="","",
IF(ISBLANK('Soil results'!N110),"data missing",'Soil results'!N110))</f>
        <v/>
      </c>
      <c r="BC107" s="239" t="str">
        <f t="shared" ref="BC107:BC156" ca="1" si="45">IF(OR($B107="",BB107="data missing"),"",BA107*1000/3000+BB107)</f>
        <v/>
      </c>
      <c r="BD107" s="9" t="str">
        <f t="shared" ref="BD107:BD156" ca="1" si="46">IF(B107="","",
IF(BA107=0,"n/a",
IF(OR(BA107="data missing",BB107="data missing"),"data missing",
IF(BA107&gt;0.1,"application rate too high - permissible rate exceeds limit",
IF(BB107&gt;1,"no application - soil conc. already above limit",
IF(BC107&gt;1,"application rate too high - soil conc. will exceed limit",
IF(BB107&gt;1*0.9,"soil conc. is at or above 90% of the limit",
IF(10*BA107*1000/3000+BB107&gt;1,"soil limit likely to be exceeded in 10yrs",
IF(50*BA107*1000/3000+BB107&gt;1,"soil limit likely to be exceeded in 50yrs","ok")))))))))</f>
        <v/>
      </c>
      <c r="BE107" s="9"/>
      <c r="BF107" s="238" t="str">
        <f ca="1">IF(B107="","",
IF(AND('Field information 2'!$O$5="", 'Field information 2'!$Q$5=""),
   IF('Waste results'!$S$29&lt;&gt;"data missing", Calc!BC105*'Waste results'!$S$29, "data missing"),
IF('Field information 2'!$Q$5="",
   IF(Calc!BD105=0,
     IF('Waste results'!$S$29&lt;&gt;"data missing", Calc!BC105*'Waste results'!$S$29, "data missing"),
   IF(Calc!BC105=0,
     IF('Waste results'!$S$65&lt;&gt;"data missing", Calc!BD105*'Waste results'!$S$65, "data missing"),
   IF(OR('Waste results'!$S$29&lt;&gt;"data missing", 'Waste results'!$S$65&lt;&gt;"data missing"), Calc!BC105*'Waste results'!$S$29+ Calc!BD105*'Waste results'!$S$65, "data missing"))),
IF(AND('Field information 2'!$M$5&lt;&gt;"", 'Field information 2'!$O$5&lt;&gt;"", 'Field information 2'!$Q$5&lt;&gt;""),
   IF(AND(Calc!BD105=0,Calc!BE105=0),
     IF('Waste results'!$S$29&lt;&gt;"data missing", Calc!BC105*'Waste results'!$S$29, "data missing"),
   IF(AND(Calc!BC105=0,Calc!BE105=0),
     IF('Waste results'!$S$65&lt;&gt;"data missing", Calc!BD105*'Waste results'!$S$65, "data missing"),
   IF(AND(Calc!BC105=0,Calc!BD105=0),
     IF('Waste results'!$S$101&lt;&gt;"data missing", Calc!BE105*'Waste results'!$S$101, "data missing"),
   IF(Calc!BE105=0,
     IF(OR('Waste results'!$S$29&lt;&gt;"data missing", 'Waste results'!$S$65&lt;&gt;"data missing"), Calc!BC105*'Waste results'!$S$29+ Calc!BD105*'Waste results'!$S$65, "data missing"),
   IF(Calc!BD105=0,
     IF(OR('Waste results'!$S$29&lt;&gt;"data missing", 'Waste results'!$S$101&lt;&gt;"data missing"), Calc!BC105*'Waste results'!$S$29+ Calc!BE105*'Waste results'!$S$101, "data missing"),
   IF(Calc!BC105=0,
     IF(OR('Waste results'!$S$65&lt;&gt;"data missing", 'Waste results'!$S$101&lt;&gt;"data missing"), Calc!BD105*'Waste results'!$S$65+Calc!BE105*'Waste results'!$S$101, "data missing"),
   IF(OR('Waste results'!$S$29&lt;&gt;"data missing", 'Waste results'!$S$65&lt;&gt;"data missing", 'Waste results'!$S$101&lt;&gt;"data missing"), Calc!BC105*'Waste results'!$S$29+Calc!BD105*'Waste results'!$S$65+ Calc!BE105*'Waste results'!$S$101, "data missing")))))))))))</f>
        <v/>
      </c>
      <c r="BG107" s="239" t="str">
        <f ca="1">IF($B107="","",
IF(ISBLANK('Soil results'!O110),"data missing",'Soil results'!O110))</f>
        <v/>
      </c>
      <c r="BH107" s="239" t="str">
        <f t="shared" ref="BH107:BH156" ca="1" si="47">IF(OR($B107="",BG107="data missing"),"",BF107*1000/3000+BG107)</f>
        <v/>
      </c>
      <c r="BI107" s="9" t="str">
        <f ca="1">IF(B107="","",
IF(BF107=0,"n/a",
IF(OR(BF107="data missing",BG107="data missing"),"data missing",
IF(BF107&gt;3,"application rate too high - permissible rate exceeds limit",
IF('Soil results'!F110&lt;=5.5,
  IF(BG107&gt;50,"no application - soil conc. already above limit",
  IF(BH107&gt;50,"application rate too high - soil conc. will exceed limit",
  IF(BG107&gt;50*0.9,"soil conc. is at or above 90% of the limit",
  IF(10*BF107*1000/3000+BG107&gt;50,"soil limit likely to be exceeded in 10yrs",
  IF(50*BF107*1000/3000+BG107&gt;50,"soil limit likely to be exceeded in 50yrs","ok"))))),
IF('Soil results'!F110&lt;=6,
  IF(BG107&gt;60,"no application - soil conc. already above limit",
  IF(BH107&gt;60,"application rate too high - soil conc. will exceed limit",
  IF(BG107&gt;60*0.9,"soil conc. is at or above 90% of the limit",
  IF(10*BF107*1000/3000+BG107&gt;60,"soil limit likely to be exceeded in 10yrs",
  IF(50*BF107*1000/3000+BG107&gt;60,"soil limit likely to be exceeded in 50yrs","ok"))))),
IF('Soil results'!F110&lt;=7,
  IF(BG107&gt;75,"no application - soil conc. already above limit",
  IF(BH107&gt;75,"application rate too high - soil conc. will exceed limit",
  IF(BG107&gt;75*0.9,"soil conc. is at or above 90% of the limit",
  IF(10*BF107*1000/3000+BG107&gt;75,"soil limit likely to be exceeded in 10yrs",
  IF(50*BF107*1000/3000+BG107&gt;75,"soil limit likely to be exceeded in 50yrs","ok"))))),
IF('Soil results'!F110&gt;7,
  IF(BG107&gt;100,"no application - soil conc. already above limit",
  IF(BH107&gt;100,"application rate too high - soil conc. will exceed limit",
  IF(BG107&gt;100*0.9,"soil conc. is at or above 90% of the limit",
  IF(10*BF107*1000/3000+BG107&gt;100,"soil limit likely to be exceeded in 10yrs",
  IF(50*BF107*1000/3000+BG107&gt;100,"soil limit likely to beexceeded in 50yrs","ok")))))
))))))))</f>
        <v/>
      </c>
      <c r="BJ107" s="9"/>
      <c r="BK107" s="240" t="str">
        <f ca="1">IF(B107="","",
IF(AND('Field information 2'!$O$5="", 'Field information 2'!$Q$5=""),
   IF('Waste results'!$S$30&lt;&gt;"data missing", Calc!BC105*'Waste results'!$S$30, "data missing"),
IF('Field information 2'!$Q$5="",
   IF(Calc!BD105=0,
     IF('Waste results'!$S$30&lt;&gt;"data missing", Calc!BC105*'Waste results'!$S$30, "data missing"),
   IF(Calc!BC105=0,
     IF('Waste results'!$S$66&lt;&gt;"data missing", Calc!BD105*'Waste results'!$S$66, "data missing"),
   IF(OR('Waste results'!$S$30&lt;&gt;"data missing", 'Waste results'!$S$66&lt;&gt;"data missing"), Calc!BC105*'Waste results'!$S$30+ Calc!BD105*'Waste results'!$S$66, "data missing"))),
IF(AND('Field information 2'!$M$5&lt;&gt;"", 'Field information 2'!$O$5&lt;&gt;"", 'Field information 2'!$Q$5&lt;&gt;""),
   IF(AND(Calc!BD105=0,Calc!BE105=0),
     IF('Waste results'!$S$30&lt;&gt;"data missing", Calc!BC105*'Waste results'!$S$30, "data missing"),
   IF(AND(Calc!BC105=0,Calc!BE105=0),
     IF('Waste results'!$S$66&lt;&gt;"data missing", Calc!BD105*'Waste results'!$S$66, "data missing"),
   IF(AND(Calc!BC105=0,Calc!BD105=0),
     IF('Waste results'!$S$102&lt;&gt;"data missing", Calc!BE105*'Waste results'!$S$102, "data missing"),
   IF(Calc!BE105=0,
     IF(OR('Waste results'!$S$30&lt;&gt;"data missing", 'Waste results'!$S$66&lt;&gt;"data missing"), Calc!BC105*'Waste results'!$S$30+ Calc!BD105*'Waste results'!$S$66, "data missing"),
   IF(Calc!BD105=0,
     IF(OR('Waste results'!$S$30&lt;&gt;"data missing", 'Waste results'!$S$102&lt;&gt;"data missing"), Calc!BC105*'Waste results'!$S$30+ Calc!BE105*'Waste results'!$S$102, "data missing"),
   IF(Calc!BC105=0,
     IF(OR('Waste results'!$S$66&lt;&gt;"data missing", 'Waste results'!$S$102&lt;&gt;"data missing"), Calc!BD105*'Waste results'!$S$66+Calc!BE105*'Waste results'!$S$102, "data missing"),
   IF(OR('Waste results'!$S$30&lt;&gt;"data missing", 'Waste results'!$S$66&lt;&gt;"data missing", 'Waste results'!$S$102&lt;&gt;"data missing"), Calc!BC105*'Waste results'!$S$30+Calc!BD105*'Waste results'!$S$66+ Calc!BE105*'Waste results'!$S$102, "data missing")))))))))))</f>
        <v/>
      </c>
      <c r="BL107" s="241" t="str">
        <f ca="1">IF($B107="","",
IF(ISBLANK('Soil results'!P110),"data missing",'Soil results'!P110))</f>
        <v/>
      </c>
      <c r="BM107" s="241" t="str">
        <f t="shared" ref="BM107:BM156" ca="1" si="48">IF(OR($B107="",BL107="data missing"),"",BK107*1000/3000+BL107)</f>
        <v/>
      </c>
      <c r="BN107" s="66" t="str">
        <f t="shared" ref="BN107:BN156" ca="1" si="49">IF(B107="","",
IF(BK107=0,"n/a",
IF(OR(BK107="data missing",BL107="data missing"),"data missing",
IF(BK107&gt;15,"application rate too high - permissible rate exceeds limit",
IF(BL107&gt;300,"no application - soil conc. already above limit",
IF(BM107&gt;300,"application rate too high - soil conc. will exceed limit",
IF(BL107&gt;300*0.9,"soil conc. is at or above 90% of the limit",
IF(10*BK107*1000/3000+BL107&gt;300,"soil limit likely to be exceeded in 10yrs",
IF(50*BK107*1000/3000+BL107&gt;300,"soil limit likely to be exceeded in 50yrs","ok")))))))))</f>
        <v/>
      </c>
      <c r="BO107" s="9"/>
      <c r="BP107" s="238" t="str">
        <f ca="1">IF(B107="","",
IF(AND('Field information 2'!$O$5="", 'Field information 2'!$Q$5=""),
   IF('Waste results'!$S$31&lt;&gt;"data missing", Calc!BC105*'Waste results'!$S$31, "data missing"),
IF('Field information 2'!$Q$5="",
   IF(Calc!BD105=0,
     IF('Waste results'!$S$31&lt;&gt;"data missing", Calc!BC105*'Waste results'!$S$31, "data missing"),
   IF(Calc!BC105=0,
     IF('Waste results'!$S$67&lt;&gt;"data missing", Calc!BD105*'Waste results'!$S$67, "data missing"),
   IF(OR('Waste results'!$S$31&lt;&gt;"data missing", 'Waste results'!$S$67&lt;&gt;"data missing"), Calc!BC105*'Waste results'!$S$31+ Calc!BD105*'Waste results'!$S$67, "data missing"))),
IF(AND('Field information 2'!$M$5&lt;&gt;"", 'Field information 2'!$O$5&lt;&gt;"", 'Field information 2'!$Q$5&lt;&gt;""),
   IF(AND(Calc!BD105=0,Calc!BE105=0),
     IF('Waste results'!$S$31&lt;&gt;"data missing", Calc!BC105*'Waste results'!$S$31, "data missing"),
   IF(AND(Calc!BC105=0,Calc!BE105=0),
     IF('Waste results'!$S$67&lt;&gt;"data missing", Calc!BD105*'Waste results'!$S$67, "data missing"),
   IF(AND(Calc!BC105=0,Calc!BD105=0),
     IF('Waste results'!$S$103&lt;&gt;"data missing", Calc!BE105*'Waste results'!$S$103, "data missing"),
   IF(Calc!BE105=0,
     IF(OR('Waste results'!$S$31&lt;&gt;"data missing", 'Waste results'!$S$67&lt;&gt;"data missing"), Calc!BC105*'Waste results'!$S$31+ Calc!BD105*'Waste results'!$S$67, "data missing"),
   IF(Calc!BD105=0,
     IF(OR('Waste results'!$S$31&lt;&gt;"data missing", 'Waste results'!$S$103&lt;&gt;"data missing"), Calc!BC105*'Waste results'!$S$31+ Calc!BE105*'Waste results'!$S$103, "data missing"),
   IF(Calc!BC105=0,
     IF(OR('Waste results'!$S$67&lt;&gt;"data missing", 'Waste results'!$S$103&lt;&gt;"data missing"), Calc!BD105*'Waste results'!$S$67+Calc!BE105*'Waste results'!$S$103, "data missing"),
   IF(OR('Waste results'!$S$31&lt;&gt;"data missing", 'Waste results'!$S$67&lt;&gt;"data missing", 'Waste results'!$S$103&lt;&gt;"data missing"), Calc!BC105*'Waste results'!$S$31+Calc!BD105*'Waste results'!$S$67+ Calc!BE105*'Waste results'!$S$103, "data missing")))))))))))</f>
        <v/>
      </c>
      <c r="BQ107" s="239" t="str">
        <f ca="1">IF($B107="","",
IF(ISBLANK('Soil results'!Q110),"data missing",'Soil results'!Q110))</f>
        <v/>
      </c>
      <c r="BR107" s="239" t="str">
        <f t="shared" ref="BR107:BR156" ca="1" si="50">IF(OR($B107="",BQ107="data missing"),"",BP107*1000/3000+BQ107)</f>
        <v/>
      </c>
      <c r="BS107" s="9" t="str">
        <f ca="1">IF(B107="","",
IF(BP107=0,"n/a",
IF(OR(BP107="data missing",BQ107=""),"data missing",
IF(BP107&gt;15,"application rate too high - permissible rate exceeds limit",
IF('Soil results'!F110&lt;=5.5,
  IF(BQ107&gt;200,"no application - soil conc. already above limit",
  IF(BR107&gt;200,"application rate too high - soil conc. will exceed limit",
  IF(BQ107&gt;200*0.9,"soil conc. is at or above 90% of the limit",
  IF(10*BP107*1000/3000+BQ107&gt;200,"soil limit likely to be exceeded in 10yrs",
  IF(50*BP107*1000/3000+BQ107&gt;200,"soil limit likely to be exceeded in 50yrs","ok"))))),
IF('Soil results'!F110&lt;=6,
  IF(BQ107&gt;250,"no application - soil conc. already above limit",
  IF(BR107&gt;250,"application rate too high - soil conc. will exceed limit",
  IF(BQ107&gt;250*0.9,"soil conc. is at or above 90% of the limit",
  IF(10*BP107*1000/3000+BQ107&gt;250,"soil limit likely to be exceeded in 10yrs",
  IF(50*BP107*1000/3000+BQ107&gt;250,"soil limit likely to be exceeded in 50yrs","ok"))))),
IF('Soil results'!F110&lt;=7,
  IF(BQ107&gt;300,"no application - soil conc. already above limit",
  IF(BR107&gt;300,"application rate too high - soil conc. will exceed limit",
  IF(BQ107&gt;300*0.9,"soil conc. is at or above 90% of the limit",
  IF(10*BP107*1000/3000+BQ107&gt;300,"soil limit likey to be exceeded in 10yrs",
  IF(50*BP107*1000/3000+BQ107&gt;300,"soil limit likely to be exceeded in 50yrs","ok"))))),
IF('Soil results'!F110&gt;7,
  IF(BQ107&gt;450,"no application - soil conc. already above limit",
  IF(BR107&gt;450,"application rate too high - soil conc. will exceed limit",
  IF(AW107&gt;450*0.9,"soil conc. is at or above 90% of the limit",
  IF(10*BP107*1000/3000+BQ107&gt;450,"soil limit likely to be exceeded in 10yrs",
  IF(50*BP107*1000/3000+BQ107&gt;450,"soil limit likely to be exceeded in 50yrs","ok")))))
))))))))</f>
        <v/>
      </c>
    </row>
    <row r="108" spans="2:71" ht="15" x14ac:dyDescent="0.25">
      <c r="B108" s="236" t="str">
        <f ca="1">'Soil results'!B111</f>
        <v/>
      </c>
      <c r="C108" s="91" t="str">
        <f ca="1">IF(B108="","",
IF(AND('Field information 2'!$O$5="", 'Field information 2'!$Q$5=""),
   IF('Waste results'!$S$12&lt;&gt;"data missing", Calc!BC106*'Waste results'!$S$12, "data missing"),
IF('Field information 2'!$Q$5="",
   IF(Calc!BD106=0,
     IF('Waste results'!$S$12&lt;&gt;"data missing", Calc!BC106*'Waste results'!$S$12, "data missing"),
   IF(Calc!BC106=0,
     IF('Waste results'!$S$48&lt;&gt;"data missing", Calc!BD106*'Waste results'!$S$48, "data missing"),
   IF(OR('Waste results'!$S$12&lt;&gt;"data missing", 'Waste results'!$S$48&lt;&gt;"data missing"), Calc!BC106*'Waste results'!$S$12+ Calc!BD106*'Waste results'!$S$48, "data missing"))),
IF(AND('Field information 2'!$M$5&lt;&gt;"", 'Field information 2'!$O$5&lt;&gt;"", 'Field information 2'!$Q$5&lt;&gt;""),
   IF(AND(Calc!BD106=0,Calc!BE106=0),
     IF('Waste results'!$S$12&lt;&gt;"data missing", Calc!BC106*'Waste results'!$S$12, "data missing"),
   IF(AND(Calc!BC106=0,Calc!BE106=0),
     IF('Waste results'!$S$48&lt;&gt;"data missing", Calc!BD106*'Waste results'!$S$48, "data missing"),
   IF(AND(Calc!BC106=0,Calc!BD106=0),
     IF('Waste results'!$S$84&lt;&gt;"data missing", Calc!BE106*'Waste results'!$S$84, "data missing"),
   IF(Calc!BE106=0,
     IF(OR('Waste results'!$S$12&lt;&gt;"data missing", 'Waste results'!$S$48&lt;&gt;"data missing"), Calc!BC106*'Waste results'!$S$12+ Calc!BD106*'Waste results'!$S$48, "data missing"),
   IF(Calc!BD106=0,
     IF(OR('Waste results'!$S$12&lt;&gt;"data missing", 'Waste results'!$S$84&lt;&gt;"data missing"), Calc!BC106*'Waste results'!$S$12+ Calc!BE106*'Waste results'!$S$84, "data missing"),
   IF(Calc!BC106=0,
     IF(OR('Waste results'!$S$48&lt;&gt;"data missing", 'Waste results'!$S$84&lt;&gt;"data missing"), Calc!BD106*'Waste results'!$S$48+Calc!BE106*'Waste results'!$S$84, "data missing"),
   IF(OR('Waste results'!$S$12&lt;&gt;"data missing", 'Waste results'!$S$48&lt;&gt;"data missing", 'Waste results'!$S$84&lt;&gt;"data missing"), Calc!BC106*'Waste results'!$S$12+Calc!BD106*'Waste results'!$S$48+ Calc!BE106*'Waste results'!$S$84, "data missing")))))))))))</f>
        <v/>
      </c>
      <c r="D108" s="161" t="str">
        <f ca="1">IF(B108="","",
IF(Calc!BG106="","soil texture missing",
IF(OR(Calc!BG106="SL; SZL; ZL",Calc!BG106="SCL; CL; ZCL; SC; ZC; C"),VLOOKUP(Calc!BI106,'Fertiliser recommendations'!$A$4:$C$63,3,FALSE),
IF(Calc!BG106="S; LS",VLOOKUP(Calc!BI106,'Fertiliser recommendations'!$A$4:$C$63,3,FALSE)+VLOOKUP(Calc!BI106,'Fertiliser recommendations'!$A$4:$D$63,4,FALSE),
IF(Calc!BG106="10-25% OM",VLOOKUP(Calc!BI106,'Fertiliser recommendations'!$A$4:$C$63,3,FALSE)+VLOOKUP(Calc!BI106,'Fertiliser recommendations'!$A$4:$E$63,5,FALSE),
IF(Calc!BG106="&gt;25% OM",VLOOKUP(Calc!BI106,'Fertiliser recommendations'!$A$4:$C$63,3,FALSE)+VLOOKUP(Calc!BI106,'Fertiliser recommendations'!$A$4:$F$63,6,FALSE),
""))))))</f>
        <v/>
      </c>
      <c r="E108" s="91" t="str">
        <f t="shared" ca="1" si="34"/>
        <v/>
      </c>
      <c r="F108" s="9" t="str">
        <f ca="1">IF(B108="","",
IF(OR(C108="data missing",D108="soil texture missing"),"data missing",
IF(Calc!BF106=0,"n/a",
IF(C108&lt;0.1*D108,"no benefit",
IF(C108&lt;0.3*D108,"limited benefit",
IF(C108&gt;250,"exceeds limit",
IF(OR(AND(D108=0,C108&gt;75),C108&gt;1.25*D108),"excessive",
IF(D108=0, "no requirement",
"benefit"))))))))</f>
        <v/>
      </c>
      <c r="G108" s="9"/>
      <c r="H108" s="91" t="str">
        <f ca="1">IF(B108="","",
IF(AND('Field information 2'!$O$5="", 'Field information 2'!$Q$5=""),
   IF('Waste results'!$S$17&lt;&gt;"data missing", Calc!BC106*'Waste results'!$S$17, "data missing"),
IF('Field information 2'!$Q$5="",
   IF(Calc!BD106=0,
     IF('Waste results'!$S$17&lt;&gt;"data missing", Calc!BC106*'Waste results'!$S$17, "data missing"),
   IF(Calc!BC106=0,
     IF('Waste results'!$S$53&lt;&gt;"data missing", Calc!BD106*'Waste results'!$S$53, "data missing"),
   IF(OR('Waste results'!$S$17&lt;&gt;"data missing", 'Waste results'!$S$53&lt;&gt;"data missing"), Calc!BC106*'Waste results'!$S$17+ Calc!BD106*'Waste results'!$S$53, "data missing"))),
IF(AND('Field information 2'!$M$5&lt;&gt;"", 'Field information 2'!$O$5&lt;&gt;"", 'Field information 2'!$Q$5&lt;&gt;""),
   IF(AND(Calc!BD106=0,Calc!BE106=0),
     IF('Waste results'!$S$17&lt;&gt;"data missing", Calc!BC106*'Waste results'!$S$17, "data missing"),
   IF(AND(Calc!BC106=0,Calc!BE106=0),
     IF('Waste results'!$S$53&lt;&gt;"data missing", Calc!BD106*'Waste results'!$S$53, "data missing"),
   IF(AND(Calc!BC106=0,Calc!BD106=0),
     IF('Waste results'!$S$89&lt;&gt;"data missing", Calc!BE106*'Waste results'!$S$89, "data missing"),
   IF(Calc!BE106=0,
     IF(OR('Waste results'!$S$17&lt;&gt;"data missing", 'Waste results'!$S$53&lt;&gt;"data missing"), Calc!BC106*'Waste results'!$S$17+ Calc!BD106*'Waste results'!$S$53, "data missing"),
   IF(Calc!BD106=0,
     IF(OR('Waste results'!$S$17&lt;&gt;"data missing", 'Waste results'!$S$89&lt;&gt;"data missing"), Calc!BC106*'Waste results'!$S$17+ Calc!BE106*'Waste results'!$S$89, "data missing"),
   IF(Calc!BC106=0,
     IF(OR('Waste results'!$S$53&lt;&gt;"data missing", 'Waste results'!$S$89&lt;&gt;"data missing"), Calc!BD106*'Waste results'!$S$53+Calc!BE106*'Waste results'!$S$89, "data missing"),
   IF(OR('Waste results'!$S$17&lt;&gt;"data missing", 'Waste results'!$S$53&lt;&gt;"data missing", 'Waste results'!$S$89&lt;&gt;"data missing"), Calc!BC106*'Waste results'!$S$17+Calc!BD106*'Waste results'!$S$53+ Calc!BE106*'Waste results'!$S$89, "data missing")))))))))))</f>
        <v/>
      </c>
      <c r="I108" s="195" t="str">
        <f ca="1">IF(B108="","",
IF(OR(ISBLANK('Soil results'!G111), ISBLANK('Soil results'!G$7)),"data missing",
IF(OR(AND('Soil results'!G$7="Olsen (ADAS)",'Soil results'!G111&lt;16),AND('Soil results'!G$7="modified Morgan (SAC)",'Soil results'!G111&lt;4.5)),50,100)))</f>
        <v/>
      </c>
      <c r="J108" s="49" t="str">
        <f ca="1">IF(B108="","",
IF(OR(ISBLANK('Soil results'!G$7),ISBLANK('Soil results'!G111)),"data missing",
IF(OR(AND('Soil results'!G$7="Olsen (ADAS)",'Soil results'!G111&gt;45),AND('Soil results'!G$7="modified Morgan (SAC)",'Soil results'!G111&gt;30)),0,
IF(OR(AND('Soil results'!G$7="Olsen (ADAS)",'Soil results'!G111&gt;=16,'Soil results'!G111&lt;=20),AND('Soil results'!G$7="modified Morgan (SAC)",'Soil results'!G111&gt;=4.5,'Soil results'!G111&lt;=9.4)),VLOOKUP(Calc!BI106,'Fertiliser recommendations'!$A$4:$I$63,9,FALSE),
IF(OR(AND('Soil results'!G$7="Olsen (ADAS)",'Soil results'!G111&lt;10),AND('Soil results'!G$7="modified Morgan (SAC)",'Soil results'!G111&lt;1.8)),VLOOKUP(Calc!BI106,'Fertiliser recommendations'!$A$4:$I$63,9,FALSE)+VLOOKUP(Calc!BI106,'Fertiliser recommendations'!$A$4:$J$63,10,FALSE),
IF(OR(AND('Soil results'!G$7="Olsen (ADAS)",'Soil results'!G111&lt;16),AND('Soil results'!G$7="modified Morgan (SAC)",'Soil results'!G111&lt;4.5)),VLOOKUP(Calc!BI106,'Fertiliser recommendations'!$A$4:$I$63,9,FALSE)+VLOOKUP(Calc!BI106,'Fertiliser recommendations'!$A$4:$K$63,11,FALSE),
IF(OR(AND('Soil results'!G$7="Olsen (ADAS)",'Soil results'!G111&lt;26),AND('Soil results'!G$7="modified Morgan (SAC)",'Soil results'!G111&lt;13.5)),VLOOKUP(Calc!BI106,'Fertiliser recommendations'!$A$4:$I$63,9,FALSE)+VLOOKUP(Calc!BI106,'Fertiliser recommendations'!$A$4:$L$63,12,FALSE),
IF(OR(AND('Soil results'!G$7="Olsen (ADAS)",'Soil results'!G111&lt;=45),AND('Soil results'!G$7="modified Morgan (SAC)",'Soil results'!G111&lt;=30)),VLOOKUP(Calc!BI106,'Fertiliser recommendations'!$A$4:$I$63,9,FALSE)+VLOOKUP(Calc!BI106,'Fertiliser recommendations'!$A$4:$M$63,13,FALSE),
""))))))))</f>
        <v/>
      </c>
      <c r="K108" s="161" t="str">
        <f t="shared" ca="1" si="35"/>
        <v/>
      </c>
      <c r="L108" s="47" t="str">
        <f ca="1">IF(OR(ISBLANK('Soil results'!G$7),ISBLANK('Soil results'!G111),B108="", H108="data missing"),"",
IF('Soil results'!G$7="Olsen (ADAS)",
IF(((H108*Calc!BM106/2.291-(VLOOKUP(Calc!BI106,'Fertiliser recommendations'!$A$4:$I$63,9,FALSE))/2.291)*10/(400/2.291)+'Soil results'!G111)&lt;10,"0 (VL)",
IF(((H108*Calc!BM106/2.291-(VLOOKUP(Calc!BI106,'Fertiliser recommendations'!$A$4:$I$63,9,FALSE))/2.291)*10/(400/2.291)+'Soil results'!G111)&lt;16,"1 (L)",
IF(((H108*Calc!BM106/2.291-(VLOOKUP(Calc!BI106,'Fertiliser recommendations'!$A$4:$I$63,9,FALSE))/2.291)*10/(400/2.291)+'Soil results'!G111)&lt;21,"2 (M-)",
IF(((H108*Calc!BM106/2.291-(VLOOKUP(Calc!BI106,'Fertiliser recommendations'!$A$4:$I$63,9,FALSE))/2.291)*10/(400/2.291)+'Soil results'!G111)&lt;26,"2 (M+)",
IF(((H108*Calc!BM106/2.291-(VLOOKUP(Calc!BI106,'Fertiliser recommendations'!$A$4:$I$63,9,FALSE))/2.291)*10/(400/2.291)+'Soil results'!G111)&lt;45,"3 (H)","&gt;3 (VH)"))))),
IF('Soil results'!G$7="modified Morgan (SAC)",
IF('Soil results'!G111&gt;=6,
IF(((H108*Calc!BM106/2.291-(VLOOKUP(Calc!BI106,'Fertiliser recommendations'!$A$4:$I$63,9,FALSE))/2.291)*5/(147/2.291)+'Soil results'!G111)&lt;9.5,"2 (M-)",
IF(((H108*Calc!BM106/2.291-(VLOOKUP(Calc!BI106,'Fertiliser recommendations'!$A$4:$I$63,9,FALSE))/2.291)*5/(147/2.291)+'Soil results'!G111)&lt;13.5,"2 (M+)",
IF(((H108*Calc!BM106/2.291-(VLOOKUP(Calc!BI106,'Fertiliser recommendations'!$A$4:$I$63,9,FALSE))/2.291)*5/(147/2.291)+'Soil results'!G111)&lt;30,"3 (H)","4 (VH)"))),
IF(((H108*Calc!BM106/2.291-(VLOOKUP(Calc!BI106,'Fertiliser recommendations'!$A$4:$I$63,9,FALSE))/2.291)*5/(346/2.291)+'Soil results'!G111)&lt;1.8,"0 (VL)",
IF(((H108*Calc!BM106/2.291-(VLOOKUP(Calc!BI106,'Fertiliser recommendations'!$A$4:$I$63,9,FALSE))/2.291)*5/(147/2.291)+'Soil results'!G111)&lt;4.5,"1 (L)","2 (M-)"))))))</f>
        <v/>
      </c>
      <c r="M108" s="9" t="str">
        <f ca="1">IF(B108="","",
IF(OR(H108="data missing",I108="data missing",J108="data missing"),"data missing",
IF(Calc!BF106=0,"n/a",
IF(OR(AND('Soil results'!G$7="Olsen (ADAS)",'Soil results'!G111&gt;45),AND('Soil results'!G$7="modified Morgan (SAC)",'Soil results'!G111&gt;30)),
IF(H108&gt;2,"too high, not acceptable","no requirement"),IF(OR(AND('Soil results'!G$7="Olsen (ADAS)",'Soil results'!G111&gt;25),AND('Soil results'!G$7="modified Morgan (SAC)",'Soil results'!G111&gt;13.4)),
IF(H108*(I108/100)&lt;0.1*J108,"no benefit",
IF(H108*(I108/100)&lt;0.3*J108,"limited benefit",
IF(H108*(I108/100)&lt;1.1*J108,"benefit",
IF(H108*(I108/100)&lt;0.7*VLOOKUP(Calc!BI106,'Fertiliser recommendations'!$A$4:$I$63,9,FALSE),"excessive","too high, not acceptable")))),
IF(OR(AND('Soil results'!G$7="Olsen (ADAS)",'Soil results'!G111&gt;20),AND('Soil results'!G$7="modified Morgan (SAC)",'Soil results'!G111&gt;9.4)),
IF(H108*Calc!BM106*(I108/100)&lt;0.1*J108,"no benefit",
IF(H108*Calc!BM106*(I108/100)&lt;0.3*J108,"limited benefit",
IF(H108*Calc!BM106*(I108/100)&lt;1.1*J108,"benefit",
IF(L108="3 (H)","too high, not acceptable","excessive")))),
IF(OR(AND('Soil results'!G$7="Olsen (ADAS)",'Soil results'!G111&gt;15),AND('Soil results'!G$7="modified Morgan (SAC)",'Soil results'!G111&gt;4.4)),
IF(H108*Calc!BM106*(I108/100)&lt;0.1*VLOOKUP(Calc!BI106,'Fertiliser recommendations'!$A$4:$I$63,9,FALSE),"no benefit",
IF(H108*Calc!BM106*(I108/100)&lt;0.3*VLOOKUP(Calc!BI106,'Fertiliser recommendations'!$A$4:$I$63,9,FALSE),"limited benefit",
IF(H108*Calc!BM106*(I108/100)&lt;1.1*VLOOKUP(Calc!BI106,'Fertiliser recommendations'!$A$4:$I$63,9,FALSE),"benefit",
IF(L108="3 (H)", "too high, not acceptable", "excessive")))),
IF(OR(AND('Soil results'!G$7="Olsen (ADAS)",'Soil results'!G111&lt;=15),AND('Soil results'!G$7="modified Morgan (SAC)",'Soil results'!G111&lt;=4.4)),
IF(H108*Calc!BM106*(I108/100)&lt;0.1*VLOOKUP(Calc!BI106,'Fertiliser recommendations'!$A$4:$I$63,9,FALSE),"no benefit",
IF(H108*Calc!BM106*(I108/100)&lt;0.3*VLOOKUP(Calc!BI106,'Fertiliser recommendations'!$A$4:$I$63,9,FALSE),"limited benefit",
IF(H108*Calc!BM106*(I108/100)&lt;1.1*J108,"benefit","excessive")))))))))))</f>
        <v/>
      </c>
      <c r="N108" s="9"/>
      <c r="O108" s="91" t="str">
        <f ca="1">IF(B108="","",
IF(AND('Field information 2'!$O$5="", 'Field information 2'!$Q$5=""),
   IF('Waste results'!$S$19&lt;&gt;"data missing", Calc!BC106*'Waste results'!$S$19, "data missing"),
IF('Field information 2'!$Q$5="",
   IF(Calc!BD106=0,
     IF('Waste results'!$S$19&lt;&gt;"data missing", Calc!BC106*'Waste results'!$S$19, "data missing"),
   IF(Calc!BC106=0,
     IF('Waste results'!$S$55&lt;&gt;"data missing", Calc!BD106*'Waste results'!$S$55, "data missing"),
   IF(OR('Waste results'!$S$19&lt;&gt;"data missing", 'Waste results'!$S$55&lt;&gt;"data missing"), Calc!BC106*'Waste results'!$S$19+ Calc!BD106*'Waste results'!$S$55, "data missing"))),
IF(AND('Field information 2'!$M$5&lt;&gt;"", 'Field information 2'!$O$5&lt;&gt;"", 'Field information 2'!$Q$5&lt;&gt;""),
   IF(AND(Calc!BD106=0,Calc!BE106=0),
     IF('Waste results'!$S$19&lt;&gt;"data missing", Calc!BC106*'Waste results'!$S$19, "data missing"),
   IF(AND(Calc!BC106=0,Calc!BE106=0),
     IF('Waste results'!$S$55&lt;&gt;"data missing", Calc!BD106*'Waste results'!$S$55, "data missing"),
   IF(AND(Calc!BC106=0,Calc!BD106=0),
     IF('Waste results'!$S$91&lt;&gt;"data missing", Calc!BE106*'Waste results'!$S$91, "data missing"),
   IF(Calc!BE106=0,
     IF(OR('Waste results'!$S$19&lt;&gt;"data missing", 'Waste results'!$S$55&lt;&gt;"data missing"), Calc!BC106*'Waste results'!$S$19+ Calc!BD106*'Waste results'!$S$55, "data missing"),
   IF(Calc!BD106=0,
     IF(OR('Waste results'!$S$19&lt;&gt;"data missing", 'Waste results'!$S$91&lt;&gt;"data missing"), Calc!BC106*'Waste results'!$S$19+ Calc!BE106*'Waste results'!$S$91, "data missing"),
   IF(Calc!BC106=0,
     IF(OR('Waste results'!$S$55&lt;&gt;"data missing", 'Waste results'!$S$91&lt;&gt;"data missing"), Calc!BD106*'Waste results'!$S$55+Calc!BE106*'Waste results'!$S$91, "data missing"),
   IF(OR('Waste results'!$S$19&lt;&gt;"data missing", 'Waste results'!$S$55&lt;&gt;"data missing", 'Waste results'!$S$91&lt;&gt;"data missing"), Calc!BC106*'Waste results'!$S$19+Calc!BD106*'Waste results'!$S$55+ Calc!BE106*'Waste results'!$S$91, "data missing")))))))))))</f>
        <v/>
      </c>
      <c r="P108" s="91" t="str">
        <f ca="1">IF(B108="","",
IF(OR(ISBLANK('Soil results'!H$7),ISBLANK('Soil results'!H111)),"data missing",
IF(OR(AND('Soil results'!H$7="ammonium nitrate (ADAS)",'Soil results'!H111&gt;400),AND('Soil results'!H$7="modified Morgan (SAC)",'Soil results'!H111&gt;400)),0,
IF(OR(AND('Soil results'!H$7="ammonium nitrate (ADAS)",'Soil results'!H111&gt;=121,'Soil results'!H111&lt;=180),AND('Soil results'!H$7="modified Morgan (SAC)",'Soil results'!H111&gt;=76,'Soil results'!H111&lt;=140)),VLOOKUP(Calc!BI106,'Fertiliser recommendations'!$A$4:$Z$63,26,FALSE),
IF(OR(AND('Soil results'!H$7="ammonium nitrate (ADAS)",'Soil results'!H111&lt;61),AND('Soil results'!H$7="modified Morgan (SAC)",'Soil results'!H111&lt;40)),VLOOKUP(Calc!BI106,'Fertiliser recommendations'!$A$4:$Z$63,26,FALSE)+VLOOKUP(Calc!BI106,'Fertiliser recommendations'!$A$4:$AA$63,27,FALSE),
IF(OR(AND('Soil results'!H$7="ammonium nitrate (ADAS)",'Soil results'!H111&lt;121),AND('Soil results'!H$7="modified Morgan (SAC)",'Soil results'!H111&lt;76)),VLOOKUP(Calc!BI106,'Fertiliser recommendations'!$A$4:$Z$63,26,FALSE)+VLOOKUP(Calc!BI106,'Fertiliser recommendations'!$A$4:$AB$63,28,FALSE),
IF(OR(AND('Soil results'!H$7="ammonium nitrate (ADAS)",'Soil results'!H111&lt;241),AND('Soil results'!H$7="modified Morgan (SAC)",'Soil results'!H111&lt;201)),VLOOKUP(Calc!BI106,'Fertiliser recommendations'!$A$4:$Z$63,26,FALSE)+VLOOKUP(Calc!BI106,'Fertiliser recommendations'!$A$4:$AC$63,29,FALSE),
IF(OR(AND('Soil results'!H$7="ammonium nitrate (ADAS)",'Soil results'!H111&lt;=400),AND('Soil results'!H$7="modified Morgan (SAC)",'Soil results'!H111&lt;=400)),VLOOKUP(Calc!BI106,'Fertiliser recommendations'!$A$4:$Z$63,26,FALSE)+VLOOKUP(Calc!BI106,'Fertiliser recommendations'!$A$4:$AD$63,30,FALSE),
"??"))))))))</f>
        <v/>
      </c>
      <c r="Q108" s="91" t="str">
        <f t="shared" ca="1" si="36"/>
        <v/>
      </c>
      <c r="R108" s="9" t="str">
        <f ca="1">IF(B108="","",
IF(OR(O108="data missing",P108="data missing"),"data missing",
IF(Calc!BF106=0,"n/a",
IF(P108=0, "no requirement",
IF(O108&lt;0.1*P108,"no benefit",
IF(O108&lt;0.3*P108,"limited benefit",
IF(O108&gt;1.25*P108,"excessive",
"benefit")))))))</f>
        <v/>
      </c>
      <c r="S108" s="9"/>
      <c r="T108" s="91" t="str">
        <f ca="1">IF(B108="","",
IF(AND('Field information 2'!$O$5="", 'Field information 2'!$Q$5=""),
   IF('Waste results'!$S$21&lt;&gt;"data missing", Calc!BC106*'Waste results'!$S$21, "data missing"),
IF('Field information 2'!$Q$5="",
   IF(Calc!BD106=0,
     IF('Waste results'!$S$21&lt;&gt;"data missing", Calc!BC106*'Waste results'!$S$21, "data missing"),
   IF(Calc!BC106=0,
     IF('Waste results'!$S$57&lt;&gt;"data missing", Calc!BD106*'Waste results'!$S$57, "data missing"),
   IF(OR('Waste results'!$S$21&lt;&gt;"data missing", 'Waste results'!$S$57&lt;&gt;"data missing"), Calc!BC106*'Waste results'!$S$21+ Calc!BD106*'Waste results'!$S$57, "data missing"))),
IF(AND('Field information 2'!$M$5&lt;&gt;"", 'Field information 2'!$O$5&lt;&gt;"", 'Field information 2'!$Q$5&lt;&gt;""),
   IF(AND(Calc!BD106=0,Calc!BE106=0),
     IF('Waste results'!$S$21&lt;&gt;"data missing", Calc!BC106*'Waste results'!$S$21, "data missing"),
   IF(AND(Calc!BC106=0,Calc!BE106=0),
     IF('Waste results'!$S$57&lt;&gt;"data missing", Calc!BD106*'Waste results'!$S$57, "data missing"),
   IF(AND(Calc!BC106=0,Calc!BD106=0),
     IF('Waste results'!$S$93&lt;&gt;"data missing", Calc!BE106*'Waste results'!$S$93, "data missing"),
   IF(Calc!BE106=0,
     IF(OR('Waste results'!$S$21&lt;&gt;"data missing", 'Waste results'!$S$57&lt;&gt;"data missing"), Calc!BC106*'Waste results'!$S$21+ Calc!BD106*'Waste results'!$S$57, "data missing"),
   IF(Calc!BD106=0,
     IF(OR('Waste results'!$S$21&lt;&gt;"data missing", 'Waste results'!$S$93&lt;&gt;"data missing"), Calc!BC106*'Waste results'!$S$21+ Calc!BE106*'Waste results'!$S$93, "data missing"),
   IF(Calc!BC106=0,
     IF(OR('Waste results'!$S$57&lt;&gt;"data missing", 'Waste results'!$S$93&lt;&gt;"data missing"), Calc!BD106*'Waste results'!$S$57+Calc!BE106*'Waste results'!$S$93, "data missing"),
   IF(OR('Waste results'!$S$21&lt;&gt;"data missing", 'Waste results'!$S$57&lt;&gt;"data missing", 'Waste results'!$S$93&lt;&gt;"data missing"), Calc!BC106*'Waste results'!$S$21+Calc!BD106*'Waste results'!$S$57+ Calc!BE106*'Waste results'!$S$93, "data missing")))))))))))</f>
        <v/>
      </c>
      <c r="U108" s="7" t="str">
        <f ca="1">IF(B108="","",
IF(OR(ISBLANK('Soil results'!I$7),ISBLANK('Soil results'!I111)),"data missing",
IF(OR(AND('Soil results'!I$7="ammonium nitrate (ADAS)",'Soil results'!I111&gt;51),AND('Soil results'!I$7="modified Morgan (SAC)",'Soil results'!I111&gt;61)),0,
IF(OR(AND('Soil results'!I$7="ammonium nitrate (ADAS)",'Soil results'!I111&lt;25),AND('Soil results'!I$7="modified Morgan (SAC)",'Soil results'!I111&lt;19)),VLOOKUP(Calc!BI106,'Fertiliser recommendations'!$A$4:$AH$63,34,FALSE),
IF(OR(AND('Soil results'!I$7="ammonium nitrate (ADAS)",'Soil results'!I111&lt;=51),AND('Soil results'!I$7="modified Morgan (SAC)",'Soil results'!I111&lt;=61)),VLOOKUP(Calc!BI106,'Fertiliser recommendations'!$A$4:$AI$63,35,FALSE),
"")))))</f>
        <v/>
      </c>
      <c r="V108" s="91" t="str">
        <f t="shared" ca="1" si="37"/>
        <v/>
      </c>
      <c r="W108" s="9" t="str">
        <f ca="1">IF(B108="","",
IF(OR(T108="data missing",U108="data missing"),"data missing",
IF(Calc!BF106=0,"n/a",
IF(U108=0,"no requirement",
IF(T108&lt;0.1*U108,"no benefit",
IF(T108&lt;0.3*U108,"limited benefit",
IF(OR(T108&gt;1.5*U108,AND(Calc!BJ106="g",T108&gt;100)),"excessive",
"benefit")))))))</f>
        <v/>
      </c>
      <c r="X108" s="9"/>
      <c r="Y108" s="91" t="str">
        <f ca="1">IF(B108="","",
IF(AND('Field information 2'!$O$5="", 'Field information 2'!$Q$5=""),
   IF('Waste results'!$P$23&lt;&gt;"", Calc!BC106*'Waste results'!$P$23, "no data"),
IF('Field information 2'!$Q$5="",
   IF(Calc!BD106=0,
     IF('Waste results'!$P$23&lt;&gt;"", Calc!BC106*'Waste results'!$P$23, "no data"),
   IF(Calc!BC106=0,
     IF('Waste results'!$P$59&lt;&gt;"", Calc!BD106*'Waste results'!$P$59, "no data"),
   IF(OR('Waste results'!$P$23&lt;&gt;"", 'Waste results'!$P$59&lt;&gt;""), Calc!BC106*'Waste results'!$P$23+ Calc!BD106*'Waste results'!$P$59, "no data"))),
IF(AND('Field information 2'!$M$5&lt;&gt;"", 'Field information 2'!$O$5&lt;&gt;"", 'Field information 2'!$Q$5&lt;&gt;""),
   IF(AND(Calc!BD106=0,Calc!BE106=0),
     IF('Waste results'!$P$23&lt;&gt;"", Calc!BC106*'Waste results'!$P$23, "no data"),
   IF(AND(Calc!BC106=0,Calc!BE106=0),
     IF('Waste results'!$P$59&lt;&gt;"", Calc!BD106*'Waste results'!$P$59, "no data"),
   IF(AND(Calc!BC106=0,Calc!BD106=0),
     IF('Waste results'!$P$95&lt;&gt;"", Calc!BE106*'Waste results'!$P$95, "no data"),
   IF(Calc!BE106=0,
     IF(OR('Waste results'!$P$23&lt;&gt;"", 'Waste results'!$P$59&lt;&gt;""), Calc!BC106*'Waste results'!$P$23+ Calc!BD106*'Waste results'!$P$59, "no data"),
   IF(Calc!BD106=0,
     IF(OR('Waste results'!$P$23&lt;&gt;"", 'Waste results'!$P$95&lt;&gt;""), Calc!BC106*'Waste results'!$P$23+ Calc!BE106*'Waste results'!$P$95, "no data"),
   IF(Calc!BC106=0,
     IF(OR('Waste results'!$P$59&lt;&gt;"", 'Waste results'!$P$95&lt;&gt;""), Calc!BD106*'Waste results'!$P$59+Calc!BE106*'Waste results'!$P$95, "no data"),
   IF(OR('Waste results'!$P$23&lt;&gt;"", 'Waste results'!$P$59&lt;&gt;"", 'Waste results'!$P$95&lt;&gt;""), Calc!BC106*'Waste results'!$P$23+Calc!BD106*'Waste results'!$P$59+ Calc!BE106*'Waste results'!$P$95, "no data")))))))))))</f>
        <v/>
      </c>
      <c r="Z108" s="7" t="str">
        <f ca="1">IF(OR(ISBLANK('Soil results'!I$7),ISBLANK('Soil results'!I111),'Soil results'!B111=""),"",
VLOOKUP(Calc!BI106,'Fertiliser recommendations'!$A$4:$AM$63,39,FALSE))</f>
        <v/>
      </c>
      <c r="AA108" s="91" t="str">
        <f t="shared" ca="1" si="38"/>
        <v/>
      </c>
      <c r="AB108" s="9" t="str">
        <f t="shared" ca="1" si="39"/>
        <v/>
      </c>
      <c r="AC108" s="9"/>
      <c r="AD108" s="48" t="str">
        <f>IF(ISBLANK('Soil results'!F111),"",'Soil results'!F111)</f>
        <v/>
      </c>
      <c r="AE108" s="49" t="str">
        <f ca="1">IF(B108="","",
IF(AND(Calc!BJ106="g", VLOOKUP(LEFT($B108,LEN($B108)-2),'Field information 2'!$B$12:$P$111,9,FALSE)&lt;&gt;"yes"),
 IF(Calc!BG106="10-25% OM", 5.9, IF(Calc!BG106="&gt;25% OM", 5.5, 6.2)),
IF(OR(Calc!BJ106="a", VLOOKUP(LEFT($B108,LEN($B108)-2),'Field information 2'!$B$12:$P$111,9,FALSE)="yes"),
 IF(Calc!BG106="10-25% OM", 6.4, IF(Calc!BG106="&gt;25% OM", 6, 6.7)), "")))</f>
        <v/>
      </c>
      <c r="AF108" s="91" t="str">
        <f ca="1">IF(B108="","",
IF('Waste results'!$Q$33="","no (significant) liming properties",
IF('Waste results'!Q$33&gt;100,"no (significant) liming properties",
IF(AD108="","",
IF(AD108&gt;=AE108,0,ROUNDDOWN((AE108-AD108)*Calc!BK106*'Waste results'!$Q$33+0.2,0))))))</f>
        <v/>
      </c>
      <c r="AG108" s="9" t="str">
        <f ca="1">IF(B108="","",
IF(T108=0,"n/a",
IF(AD108="","data missing",
IF(AND(AD108&lt;5,AF108="no (significant) liming properties"),"no waste application - pH too low",
IF(AND(AD108&gt;5.1,AF108="no (significant) liming properties",Calc!BH106&gt;25, LEFT(Calc!BI106,4)="graz"),"ok",
IF(AND(AD108&lt;=5.2,AF108="no (significant) liming properties"),"liming highly recommended",
IF(AF108=0,"no waste application - liming not required",
IF(AF108&lt;Calc!BC106,"application rate too high - exceeds liming requirement",
"ok"))))))))</f>
        <v/>
      </c>
      <c r="AH108" s="9"/>
      <c r="AI108" s="91" t="str">
        <f ca="1">IF(B108="","",
IF(AND('Field information 2'!$O$5="", 'Field information 2'!$Q$5=""),
   IF('Waste results'!$P$10&lt;&gt;"data missing", Calc!BC106*'Waste results'!$P$10, "data missing"),
IF('Field information 2'!$Q$5="",
   IF(Calc!BD106=0,
     IF('Waste results'!$P$10&lt;&gt;"data missing", Calc!BC106*'Waste results'!$P$10, "data missing"),
   IF(Calc!BC106=0,
     IF('Waste results'!$P$45&lt;&gt;"data missing", Calc!BD106*'Waste results'!$P$45, "data missing"),
   IF(OR('Waste results'!$P$10&lt;&gt;"data missing", 'Waste results'!$P$45&lt;&gt;"data missing"), Calc!BC106*'Waste results'!$P$10+ Calc!BD106*'Waste results'!$P$45, "data missing"))),
IF(AND('Field information 2'!$M$5&lt;&gt;"", 'Field information 2'!$O$5&lt;&gt;"", 'Field information 2'!$Q$5&lt;&gt;""),
   IF(AND(Calc!BD106=0,Calc!BE106=0),
     IF('Waste results'!$P$10&lt;&gt;"data missing", Calc!BC106*'Waste results'!$P$10, "data missing"),
   IF(AND(Calc!BC106=0,Calc!BE106=0),
     IF('Waste results'!$P$45&lt;&gt;"data missing", Calc!BD106*'Waste results'!$P$45, "data missing"),
   IF(AND(Calc!BC106=0,Calc!BD106=0),
     IF('Waste results'!$P$82&lt;&gt;"data missing", Calc!BE106*'Waste results'!$P$82, "data missing"),
   IF(Calc!BE106=0,
     IF(OR('Waste results'!$P$10&lt;&gt;"data missing", 'Waste results'!$P$45&lt;&gt;"data missing"), Calc!BC106*'Waste results'!$P$10+ Calc!BD106*'Waste results'!$P$45, "data missing"),
   IF(Calc!BD106=0,
     IF(OR('Waste results'!$P$10&lt;&gt;"data missing", 'Waste results'!$P$82&lt;&gt;"data missing"), Calc!BC106*'Waste results'!$P$10+ Calc!BE106*'Waste results'!$P$82, "data missing"),
   IF(Calc!BC106=0,
     IF(OR('Waste results'!$P$45&lt;&gt;"data missing", 'Waste results'!$P$82&lt;&gt;"data missing"), Calc!BD106*'Waste results'!$P$45+Calc!BE106*'Waste results'!$P$82, "data missing"),
   IF(OR('Waste results'!$P$10&lt;&gt;"data missing", 'Waste results'!$P$45&lt;&gt;"data missing", 'Waste results'!$P$82&lt;&gt;"data missing"), Calc!BC106*'Waste results'!$P$10+Calc!BD106*'Waste results'!$P$45+ Calc!BE106*'Waste results'!$P$82, "data missing")))))))))))</f>
        <v/>
      </c>
      <c r="AJ108" s="237" t="str">
        <f ca="1">IF(B108="","",
IF(AI108="data missing","data missing",
IF(Calc!BF106=0,"n/a",
IF(AND(Calc!BH106&gt;=8,AI108&lt;500),"no benefit",
IF(OR(AND(Calc!BH106&lt;=4,AI108&gt;=500),AND(Calc!BH106&lt;8,AI108&gt;5000)),"benefit",
"limited benefit")))))</f>
        <v/>
      </c>
      <c r="AK108" s="9"/>
      <c r="AL108" s="238" t="str">
        <f ca="1">IF(B108="","",
IF(AND('Field information 2'!$O$5="", 'Field information 2'!$Q$5=""),
   IF('Waste results'!$S$25&lt;&gt;"data missing", Calc!BC106*'Waste results'!$S$25, "data missing"),
IF('Field information 2'!$Q$5="",
   IF(Calc!BD106=0,
     IF('Waste results'!$S$25&lt;&gt;"data missing", Calc!BC106*'Waste results'!$S$25, "data missing"),
   IF(Calc!BC106=0,
     IF('Waste results'!$S$61&lt;&gt;"data missing", Calc!BD106*'Waste results'!$S$61, "data missing"),
   IF(OR('Waste results'!$S$25&lt;&gt;"data missing", 'Waste results'!$S$61&lt;&gt;"data missing"), Calc!BC106*'Waste results'!$S$25+ Calc!BD106*'Waste results'!$S$61, "data missing"))),
IF(AND('Field information 2'!$M$5&lt;&gt;"", 'Field information 2'!$O$5&lt;&gt;"", 'Field information 2'!$Q$5&lt;&gt;""),
   IF(AND(Calc!BD106=0,Calc!BE106=0),
     IF('Waste results'!$S$25&lt;&gt;"data missing", Calc!BC106*'Waste results'!$S$25, "data missing"),
   IF(AND(Calc!BC106=0,Calc!BE106=0),
     IF('Waste results'!$S$61&lt;&gt;"data missing", Calc!BD106*'Waste results'!$S$61, "data missing"),
   IF(AND(Calc!BC106=0,Calc!BD106=0),
     IF('Waste results'!$S$97&lt;&gt;"data missing", Calc!BE106*'Waste results'!$S$97, "data missing"),
   IF(Calc!BE106=0,
     IF(OR('Waste results'!$S$25&lt;&gt;"data missing", 'Waste results'!$S$61&lt;&gt;"data missing"), Calc!BC106*'Waste results'!$S$25+ Calc!BD106*'Waste results'!$S$61, "data missing"),
   IF(Calc!BD106=0,
     IF(OR('Waste results'!$S$25&lt;&gt;"data missing", 'Waste results'!$S$97&lt;&gt;"data missing"), Calc!BC106*'Waste results'!$S$25+ Calc!BE106*'Waste results'!$S$97, "data missing"),
   IF(Calc!BC106=0,
     IF(OR('Waste results'!$S$61&lt;&gt;"data missing", 'Waste results'!$S$97&lt;&gt;"data missing"), Calc!BD106*'Waste results'!$S$61+Calc!BE106*'Waste results'!$S$97, "data missing"),
   IF(OR('Waste results'!$S$25&lt;&gt;"data missing", 'Waste results'!$S$61&lt;&gt;"data missing", 'Waste results'!$S$97&lt;&gt;"data missing"), Calc!BC106*'Waste results'!$S$25+Calc!BD106*'Waste results'!$S$61+ Calc!BE106*'Waste results'!$S$97, "data missing")))))))))))</f>
        <v/>
      </c>
      <c r="AM108" s="239" t="str">
        <f ca="1">IF($B108="","",
IF(ISBLANK('Soil results'!K111),"data missing",'Soil results'!K111))</f>
        <v/>
      </c>
      <c r="AN108" s="239" t="str">
        <f t="shared" ca="1" si="40"/>
        <v/>
      </c>
      <c r="AO108" s="9" t="str">
        <f t="shared" ca="1" si="41"/>
        <v/>
      </c>
      <c r="AP108" s="9"/>
      <c r="AQ108" s="240" t="str">
        <f ca="1">IF(B108="","",
IF(AND('Field information 2'!$O$5="", 'Field information 2'!$Q$5=""),
   IF('Waste results'!$S$26&lt;&gt;"data missing", Calc!BC106*'Waste results'!$S$26, "data missing"),
IF('Field information 2'!$Q$5="",
   IF(Calc!BD106=0,
     IF('Waste results'!$S$26&lt;&gt;"data missing", Calc!BC106*'Waste results'!$S$26, "data missing"),
   IF(Calc!BC106=0,
     IF('Waste results'!$S$62&lt;&gt;"data missing", Calc!BD106*'Waste results'!$S$62, "data missing"),
   IF(OR('Waste results'!$S$26&lt;&gt;"data missing", 'Waste results'!$S$62&lt;&gt;"data missing"), Calc!BC106*'Waste results'!$S$26+ Calc!BD106*'Waste results'!$S$62, "data missing"))),
IF(AND('Field information 2'!$M$5&lt;&gt;"", 'Field information 2'!$O$5&lt;&gt;"", 'Field information 2'!$Q$5&lt;&gt;""),
   IF(AND(Calc!BD106=0,Calc!BE106=0),
     IF('Waste results'!$S$26&lt;&gt;"data missing", Calc!BC106*'Waste results'!$S$26, "data missing"),
   IF(AND(Calc!BC106=0,Calc!BE106=0),
     IF('Waste results'!$S$62&lt;&gt;"data missing", Calc!BD106*'Waste results'!$S$62, "data missing"),
   IF(AND(Calc!BC106=0,Calc!BD106=0),
     IF('Waste results'!$S$98&lt;&gt;"data missing", Calc!BE106*'Waste results'!$S$98, "data missing"),
   IF(Calc!BE106=0,
     IF(OR('Waste results'!$S$26&lt;&gt;"data missing", 'Waste results'!$S$62&lt;&gt;"data missing"), Calc!BC106*'Waste results'!$S$26+ Calc!BD106*'Waste results'!$S$62, "data missing"),
   IF(Calc!BD106=0,
     IF(OR('Waste results'!$S$26&lt;&gt;"data missing", 'Waste results'!$S$98&lt;&gt;"data missing"), Calc!BC106*'Waste results'!$S$26+ Calc!BE106*'Waste results'!$S$98, "data missing"),
   IF(Calc!BC106=0,
     IF(OR('Waste results'!$S$62&lt;&gt;"data missing", 'Waste results'!$S$98&lt;&gt;"data missing"), Calc!BD106*'Waste results'!$S$62+Calc!BE106*'Waste results'!$S$98, "data missing"),
   IF(OR('Waste results'!$S$26&lt;&gt;"data missing", 'Waste results'!$S$62&lt;&gt;"data missing", 'Waste results'!$S$98&lt;&gt;"data missing"), Calc!BC106*'Waste results'!$S$26+Calc!BD106*'Waste results'!$S$62+ Calc!BE106*'Waste results'!$S$98, "data missing")))))))))))</f>
        <v/>
      </c>
      <c r="AR108" s="241" t="str">
        <f ca="1">IF($B108="","",
IF(ISBLANK('Soil results'!L111),"data missing",'Soil results'!L111))</f>
        <v/>
      </c>
      <c r="AS108" s="241" t="str">
        <f t="shared" ca="1" si="42"/>
        <v/>
      </c>
      <c r="AT108" s="66" t="str">
        <f t="shared" ca="1" si="43"/>
        <v/>
      </c>
      <c r="AU108" s="9"/>
      <c r="AV108" s="238" t="str">
        <f ca="1">IF(B108="","",
IF(AND('Field information 2'!$O$5="", 'Field information 2'!$Q$5=""),
   IF('Waste results'!$S$27&lt;&gt;"data missing", Calc!BC106*'Waste results'!$S$27, "data missing"),
IF('Field information 2'!$Q$5="",
   IF(Calc!BD106=0,
     IF('Waste results'!$S$27&lt;&gt;"data missing", Calc!BC106*'Waste results'!$S$27, "data missing"),
   IF(Calc!BC106=0,
     IF('Waste results'!$S$63&lt;&gt;"data missing", Calc!BD106*'Waste results'!$S$63, "data missing"),
   IF(OR('Waste results'!$S$27&lt;&gt;"data missing", 'Waste results'!$S$63&lt;&gt;"data missing"), Calc!BC106*'Waste results'!$S$27+ Calc!BD106*'Waste results'!$S$63, "data missing"))),
IF(AND('Field information 2'!$M$5&lt;&gt;"", 'Field information 2'!$O$5&lt;&gt;"", 'Field information 2'!$Q$5&lt;&gt;""),
   IF(AND(Calc!BD106=0,Calc!BE106=0),
     IF('Waste results'!$S$27&lt;&gt;"data missing", Calc!BC106*'Waste results'!$S$27, "data missing"),
   IF(AND(Calc!BC106=0,Calc!BE106=0),
     IF('Waste results'!$S$63&lt;&gt;"data missing", Calc!BD106*'Waste results'!$S$63, "data missing"),
   IF(AND(Calc!BC106=0,Calc!BD106=0),
     IF('Waste results'!$S$99&lt;&gt;"data missing", Calc!BE106*'Waste results'!$S$99, "data missing"),
   IF(Calc!BE106=0,
     IF(OR('Waste results'!$S$27&lt;&gt;"data missing", 'Waste results'!$S$63&lt;&gt;"data missing"), Calc!BC106*'Waste results'!$S$27+ Calc!BD106*'Waste results'!$S$63, "data missing"),
   IF(Calc!BD106=0,
     IF(OR('Waste results'!$S$27&lt;&gt;"data missing", 'Waste results'!$S$99&lt;&gt;"data missing"), Calc!BC106*'Waste results'!$S$27+ Calc!BE106*'Waste results'!$S$99, "data missing"),
   IF(Calc!BC106=0,
     IF(OR('Waste results'!$S$63&lt;&gt;"data missing", 'Waste results'!$S$99&lt;&gt;"data missing"), Calc!BD106*'Waste results'!$S$63+Calc!BE106*'Waste results'!$S$99, "data missing"),
   IF(OR('Waste results'!$S$27&lt;&gt;"data missing", 'Waste results'!$S$63&lt;&gt;"data missing", 'Waste results'!$S$99&lt;&gt;"data missing"), Calc!BC106*'Waste results'!$S$27+Calc!BD106*'Waste results'!$S$63+ Calc!BE106*'Waste results'!$S$99, "data missing")))))))))))</f>
        <v/>
      </c>
      <c r="AW108" s="239" t="str">
        <f ca="1">IF($B108="","",
IF(ISBLANK('Soil results'!M111),"data missing",'Soil results'!M111))</f>
        <v/>
      </c>
      <c r="AX108" s="239" t="str">
        <f t="shared" ca="1" si="44"/>
        <v/>
      </c>
      <c r="AY108" s="9" t="str">
        <f ca="1">IF(B108="","",
IF(AV108=0,"n/a",
IF(OR(AV108="data missing",AW108="data missing"),"data missing",
IF(AV108&gt;7.5,"application rate too high - permissible rate exceeds limit",
IF('Soil results'!$F111&lt;=5.5,
  IF(AW108&gt;80,"no application - soil conc. already above limit",
  IF(AX108&gt;80,"application rate too high - soil conc. will exceed limit",
  IF(AW108&gt;80*0.9,"soil conc. is at or above 90% of the limit",
  IF(10*AV108*1000/3000+AW108&gt;80,"soil limit likely to be exceeded in 10yrs",
  IF(50*AV108*1000/3000+AW108&gt;80,"soil limit likely to be exceeded in 50yrs","ok"))))),
IF('Soil results'!$F111&lt;=6,
  IF(AW108&gt;100,"no application - soil conc. already above limit",
  IF(AX108&gt;100,"application rate too high - soil conc. will exceed limit",
  IF(AW108&gt;100*0.9,"soil conc. is at or above 90% of the limit",
  IF(10*AV108*1000/3000+AW108&gt;100,"soil limit likely to be exceeded in 10yrs",
  IF(50*AV108*1000/3000+AW108&gt;100,"soil limit likely to be exceeded in 50yrs","ok"))))),
IF('Soil results'!$F111&lt;=7,
  IF(AW108&gt;135,"no application - soil conc. already above limit",
  IF(AX108&gt;135,"application rate too high - soil conc. will exceed limit",
  IF(AW108&gt;135*0.9,"soil conc. is at or above 90% of the limit",
  IF(10*AV108*1000/3000+AW108&gt;135,"soil limit likely to be exceeded in 10yrs",
  IF(50*AV108*1000/3000+AW108&gt;135,"soil limit likely to be exceeded in 50yrs","ok"))))),
IF('Soil results'!$F111&gt;7,
  IF(AW108&gt;200,"no application - soil conc. already above limit",
  IF(AX108&gt;200,"application too high - soil conc. will exceed limit",
  IF(AW108&gt;200*0.9,"soil conc. is at or above 90% of the limit",
  IF(10*AV108*1000/3000+AW108&gt;200,"soil limit likely to be exceeded in 10yrs",
  IF(50*AV108*1000/3000+AW108&gt;200,"soil limit likely to be exceeded in 50yrs","ok")))))
))))))))</f>
        <v/>
      </c>
      <c r="AZ108" s="9"/>
      <c r="BA108" s="238" t="str">
        <f ca="1">IF(B108="","",
IF(AND('Field information 2'!$O$5="", 'Field information 2'!$Q$5=""),
   IF('Waste results'!$S$28&lt;&gt;"data missing", Calc!BC106*'Waste results'!$S$28, "data missing"),
IF('Field information 2'!$Q$5="",
   IF(Calc!BD106=0,
     IF('Waste results'!$S$28&lt;&gt;"data missing", Calc!BC106*'Waste results'!$S$28, "data missing"),
   IF(Calc!BC106=0,
     IF('Waste results'!$S$64&lt;&gt;"data missing", Calc!BD106*'Waste results'!$S$64, "data missing"),
   IF(OR('Waste results'!$S$28&lt;&gt;"data missing", 'Waste results'!$S$64&lt;&gt;"data missing"), Calc!BC106*'Waste results'!$S$28+ Calc!BD106*'Waste results'!$S$64, "data missing"))),
IF(AND('Field information 2'!$M$5&lt;&gt;"", 'Field information 2'!$O$5&lt;&gt;"", 'Field information 2'!$Q$5&lt;&gt;""),
   IF(AND(Calc!BD106=0,Calc!BE106=0),
     IF('Waste results'!$S$28&lt;&gt;"data missing", Calc!BC106*'Waste results'!$S$28, "data missing"),
   IF(AND(Calc!BC106=0,Calc!BE106=0),
     IF('Waste results'!$S$64&lt;&gt;"data missing", Calc!BD106*'Waste results'!$S$64, "data missing"),
   IF(AND(Calc!BC106=0,Calc!BD106=0),
     IF('Waste results'!$S$100&lt;&gt;"data missing", Calc!BE106*'Waste results'!$S$100, "data missing"),
   IF(Calc!BE106=0,
     IF(OR('Waste results'!$S$28&lt;&gt;"data missing", 'Waste results'!$S$64&lt;&gt;"data missing"), Calc!BC106*'Waste results'!$S$28+ Calc!BD106*'Waste results'!$S$64, "data missing"),
   IF(Calc!BD106=0,
     IF(OR('Waste results'!$S$28&lt;&gt;"data missing", 'Waste results'!$S$100&lt;&gt;"data missing"), Calc!BC106*'Waste results'!$S$28+ Calc!BE106*'Waste results'!$S$100, "data missing"),
   IF(Calc!BC106=0,
     IF(OR('Waste results'!$S$64&lt;&gt;"data missing", 'Waste results'!$S$100&lt;&gt;"data missing"), Calc!BD106*'Waste results'!$S$64+Calc!BE106*'Waste results'!$S$100, "data missing"),
   IF(OR('Waste results'!$S$28&lt;&gt;"data missing", 'Waste results'!$S$64&lt;&gt;"data missing", 'Waste results'!$S$100&lt;&gt;"data missing"), Calc!BC106*'Waste results'!$S$28+Calc!BD106*'Waste results'!$S$64+ Calc!BE106*'Waste results'!$S$100, "data missing")))))))))))</f>
        <v/>
      </c>
      <c r="BB108" s="239" t="str">
        <f ca="1">IF($B108="","",
IF(ISBLANK('Soil results'!N111),"data missing",'Soil results'!N111))</f>
        <v/>
      </c>
      <c r="BC108" s="239" t="str">
        <f t="shared" ca="1" si="45"/>
        <v/>
      </c>
      <c r="BD108" s="9" t="str">
        <f t="shared" ca="1" si="46"/>
        <v/>
      </c>
      <c r="BE108" s="9"/>
      <c r="BF108" s="238" t="str">
        <f ca="1">IF(B108="","",
IF(AND('Field information 2'!$O$5="", 'Field information 2'!$Q$5=""),
   IF('Waste results'!$S$29&lt;&gt;"data missing", Calc!BC106*'Waste results'!$S$29, "data missing"),
IF('Field information 2'!$Q$5="",
   IF(Calc!BD106=0,
     IF('Waste results'!$S$29&lt;&gt;"data missing", Calc!BC106*'Waste results'!$S$29, "data missing"),
   IF(Calc!BC106=0,
     IF('Waste results'!$S$65&lt;&gt;"data missing", Calc!BD106*'Waste results'!$S$65, "data missing"),
   IF(OR('Waste results'!$S$29&lt;&gt;"data missing", 'Waste results'!$S$65&lt;&gt;"data missing"), Calc!BC106*'Waste results'!$S$29+ Calc!BD106*'Waste results'!$S$65, "data missing"))),
IF(AND('Field information 2'!$M$5&lt;&gt;"", 'Field information 2'!$O$5&lt;&gt;"", 'Field information 2'!$Q$5&lt;&gt;""),
   IF(AND(Calc!BD106=0,Calc!BE106=0),
     IF('Waste results'!$S$29&lt;&gt;"data missing", Calc!BC106*'Waste results'!$S$29, "data missing"),
   IF(AND(Calc!BC106=0,Calc!BE106=0),
     IF('Waste results'!$S$65&lt;&gt;"data missing", Calc!BD106*'Waste results'!$S$65, "data missing"),
   IF(AND(Calc!BC106=0,Calc!BD106=0),
     IF('Waste results'!$S$101&lt;&gt;"data missing", Calc!BE106*'Waste results'!$S$101, "data missing"),
   IF(Calc!BE106=0,
     IF(OR('Waste results'!$S$29&lt;&gt;"data missing", 'Waste results'!$S$65&lt;&gt;"data missing"), Calc!BC106*'Waste results'!$S$29+ Calc!BD106*'Waste results'!$S$65, "data missing"),
   IF(Calc!BD106=0,
     IF(OR('Waste results'!$S$29&lt;&gt;"data missing", 'Waste results'!$S$101&lt;&gt;"data missing"), Calc!BC106*'Waste results'!$S$29+ Calc!BE106*'Waste results'!$S$101, "data missing"),
   IF(Calc!BC106=0,
     IF(OR('Waste results'!$S$65&lt;&gt;"data missing", 'Waste results'!$S$101&lt;&gt;"data missing"), Calc!BD106*'Waste results'!$S$65+Calc!BE106*'Waste results'!$S$101, "data missing"),
   IF(OR('Waste results'!$S$29&lt;&gt;"data missing", 'Waste results'!$S$65&lt;&gt;"data missing", 'Waste results'!$S$101&lt;&gt;"data missing"), Calc!BC106*'Waste results'!$S$29+Calc!BD106*'Waste results'!$S$65+ Calc!BE106*'Waste results'!$S$101, "data missing")))))))))))</f>
        <v/>
      </c>
      <c r="BG108" s="239" t="str">
        <f ca="1">IF($B108="","",
IF(ISBLANK('Soil results'!O111),"data missing",'Soil results'!O111))</f>
        <v/>
      </c>
      <c r="BH108" s="239" t="str">
        <f t="shared" ca="1" si="47"/>
        <v/>
      </c>
      <c r="BI108" s="9" t="str">
        <f ca="1">IF(B108="","",
IF(BF108=0,"n/a",
IF(OR(BF108="data missing",BG108="data missing"),"data missing",
IF(BF108&gt;3,"application rate too high - permissible rate exceeds limit",
IF('Soil results'!F111&lt;=5.5,
  IF(BG108&gt;50,"no application - soil conc. already above limit",
  IF(BH108&gt;50,"application rate too high - soil conc. will exceed limit",
  IF(BG108&gt;50*0.9,"soil conc. is at or above 90% of the limit",
  IF(10*BF108*1000/3000+BG108&gt;50,"soil limit likely to be exceeded in 10yrs",
  IF(50*BF108*1000/3000+BG108&gt;50,"soil limit likely to be exceeded in 50yrs","ok"))))),
IF('Soil results'!F111&lt;=6,
  IF(BG108&gt;60,"no application - soil conc. already above limit",
  IF(BH108&gt;60,"application rate too high - soil conc. will exceed limit",
  IF(BG108&gt;60*0.9,"soil conc. is at or above 90% of the limit",
  IF(10*BF108*1000/3000+BG108&gt;60,"soil limit likely to be exceeded in 10yrs",
  IF(50*BF108*1000/3000+BG108&gt;60,"soil limit likely to be exceeded in 50yrs","ok"))))),
IF('Soil results'!F111&lt;=7,
  IF(BG108&gt;75,"no application - soil conc. already above limit",
  IF(BH108&gt;75,"application rate too high - soil conc. will exceed limit",
  IF(BG108&gt;75*0.9,"soil conc. is at or above 90% of the limit",
  IF(10*BF108*1000/3000+BG108&gt;75,"soil limit likely to be exceeded in 10yrs",
  IF(50*BF108*1000/3000+BG108&gt;75,"soil limit likely to be exceeded in 50yrs","ok"))))),
IF('Soil results'!F111&gt;7,
  IF(BG108&gt;100,"no application - soil conc. already above limit",
  IF(BH108&gt;100,"application rate too high - soil conc. will exceed limit",
  IF(BG108&gt;100*0.9,"soil conc. is at or above 90% of the limit",
  IF(10*BF108*1000/3000+BG108&gt;100,"soil limit likely to be exceeded in 10yrs",
  IF(50*BF108*1000/3000+BG108&gt;100,"soil limit likely to beexceeded in 50yrs","ok")))))
))))))))</f>
        <v/>
      </c>
      <c r="BJ108" s="9"/>
      <c r="BK108" s="240" t="str">
        <f ca="1">IF(B108="","",
IF(AND('Field information 2'!$O$5="", 'Field information 2'!$Q$5=""),
   IF('Waste results'!$S$30&lt;&gt;"data missing", Calc!BC106*'Waste results'!$S$30, "data missing"),
IF('Field information 2'!$Q$5="",
   IF(Calc!BD106=0,
     IF('Waste results'!$S$30&lt;&gt;"data missing", Calc!BC106*'Waste results'!$S$30, "data missing"),
   IF(Calc!BC106=0,
     IF('Waste results'!$S$66&lt;&gt;"data missing", Calc!BD106*'Waste results'!$S$66, "data missing"),
   IF(OR('Waste results'!$S$30&lt;&gt;"data missing", 'Waste results'!$S$66&lt;&gt;"data missing"), Calc!BC106*'Waste results'!$S$30+ Calc!BD106*'Waste results'!$S$66, "data missing"))),
IF(AND('Field information 2'!$M$5&lt;&gt;"", 'Field information 2'!$O$5&lt;&gt;"", 'Field information 2'!$Q$5&lt;&gt;""),
   IF(AND(Calc!BD106=0,Calc!BE106=0),
     IF('Waste results'!$S$30&lt;&gt;"data missing", Calc!BC106*'Waste results'!$S$30, "data missing"),
   IF(AND(Calc!BC106=0,Calc!BE106=0),
     IF('Waste results'!$S$66&lt;&gt;"data missing", Calc!BD106*'Waste results'!$S$66, "data missing"),
   IF(AND(Calc!BC106=0,Calc!BD106=0),
     IF('Waste results'!$S$102&lt;&gt;"data missing", Calc!BE106*'Waste results'!$S$102, "data missing"),
   IF(Calc!BE106=0,
     IF(OR('Waste results'!$S$30&lt;&gt;"data missing", 'Waste results'!$S$66&lt;&gt;"data missing"), Calc!BC106*'Waste results'!$S$30+ Calc!BD106*'Waste results'!$S$66, "data missing"),
   IF(Calc!BD106=0,
     IF(OR('Waste results'!$S$30&lt;&gt;"data missing", 'Waste results'!$S$102&lt;&gt;"data missing"), Calc!BC106*'Waste results'!$S$30+ Calc!BE106*'Waste results'!$S$102, "data missing"),
   IF(Calc!BC106=0,
     IF(OR('Waste results'!$S$66&lt;&gt;"data missing", 'Waste results'!$S$102&lt;&gt;"data missing"), Calc!BD106*'Waste results'!$S$66+Calc!BE106*'Waste results'!$S$102, "data missing"),
   IF(OR('Waste results'!$S$30&lt;&gt;"data missing", 'Waste results'!$S$66&lt;&gt;"data missing", 'Waste results'!$S$102&lt;&gt;"data missing"), Calc!BC106*'Waste results'!$S$30+Calc!BD106*'Waste results'!$S$66+ Calc!BE106*'Waste results'!$S$102, "data missing")))))))))))</f>
        <v/>
      </c>
      <c r="BL108" s="241" t="str">
        <f ca="1">IF($B108="","",
IF(ISBLANK('Soil results'!P111),"data missing",'Soil results'!P111))</f>
        <v/>
      </c>
      <c r="BM108" s="241" t="str">
        <f t="shared" ca="1" si="48"/>
        <v/>
      </c>
      <c r="BN108" s="66" t="str">
        <f t="shared" ca="1" si="49"/>
        <v/>
      </c>
      <c r="BO108" s="9"/>
      <c r="BP108" s="238" t="str">
        <f ca="1">IF(B108="","",
IF(AND('Field information 2'!$O$5="", 'Field information 2'!$Q$5=""),
   IF('Waste results'!$S$31&lt;&gt;"data missing", Calc!BC106*'Waste results'!$S$31, "data missing"),
IF('Field information 2'!$Q$5="",
   IF(Calc!BD106=0,
     IF('Waste results'!$S$31&lt;&gt;"data missing", Calc!BC106*'Waste results'!$S$31, "data missing"),
   IF(Calc!BC106=0,
     IF('Waste results'!$S$67&lt;&gt;"data missing", Calc!BD106*'Waste results'!$S$67, "data missing"),
   IF(OR('Waste results'!$S$31&lt;&gt;"data missing", 'Waste results'!$S$67&lt;&gt;"data missing"), Calc!BC106*'Waste results'!$S$31+ Calc!BD106*'Waste results'!$S$67, "data missing"))),
IF(AND('Field information 2'!$M$5&lt;&gt;"", 'Field information 2'!$O$5&lt;&gt;"", 'Field information 2'!$Q$5&lt;&gt;""),
   IF(AND(Calc!BD106=0,Calc!BE106=0),
     IF('Waste results'!$S$31&lt;&gt;"data missing", Calc!BC106*'Waste results'!$S$31, "data missing"),
   IF(AND(Calc!BC106=0,Calc!BE106=0),
     IF('Waste results'!$S$67&lt;&gt;"data missing", Calc!BD106*'Waste results'!$S$67, "data missing"),
   IF(AND(Calc!BC106=0,Calc!BD106=0),
     IF('Waste results'!$S$103&lt;&gt;"data missing", Calc!BE106*'Waste results'!$S$103, "data missing"),
   IF(Calc!BE106=0,
     IF(OR('Waste results'!$S$31&lt;&gt;"data missing", 'Waste results'!$S$67&lt;&gt;"data missing"), Calc!BC106*'Waste results'!$S$31+ Calc!BD106*'Waste results'!$S$67, "data missing"),
   IF(Calc!BD106=0,
     IF(OR('Waste results'!$S$31&lt;&gt;"data missing", 'Waste results'!$S$103&lt;&gt;"data missing"), Calc!BC106*'Waste results'!$S$31+ Calc!BE106*'Waste results'!$S$103, "data missing"),
   IF(Calc!BC106=0,
     IF(OR('Waste results'!$S$67&lt;&gt;"data missing", 'Waste results'!$S$103&lt;&gt;"data missing"), Calc!BD106*'Waste results'!$S$67+Calc!BE106*'Waste results'!$S$103, "data missing"),
   IF(OR('Waste results'!$S$31&lt;&gt;"data missing", 'Waste results'!$S$67&lt;&gt;"data missing", 'Waste results'!$S$103&lt;&gt;"data missing"), Calc!BC106*'Waste results'!$S$31+Calc!BD106*'Waste results'!$S$67+ Calc!BE106*'Waste results'!$S$103, "data missing")))))))))))</f>
        <v/>
      </c>
      <c r="BQ108" s="239" t="str">
        <f ca="1">IF($B108="","",
IF(ISBLANK('Soil results'!Q111),"data missing",'Soil results'!Q111))</f>
        <v/>
      </c>
      <c r="BR108" s="239" t="str">
        <f t="shared" ca="1" si="50"/>
        <v/>
      </c>
      <c r="BS108" s="9" t="str">
        <f ca="1">IF(B108="","",
IF(BP108=0,"n/a",
IF(OR(BP108="data missing",BQ108=""),"data missing",
IF(BP108&gt;15,"application rate too high - permissible rate exceeds limit",
IF('Soil results'!F111&lt;=5.5,
  IF(BQ108&gt;200,"no application - soil conc. already above limit",
  IF(BR108&gt;200,"application rate too high - soil conc. will exceed limit",
  IF(BQ108&gt;200*0.9,"soil conc. is at or above 90% of the limit",
  IF(10*BP108*1000/3000+BQ108&gt;200,"soil limit likely to be exceeded in 10yrs",
  IF(50*BP108*1000/3000+BQ108&gt;200,"soil limit likely to be exceeded in 50yrs","ok"))))),
IF('Soil results'!F111&lt;=6,
  IF(BQ108&gt;250,"no application - soil conc. already above limit",
  IF(BR108&gt;250,"application rate too high - soil conc. will exceed limit",
  IF(BQ108&gt;250*0.9,"soil conc. is at or above 90% of the limit",
  IF(10*BP108*1000/3000+BQ108&gt;250,"soil limit likely to be exceeded in 10yrs",
  IF(50*BP108*1000/3000+BQ108&gt;250,"soil limit likely to be exceeded in 50yrs","ok"))))),
IF('Soil results'!F111&lt;=7,
  IF(BQ108&gt;300,"no application - soil conc. already above limit",
  IF(BR108&gt;300,"application rate too high - soil conc. will exceed limit",
  IF(BQ108&gt;300*0.9,"soil conc. is at or above 90% of the limit",
  IF(10*BP108*1000/3000+BQ108&gt;300,"soil limit likey to be exceeded in 10yrs",
  IF(50*BP108*1000/3000+BQ108&gt;300,"soil limit likely to be exceeded in 50yrs","ok"))))),
IF('Soil results'!F111&gt;7,
  IF(BQ108&gt;450,"no application - soil conc. already above limit",
  IF(BR108&gt;450,"application rate too high - soil conc. will exceed limit",
  IF(AW108&gt;450*0.9,"soil conc. is at or above 90% of the limit",
  IF(10*BP108*1000/3000+BQ108&gt;450,"soil limit likely to be exceeded in 10yrs",
  IF(50*BP108*1000/3000+BQ108&gt;450,"soil limit likely to be exceeded in 50yrs","ok")))))
))))))))</f>
        <v/>
      </c>
    </row>
    <row r="109" spans="2:71" ht="15" x14ac:dyDescent="0.25">
      <c r="B109" s="236" t="str">
        <f ca="1">'Soil results'!B112</f>
        <v/>
      </c>
      <c r="C109" s="91" t="str">
        <f ca="1">IF(B109="","",
IF(AND('Field information 2'!$O$5="", 'Field information 2'!$Q$5=""),
   IF('Waste results'!$S$12&lt;&gt;"data missing", Calc!BC107*'Waste results'!$S$12, "data missing"),
IF('Field information 2'!$Q$5="",
   IF(Calc!BD107=0,
     IF('Waste results'!$S$12&lt;&gt;"data missing", Calc!BC107*'Waste results'!$S$12, "data missing"),
   IF(Calc!BC107=0,
     IF('Waste results'!$S$48&lt;&gt;"data missing", Calc!BD107*'Waste results'!$S$48, "data missing"),
   IF(OR('Waste results'!$S$12&lt;&gt;"data missing", 'Waste results'!$S$48&lt;&gt;"data missing"), Calc!BC107*'Waste results'!$S$12+ Calc!BD107*'Waste results'!$S$48, "data missing"))),
IF(AND('Field information 2'!$M$5&lt;&gt;"", 'Field information 2'!$O$5&lt;&gt;"", 'Field information 2'!$Q$5&lt;&gt;""),
   IF(AND(Calc!BD107=0,Calc!BE107=0),
     IF('Waste results'!$S$12&lt;&gt;"data missing", Calc!BC107*'Waste results'!$S$12, "data missing"),
   IF(AND(Calc!BC107=0,Calc!BE107=0),
     IF('Waste results'!$S$48&lt;&gt;"data missing", Calc!BD107*'Waste results'!$S$48, "data missing"),
   IF(AND(Calc!BC107=0,Calc!BD107=0),
     IF('Waste results'!$S$84&lt;&gt;"data missing", Calc!BE107*'Waste results'!$S$84, "data missing"),
   IF(Calc!BE107=0,
     IF(OR('Waste results'!$S$12&lt;&gt;"data missing", 'Waste results'!$S$48&lt;&gt;"data missing"), Calc!BC107*'Waste results'!$S$12+ Calc!BD107*'Waste results'!$S$48, "data missing"),
   IF(Calc!BD107=0,
     IF(OR('Waste results'!$S$12&lt;&gt;"data missing", 'Waste results'!$S$84&lt;&gt;"data missing"), Calc!BC107*'Waste results'!$S$12+ Calc!BE107*'Waste results'!$S$84, "data missing"),
   IF(Calc!BC107=0,
     IF(OR('Waste results'!$S$48&lt;&gt;"data missing", 'Waste results'!$S$84&lt;&gt;"data missing"), Calc!BD107*'Waste results'!$S$48+Calc!BE107*'Waste results'!$S$84, "data missing"),
   IF(OR('Waste results'!$S$12&lt;&gt;"data missing", 'Waste results'!$S$48&lt;&gt;"data missing", 'Waste results'!$S$84&lt;&gt;"data missing"), Calc!BC107*'Waste results'!$S$12+Calc!BD107*'Waste results'!$S$48+ Calc!BE107*'Waste results'!$S$84, "data missing")))))))))))</f>
        <v/>
      </c>
      <c r="D109" s="161" t="str">
        <f ca="1">IF(B109="","",
IF(Calc!BG107="","soil texture missing",
IF(OR(Calc!BG107="SL; SZL; ZL",Calc!BG107="SCL; CL; ZCL; SC; ZC; C"),VLOOKUP(Calc!BI107,'Fertiliser recommendations'!$A$4:$C$63,3,FALSE),
IF(Calc!BG107="S; LS",VLOOKUP(Calc!BI107,'Fertiliser recommendations'!$A$4:$C$63,3,FALSE)+VLOOKUP(Calc!BI107,'Fertiliser recommendations'!$A$4:$D$63,4,FALSE),
IF(Calc!BG107="10-25% OM",VLOOKUP(Calc!BI107,'Fertiliser recommendations'!$A$4:$C$63,3,FALSE)+VLOOKUP(Calc!BI107,'Fertiliser recommendations'!$A$4:$E$63,5,FALSE),
IF(Calc!BG107="&gt;25% OM",VLOOKUP(Calc!BI107,'Fertiliser recommendations'!$A$4:$C$63,3,FALSE)+VLOOKUP(Calc!BI107,'Fertiliser recommendations'!$A$4:$F$63,6,FALSE),
""))))))</f>
        <v/>
      </c>
      <c r="E109" s="91" t="str">
        <f t="shared" ca="1" si="34"/>
        <v/>
      </c>
      <c r="F109" s="9" t="str">
        <f ca="1">IF(B109="","",
IF(OR(C109="data missing",D109="soil texture missing"),"data missing",
IF(Calc!BF107=0,"n/a",
IF(C109&lt;0.1*D109,"no benefit",
IF(C109&lt;0.3*D109,"limited benefit",
IF(C109&gt;250,"exceeds limit",
IF(OR(AND(D109=0,C109&gt;75),C109&gt;1.25*D109),"excessive",
IF(D109=0, "no requirement",
"benefit"))))))))</f>
        <v/>
      </c>
      <c r="G109" s="9"/>
      <c r="H109" s="91" t="str">
        <f ca="1">IF(B109="","",
IF(AND('Field information 2'!$O$5="", 'Field information 2'!$Q$5=""),
   IF('Waste results'!$S$17&lt;&gt;"data missing", Calc!BC107*'Waste results'!$S$17, "data missing"),
IF('Field information 2'!$Q$5="",
   IF(Calc!BD107=0,
     IF('Waste results'!$S$17&lt;&gt;"data missing", Calc!BC107*'Waste results'!$S$17, "data missing"),
   IF(Calc!BC107=0,
     IF('Waste results'!$S$53&lt;&gt;"data missing", Calc!BD107*'Waste results'!$S$53, "data missing"),
   IF(OR('Waste results'!$S$17&lt;&gt;"data missing", 'Waste results'!$S$53&lt;&gt;"data missing"), Calc!BC107*'Waste results'!$S$17+ Calc!BD107*'Waste results'!$S$53, "data missing"))),
IF(AND('Field information 2'!$M$5&lt;&gt;"", 'Field information 2'!$O$5&lt;&gt;"", 'Field information 2'!$Q$5&lt;&gt;""),
   IF(AND(Calc!BD107=0,Calc!BE107=0),
     IF('Waste results'!$S$17&lt;&gt;"data missing", Calc!BC107*'Waste results'!$S$17, "data missing"),
   IF(AND(Calc!BC107=0,Calc!BE107=0),
     IF('Waste results'!$S$53&lt;&gt;"data missing", Calc!BD107*'Waste results'!$S$53, "data missing"),
   IF(AND(Calc!BC107=0,Calc!BD107=0),
     IF('Waste results'!$S$89&lt;&gt;"data missing", Calc!BE107*'Waste results'!$S$89, "data missing"),
   IF(Calc!BE107=0,
     IF(OR('Waste results'!$S$17&lt;&gt;"data missing", 'Waste results'!$S$53&lt;&gt;"data missing"), Calc!BC107*'Waste results'!$S$17+ Calc!BD107*'Waste results'!$S$53, "data missing"),
   IF(Calc!BD107=0,
     IF(OR('Waste results'!$S$17&lt;&gt;"data missing", 'Waste results'!$S$89&lt;&gt;"data missing"), Calc!BC107*'Waste results'!$S$17+ Calc!BE107*'Waste results'!$S$89, "data missing"),
   IF(Calc!BC107=0,
     IF(OR('Waste results'!$S$53&lt;&gt;"data missing", 'Waste results'!$S$89&lt;&gt;"data missing"), Calc!BD107*'Waste results'!$S$53+Calc!BE107*'Waste results'!$S$89, "data missing"),
   IF(OR('Waste results'!$S$17&lt;&gt;"data missing", 'Waste results'!$S$53&lt;&gt;"data missing", 'Waste results'!$S$89&lt;&gt;"data missing"), Calc!BC107*'Waste results'!$S$17+Calc!BD107*'Waste results'!$S$53+ Calc!BE107*'Waste results'!$S$89, "data missing")))))))))))</f>
        <v/>
      </c>
      <c r="I109" s="195" t="str">
        <f ca="1">IF(B109="","",
IF(OR(ISBLANK('Soil results'!G112), ISBLANK('Soil results'!G$7)),"data missing",
IF(OR(AND('Soil results'!G$7="Olsen (ADAS)",'Soil results'!G112&lt;16),AND('Soil results'!G$7="modified Morgan (SAC)",'Soil results'!G112&lt;4.5)),50,100)))</f>
        <v/>
      </c>
      <c r="J109" s="49" t="str">
        <f ca="1">IF(B109="","",
IF(OR(ISBLANK('Soil results'!G$7),ISBLANK('Soil results'!G112)),"data missing",
IF(OR(AND('Soil results'!G$7="Olsen (ADAS)",'Soil results'!G112&gt;45),AND('Soil results'!G$7="modified Morgan (SAC)",'Soil results'!G112&gt;30)),0,
IF(OR(AND('Soil results'!G$7="Olsen (ADAS)",'Soil results'!G112&gt;=16,'Soil results'!G112&lt;=20),AND('Soil results'!G$7="modified Morgan (SAC)",'Soil results'!G112&gt;=4.5,'Soil results'!G112&lt;=9.4)),VLOOKUP(Calc!BI107,'Fertiliser recommendations'!$A$4:$I$63,9,FALSE),
IF(OR(AND('Soil results'!G$7="Olsen (ADAS)",'Soil results'!G112&lt;10),AND('Soil results'!G$7="modified Morgan (SAC)",'Soil results'!G112&lt;1.8)),VLOOKUP(Calc!BI107,'Fertiliser recommendations'!$A$4:$I$63,9,FALSE)+VLOOKUP(Calc!BI107,'Fertiliser recommendations'!$A$4:$J$63,10,FALSE),
IF(OR(AND('Soil results'!G$7="Olsen (ADAS)",'Soil results'!G112&lt;16),AND('Soil results'!G$7="modified Morgan (SAC)",'Soil results'!G112&lt;4.5)),VLOOKUP(Calc!BI107,'Fertiliser recommendations'!$A$4:$I$63,9,FALSE)+VLOOKUP(Calc!BI107,'Fertiliser recommendations'!$A$4:$K$63,11,FALSE),
IF(OR(AND('Soil results'!G$7="Olsen (ADAS)",'Soil results'!G112&lt;26),AND('Soil results'!G$7="modified Morgan (SAC)",'Soil results'!G112&lt;13.5)),VLOOKUP(Calc!BI107,'Fertiliser recommendations'!$A$4:$I$63,9,FALSE)+VLOOKUP(Calc!BI107,'Fertiliser recommendations'!$A$4:$L$63,12,FALSE),
IF(OR(AND('Soil results'!G$7="Olsen (ADAS)",'Soil results'!G112&lt;=45),AND('Soil results'!G$7="modified Morgan (SAC)",'Soil results'!G112&lt;=30)),VLOOKUP(Calc!BI107,'Fertiliser recommendations'!$A$4:$I$63,9,FALSE)+VLOOKUP(Calc!BI107,'Fertiliser recommendations'!$A$4:$M$63,13,FALSE),
""))))))))</f>
        <v/>
      </c>
      <c r="K109" s="161" t="str">
        <f t="shared" ca="1" si="35"/>
        <v/>
      </c>
      <c r="L109" s="47" t="str">
        <f ca="1">IF(OR(ISBLANK('Soil results'!G$7),ISBLANK('Soil results'!G112),B109="", H109="data missing"),"",
IF('Soil results'!G$7="Olsen (ADAS)",
IF(((H109*Calc!BM107/2.291-(VLOOKUP(Calc!BI107,'Fertiliser recommendations'!$A$4:$I$63,9,FALSE))/2.291)*10/(400/2.291)+'Soil results'!G112)&lt;10,"0 (VL)",
IF(((H109*Calc!BM107/2.291-(VLOOKUP(Calc!BI107,'Fertiliser recommendations'!$A$4:$I$63,9,FALSE))/2.291)*10/(400/2.291)+'Soil results'!G112)&lt;16,"1 (L)",
IF(((H109*Calc!BM107/2.291-(VLOOKUP(Calc!BI107,'Fertiliser recommendations'!$A$4:$I$63,9,FALSE))/2.291)*10/(400/2.291)+'Soil results'!G112)&lt;21,"2 (M-)",
IF(((H109*Calc!BM107/2.291-(VLOOKUP(Calc!BI107,'Fertiliser recommendations'!$A$4:$I$63,9,FALSE))/2.291)*10/(400/2.291)+'Soil results'!G112)&lt;26,"2 (M+)",
IF(((H109*Calc!BM107/2.291-(VLOOKUP(Calc!BI107,'Fertiliser recommendations'!$A$4:$I$63,9,FALSE))/2.291)*10/(400/2.291)+'Soil results'!G112)&lt;45,"3 (H)","&gt;3 (VH)"))))),
IF('Soil results'!G$7="modified Morgan (SAC)",
IF('Soil results'!G112&gt;=6,
IF(((H109*Calc!BM107/2.291-(VLOOKUP(Calc!BI107,'Fertiliser recommendations'!$A$4:$I$63,9,FALSE))/2.291)*5/(147/2.291)+'Soil results'!G112)&lt;9.5,"2 (M-)",
IF(((H109*Calc!BM107/2.291-(VLOOKUP(Calc!BI107,'Fertiliser recommendations'!$A$4:$I$63,9,FALSE))/2.291)*5/(147/2.291)+'Soil results'!G112)&lt;13.5,"2 (M+)",
IF(((H109*Calc!BM107/2.291-(VLOOKUP(Calc!BI107,'Fertiliser recommendations'!$A$4:$I$63,9,FALSE))/2.291)*5/(147/2.291)+'Soil results'!G112)&lt;30,"3 (H)","4 (VH)"))),
IF(((H109*Calc!BM107/2.291-(VLOOKUP(Calc!BI107,'Fertiliser recommendations'!$A$4:$I$63,9,FALSE))/2.291)*5/(346/2.291)+'Soil results'!G112)&lt;1.8,"0 (VL)",
IF(((H109*Calc!BM107/2.291-(VLOOKUP(Calc!BI107,'Fertiliser recommendations'!$A$4:$I$63,9,FALSE))/2.291)*5/(147/2.291)+'Soil results'!G112)&lt;4.5,"1 (L)","2 (M-)"))))))</f>
        <v/>
      </c>
      <c r="M109" s="9" t="str">
        <f ca="1">IF(B109="","",
IF(OR(H109="data missing",I109="data missing",J109="data missing"),"data missing",
IF(Calc!BF107=0,"n/a",
IF(OR(AND('Soil results'!G$7="Olsen (ADAS)",'Soil results'!G112&gt;45),AND('Soil results'!G$7="modified Morgan (SAC)",'Soil results'!G112&gt;30)),
IF(H109&gt;2,"too high, not acceptable","no requirement"),IF(OR(AND('Soil results'!G$7="Olsen (ADAS)",'Soil results'!G112&gt;25),AND('Soil results'!G$7="modified Morgan (SAC)",'Soil results'!G112&gt;13.4)),
IF(H109*(I109/100)&lt;0.1*J109,"no benefit",
IF(H109*(I109/100)&lt;0.3*J109,"limited benefit",
IF(H109*(I109/100)&lt;1.1*J109,"benefit",
IF(H109*(I109/100)&lt;0.7*VLOOKUP(Calc!BI107,'Fertiliser recommendations'!$A$4:$I$63,9,FALSE),"excessive","too high, not acceptable")))),
IF(OR(AND('Soil results'!G$7="Olsen (ADAS)",'Soil results'!G112&gt;20),AND('Soil results'!G$7="modified Morgan (SAC)",'Soil results'!G112&gt;9.4)),
IF(H109*Calc!BM107*(I109/100)&lt;0.1*J109,"no benefit",
IF(H109*Calc!BM107*(I109/100)&lt;0.3*J109,"limited benefit",
IF(H109*Calc!BM107*(I109/100)&lt;1.1*J109,"benefit",
IF(L109="3 (H)","too high, not acceptable","excessive")))),
IF(OR(AND('Soil results'!G$7="Olsen (ADAS)",'Soil results'!G112&gt;15),AND('Soil results'!G$7="modified Morgan (SAC)",'Soil results'!G112&gt;4.4)),
IF(H109*Calc!BM107*(I109/100)&lt;0.1*VLOOKUP(Calc!BI107,'Fertiliser recommendations'!$A$4:$I$63,9,FALSE),"no benefit",
IF(H109*Calc!BM107*(I109/100)&lt;0.3*VLOOKUP(Calc!BI107,'Fertiliser recommendations'!$A$4:$I$63,9,FALSE),"limited benefit",
IF(H109*Calc!BM107*(I109/100)&lt;1.1*VLOOKUP(Calc!BI107,'Fertiliser recommendations'!$A$4:$I$63,9,FALSE),"benefit",
IF(L109="3 (H)", "too high, not acceptable", "excessive")))),
IF(OR(AND('Soil results'!G$7="Olsen (ADAS)",'Soil results'!G112&lt;=15),AND('Soil results'!G$7="modified Morgan (SAC)",'Soil results'!G112&lt;=4.4)),
IF(H109*Calc!BM107*(I109/100)&lt;0.1*VLOOKUP(Calc!BI107,'Fertiliser recommendations'!$A$4:$I$63,9,FALSE),"no benefit",
IF(H109*Calc!BM107*(I109/100)&lt;0.3*VLOOKUP(Calc!BI107,'Fertiliser recommendations'!$A$4:$I$63,9,FALSE),"limited benefit",
IF(H109*Calc!BM107*(I109/100)&lt;1.1*J109,"benefit","excessive")))))))))))</f>
        <v/>
      </c>
      <c r="N109" s="9"/>
      <c r="O109" s="91" t="str">
        <f ca="1">IF(B109="","",
IF(AND('Field information 2'!$O$5="", 'Field information 2'!$Q$5=""),
   IF('Waste results'!$S$19&lt;&gt;"data missing", Calc!BC107*'Waste results'!$S$19, "data missing"),
IF('Field information 2'!$Q$5="",
   IF(Calc!BD107=0,
     IF('Waste results'!$S$19&lt;&gt;"data missing", Calc!BC107*'Waste results'!$S$19, "data missing"),
   IF(Calc!BC107=0,
     IF('Waste results'!$S$55&lt;&gt;"data missing", Calc!BD107*'Waste results'!$S$55, "data missing"),
   IF(OR('Waste results'!$S$19&lt;&gt;"data missing", 'Waste results'!$S$55&lt;&gt;"data missing"), Calc!BC107*'Waste results'!$S$19+ Calc!BD107*'Waste results'!$S$55, "data missing"))),
IF(AND('Field information 2'!$M$5&lt;&gt;"", 'Field information 2'!$O$5&lt;&gt;"", 'Field information 2'!$Q$5&lt;&gt;""),
   IF(AND(Calc!BD107=0,Calc!BE107=0),
     IF('Waste results'!$S$19&lt;&gt;"data missing", Calc!BC107*'Waste results'!$S$19, "data missing"),
   IF(AND(Calc!BC107=0,Calc!BE107=0),
     IF('Waste results'!$S$55&lt;&gt;"data missing", Calc!BD107*'Waste results'!$S$55, "data missing"),
   IF(AND(Calc!BC107=0,Calc!BD107=0),
     IF('Waste results'!$S$91&lt;&gt;"data missing", Calc!BE107*'Waste results'!$S$91, "data missing"),
   IF(Calc!BE107=0,
     IF(OR('Waste results'!$S$19&lt;&gt;"data missing", 'Waste results'!$S$55&lt;&gt;"data missing"), Calc!BC107*'Waste results'!$S$19+ Calc!BD107*'Waste results'!$S$55, "data missing"),
   IF(Calc!BD107=0,
     IF(OR('Waste results'!$S$19&lt;&gt;"data missing", 'Waste results'!$S$91&lt;&gt;"data missing"), Calc!BC107*'Waste results'!$S$19+ Calc!BE107*'Waste results'!$S$91, "data missing"),
   IF(Calc!BC107=0,
     IF(OR('Waste results'!$S$55&lt;&gt;"data missing", 'Waste results'!$S$91&lt;&gt;"data missing"), Calc!BD107*'Waste results'!$S$55+Calc!BE107*'Waste results'!$S$91, "data missing"),
   IF(OR('Waste results'!$S$19&lt;&gt;"data missing", 'Waste results'!$S$55&lt;&gt;"data missing", 'Waste results'!$S$91&lt;&gt;"data missing"), Calc!BC107*'Waste results'!$S$19+Calc!BD107*'Waste results'!$S$55+ Calc!BE107*'Waste results'!$S$91, "data missing")))))))))))</f>
        <v/>
      </c>
      <c r="P109" s="91" t="str">
        <f ca="1">IF(B109="","",
IF(OR(ISBLANK('Soil results'!H$7),ISBLANK('Soil results'!H112)),"data missing",
IF(OR(AND('Soil results'!H$7="ammonium nitrate (ADAS)",'Soil results'!H112&gt;400),AND('Soil results'!H$7="modified Morgan (SAC)",'Soil results'!H112&gt;400)),0,
IF(OR(AND('Soil results'!H$7="ammonium nitrate (ADAS)",'Soil results'!H112&gt;=121,'Soil results'!H112&lt;=180),AND('Soil results'!H$7="modified Morgan (SAC)",'Soil results'!H112&gt;=76,'Soil results'!H112&lt;=140)),VLOOKUP(Calc!BI107,'Fertiliser recommendations'!$A$4:$Z$63,26,FALSE),
IF(OR(AND('Soil results'!H$7="ammonium nitrate (ADAS)",'Soil results'!H112&lt;61),AND('Soil results'!H$7="modified Morgan (SAC)",'Soil results'!H112&lt;40)),VLOOKUP(Calc!BI107,'Fertiliser recommendations'!$A$4:$Z$63,26,FALSE)+VLOOKUP(Calc!BI107,'Fertiliser recommendations'!$A$4:$AA$63,27,FALSE),
IF(OR(AND('Soil results'!H$7="ammonium nitrate (ADAS)",'Soil results'!H112&lt;121),AND('Soil results'!H$7="modified Morgan (SAC)",'Soil results'!H112&lt;76)),VLOOKUP(Calc!BI107,'Fertiliser recommendations'!$A$4:$Z$63,26,FALSE)+VLOOKUP(Calc!BI107,'Fertiliser recommendations'!$A$4:$AB$63,28,FALSE),
IF(OR(AND('Soil results'!H$7="ammonium nitrate (ADAS)",'Soil results'!H112&lt;241),AND('Soil results'!H$7="modified Morgan (SAC)",'Soil results'!H112&lt;201)),VLOOKUP(Calc!BI107,'Fertiliser recommendations'!$A$4:$Z$63,26,FALSE)+VLOOKUP(Calc!BI107,'Fertiliser recommendations'!$A$4:$AC$63,29,FALSE),
IF(OR(AND('Soil results'!H$7="ammonium nitrate (ADAS)",'Soil results'!H112&lt;=400),AND('Soil results'!H$7="modified Morgan (SAC)",'Soil results'!H112&lt;=400)),VLOOKUP(Calc!BI107,'Fertiliser recommendations'!$A$4:$Z$63,26,FALSE)+VLOOKUP(Calc!BI107,'Fertiliser recommendations'!$A$4:$AD$63,30,FALSE),
"??"))))))))</f>
        <v/>
      </c>
      <c r="Q109" s="91" t="str">
        <f t="shared" ca="1" si="36"/>
        <v/>
      </c>
      <c r="R109" s="9" t="str">
        <f ca="1">IF(B109="","",
IF(OR(O109="data missing",P109="data missing"),"data missing",
IF(Calc!BF107=0,"n/a",
IF(P109=0, "no requirement",
IF(O109&lt;0.1*P109,"no benefit",
IF(O109&lt;0.3*P109,"limited benefit",
IF(O109&gt;1.25*P109,"excessive",
"benefit")))))))</f>
        <v/>
      </c>
      <c r="S109" s="9"/>
      <c r="T109" s="91" t="str">
        <f ca="1">IF(B109="","",
IF(AND('Field information 2'!$O$5="", 'Field information 2'!$Q$5=""),
   IF('Waste results'!$S$21&lt;&gt;"data missing", Calc!BC107*'Waste results'!$S$21, "data missing"),
IF('Field information 2'!$Q$5="",
   IF(Calc!BD107=0,
     IF('Waste results'!$S$21&lt;&gt;"data missing", Calc!BC107*'Waste results'!$S$21, "data missing"),
   IF(Calc!BC107=0,
     IF('Waste results'!$S$57&lt;&gt;"data missing", Calc!BD107*'Waste results'!$S$57, "data missing"),
   IF(OR('Waste results'!$S$21&lt;&gt;"data missing", 'Waste results'!$S$57&lt;&gt;"data missing"), Calc!BC107*'Waste results'!$S$21+ Calc!BD107*'Waste results'!$S$57, "data missing"))),
IF(AND('Field information 2'!$M$5&lt;&gt;"", 'Field information 2'!$O$5&lt;&gt;"", 'Field information 2'!$Q$5&lt;&gt;""),
   IF(AND(Calc!BD107=0,Calc!BE107=0),
     IF('Waste results'!$S$21&lt;&gt;"data missing", Calc!BC107*'Waste results'!$S$21, "data missing"),
   IF(AND(Calc!BC107=0,Calc!BE107=0),
     IF('Waste results'!$S$57&lt;&gt;"data missing", Calc!BD107*'Waste results'!$S$57, "data missing"),
   IF(AND(Calc!BC107=0,Calc!BD107=0),
     IF('Waste results'!$S$93&lt;&gt;"data missing", Calc!BE107*'Waste results'!$S$93, "data missing"),
   IF(Calc!BE107=0,
     IF(OR('Waste results'!$S$21&lt;&gt;"data missing", 'Waste results'!$S$57&lt;&gt;"data missing"), Calc!BC107*'Waste results'!$S$21+ Calc!BD107*'Waste results'!$S$57, "data missing"),
   IF(Calc!BD107=0,
     IF(OR('Waste results'!$S$21&lt;&gt;"data missing", 'Waste results'!$S$93&lt;&gt;"data missing"), Calc!BC107*'Waste results'!$S$21+ Calc!BE107*'Waste results'!$S$93, "data missing"),
   IF(Calc!BC107=0,
     IF(OR('Waste results'!$S$57&lt;&gt;"data missing", 'Waste results'!$S$93&lt;&gt;"data missing"), Calc!BD107*'Waste results'!$S$57+Calc!BE107*'Waste results'!$S$93, "data missing"),
   IF(OR('Waste results'!$S$21&lt;&gt;"data missing", 'Waste results'!$S$57&lt;&gt;"data missing", 'Waste results'!$S$93&lt;&gt;"data missing"), Calc!BC107*'Waste results'!$S$21+Calc!BD107*'Waste results'!$S$57+ Calc!BE107*'Waste results'!$S$93, "data missing")))))))))))</f>
        <v/>
      </c>
      <c r="U109" s="7" t="str">
        <f ca="1">IF(B109="","",
IF(OR(ISBLANK('Soil results'!I$7),ISBLANK('Soil results'!I112)),"data missing",
IF(OR(AND('Soil results'!I$7="ammonium nitrate (ADAS)",'Soil results'!I112&gt;51),AND('Soil results'!I$7="modified Morgan (SAC)",'Soil results'!I112&gt;61)),0,
IF(OR(AND('Soil results'!I$7="ammonium nitrate (ADAS)",'Soil results'!I112&lt;25),AND('Soil results'!I$7="modified Morgan (SAC)",'Soil results'!I112&lt;19)),VLOOKUP(Calc!BI107,'Fertiliser recommendations'!$A$4:$AH$63,34,FALSE),
IF(OR(AND('Soil results'!I$7="ammonium nitrate (ADAS)",'Soil results'!I112&lt;=51),AND('Soil results'!I$7="modified Morgan (SAC)",'Soil results'!I112&lt;=61)),VLOOKUP(Calc!BI107,'Fertiliser recommendations'!$A$4:$AI$63,35,FALSE),
"")))))</f>
        <v/>
      </c>
      <c r="V109" s="91" t="str">
        <f t="shared" ca="1" si="37"/>
        <v/>
      </c>
      <c r="W109" s="9" t="str">
        <f ca="1">IF(B109="","",
IF(OR(T109="data missing",U109="data missing"),"data missing",
IF(Calc!BF107=0,"n/a",
IF(U109=0,"no requirement",
IF(T109&lt;0.1*U109,"no benefit",
IF(T109&lt;0.3*U109,"limited benefit",
IF(OR(T109&gt;1.5*U109,AND(Calc!BJ107="g",T109&gt;100)),"excessive",
"benefit")))))))</f>
        <v/>
      </c>
      <c r="X109" s="9"/>
      <c r="Y109" s="91" t="str">
        <f ca="1">IF(B109="","",
IF(AND('Field information 2'!$O$5="", 'Field information 2'!$Q$5=""),
   IF('Waste results'!$P$23&lt;&gt;"", Calc!BC107*'Waste results'!$P$23, "no data"),
IF('Field information 2'!$Q$5="",
   IF(Calc!BD107=0,
     IF('Waste results'!$P$23&lt;&gt;"", Calc!BC107*'Waste results'!$P$23, "no data"),
   IF(Calc!BC107=0,
     IF('Waste results'!$P$59&lt;&gt;"", Calc!BD107*'Waste results'!$P$59, "no data"),
   IF(OR('Waste results'!$P$23&lt;&gt;"", 'Waste results'!$P$59&lt;&gt;""), Calc!BC107*'Waste results'!$P$23+ Calc!BD107*'Waste results'!$P$59, "no data"))),
IF(AND('Field information 2'!$M$5&lt;&gt;"", 'Field information 2'!$O$5&lt;&gt;"", 'Field information 2'!$Q$5&lt;&gt;""),
   IF(AND(Calc!BD107=0,Calc!BE107=0),
     IF('Waste results'!$P$23&lt;&gt;"", Calc!BC107*'Waste results'!$P$23, "no data"),
   IF(AND(Calc!BC107=0,Calc!BE107=0),
     IF('Waste results'!$P$59&lt;&gt;"", Calc!BD107*'Waste results'!$P$59, "no data"),
   IF(AND(Calc!BC107=0,Calc!BD107=0),
     IF('Waste results'!$P$95&lt;&gt;"", Calc!BE107*'Waste results'!$P$95, "no data"),
   IF(Calc!BE107=0,
     IF(OR('Waste results'!$P$23&lt;&gt;"", 'Waste results'!$P$59&lt;&gt;""), Calc!BC107*'Waste results'!$P$23+ Calc!BD107*'Waste results'!$P$59, "no data"),
   IF(Calc!BD107=0,
     IF(OR('Waste results'!$P$23&lt;&gt;"", 'Waste results'!$P$95&lt;&gt;""), Calc!BC107*'Waste results'!$P$23+ Calc!BE107*'Waste results'!$P$95, "no data"),
   IF(Calc!BC107=0,
     IF(OR('Waste results'!$P$59&lt;&gt;"", 'Waste results'!$P$95&lt;&gt;""), Calc!BD107*'Waste results'!$P$59+Calc!BE107*'Waste results'!$P$95, "no data"),
   IF(OR('Waste results'!$P$23&lt;&gt;"", 'Waste results'!$P$59&lt;&gt;"", 'Waste results'!$P$95&lt;&gt;""), Calc!BC107*'Waste results'!$P$23+Calc!BD107*'Waste results'!$P$59+ Calc!BE107*'Waste results'!$P$95, "no data")))))))))))</f>
        <v/>
      </c>
      <c r="Z109" s="7" t="str">
        <f ca="1">IF(OR(ISBLANK('Soil results'!I$7),ISBLANK('Soil results'!I112),'Soil results'!B112=""),"",
VLOOKUP(Calc!BI107,'Fertiliser recommendations'!$A$4:$AM$63,39,FALSE))</f>
        <v/>
      </c>
      <c r="AA109" s="91" t="str">
        <f t="shared" ca="1" si="38"/>
        <v/>
      </c>
      <c r="AB109" s="9" t="str">
        <f t="shared" ca="1" si="39"/>
        <v/>
      </c>
      <c r="AC109" s="9"/>
      <c r="AD109" s="48" t="str">
        <f>IF(ISBLANK('Soil results'!F112),"",'Soil results'!F112)</f>
        <v/>
      </c>
      <c r="AE109" s="49" t="str">
        <f ca="1">IF(B109="","",
IF(AND(Calc!BJ107="g", VLOOKUP(LEFT($B109,LEN($B109)-2),'Field information 2'!$B$12:$P$111,9,FALSE)&lt;&gt;"yes"),
 IF(Calc!BG107="10-25% OM", 5.9, IF(Calc!BG107="&gt;25% OM", 5.5, 6.2)),
IF(OR(Calc!BJ107="a", VLOOKUP(LEFT($B109,LEN($B109)-2),'Field information 2'!$B$12:$P$111,9,FALSE)="yes"),
 IF(Calc!BG107="10-25% OM", 6.4, IF(Calc!BG107="&gt;25% OM", 6, 6.7)), "")))</f>
        <v/>
      </c>
      <c r="AF109" s="91" t="str">
        <f ca="1">IF(B109="","",
IF('Waste results'!$Q$33="","no (significant) liming properties",
IF('Waste results'!Q$33&gt;100,"no (significant) liming properties",
IF(AD109="","",
IF(AD109&gt;=AE109,0,ROUNDDOWN((AE109-AD109)*Calc!BK107*'Waste results'!$Q$33+0.2,0))))))</f>
        <v/>
      </c>
      <c r="AG109" s="9" t="str">
        <f ca="1">IF(B109="","",
IF(T109=0,"n/a",
IF(AD109="","data missing",
IF(AND(AD109&lt;5,AF109="no (significant) liming properties"),"no waste application - pH too low",
IF(AND(AD109&gt;5.1,AF109="no (significant) liming properties",Calc!BH107&gt;25, LEFT(Calc!BI107,4)="graz"),"ok",
IF(AND(AD109&lt;=5.2,AF109="no (significant) liming properties"),"liming highly recommended",
IF(AF109=0,"no waste application - liming not required",
IF(AF109&lt;Calc!BC107,"application rate too high - exceeds liming requirement",
"ok"))))))))</f>
        <v/>
      </c>
      <c r="AH109" s="9"/>
      <c r="AI109" s="91" t="str">
        <f ca="1">IF(B109="","",
IF(AND('Field information 2'!$O$5="", 'Field information 2'!$Q$5=""),
   IF('Waste results'!$P$10&lt;&gt;"data missing", Calc!BC107*'Waste results'!$P$10, "data missing"),
IF('Field information 2'!$Q$5="",
   IF(Calc!BD107=0,
     IF('Waste results'!$P$10&lt;&gt;"data missing", Calc!BC107*'Waste results'!$P$10, "data missing"),
   IF(Calc!BC107=0,
     IF('Waste results'!$P$45&lt;&gt;"data missing", Calc!BD107*'Waste results'!$P$45, "data missing"),
   IF(OR('Waste results'!$P$10&lt;&gt;"data missing", 'Waste results'!$P$45&lt;&gt;"data missing"), Calc!BC107*'Waste results'!$P$10+ Calc!BD107*'Waste results'!$P$45, "data missing"))),
IF(AND('Field information 2'!$M$5&lt;&gt;"", 'Field information 2'!$O$5&lt;&gt;"", 'Field information 2'!$Q$5&lt;&gt;""),
   IF(AND(Calc!BD107=0,Calc!BE107=0),
     IF('Waste results'!$P$10&lt;&gt;"data missing", Calc!BC107*'Waste results'!$P$10, "data missing"),
   IF(AND(Calc!BC107=0,Calc!BE107=0),
     IF('Waste results'!$P$45&lt;&gt;"data missing", Calc!BD107*'Waste results'!$P$45, "data missing"),
   IF(AND(Calc!BC107=0,Calc!BD107=0),
     IF('Waste results'!$P$82&lt;&gt;"data missing", Calc!BE107*'Waste results'!$P$82, "data missing"),
   IF(Calc!BE107=0,
     IF(OR('Waste results'!$P$10&lt;&gt;"data missing", 'Waste results'!$P$45&lt;&gt;"data missing"), Calc!BC107*'Waste results'!$P$10+ Calc!BD107*'Waste results'!$P$45, "data missing"),
   IF(Calc!BD107=0,
     IF(OR('Waste results'!$P$10&lt;&gt;"data missing", 'Waste results'!$P$82&lt;&gt;"data missing"), Calc!BC107*'Waste results'!$P$10+ Calc!BE107*'Waste results'!$P$82, "data missing"),
   IF(Calc!BC107=0,
     IF(OR('Waste results'!$P$45&lt;&gt;"data missing", 'Waste results'!$P$82&lt;&gt;"data missing"), Calc!BD107*'Waste results'!$P$45+Calc!BE107*'Waste results'!$P$82, "data missing"),
   IF(OR('Waste results'!$P$10&lt;&gt;"data missing", 'Waste results'!$P$45&lt;&gt;"data missing", 'Waste results'!$P$82&lt;&gt;"data missing"), Calc!BC107*'Waste results'!$P$10+Calc!BD107*'Waste results'!$P$45+ Calc!BE107*'Waste results'!$P$82, "data missing")))))))))))</f>
        <v/>
      </c>
      <c r="AJ109" s="237" t="str">
        <f ca="1">IF(B109="","",
IF(AI109="data missing","data missing",
IF(Calc!BF107=0,"n/a",
IF(AND(Calc!BH107&gt;=8,AI109&lt;500),"no benefit",
IF(OR(AND(Calc!BH107&lt;=4,AI109&gt;=500),AND(Calc!BH107&lt;8,AI109&gt;5000)),"benefit",
"limited benefit")))))</f>
        <v/>
      </c>
      <c r="AK109" s="9"/>
      <c r="AL109" s="238" t="str">
        <f ca="1">IF(B109="","",
IF(AND('Field information 2'!$O$5="", 'Field information 2'!$Q$5=""),
   IF('Waste results'!$S$25&lt;&gt;"data missing", Calc!BC107*'Waste results'!$S$25, "data missing"),
IF('Field information 2'!$Q$5="",
   IF(Calc!BD107=0,
     IF('Waste results'!$S$25&lt;&gt;"data missing", Calc!BC107*'Waste results'!$S$25, "data missing"),
   IF(Calc!BC107=0,
     IF('Waste results'!$S$61&lt;&gt;"data missing", Calc!BD107*'Waste results'!$S$61, "data missing"),
   IF(OR('Waste results'!$S$25&lt;&gt;"data missing", 'Waste results'!$S$61&lt;&gt;"data missing"), Calc!BC107*'Waste results'!$S$25+ Calc!BD107*'Waste results'!$S$61, "data missing"))),
IF(AND('Field information 2'!$M$5&lt;&gt;"", 'Field information 2'!$O$5&lt;&gt;"", 'Field information 2'!$Q$5&lt;&gt;""),
   IF(AND(Calc!BD107=0,Calc!BE107=0),
     IF('Waste results'!$S$25&lt;&gt;"data missing", Calc!BC107*'Waste results'!$S$25, "data missing"),
   IF(AND(Calc!BC107=0,Calc!BE107=0),
     IF('Waste results'!$S$61&lt;&gt;"data missing", Calc!BD107*'Waste results'!$S$61, "data missing"),
   IF(AND(Calc!BC107=0,Calc!BD107=0),
     IF('Waste results'!$S$97&lt;&gt;"data missing", Calc!BE107*'Waste results'!$S$97, "data missing"),
   IF(Calc!BE107=0,
     IF(OR('Waste results'!$S$25&lt;&gt;"data missing", 'Waste results'!$S$61&lt;&gt;"data missing"), Calc!BC107*'Waste results'!$S$25+ Calc!BD107*'Waste results'!$S$61, "data missing"),
   IF(Calc!BD107=0,
     IF(OR('Waste results'!$S$25&lt;&gt;"data missing", 'Waste results'!$S$97&lt;&gt;"data missing"), Calc!BC107*'Waste results'!$S$25+ Calc!BE107*'Waste results'!$S$97, "data missing"),
   IF(Calc!BC107=0,
     IF(OR('Waste results'!$S$61&lt;&gt;"data missing", 'Waste results'!$S$97&lt;&gt;"data missing"), Calc!BD107*'Waste results'!$S$61+Calc!BE107*'Waste results'!$S$97, "data missing"),
   IF(OR('Waste results'!$S$25&lt;&gt;"data missing", 'Waste results'!$S$61&lt;&gt;"data missing", 'Waste results'!$S$97&lt;&gt;"data missing"), Calc!BC107*'Waste results'!$S$25+Calc!BD107*'Waste results'!$S$61+ Calc!BE107*'Waste results'!$S$97, "data missing")))))))))))</f>
        <v/>
      </c>
      <c r="AM109" s="239" t="str">
        <f ca="1">IF($B109="","",
IF(ISBLANK('Soil results'!K112),"data missing",'Soil results'!K112))</f>
        <v/>
      </c>
      <c r="AN109" s="239" t="str">
        <f t="shared" ca="1" si="40"/>
        <v/>
      </c>
      <c r="AO109" s="9" t="str">
        <f t="shared" ca="1" si="41"/>
        <v/>
      </c>
      <c r="AP109" s="9"/>
      <c r="AQ109" s="240" t="str">
        <f ca="1">IF(B109="","",
IF(AND('Field information 2'!$O$5="", 'Field information 2'!$Q$5=""),
   IF('Waste results'!$S$26&lt;&gt;"data missing", Calc!BC107*'Waste results'!$S$26, "data missing"),
IF('Field information 2'!$Q$5="",
   IF(Calc!BD107=0,
     IF('Waste results'!$S$26&lt;&gt;"data missing", Calc!BC107*'Waste results'!$S$26, "data missing"),
   IF(Calc!BC107=0,
     IF('Waste results'!$S$62&lt;&gt;"data missing", Calc!BD107*'Waste results'!$S$62, "data missing"),
   IF(OR('Waste results'!$S$26&lt;&gt;"data missing", 'Waste results'!$S$62&lt;&gt;"data missing"), Calc!BC107*'Waste results'!$S$26+ Calc!BD107*'Waste results'!$S$62, "data missing"))),
IF(AND('Field information 2'!$M$5&lt;&gt;"", 'Field information 2'!$O$5&lt;&gt;"", 'Field information 2'!$Q$5&lt;&gt;""),
   IF(AND(Calc!BD107=0,Calc!BE107=0),
     IF('Waste results'!$S$26&lt;&gt;"data missing", Calc!BC107*'Waste results'!$S$26, "data missing"),
   IF(AND(Calc!BC107=0,Calc!BE107=0),
     IF('Waste results'!$S$62&lt;&gt;"data missing", Calc!BD107*'Waste results'!$S$62, "data missing"),
   IF(AND(Calc!BC107=0,Calc!BD107=0),
     IF('Waste results'!$S$98&lt;&gt;"data missing", Calc!BE107*'Waste results'!$S$98, "data missing"),
   IF(Calc!BE107=0,
     IF(OR('Waste results'!$S$26&lt;&gt;"data missing", 'Waste results'!$S$62&lt;&gt;"data missing"), Calc!BC107*'Waste results'!$S$26+ Calc!BD107*'Waste results'!$S$62, "data missing"),
   IF(Calc!BD107=0,
     IF(OR('Waste results'!$S$26&lt;&gt;"data missing", 'Waste results'!$S$98&lt;&gt;"data missing"), Calc!BC107*'Waste results'!$S$26+ Calc!BE107*'Waste results'!$S$98, "data missing"),
   IF(Calc!BC107=0,
     IF(OR('Waste results'!$S$62&lt;&gt;"data missing", 'Waste results'!$S$98&lt;&gt;"data missing"), Calc!BD107*'Waste results'!$S$62+Calc!BE107*'Waste results'!$S$98, "data missing"),
   IF(OR('Waste results'!$S$26&lt;&gt;"data missing", 'Waste results'!$S$62&lt;&gt;"data missing", 'Waste results'!$S$98&lt;&gt;"data missing"), Calc!BC107*'Waste results'!$S$26+Calc!BD107*'Waste results'!$S$62+ Calc!BE107*'Waste results'!$S$98, "data missing")))))))))))</f>
        <v/>
      </c>
      <c r="AR109" s="241" t="str">
        <f ca="1">IF($B109="","",
IF(ISBLANK('Soil results'!L112),"data missing",'Soil results'!L112))</f>
        <v/>
      </c>
      <c r="AS109" s="241" t="str">
        <f t="shared" ca="1" si="42"/>
        <v/>
      </c>
      <c r="AT109" s="66" t="str">
        <f t="shared" ca="1" si="43"/>
        <v/>
      </c>
      <c r="AU109" s="9"/>
      <c r="AV109" s="238" t="str">
        <f ca="1">IF(B109="","",
IF(AND('Field information 2'!$O$5="", 'Field information 2'!$Q$5=""),
   IF('Waste results'!$S$27&lt;&gt;"data missing", Calc!BC107*'Waste results'!$S$27, "data missing"),
IF('Field information 2'!$Q$5="",
   IF(Calc!BD107=0,
     IF('Waste results'!$S$27&lt;&gt;"data missing", Calc!BC107*'Waste results'!$S$27, "data missing"),
   IF(Calc!BC107=0,
     IF('Waste results'!$S$63&lt;&gt;"data missing", Calc!BD107*'Waste results'!$S$63, "data missing"),
   IF(OR('Waste results'!$S$27&lt;&gt;"data missing", 'Waste results'!$S$63&lt;&gt;"data missing"), Calc!BC107*'Waste results'!$S$27+ Calc!BD107*'Waste results'!$S$63, "data missing"))),
IF(AND('Field information 2'!$M$5&lt;&gt;"", 'Field information 2'!$O$5&lt;&gt;"", 'Field information 2'!$Q$5&lt;&gt;""),
   IF(AND(Calc!BD107=0,Calc!BE107=0),
     IF('Waste results'!$S$27&lt;&gt;"data missing", Calc!BC107*'Waste results'!$S$27, "data missing"),
   IF(AND(Calc!BC107=0,Calc!BE107=0),
     IF('Waste results'!$S$63&lt;&gt;"data missing", Calc!BD107*'Waste results'!$S$63, "data missing"),
   IF(AND(Calc!BC107=0,Calc!BD107=0),
     IF('Waste results'!$S$99&lt;&gt;"data missing", Calc!BE107*'Waste results'!$S$99, "data missing"),
   IF(Calc!BE107=0,
     IF(OR('Waste results'!$S$27&lt;&gt;"data missing", 'Waste results'!$S$63&lt;&gt;"data missing"), Calc!BC107*'Waste results'!$S$27+ Calc!BD107*'Waste results'!$S$63, "data missing"),
   IF(Calc!BD107=0,
     IF(OR('Waste results'!$S$27&lt;&gt;"data missing", 'Waste results'!$S$99&lt;&gt;"data missing"), Calc!BC107*'Waste results'!$S$27+ Calc!BE107*'Waste results'!$S$99, "data missing"),
   IF(Calc!BC107=0,
     IF(OR('Waste results'!$S$63&lt;&gt;"data missing", 'Waste results'!$S$99&lt;&gt;"data missing"), Calc!BD107*'Waste results'!$S$63+Calc!BE107*'Waste results'!$S$99, "data missing"),
   IF(OR('Waste results'!$S$27&lt;&gt;"data missing", 'Waste results'!$S$63&lt;&gt;"data missing", 'Waste results'!$S$99&lt;&gt;"data missing"), Calc!BC107*'Waste results'!$S$27+Calc!BD107*'Waste results'!$S$63+ Calc!BE107*'Waste results'!$S$99, "data missing")))))))))))</f>
        <v/>
      </c>
      <c r="AW109" s="239" t="str">
        <f ca="1">IF($B109="","",
IF(ISBLANK('Soil results'!M112),"data missing",'Soil results'!M112))</f>
        <v/>
      </c>
      <c r="AX109" s="239" t="str">
        <f t="shared" ca="1" si="44"/>
        <v/>
      </c>
      <c r="AY109" s="9" t="str">
        <f ca="1">IF(B109="","",
IF(AV109=0,"n/a",
IF(OR(AV109="data missing",AW109="data missing"),"data missing",
IF(AV109&gt;7.5,"application rate too high - permissible rate exceeds limit",
IF('Soil results'!$F112&lt;=5.5,
  IF(AW109&gt;80,"no application - soil conc. already above limit",
  IF(AX109&gt;80,"application rate too high - soil conc. will exceed limit",
  IF(AW109&gt;80*0.9,"soil conc. is at or above 90% of the limit",
  IF(10*AV109*1000/3000+AW109&gt;80,"soil limit likely to be exceeded in 10yrs",
  IF(50*AV109*1000/3000+AW109&gt;80,"soil limit likely to be exceeded in 50yrs","ok"))))),
IF('Soil results'!$F112&lt;=6,
  IF(AW109&gt;100,"no application - soil conc. already above limit",
  IF(AX109&gt;100,"application rate too high - soil conc. will exceed limit",
  IF(AW109&gt;100*0.9,"soil conc. is at or above 90% of the limit",
  IF(10*AV109*1000/3000+AW109&gt;100,"soil limit likely to be exceeded in 10yrs",
  IF(50*AV109*1000/3000+AW109&gt;100,"soil limit likely to be exceeded in 50yrs","ok"))))),
IF('Soil results'!$F112&lt;=7,
  IF(AW109&gt;135,"no application - soil conc. already above limit",
  IF(AX109&gt;135,"application rate too high - soil conc. will exceed limit",
  IF(AW109&gt;135*0.9,"soil conc. is at or above 90% of the limit",
  IF(10*AV109*1000/3000+AW109&gt;135,"soil limit likely to be exceeded in 10yrs",
  IF(50*AV109*1000/3000+AW109&gt;135,"soil limit likely to be exceeded in 50yrs","ok"))))),
IF('Soil results'!$F112&gt;7,
  IF(AW109&gt;200,"no application - soil conc. already above limit",
  IF(AX109&gt;200,"application too high - soil conc. will exceed limit",
  IF(AW109&gt;200*0.9,"soil conc. is at or above 90% of the limit",
  IF(10*AV109*1000/3000+AW109&gt;200,"soil limit likely to be exceeded in 10yrs",
  IF(50*AV109*1000/3000+AW109&gt;200,"soil limit likely to be exceeded in 50yrs","ok")))))
))))))))</f>
        <v/>
      </c>
      <c r="AZ109" s="9"/>
      <c r="BA109" s="238" t="str">
        <f ca="1">IF(B109="","",
IF(AND('Field information 2'!$O$5="", 'Field information 2'!$Q$5=""),
   IF('Waste results'!$S$28&lt;&gt;"data missing", Calc!BC107*'Waste results'!$S$28, "data missing"),
IF('Field information 2'!$Q$5="",
   IF(Calc!BD107=0,
     IF('Waste results'!$S$28&lt;&gt;"data missing", Calc!BC107*'Waste results'!$S$28, "data missing"),
   IF(Calc!BC107=0,
     IF('Waste results'!$S$64&lt;&gt;"data missing", Calc!BD107*'Waste results'!$S$64, "data missing"),
   IF(OR('Waste results'!$S$28&lt;&gt;"data missing", 'Waste results'!$S$64&lt;&gt;"data missing"), Calc!BC107*'Waste results'!$S$28+ Calc!BD107*'Waste results'!$S$64, "data missing"))),
IF(AND('Field information 2'!$M$5&lt;&gt;"", 'Field information 2'!$O$5&lt;&gt;"", 'Field information 2'!$Q$5&lt;&gt;""),
   IF(AND(Calc!BD107=0,Calc!BE107=0),
     IF('Waste results'!$S$28&lt;&gt;"data missing", Calc!BC107*'Waste results'!$S$28, "data missing"),
   IF(AND(Calc!BC107=0,Calc!BE107=0),
     IF('Waste results'!$S$64&lt;&gt;"data missing", Calc!BD107*'Waste results'!$S$64, "data missing"),
   IF(AND(Calc!BC107=0,Calc!BD107=0),
     IF('Waste results'!$S$100&lt;&gt;"data missing", Calc!BE107*'Waste results'!$S$100, "data missing"),
   IF(Calc!BE107=0,
     IF(OR('Waste results'!$S$28&lt;&gt;"data missing", 'Waste results'!$S$64&lt;&gt;"data missing"), Calc!BC107*'Waste results'!$S$28+ Calc!BD107*'Waste results'!$S$64, "data missing"),
   IF(Calc!BD107=0,
     IF(OR('Waste results'!$S$28&lt;&gt;"data missing", 'Waste results'!$S$100&lt;&gt;"data missing"), Calc!BC107*'Waste results'!$S$28+ Calc!BE107*'Waste results'!$S$100, "data missing"),
   IF(Calc!BC107=0,
     IF(OR('Waste results'!$S$64&lt;&gt;"data missing", 'Waste results'!$S$100&lt;&gt;"data missing"), Calc!BD107*'Waste results'!$S$64+Calc!BE107*'Waste results'!$S$100, "data missing"),
   IF(OR('Waste results'!$S$28&lt;&gt;"data missing", 'Waste results'!$S$64&lt;&gt;"data missing", 'Waste results'!$S$100&lt;&gt;"data missing"), Calc!BC107*'Waste results'!$S$28+Calc!BD107*'Waste results'!$S$64+ Calc!BE107*'Waste results'!$S$100, "data missing")))))))))))</f>
        <v/>
      </c>
      <c r="BB109" s="239" t="str">
        <f ca="1">IF($B109="","",
IF(ISBLANK('Soil results'!N112),"data missing",'Soil results'!N112))</f>
        <v/>
      </c>
      <c r="BC109" s="239" t="str">
        <f t="shared" ca="1" si="45"/>
        <v/>
      </c>
      <c r="BD109" s="9" t="str">
        <f t="shared" ca="1" si="46"/>
        <v/>
      </c>
      <c r="BE109" s="9"/>
      <c r="BF109" s="238" t="str">
        <f ca="1">IF(B109="","",
IF(AND('Field information 2'!$O$5="", 'Field information 2'!$Q$5=""),
   IF('Waste results'!$S$29&lt;&gt;"data missing", Calc!BC107*'Waste results'!$S$29, "data missing"),
IF('Field information 2'!$Q$5="",
   IF(Calc!BD107=0,
     IF('Waste results'!$S$29&lt;&gt;"data missing", Calc!BC107*'Waste results'!$S$29, "data missing"),
   IF(Calc!BC107=0,
     IF('Waste results'!$S$65&lt;&gt;"data missing", Calc!BD107*'Waste results'!$S$65, "data missing"),
   IF(OR('Waste results'!$S$29&lt;&gt;"data missing", 'Waste results'!$S$65&lt;&gt;"data missing"), Calc!BC107*'Waste results'!$S$29+ Calc!BD107*'Waste results'!$S$65, "data missing"))),
IF(AND('Field information 2'!$M$5&lt;&gt;"", 'Field information 2'!$O$5&lt;&gt;"", 'Field information 2'!$Q$5&lt;&gt;""),
   IF(AND(Calc!BD107=0,Calc!BE107=0),
     IF('Waste results'!$S$29&lt;&gt;"data missing", Calc!BC107*'Waste results'!$S$29, "data missing"),
   IF(AND(Calc!BC107=0,Calc!BE107=0),
     IF('Waste results'!$S$65&lt;&gt;"data missing", Calc!BD107*'Waste results'!$S$65, "data missing"),
   IF(AND(Calc!BC107=0,Calc!BD107=0),
     IF('Waste results'!$S$101&lt;&gt;"data missing", Calc!BE107*'Waste results'!$S$101, "data missing"),
   IF(Calc!BE107=0,
     IF(OR('Waste results'!$S$29&lt;&gt;"data missing", 'Waste results'!$S$65&lt;&gt;"data missing"), Calc!BC107*'Waste results'!$S$29+ Calc!BD107*'Waste results'!$S$65, "data missing"),
   IF(Calc!BD107=0,
     IF(OR('Waste results'!$S$29&lt;&gt;"data missing", 'Waste results'!$S$101&lt;&gt;"data missing"), Calc!BC107*'Waste results'!$S$29+ Calc!BE107*'Waste results'!$S$101, "data missing"),
   IF(Calc!BC107=0,
     IF(OR('Waste results'!$S$65&lt;&gt;"data missing", 'Waste results'!$S$101&lt;&gt;"data missing"), Calc!BD107*'Waste results'!$S$65+Calc!BE107*'Waste results'!$S$101, "data missing"),
   IF(OR('Waste results'!$S$29&lt;&gt;"data missing", 'Waste results'!$S$65&lt;&gt;"data missing", 'Waste results'!$S$101&lt;&gt;"data missing"), Calc!BC107*'Waste results'!$S$29+Calc!BD107*'Waste results'!$S$65+ Calc!BE107*'Waste results'!$S$101, "data missing")))))))))))</f>
        <v/>
      </c>
      <c r="BG109" s="239" t="str">
        <f ca="1">IF($B109="","",
IF(ISBLANK('Soil results'!O112),"data missing",'Soil results'!O112))</f>
        <v/>
      </c>
      <c r="BH109" s="239" t="str">
        <f t="shared" ca="1" si="47"/>
        <v/>
      </c>
      <c r="BI109" s="9" t="str">
        <f ca="1">IF(B109="","",
IF(BF109=0,"n/a",
IF(OR(BF109="data missing",BG109="data missing"),"data missing",
IF(BF109&gt;3,"application rate too high - permissible rate exceeds limit",
IF('Soil results'!F112&lt;=5.5,
  IF(BG109&gt;50,"no application - soil conc. already above limit",
  IF(BH109&gt;50,"application rate too high - soil conc. will exceed limit",
  IF(BG109&gt;50*0.9,"soil conc. is at or above 90% of the limit",
  IF(10*BF109*1000/3000+BG109&gt;50,"soil limit likely to be exceeded in 10yrs",
  IF(50*BF109*1000/3000+BG109&gt;50,"soil limit likely to be exceeded in 50yrs","ok"))))),
IF('Soil results'!F112&lt;=6,
  IF(BG109&gt;60,"no application - soil conc. already above limit",
  IF(BH109&gt;60,"application rate too high - soil conc. will exceed limit",
  IF(BG109&gt;60*0.9,"soil conc. is at or above 90% of the limit",
  IF(10*BF109*1000/3000+BG109&gt;60,"soil limit likely to be exceeded in 10yrs",
  IF(50*BF109*1000/3000+BG109&gt;60,"soil limit likely to be exceeded in 50yrs","ok"))))),
IF('Soil results'!F112&lt;=7,
  IF(BG109&gt;75,"no application - soil conc. already above limit",
  IF(BH109&gt;75,"application rate too high - soil conc. will exceed limit",
  IF(BG109&gt;75*0.9,"soil conc. is at or above 90% of the limit",
  IF(10*BF109*1000/3000+BG109&gt;75,"soil limit likely to be exceeded in 10yrs",
  IF(50*BF109*1000/3000+BG109&gt;75,"soil limit likely to be exceeded in 50yrs","ok"))))),
IF('Soil results'!F112&gt;7,
  IF(BG109&gt;100,"no application - soil conc. already above limit",
  IF(BH109&gt;100,"application rate too high - soil conc. will exceed limit",
  IF(BG109&gt;100*0.9,"soil conc. is at or above 90% of the limit",
  IF(10*BF109*1000/3000+BG109&gt;100,"soil limit likely to be exceeded in 10yrs",
  IF(50*BF109*1000/3000+BG109&gt;100,"soil limit likely to beexceeded in 50yrs","ok")))))
))))))))</f>
        <v/>
      </c>
      <c r="BJ109" s="9"/>
      <c r="BK109" s="240" t="str">
        <f ca="1">IF(B109="","",
IF(AND('Field information 2'!$O$5="", 'Field information 2'!$Q$5=""),
   IF('Waste results'!$S$30&lt;&gt;"data missing", Calc!BC107*'Waste results'!$S$30, "data missing"),
IF('Field information 2'!$Q$5="",
   IF(Calc!BD107=0,
     IF('Waste results'!$S$30&lt;&gt;"data missing", Calc!BC107*'Waste results'!$S$30, "data missing"),
   IF(Calc!BC107=0,
     IF('Waste results'!$S$66&lt;&gt;"data missing", Calc!BD107*'Waste results'!$S$66, "data missing"),
   IF(OR('Waste results'!$S$30&lt;&gt;"data missing", 'Waste results'!$S$66&lt;&gt;"data missing"), Calc!BC107*'Waste results'!$S$30+ Calc!BD107*'Waste results'!$S$66, "data missing"))),
IF(AND('Field information 2'!$M$5&lt;&gt;"", 'Field information 2'!$O$5&lt;&gt;"", 'Field information 2'!$Q$5&lt;&gt;""),
   IF(AND(Calc!BD107=0,Calc!BE107=0),
     IF('Waste results'!$S$30&lt;&gt;"data missing", Calc!BC107*'Waste results'!$S$30, "data missing"),
   IF(AND(Calc!BC107=0,Calc!BE107=0),
     IF('Waste results'!$S$66&lt;&gt;"data missing", Calc!BD107*'Waste results'!$S$66, "data missing"),
   IF(AND(Calc!BC107=0,Calc!BD107=0),
     IF('Waste results'!$S$102&lt;&gt;"data missing", Calc!BE107*'Waste results'!$S$102, "data missing"),
   IF(Calc!BE107=0,
     IF(OR('Waste results'!$S$30&lt;&gt;"data missing", 'Waste results'!$S$66&lt;&gt;"data missing"), Calc!BC107*'Waste results'!$S$30+ Calc!BD107*'Waste results'!$S$66, "data missing"),
   IF(Calc!BD107=0,
     IF(OR('Waste results'!$S$30&lt;&gt;"data missing", 'Waste results'!$S$102&lt;&gt;"data missing"), Calc!BC107*'Waste results'!$S$30+ Calc!BE107*'Waste results'!$S$102, "data missing"),
   IF(Calc!BC107=0,
     IF(OR('Waste results'!$S$66&lt;&gt;"data missing", 'Waste results'!$S$102&lt;&gt;"data missing"), Calc!BD107*'Waste results'!$S$66+Calc!BE107*'Waste results'!$S$102, "data missing"),
   IF(OR('Waste results'!$S$30&lt;&gt;"data missing", 'Waste results'!$S$66&lt;&gt;"data missing", 'Waste results'!$S$102&lt;&gt;"data missing"), Calc!BC107*'Waste results'!$S$30+Calc!BD107*'Waste results'!$S$66+ Calc!BE107*'Waste results'!$S$102, "data missing")))))))))))</f>
        <v/>
      </c>
      <c r="BL109" s="241" t="str">
        <f ca="1">IF($B109="","",
IF(ISBLANK('Soil results'!P112),"data missing",'Soil results'!P112))</f>
        <v/>
      </c>
      <c r="BM109" s="241" t="str">
        <f t="shared" ca="1" si="48"/>
        <v/>
      </c>
      <c r="BN109" s="66" t="str">
        <f t="shared" ca="1" si="49"/>
        <v/>
      </c>
      <c r="BO109" s="9"/>
      <c r="BP109" s="238" t="str">
        <f ca="1">IF(B109="","",
IF(AND('Field information 2'!$O$5="", 'Field information 2'!$Q$5=""),
   IF('Waste results'!$S$31&lt;&gt;"data missing", Calc!BC107*'Waste results'!$S$31, "data missing"),
IF('Field information 2'!$Q$5="",
   IF(Calc!BD107=0,
     IF('Waste results'!$S$31&lt;&gt;"data missing", Calc!BC107*'Waste results'!$S$31, "data missing"),
   IF(Calc!BC107=0,
     IF('Waste results'!$S$67&lt;&gt;"data missing", Calc!BD107*'Waste results'!$S$67, "data missing"),
   IF(OR('Waste results'!$S$31&lt;&gt;"data missing", 'Waste results'!$S$67&lt;&gt;"data missing"), Calc!BC107*'Waste results'!$S$31+ Calc!BD107*'Waste results'!$S$67, "data missing"))),
IF(AND('Field information 2'!$M$5&lt;&gt;"", 'Field information 2'!$O$5&lt;&gt;"", 'Field information 2'!$Q$5&lt;&gt;""),
   IF(AND(Calc!BD107=0,Calc!BE107=0),
     IF('Waste results'!$S$31&lt;&gt;"data missing", Calc!BC107*'Waste results'!$S$31, "data missing"),
   IF(AND(Calc!BC107=0,Calc!BE107=0),
     IF('Waste results'!$S$67&lt;&gt;"data missing", Calc!BD107*'Waste results'!$S$67, "data missing"),
   IF(AND(Calc!BC107=0,Calc!BD107=0),
     IF('Waste results'!$S$103&lt;&gt;"data missing", Calc!BE107*'Waste results'!$S$103, "data missing"),
   IF(Calc!BE107=0,
     IF(OR('Waste results'!$S$31&lt;&gt;"data missing", 'Waste results'!$S$67&lt;&gt;"data missing"), Calc!BC107*'Waste results'!$S$31+ Calc!BD107*'Waste results'!$S$67, "data missing"),
   IF(Calc!BD107=0,
     IF(OR('Waste results'!$S$31&lt;&gt;"data missing", 'Waste results'!$S$103&lt;&gt;"data missing"), Calc!BC107*'Waste results'!$S$31+ Calc!BE107*'Waste results'!$S$103, "data missing"),
   IF(Calc!BC107=0,
     IF(OR('Waste results'!$S$67&lt;&gt;"data missing", 'Waste results'!$S$103&lt;&gt;"data missing"), Calc!BD107*'Waste results'!$S$67+Calc!BE107*'Waste results'!$S$103, "data missing"),
   IF(OR('Waste results'!$S$31&lt;&gt;"data missing", 'Waste results'!$S$67&lt;&gt;"data missing", 'Waste results'!$S$103&lt;&gt;"data missing"), Calc!BC107*'Waste results'!$S$31+Calc!BD107*'Waste results'!$S$67+ Calc!BE107*'Waste results'!$S$103, "data missing")))))))))))</f>
        <v/>
      </c>
      <c r="BQ109" s="239" t="str">
        <f ca="1">IF($B109="","",
IF(ISBLANK('Soil results'!Q112),"data missing",'Soil results'!Q112))</f>
        <v/>
      </c>
      <c r="BR109" s="239" t="str">
        <f t="shared" ca="1" si="50"/>
        <v/>
      </c>
      <c r="BS109" s="9" t="str">
        <f ca="1">IF(B109="","",
IF(BP109=0,"n/a",
IF(OR(BP109="data missing",BQ109=""),"data missing",
IF(BP109&gt;15,"application rate too high - permissible rate exceeds limit",
IF('Soil results'!F112&lt;=5.5,
  IF(BQ109&gt;200,"no application - soil conc. already above limit",
  IF(BR109&gt;200,"application rate too high - soil conc. will exceed limit",
  IF(BQ109&gt;200*0.9,"soil conc. is at or above 90% of the limit",
  IF(10*BP109*1000/3000+BQ109&gt;200,"soil limit likely to be exceeded in 10yrs",
  IF(50*BP109*1000/3000+BQ109&gt;200,"soil limit likely to be exceeded in 50yrs","ok"))))),
IF('Soil results'!F112&lt;=6,
  IF(BQ109&gt;250,"no application - soil conc. already above limit",
  IF(BR109&gt;250,"application rate too high - soil conc. will exceed limit",
  IF(BQ109&gt;250*0.9,"soil conc. is at or above 90% of the limit",
  IF(10*BP109*1000/3000+BQ109&gt;250,"soil limit likely to be exceeded in 10yrs",
  IF(50*BP109*1000/3000+BQ109&gt;250,"soil limit likely to be exceeded in 50yrs","ok"))))),
IF('Soil results'!F112&lt;=7,
  IF(BQ109&gt;300,"no application - soil conc. already above limit",
  IF(BR109&gt;300,"application rate too high - soil conc. will exceed limit",
  IF(BQ109&gt;300*0.9,"soil conc. is at or above 90% of the limit",
  IF(10*BP109*1000/3000+BQ109&gt;300,"soil limit likey to be exceeded in 10yrs",
  IF(50*BP109*1000/3000+BQ109&gt;300,"soil limit likely to be exceeded in 50yrs","ok"))))),
IF('Soil results'!F112&gt;7,
  IF(BQ109&gt;450,"no application - soil conc. already above limit",
  IF(BR109&gt;450,"application rate too high - soil conc. will exceed limit",
  IF(AW109&gt;450*0.9,"soil conc. is at or above 90% of the limit",
  IF(10*BP109*1000/3000+BQ109&gt;450,"soil limit likely to be exceeded in 10yrs",
  IF(50*BP109*1000/3000+BQ109&gt;450,"soil limit likely to be exceeded in 50yrs","ok")))))
))))))))</f>
        <v/>
      </c>
    </row>
    <row r="110" spans="2:71" ht="15" x14ac:dyDescent="0.25">
      <c r="B110" s="236" t="str">
        <f ca="1">'Soil results'!B113</f>
        <v/>
      </c>
      <c r="C110" s="91" t="str">
        <f ca="1">IF(B110="","",
IF(AND('Field information 2'!$O$5="", 'Field information 2'!$Q$5=""),
   IF('Waste results'!$S$12&lt;&gt;"data missing", Calc!BC108*'Waste results'!$S$12, "data missing"),
IF('Field information 2'!$Q$5="",
   IF(Calc!BD108=0,
     IF('Waste results'!$S$12&lt;&gt;"data missing", Calc!BC108*'Waste results'!$S$12, "data missing"),
   IF(Calc!BC108=0,
     IF('Waste results'!$S$48&lt;&gt;"data missing", Calc!BD108*'Waste results'!$S$48, "data missing"),
   IF(OR('Waste results'!$S$12&lt;&gt;"data missing", 'Waste results'!$S$48&lt;&gt;"data missing"), Calc!BC108*'Waste results'!$S$12+ Calc!BD108*'Waste results'!$S$48, "data missing"))),
IF(AND('Field information 2'!$M$5&lt;&gt;"", 'Field information 2'!$O$5&lt;&gt;"", 'Field information 2'!$Q$5&lt;&gt;""),
   IF(AND(Calc!BD108=0,Calc!BE108=0),
     IF('Waste results'!$S$12&lt;&gt;"data missing", Calc!BC108*'Waste results'!$S$12, "data missing"),
   IF(AND(Calc!BC108=0,Calc!BE108=0),
     IF('Waste results'!$S$48&lt;&gt;"data missing", Calc!BD108*'Waste results'!$S$48, "data missing"),
   IF(AND(Calc!BC108=0,Calc!BD108=0),
     IF('Waste results'!$S$84&lt;&gt;"data missing", Calc!BE108*'Waste results'!$S$84, "data missing"),
   IF(Calc!BE108=0,
     IF(OR('Waste results'!$S$12&lt;&gt;"data missing", 'Waste results'!$S$48&lt;&gt;"data missing"), Calc!BC108*'Waste results'!$S$12+ Calc!BD108*'Waste results'!$S$48, "data missing"),
   IF(Calc!BD108=0,
     IF(OR('Waste results'!$S$12&lt;&gt;"data missing", 'Waste results'!$S$84&lt;&gt;"data missing"), Calc!BC108*'Waste results'!$S$12+ Calc!BE108*'Waste results'!$S$84, "data missing"),
   IF(Calc!BC108=0,
     IF(OR('Waste results'!$S$48&lt;&gt;"data missing", 'Waste results'!$S$84&lt;&gt;"data missing"), Calc!BD108*'Waste results'!$S$48+Calc!BE108*'Waste results'!$S$84, "data missing"),
   IF(OR('Waste results'!$S$12&lt;&gt;"data missing", 'Waste results'!$S$48&lt;&gt;"data missing", 'Waste results'!$S$84&lt;&gt;"data missing"), Calc!BC108*'Waste results'!$S$12+Calc!BD108*'Waste results'!$S$48+ Calc!BE108*'Waste results'!$S$84, "data missing")))))))))))</f>
        <v/>
      </c>
      <c r="D110" s="161" t="str">
        <f ca="1">IF(B110="","",
IF(Calc!BG108="","soil texture missing",
IF(OR(Calc!BG108="SL; SZL; ZL",Calc!BG108="SCL; CL; ZCL; SC; ZC; C"),VLOOKUP(Calc!BI108,'Fertiliser recommendations'!$A$4:$C$63,3,FALSE),
IF(Calc!BG108="S; LS",VLOOKUP(Calc!BI108,'Fertiliser recommendations'!$A$4:$C$63,3,FALSE)+VLOOKUP(Calc!BI108,'Fertiliser recommendations'!$A$4:$D$63,4,FALSE),
IF(Calc!BG108="10-25% OM",VLOOKUP(Calc!BI108,'Fertiliser recommendations'!$A$4:$C$63,3,FALSE)+VLOOKUP(Calc!BI108,'Fertiliser recommendations'!$A$4:$E$63,5,FALSE),
IF(Calc!BG108="&gt;25% OM",VLOOKUP(Calc!BI108,'Fertiliser recommendations'!$A$4:$C$63,3,FALSE)+VLOOKUP(Calc!BI108,'Fertiliser recommendations'!$A$4:$F$63,6,FALSE),
""))))))</f>
        <v/>
      </c>
      <c r="E110" s="91" t="str">
        <f t="shared" ca="1" si="34"/>
        <v/>
      </c>
      <c r="F110" s="9" t="str">
        <f ca="1">IF(B110="","",
IF(OR(C110="data missing",D110="soil texture missing"),"data missing",
IF(Calc!BF108=0,"n/a",
IF(C110&lt;0.1*D110,"no benefit",
IF(C110&lt;0.3*D110,"limited benefit",
IF(C110&gt;250,"exceeds limit",
IF(OR(AND(D110=0,C110&gt;75),C110&gt;1.25*D110),"excessive",
IF(D110=0, "no requirement",
"benefit"))))))))</f>
        <v/>
      </c>
      <c r="G110" s="9"/>
      <c r="H110" s="91" t="str">
        <f ca="1">IF(B110="","",
IF(AND('Field information 2'!$O$5="", 'Field information 2'!$Q$5=""),
   IF('Waste results'!$S$17&lt;&gt;"data missing", Calc!BC108*'Waste results'!$S$17, "data missing"),
IF('Field information 2'!$Q$5="",
   IF(Calc!BD108=0,
     IF('Waste results'!$S$17&lt;&gt;"data missing", Calc!BC108*'Waste results'!$S$17, "data missing"),
   IF(Calc!BC108=0,
     IF('Waste results'!$S$53&lt;&gt;"data missing", Calc!BD108*'Waste results'!$S$53, "data missing"),
   IF(OR('Waste results'!$S$17&lt;&gt;"data missing", 'Waste results'!$S$53&lt;&gt;"data missing"), Calc!BC108*'Waste results'!$S$17+ Calc!BD108*'Waste results'!$S$53, "data missing"))),
IF(AND('Field information 2'!$M$5&lt;&gt;"", 'Field information 2'!$O$5&lt;&gt;"", 'Field information 2'!$Q$5&lt;&gt;""),
   IF(AND(Calc!BD108=0,Calc!BE108=0),
     IF('Waste results'!$S$17&lt;&gt;"data missing", Calc!BC108*'Waste results'!$S$17, "data missing"),
   IF(AND(Calc!BC108=0,Calc!BE108=0),
     IF('Waste results'!$S$53&lt;&gt;"data missing", Calc!BD108*'Waste results'!$S$53, "data missing"),
   IF(AND(Calc!BC108=0,Calc!BD108=0),
     IF('Waste results'!$S$89&lt;&gt;"data missing", Calc!BE108*'Waste results'!$S$89, "data missing"),
   IF(Calc!BE108=0,
     IF(OR('Waste results'!$S$17&lt;&gt;"data missing", 'Waste results'!$S$53&lt;&gt;"data missing"), Calc!BC108*'Waste results'!$S$17+ Calc!BD108*'Waste results'!$S$53, "data missing"),
   IF(Calc!BD108=0,
     IF(OR('Waste results'!$S$17&lt;&gt;"data missing", 'Waste results'!$S$89&lt;&gt;"data missing"), Calc!BC108*'Waste results'!$S$17+ Calc!BE108*'Waste results'!$S$89, "data missing"),
   IF(Calc!BC108=0,
     IF(OR('Waste results'!$S$53&lt;&gt;"data missing", 'Waste results'!$S$89&lt;&gt;"data missing"), Calc!BD108*'Waste results'!$S$53+Calc!BE108*'Waste results'!$S$89, "data missing"),
   IF(OR('Waste results'!$S$17&lt;&gt;"data missing", 'Waste results'!$S$53&lt;&gt;"data missing", 'Waste results'!$S$89&lt;&gt;"data missing"), Calc!BC108*'Waste results'!$S$17+Calc!BD108*'Waste results'!$S$53+ Calc!BE108*'Waste results'!$S$89, "data missing")))))))))))</f>
        <v/>
      </c>
      <c r="I110" s="195" t="str">
        <f ca="1">IF(B110="","",
IF(OR(ISBLANK('Soil results'!G113), ISBLANK('Soil results'!G$7)),"data missing",
IF(OR(AND('Soil results'!G$7="Olsen (ADAS)",'Soil results'!G113&lt;16),AND('Soil results'!G$7="modified Morgan (SAC)",'Soil results'!G113&lt;4.5)),50,100)))</f>
        <v/>
      </c>
      <c r="J110" s="49" t="str">
        <f ca="1">IF(B110="","",
IF(OR(ISBLANK('Soil results'!G$7),ISBLANK('Soil results'!G113)),"data missing",
IF(OR(AND('Soil results'!G$7="Olsen (ADAS)",'Soil results'!G113&gt;45),AND('Soil results'!G$7="modified Morgan (SAC)",'Soil results'!G113&gt;30)),0,
IF(OR(AND('Soil results'!G$7="Olsen (ADAS)",'Soil results'!G113&gt;=16,'Soil results'!G113&lt;=20),AND('Soil results'!G$7="modified Morgan (SAC)",'Soil results'!G113&gt;=4.5,'Soil results'!G113&lt;=9.4)),VLOOKUP(Calc!BI108,'Fertiliser recommendations'!$A$4:$I$63,9,FALSE),
IF(OR(AND('Soil results'!G$7="Olsen (ADAS)",'Soil results'!G113&lt;10),AND('Soil results'!G$7="modified Morgan (SAC)",'Soil results'!G113&lt;1.8)),VLOOKUP(Calc!BI108,'Fertiliser recommendations'!$A$4:$I$63,9,FALSE)+VLOOKUP(Calc!BI108,'Fertiliser recommendations'!$A$4:$J$63,10,FALSE),
IF(OR(AND('Soil results'!G$7="Olsen (ADAS)",'Soil results'!G113&lt;16),AND('Soil results'!G$7="modified Morgan (SAC)",'Soil results'!G113&lt;4.5)),VLOOKUP(Calc!BI108,'Fertiliser recommendations'!$A$4:$I$63,9,FALSE)+VLOOKUP(Calc!BI108,'Fertiliser recommendations'!$A$4:$K$63,11,FALSE),
IF(OR(AND('Soil results'!G$7="Olsen (ADAS)",'Soil results'!G113&lt;26),AND('Soil results'!G$7="modified Morgan (SAC)",'Soil results'!G113&lt;13.5)),VLOOKUP(Calc!BI108,'Fertiliser recommendations'!$A$4:$I$63,9,FALSE)+VLOOKUP(Calc!BI108,'Fertiliser recommendations'!$A$4:$L$63,12,FALSE),
IF(OR(AND('Soil results'!G$7="Olsen (ADAS)",'Soil results'!G113&lt;=45),AND('Soil results'!G$7="modified Morgan (SAC)",'Soil results'!G113&lt;=30)),VLOOKUP(Calc!BI108,'Fertiliser recommendations'!$A$4:$I$63,9,FALSE)+VLOOKUP(Calc!BI108,'Fertiliser recommendations'!$A$4:$M$63,13,FALSE),
""))))))))</f>
        <v/>
      </c>
      <c r="K110" s="161" t="str">
        <f t="shared" ca="1" si="35"/>
        <v/>
      </c>
      <c r="L110" s="47" t="str">
        <f ca="1">IF(OR(ISBLANK('Soil results'!G$7),ISBLANK('Soil results'!G113),B110="", H110="data missing"),"",
IF('Soil results'!G$7="Olsen (ADAS)",
IF(((H110*Calc!BM108/2.291-(VLOOKUP(Calc!BI108,'Fertiliser recommendations'!$A$4:$I$63,9,FALSE))/2.291)*10/(400/2.291)+'Soil results'!G113)&lt;10,"0 (VL)",
IF(((H110*Calc!BM108/2.291-(VLOOKUP(Calc!BI108,'Fertiliser recommendations'!$A$4:$I$63,9,FALSE))/2.291)*10/(400/2.291)+'Soil results'!G113)&lt;16,"1 (L)",
IF(((H110*Calc!BM108/2.291-(VLOOKUP(Calc!BI108,'Fertiliser recommendations'!$A$4:$I$63,9,FALSE))/2.291)*10/(400/2.291)+'Soil results'!G113)&lt;21,"2 (M-)",
IF(((H110*Calc!BM108/2.291-(VLOOKUP(Calc!BI108,'Fertiliser recommendations'!$A$4:$I$63,9,FALSE))/2.291)*10/(400/2.291)+'Soil results'!G113)&lt;26,"2 (M+)",
IF(((H110*Calc!BM108/2.291-(VLOOKUP(Calc!BI108,'Fertiliser recommendations'!$A$4:$I$63,9,FALSE))/2.291)*10/(400/2.291)+'Soil results'!G113)&lt;45,"3 (H)","&gt;3 (VH)"))))),
IF('Soil results'!G$7="modified Morgan (SAC)",
IF('Soil results'!G113&gt;=6,
IF(((H110*Calc!BM108/2.291-(VLOOKUP(Calc!BI108,'Fertiliser recommendations'!$A$4:$I$63,9,FALSE))/2.291)*5/(147/2.291)+'Soil results'!G113)&lt;9.5,"2 (M-)",
IF(((H110*Calc!BM108/2.291-(VLOOKUP(Calc!BI108,'Fertiliser recommendations'!$A$4:$I$63,9,FALSE))/2.291)*5/(147/2.291)+'Soil results'!G113)&lt;13.5,"2 (M+)",
IF(((H110*Calc!BM108/2.291-(VLOOKUP(Calc!BI108,'Fertiliser recommendations'!$A$4:$I$63,9,FALSE))/2.291)*5/(147/2.291)+'Soil results'!G113)&lt;30,"3 (H)","4 (VH)"))),
IF(((H110*Calc!BM108/2.291-(VLOOKUP(Calc!BI108,'Fertiliser recommendations'!$A$4:$I$63,9,FALSE))/2.291)*5/(346/2.291)+'Soil results'!G113)&lt;1.8,"0 (VL)",
IF(((H110*Calc!BM108/2.291-(VLOOKUP(Calc!BI108,'Fertiliser recommendations'!$A$4:$I$63,9,FALSE))/2.291)*5/(147/2.291)+'Soil results'!G113)&lt;4.5,"1 (L)","2 (M-)"))))))</f>
        <v/>
      </c>
      <c r="M110" s="9" t="str">
        <f ca="1">IF(B110="","",
IF(OR(H110="data missing",I110="data missing",J110="data missing"),"data missing",
IF(Calc!BF108=0,"n/a",
IF(OR(AND('Soil results'!G$7="Olsen (ADAS)",'Soil results'!G113&gt;45),AND('Soil results'!G$7="modified Morgan (SAC)",'Soil results'!G113&gt;30)),
IF(H110&gt;2,"too high, not acceptable","no requirement"),IF(OR(AND('Soil results'!G$7="Olsen (ADAS)",'Soil results'!G113&gt;25),AND('Soil results'!G$7="modified Morgan (SAC)",'Soil results'!G113&gt;13.4)),
IF(H110*(I110/100)&lt;0.1*J110,"no benefit",
IF(H110*(I110/100)&lt;0.3*J110,"limited benefit",
IF(H110*(I110/100)&lt;1.1*J110,"benefit",
IF(H110*(I110/100)&lt;0.7*VLOOKUP(Calc!BI108,'Fertiliser recommendations'!$A$4:$I$63,9,FALSE),"excessive","too high, not acceptable")))),
IF(OR(AND('Soil results'!G$7="Olsen (ADAS)",'Soil results'!G113&gt;20),AND('Soil results'!G$7="modified Morgan (SAC)",'Soil results'!G113&gt;9.4)),
IF(H110*Calc!BM108*(I110/100)&lt;0.1*J110,"no benefit",
IF(H110*Calc!BM108*(I110/100)&lt;0.3*J110,"limited benefit",
IF(H110*Calc!BM108*(I110/100)&lt;1.1*J110,"benefit",
IF(L110="3 (H)","too high, not acceptable","excessive")))),
IF(OR(AND('Soil results'!G$7="Olsen (ADAS)",'Soil results'!G113&gt;15),AND('Soil results'!G$7="modified Morgan (SAC)",'Soil results'!G113&gt;4.4)),
IF(H110*Calc!BM108*(I110/100)&lt;0.1*VLOOKUP(Calc!BI108,'Fertiliser recommendations'!$A$4:$I$63,9,FALSE),"no benefit",
IF(H110*Calc!BM108*(I110/100)&lt;0.3*VLOOKUP(Calc!BI108,'Fertiliser recommendations'!$A$4:$I$63,9,FALSE),"limited benefit",
IF(H110*Calc!BM108*(I110/100)&lt;1.1*VLOOKUP(Calc!BI108,'Fertiliser recommendations'!$A$4:$I$63,9,FALSE),"benefit",
IF(L110="3 (H)", "too high, not acceptable", "excessive")))),
IF(OR(AND('Soil results'!G$7="Olsen (ADAS)",'Soil results'!G113&lt;=15),AND('Soil results'!G$7="modified Morgan (SAC)",'Soil results'!G113&lt;=4.4)),
IF(H110*Calc!BM108*(I110/100)&lt;0.1*VLOOKUP(Calc!BI108,'Fertiliser recommendations'!$A$4:$I$63,9,FALSE),"no benefit",
IF(H110*Calc!BM108*(I110/100)&lt;0.3*VLOOKUP(Calc!BI108,'Fertiliser recommendations'!$A$4:$I$63,9,FALSE),"limited benefit",
IF(H110*Calc!BM108*(I110/100)&lt;1.1*J110,"benefit","excessive")))))))))))</f>
        <v/>
      </c>
      <c r="N110" s="9"/>
      <c r="O110" s="91" t="str">
        <f ca="1">IF(B110="","",
IF(AND('Field information 2'!$O$5="", 'Field information 2'!$Q$5=""),
   IF('Waste results'!$S$19&lt;&gt;"data missing", Calc!BC108*'Waste results'!$S$19, "data missing"),
IF('Field information 2'!$Q$5="",
   IF(Calc!BD108=0,
     IF('Waste results'!$S$19&lt;&gt;"data missing", Calc!BC108*'Waste results'!$S$19, "data missing"),
   IF(Calc!BC108=0,
     IF('Waste results'!$S$55&lt;&gt;"data missing", Calc!BD108*'Waste results'!$S$55, "data missing"),
   IF(OR('Waste results'!$S$19&lt;&gt;"data missing", 'Waste results'!$S$55&lt;&gt;"data missing"), Calc!BC108*'Waste results'!$S$19+ Calc!BD108*'Waste results'!$S$55, "data missing"))),
IF(AND('Field information 2'!$M$5&lt;&gt;"", 'Field information 2'!$O$5&lt;&gt;"", 'Field information 2'!$Q$5&lt;&gt;""),
   IF(AND(Calc!BD108=0,Calc!BE108=0),
     IF('Waste results'!$S$19&lt;&gt;"data missing", Calc!BC108*'Waste results'!$S$19, "data missing"),
   IF(AND(Calc!BC108=0,Calc!BE108=0),
     IF('Waste results'!$S$55&lt;&gt;"data missing", Calc!BD108*'Waste results'!$S$55, "data missing"),
   IF(AND(Calc!BC108=0,Calc!BD108=0),
     IF('Waste results'!$S$91&lt;&gt;"data missing", Calc!BE108*'Waste results'!$S$91, "data missing"),
   IF(Calc!BE108=0,
     IF(OR('Waste results'!$S$19&lt;&gt;"data missing", 'Waste results'!$S$55&lt;&gt;"data missing"), Calc!BC108*'Waste results'!$S$19+ Calc!BD108*'Waste results'!$S$55, "data missing"),
   IF(Calc!BD108=0,
     IF(OR('Waste results'!$S$19&lt;&gt;"data missing", 'Waste results'!$S$91&lt;&gt;"data missing"), Calc!BC108*'Waste results'!$S$19+ Calc!BE108*'Waste results'!$S$91, "data missing"),
   IF(Calc!BC108=0,
     IF(OR('Waste results'!$S$55&lt;&gt;"data missing", 'Waste results'!$S$91&lt;&gt;"data missing"), Calc!BD108*'Waste results'!$S$55+Calc!BE108*'Waste results'!$S$91, "data missing"),
   IF(OR('Waste results'!$S$19&lt;&gt;"data missing", 'Waste results'!$S$55&lt;&gt;"data missing", 'Waste results'!$S$91&lt;&gt;"data missing"), Calc!BC108*'Waste results'!$S$19+Calc!BD108*'Waste results'!$S$55+ Calc!BE108*'Waste results'!$S$91, "data missing")))))))))))</f>
        <v/>
      </c>
      <c r="P110" s="91" t="str">
        <f ca="1">IF(B110="","",
IF(OR(ISBLANK('Soil results'!H$7),ISBLANK('Soil results'!H113)),"data missing",
IF(OR(AND('Soil results'!H$7="ammonium nitrate (ADAS)",'Soil results'!H113&gt;400),AND('Soil results'!H$7="modified Morgan (SAC)",'Soil results'!H113&gt;400)),0,
IF(OR(AND('Soil results'!H$7="ammonium nitrate (ADAS)",'Soil results'!H113&gt;=121,'Soil results'!H113&lt;=180),AND('Soil results'!H$7="modified Morgan (SAC)",'Soil results'!H113&gt;=76,'Soil results'!H113&lt;=140)),VLOOKUP(Calc!BI108,'Fertiliser recommendations'!$A$4:$Z$63,26,FALSE),
IF(OR(AND('Soil results'!H$7="ammonium nitrate (ADAS)",'Soil results'!H113&lt;61),AND('Soil results'!H$7="modified Morgan (SAC)",'Soil results'!H113&lt;40)),VLOOKUP(Calc!BI108,'Fertiliser recommendations'!$A$4:$Z$63,26,FALSE)+VLOOKUP(Calc!BI108,'Fertiliser recommendations'!$A$4:$AA$63,27,FALSE),
IF(OR(AND('Soil results'!H$7="ammonium nitrate (ADAS)",'Soil results'!H113&lt;121),AND('Soil results'!H$7="modified Morgan (SAC)",'Soil results'!H113&lt;76)),VLOOKUP(Calc!BI108,'Fertiliser recommendations'!$A$4:$Z$63,26,FALSE)+VLOOKUP(Calc!BI108,'Fertiliser recommendations'!$A$4:$AB$63,28,FALSE),
IF(OR(AND('Soil results'!H$7="ammonium nitrate (ADAS)",'Soil results'!H113&lt;241),AND('Soil results'!H$7="modified Morgan (SAC)",'Soil results'!H113&lt;201)),VLOOKUP(Calc!BI108,'Fertiliser recommendations'!$A$4:$Z$63,26,FALSE)+VLOOKUP(Calc!BI108,'Fertiliser recommendations'!$A$4:$AC$63,29,FALSE),
IF(OR(AND('Soil results'!H$7="ammonium nitrate (ADAS)",'Soil results'!H113&lt;=400),AND('Soil results'!H$7="modified Morgan (SAC)",'Soil results'!H113&lt;=400)),VLOOKUP(Calc!BI108,'Fertiliser recommendations'!$A$4:$Z$63,26,FALSE)+VLOOKUP(Calc!BI108,'Fertiliser recommendations'!$A$4:$AD$63,30,FALSE),
"??"))))))))</f>
        <v/>
      </c>
      <c r="Q110" s="91" t="str">
        <f t="shared" ca="1" si="36"/>
        <v/>
      </c>
      <c r="R110" s="9" t="str">
        <f ca="1">IF(B110="","",
IF(OR(O110="data missing",P110="data missing"),"data missing",
IF(Calc!BF108=0,"n/a",
IF(P110=0, "no requirement",
IF(O110&lt;0.1*P110,"no benefit",
IF(O110&lt;0.3*P110,"limited benefit",
IF(O110&gt;1.25*P110,"excessive",
"benefit")))))))</f>
        <v/>
      </c>
      <c r="S110" s="9"/>
      <c r="T110" s="91" t="str">
        <f ca="1">IF(B110="","",
IF(AND('Field information 2'!$O$5="", 'Field information 2'!$Q$5=""),
   IF('Waste results'!$S$21&lt;&gt;"data missing", Calc!BC108*'Waste results'!$S$21, "data missing"),
IF('Field information 2'!$Q$5="",
   IF(Calc!BD108=0,
     IF('Waste results'!$S$21&lt;&gt;"data missing", Calc!BC108*'Waste results'!$S$21, "data missing"),
   IF(Calc!BC108=0,
     IF('Waste results'!$S$57&lt;&gt;"data missing", Calc!BD108*'Waste results'!$S$57, "data missing"),
   IF(OR('Waste results'!$S$21&lt;&gt;"data missing", 'Waste results'!$S$57&lt;&gt;"data missing"), Calc!BC108*'Waste results'!$S$21+ Calc!BD108*'Waste results'!$S$57, "data missing"))),
IF(AND('Field information 2'!$M$5&lt;&gt;"", 'Field information 2'!$O$5&lt;&gt;"", 'Field information 2'!$Q$5&lt;&gt;""),
   IF(AND(Calc!BD108=0,Calc!BE108=0),
     IF('Waste results'!$S$21&lt;&gt;"data missing", Calc!BC108*'Waste results'!$S$21, "data missing"),
   IF(AND(Calc!BC108=0,Calc!BE108=0),
     IF('Waste results'!$S$57&lt;&gt;"data missing", Calc!BD108*'Waste results'!$S$57, "data missing"),
   IF(AND(Calc!BC108=0,Calc!BD108=0),
     IF('Waste results'!$S$93&lt;&gt;"data missing", Calc!BE108*'Waste results'!$S$93, "data missing"),
   IF(Calc!BE108=0,
     IF(OR('Waste results'!$S$21&lt;&gt;"data missing", 'Waste results'!$S$57&lt;&gt;"data missing"), Calc!BC108*'Waste results'!$S$21+ Calc!BD108*'Waste results'!$S$57, "data missing"),
   IF(Calc!BD108=0,
     IF(OR('Waste results'!$S$21&lt;&gt;"data missing", 'Waste results'!$S$93&lt;&gt;"data missing"), Calc!BC108*'Waste results'!$S$21+ Calc!BE108*'Waste results'!$S$93, "data missing"),
   IF(Calc!BC108=0,
     IF(OR('Waste results'!$S$57&lt;&gt;"data missing", 'Waste results'!$S$93&lt;&gt;"data missing"), Calc!BD108*'Waste results'!$S$57+Calc!BE108*'Waste results'!$S$93, "data missing"),
   IF(OR('Waste results'!$S$21&lt;&gt;"data missing", 'Waste results'!$S$57&lt;&gt;"data missing", 'Waste results'!$S$93&lt;&gt;"data missing"), Calc!BC108*'Waste results'!$S$21+Calc!BD108*'Waste results'!$S$57+ Calc!BE108*'Waste results'!$S$93, "data missing")))))))))))</f>
        <v/>
      </c>
      <c r="U110" s="7" t="str">
        <f ca="1">IF(B110="","",
IF(OR(ISBLANK('Soil results'!I$7),ISBLANK('Soil results'!I113)),"data missing",
IF(OR(AND('Soil results'!I$7="ammonium nitrate (ADAS)",'Soil results'!I113&gt;51),AND('Soil results'!I$7="modified Morgan (SAC)",'Soil results'!I113&gt;61)),0,
IF(OR(AND('Soil results'!I$7="ammonium nitrate (ADAS)",'Soil results'!I113&lt;25),AND('Soil results'!I$7="modified Morgan (SAC)",'Soil results'!I113&lt;19)),VLOOKUP(Calc!BI108,'Fertiliser recommendations'!$A$4:$AH$63,34,FALSE),
IF(OR(AND('Soil results'!I$7="ammonium nitrate (ADAS)",'Soil results'!I113&lt;=51),AND('Soil results'!I$7="modified Morgan (SAC)",'Soil results'!I113&lt;=61)),VLOOKUP(Calc!BI108,'Fertiliser recommendations'!$A$4:$AI$63,35,FALSE),
"")))))</f>
        <v/>
      </c>
      <c r="V110" s="91" t="str">
        <f t="shared" ca="1" si="37"/>
        <v/>
      </c>
      <c r="W110" s="9" t="str">
        <f ca="1">IF(B110="","",
IF(OR(T110="data missing",U110="data missing"),"data missing",
IF(Calc!BF108=0,"n/a",
IF(U110=0,"no requirement",
IF(T110&lt;0.1*U110,"no benefit",
IF(T110&lt;0.3*U110,"limited benefit",
IF(OR(T110&gt;1.5*U110,AND(Calc!BJ108="g",T110&gt;100)),"excessive",
"benefit")))))))</f>
        <v/>
      </c>
      <c r="X110" s="9"/>
      <c r="Y110" s="91" t="str">
        <f ca="1">IF(B110="","",
IF(AND('Field information 2'!$O$5="", 'Field information 2'!$Q$5=""),
   IF('Waste results'!$P$23&lt;&gt;"", Calc!BC108*'Waste results'!$P$23, "no data"),
IF('Field information 2'!$Q$5="",
   IF(Calc!BD108=0,
     IF('Waste results'!$P$23&lt;&gt;"", Calc!BC108*'Waste results'!$P$23, "no data"),
   IF(Calc!BC108=0,
     IF('Waste results'!$P$59&lt;&gt;"", Calc!BD108*'Waste results'!$P$59, "no data"),
   IF(OR('Waste results'!$P$23&lt;&gt;"", 'Waste results'!$P$59&lt;&gt;""), Calc!BC108*'Waste results'!$P$23+ Calc!BD108*'Waste results'!$P$59, "no data"))),
IF(AND('Field information 2'!$M$5&lt;&gt;"", 'Field information 2'!$O$5&lt;&gt;"", 'Field information 2'!$Q$5&lt;&gt;""),
   IF(AND(Calc!BD108=0,Calc!BE108=0),
     IF('Waste results'!$P$23&lt;&gt;"", Calc!BC108*'Waste results'!$P$23, "no data"),
   IF(AND(Calc!BC108=0,Calc!BE108=0),
     IF('Waste results'!$P$59&lt;&gt;"", Calc!BD108*'Waste results'!$P$59, "no data"),
   IF(AND(Calc!BC108=0,Calc!BD108=0),
     IF('Waste results'!$P$95&lt;&gt;"", Calc!BE108*'Waste results'!$P$95, "no data"),
   IF(Calc!BE108=0,
     IF(OR('Waste results'!$P$23&lt;&gt;"", 'Waste results'!$P$59&lt;&gt;""), Calc!BC108*'Waste results'!$P$23+ Calc!BD108*'Waste results'!$P$59, "no data"),
   IF(Calc!BD108=0,
     IF(OR('Waste results'!$P$23&lt;&gt;"", 'Waste results'!$P$95&lt;&gt;""), Calc!BC108*'Waste results'!$P$23+ Calc!BE108*'Waste results'!$P$95, "no data"),
   IF(Calc!BC108=0,
     IF(OR('Waste results'!$P$59&lt;&gt;"", 'Waste results'!$P$95&lt;&gt;""), Calc!BD108*'Waste results'!$P$59+Calc!BE108*'Waste results'!$P$95, "no data"),
   IF(OR('Waste results'!$P$23&lt;&gt;"", 'Waste results'!$P$59&lt;&gt;"", 'Waste results'!$P$95&lt;&gt;""), Calc!BC108*'Waste results'!$P$23+Calc!BD108*'Waste results'!$P$59+ Calc!BE108*'Waste results'!$P$95, "no data")))))))))))</f>
        <v/>
      </c>
      <c r="Z110" s="7" t="str">
        <f ca="1">IF(OR(ISBLANK('Soil results'!I$7),ISBLANK('Soil results'!I113),'Soil results'!B113=""),"",
VLOOKUP(Calc!BI108,'Fertiliser recommendations'!$A$4:$AM$63,39,FALSE))</f>
        <v/>
      </c>
      <c r="AA110" s="91" t="str">
        <f t="shared" ca="1" si="38"/>
        <v/>
      </c>
      <c r="AB110" s="9" t="str">
        <f t="shared" ca="1" si="39"/>
        <v/>
      </c>
      <c r="AC110" s="9"/>
      <c r="AD110" s="48" t="str">
        <f>IF(ISBLANK('Soil results'!F113),"",'Soil results'!F113)</f>
        <v/>
      </c>
      <c r="AE110" s="49" t="str">
        <f ca="1">IF(B110="","",
IF(AND(Calc!BJ108="g", VLOOKUP(LEFT($B110,LEN($B110)-2),'Field information 2'!$B$12:$P$111,9,FALSE)&lt;&gt;"yes"),
 IF(Calc!BG108="10-25% OM", 5.9, IF(Calc!BG108="&gt;25% OM", 5.5, 6.2)),
IF(OR(Calc!BJ108="a", VLOOKUP(LEFT($B110,LEN($B110)-2),'Field information 2'!$B$12:$P$111,9,FALSE)="yes"),
 IF(Calc!BG108="10-25% OM", 6.4, IF(Calc!BG108="&gt;25% OM", 6, 6.7)), "")))</f>
        <v/>
      </c>
      <c r="AF110" s="91" t="str">
        <f ca="1">IF(B110="","",
IF('Waste results'!$Q$33="","no (significant) liming properties",
IF('Waste results'!Q$33&gt;100,"no (significant) liming properties",
IF(AD110="","",
IF(AD110&gt;=AE110,0,ROUNDDOWN((AE110-AD110)*Calc!BK108*'Waste results'!$Q$33+0.2,0))))))</f>
        <v/>
      </c>
      <c r="AG110" s="9" t="str">
        <f ca="1">IF(B110="","",
IF(T110=0,"n/a",
IF(AD110="","data missing",
IF(AND(AD110&lt;5,AF110="no (significant) liming properties"),"no waste application - pH too low",
IF(AND(AD110&gt;5.1,AF110="no (significant) liming properties",Calc!BH108&gt;25, LEFT(Calc!BI108,4)="graz"),"ok",
IF(AND(AD110&lt;=5.2,AF110="no (significant) liming properties"),"liming highly recommended",
IF(AF110=0,"no waste application - liming not required",
IF(AF110&lt;Calc!BC108,"application rate too high - exceeds liming requirement",
"ok"))))))))</f>
        <v/>
      </c>
      <c r="AH110" s="9"/>
      <c r="AI110" s="91" t="str">
        <f ca="1">IF(B110="","",
IF(AND('Field information 2'!$O$5="", 'Field information 2'!$Q$5=""),
   IF('Waste results'!$P$10&lt;&gt;"data missing", Calc!BC108*'Waste results'!$P$10, "data missing"),
IF('Field information 2'!$Q$5="",
   IF(Calc!BD108=0,
     IF('Waste results'!$P$10&lt;&gt;"data missing", Calc!BC108*'Waste results'!$P$10, "data missing"),
   IF(Calc!BC108=0,
     IF('Waste results'!$P$45&lt;&gt;"data missing", Calc!BD108*'Waste results'!$P$45, "data missing"),
   IF(OR('Waste results'!$P$10&lt;&gt;"data missing", 'Waste results'!$P$45&lt;&gt;"data missing"), Calc!BC108*'Waste results'!$P$10+ Calc!BD108*'Waste results'!$P$45, "data missing"))),
IF(AND('Field information 2'!$M$5&lt;&gt;"", 'Field information 2'!$O$5&lt;&gt;"", 'Field information 2'!$Q$5&lt;&gt;""),
   IF(AND(Calc!BD108=0,Calc!BE108=0),
     IF('Waste results'!$P$10&lt;&gt;"data missing", Calc!BC108*'Waste results'!$P$10, "data missing"),
   IF(AND(Calc!BC108=0,Calc!BE108=0),
     IF('Waste results'!$P$45&lt;&gt;"data missing", Calc!BD108*'Waste results'!$P$45, "data missing"),
   IF(AND(Calc!BC108=0,Calc!BD108=0),
     IF('Waste results'!$P$82&lt;&gt;"data missing", Calc!BE108*'Waste results'!$P$82, "data missing"),
   IF(Calc!BE108=0,
     IF(OR('Waste results'!$P$10&lt;&gt;"data missing", 'Waste results'!$P$45&lt;&gt;"data missing"), Calc!BC108*'Waste results'!$P$10+ Calc!BD108*'Waste results'!$P$45, "data missing"),
   IF(Calc!BD108=0,
     IF(OR('Waste results'!$P$10&lt;&gt;"data missing", 'Waste results'!$P$82&lt;&gt;"data missing"), Calc!BC108*'Waste results'!$P$10+ Calc!BE108*'Waste results'!$P$82, "data missing"),
   IF(Calc!BC108=0,
     IF(OR('Waste results'!$P$45&lt;&gt;"data missing", 'Waste results'!$P$82&lt;&gt;"data missing"), Calc!BD108*'Waste results'!$P$45+Calc!BE108*'Waste results'!$P$82, "data missing"),
   IF(OR('Waste results'!$P$10&lt;&gt;"data missing", 'Waste results'!$P$45&lt;&gt;"data missing", 'Waste results'!$P$82&lt;&gt;"data missing"), Calc!BC108*'Waste results'!$P$10+Calc!BD108*'Waste results'!$P$45+ Calc!BE108*'Waste results'!$P$82, "data missing")))))))))))</f>
        <v/>
      </c>
      <c r="AJ110" s="237" t="str">
        <f ca="1">IF(B110="","",
IF(AI110="data missing","data missing",
IF(Calc!BF108=0,"n/a",
IF(AND(Calc!BH108&gt;=8,AI110&lt;500),"no benefit",
IF(OR(AND(Calc!BH108&lt;=4,AI110&gt;=500),AND(Calc!BH108&lt;8,AI110&gt;5000)),"benefit",
"limited benefit")))))</f>
        <v/>
      </c>
      <c r="AK110" s="9"/>
      <c r="AL110" s="238" t="str">
        <f ca="1">IF(B110="","",
IF(AND('Field information 2'!$O$5="", 'Field information 2'!$Q$5=""),
   IF('Waste results'!$S$25&lt;&gt;"data missing", Calc!BC108*'Waste results'!$S$25, "data missing"),
IF('Field information 2'!$Q$5="",
   IF(Calc!BD108=0,
     IF('Waste results'!$S$25&lt;&gt;"data missing", Calc!BC108*'Waste results'!$S$25, "data missing"),
   IF(Calc!BC108=0,
     IF('Waste results'!$S$61&lt;&gt;"data missing", Calc!BD108*'Waste results'!$S$61, "data missing"),
   IF(OR('Waste results'!$S$25&lt;&gt;"data missing", 'Waste results'!$S$61&lt;&gt;"data missing"), Calc!BC108*'Waste results'!$S$25+ Calc!BD108*'Waste results'!$S$61, "data missing"))),
IF(AND('Field information 2'!$M$5&lt;&gt;"", 'Field information 2'!$O$5&lt;&gt;"", 'Field information 2'!$Q$5&lt;&gt;""),
   IF(AND(Calc!BD108=0,Calc!BE108=0),
     IF('Waste results'!$S$25&lt;&gt;"data missing", Calc!BC108*'Waste results'!$S$25, "data missing"),
   IF(AND(Calc!BC108=0,Calc!BE108=0),
     IF('Waste results'!$S$61&lt;&gt;"data missing", Calc!BD108*'Waste results'!$S$61, "data missing"),
   IF(AND(Calc!BC108=0,Calc!BD108=0),
     IF('Waste results'!$S$97&lt;&gt;"data missing", Calc!BE108*'Waste results'!$S$97, "data missing"),
   IF(Calc!BE108=0,
     IF(OR('Waste results'!$S$25&lt;&gt;"data missing", 'Waste results'!$S$61&lt;&gt;"data missing"), Calc!BC108*'Waste results'!$S$25+ Calc!BD108*'Waste results'!$S$61, "data missing"),
   IF(Calc!BD108=0,
     IF(OR('Waste results'!$S$25&lt;&gt;"data missing", 'Waste results'!$S$97&lt;&gt;"data missing"), Calc!BC108*'Waste results'!$S$25+ Calc!BE108*'Waste results'!$S$97, "data missing"),
   IF(Calc!BC108=0,
     IF(OR('Waste results'!$S$61&lt;&gt;"data missing", 'Waste results'!$S$97&lt;&gt;"data missing"), Calc!BD108*'Waste results'!$S$61+Calc!BE108*'Waste results'!$S$97, "data missing"),
   IF(OR('Waste results'!$S$25&lt;&gt;"data missing", 'Waste results'!$S$61&lt;&gt;"data missing", 'Waste results'!$S$97&lt;&gt;"data missing"), Calc!BC108*'Waste results'!$S$25+Calc!BD108*'Waste results'!$S$61+ Calc!BE108*'Waste results'!$S$97, "data missing")))))))))))</f>
        <v/>
      </c>
      <c r="AM110" s="239" t="str">
        <f ca="1">IF($B110="","",
IF(ISBLANK('Soil results'!K113),"data missing",'Soil results'!K113))</f>
        <v/>
      </c>
      <c r="AN110" s="239" t="str">
        <f t="shared" ca="1" si="40"/>
        <v/>
      </c>
      <c r="AO110" s="9" t="str">
        <f t="shared" ca="1" si="41"/>
        <v/>
      </c>
      <c r="AP110" s="9"/>
      <c r="AQ110" s="240" t="str">
        <f ca="1">IF(B110="","",
IF(AND('Field information 2'!$O$5="", 'Field information 2'!$Q$5=""),
   IF('Waste results'!$S$26&lt;&gt;"data missing", Calc!BC108*'Waste results'!$S$26, "data missing"),
IF('Field information 2'!$Q$5="",
   IF(Calc!BD108=0,
     IF('Waste results'!$S$26&lt;&gt;"data missing", Calc!BC108*'Waste results'!$S$26, "data missing"),
   IF(Calc!BC108=0,
     IF('Waste results'!$S$62&lt;&gt;"data missing", Calc!BD108*'Waste results'!$S$62, "data missing"),
   IF(OR('Waste results'!$S$26&lt;&gt;"data missing", 'Waste results'!$S$62&lt;&gt;"data missing"), Calc!BC108*'Waste results'!$S$26+ Calc!BD108*'Waste results'!$S$62, "data missing"))),
IF(AND('Field information 2'!$M$5&lt;&gt;"", 'Field information 2'!$O$5&lt;&gt;"", 'Field information 2'!$Q$5&lt;&gt;""),
   IF(AND(Calc!BD108=0,Calc!BE108=0),
     IF('Waste results'!$S$26&lt;&gt;"data missing", Calc!BC108*'Waste results'!$S$26, "data missing"),
   IF(AND(Calc!BC108=0,Calc!BE108=0),
     IF('Waste results'!$S$62&lt;&gt;"data missing", Calc!BD108*'Waste results'!$S$62, "data missing"),
   IF(AND(Calc!BC108=0,Calc!BD108=0),
     IF('Waste results'!$S$98&lt;&gt;"data missing", Calc!BE108*'Waste results'!$S$98, "data missing"),
   IF(Calc!BE108=0,
     IF(OR('Waste results'!$S$26&lt;&gt;"data missing", 'Waste results'!$S$62&lt;&gt;"data missing"), Calc!BC108*'Waste results'!$S$26+ Calc!BD108*'Waste results'!$S$62, "data missing"),
   IF(Calc!BD108=0,
     IF(OR('Waste results'!$S$26&lt;&gt;"data missing", 'Waste results'!$S$98&lt;&gt;"data missing"), Calc!BC108*'Waste results'!$S$26+ Calc!BE108*'Waste results'!$S$98, "data missing"),
   IF(Calc!BC108=0,
     IF(OR('Waste results'!$S$62&lt;&gt;"data missing", 'Waste results'!$S$98&lt;&gt;"data missing"), Calc!BD108*'Waste results'!$S$62+Calc!BE108*'Waste results'!$S$98, "data missing"),
   IF(OR('Waste results'!$S$26&lt;&gt;"data missing", 'Waste results'!$S$62&lt;&gt;"data missing", 'Waste results'!$S$98&lt;&gt;"data missing"), Calc!BC108*'Waste results'!$S$26+Calc!BD108*'Waste results'!$S$62+ Calc!BE108*'Waste results'!$S$98, "data missing")))))))))))</f>
        <v/>
      </c>
      <c r="AR110" s="241" t="str">
        <f ca="1">IF($B110="","",
IF(ISBLANK('Soil results'!L113),"data missing",'Soil results'!L113))</f>
        <v/>
      </c>
      <c r="AS110" s="241" t="str">
        <f t="shared" ca="1" si="42"/>
        <v/>
      </c>
      <c r="AT110" s="66" t="str">
        <f t="shared" ca="1" si="43"/>
        <v/>
      </c>
      <c r="AU110" s="9"/>
      <c r="AV110" s="238" t="str">
        <f ca="1">IF(B110="","",
IF(AND('Field information 2'!$O$5="", 'Field information 2'!$Q$5=""),
   IF('Waste results'!$S$27&lt;&gt;"data missing", Calc!BC108*'Waste results'!$S$27, "data missing"),
IF('Field information 2'!$Q$5="",
   IF(Calc!BD108=0,
     IF('Waste results'!$S$27&lt;&gt;"data missing", Calc!BC108*'Waste results'!$S$27, "data missing"),
   IF(Calc!BC108=0,
     IF('Waste results'!$S$63&lt;&gt;"data missing", Calc!BD108*'Waste results'!$S$63, "data missing"),
   IF(OR('Waste results'!$S$27&lt;&gt;"data missing", 'Waste results'!$S$63&lt;&gt;"data missing"), Calc!BC108*'Waste results'!$S$27+ Calc!BD108*'Waste results'!$S$63, "data missing"))),
IF(AND('Field information 2'!$M$5&lt;&gt;"", 'Field information 2'!$O$5&lt;&gt;"", 'Field information 2'!$Q$5&lt;&gt;""),
   IF(AND(Calc!BD108=0,Calc!BE108=0),
     IF('Waste results'!$S$27&lt;&gt;"data missing", Calc!BC108*'Waste results'!$S$27, "data missing"),
   IF(AND(Calc!BC108=0,Calc!BE108=0),
     IF('Waste results'!$S$63&lt;&gt;"data missing", Calc!BD108*'Waste results'!$S$63, "data missing"),
   IF(AND(Calc!BC108=0,Calc!BD108=0),
     IF('Waste results'!$S$99&lt;&gt;"data missing", Calc!BE108*'Waste results'!$S$99, "data missing"),
   IF(Calc!BE108=0,
     IF(OR('Waste results'!$S$27&lt;&gt;"data missing", 'Waste results'!$S$63&lt;&gt;"data missing"), Calc!BC108*'Waste results'!$S$27+ Calc!BD108*'Waste results'!$S$63, "data missing"),
   IF(Calc!BD108=0,
     IF(OR('Waste results'!$S$27&lt;&gt;"data missing", 'Waste results'!$S$99&lt;&gt;"data missing"), Calc!BC108*'Waste results'!$S$27+ Calc!BE108*'Waste results'!$S$99, "data missing"),
   IF(Calc!BC108=0,
     IF(OR('Waste results'!$S$63&lt;&gt;"data missing", 'Waste results'!$S$99&lt;&gt;"data missing"), Calc!BD108*'Waste results'!$S$63+Calc!BE108*'Waste results'!$S$99, "data missing"),
   IF(OR('Waste results'!$S$27&lt;&gt;"data missing", 'Waste results'!$S$63&lt;&gt;"data missing", 'Waste results'!$S$99&lt;&gt;"data missing"), Calc!BC108*'Waste results'!$S$27+Calc!BD108*'Waste results'!$S$63+ Calc!BE108*'Waste results'!$S$99, "data missing")))))))))))</f>
        <v/>
      </c>
      <c r="AW110" s="239" t="str">
        <f ca="1">IF($B110="","",
IF(ISBLANK('Soil results'!M113),"data missing",'Soil results'!M113))</f>
        <v/>
      </c>
      <c r="AX110" s="239" t="str">
        <f t="shared" ca="1" si="44"/>
        <v/>
      </c>
      <c r="AY110" s="9" t="str">
        <f ca="1">IF(B110="","",
IF(AV110=0,"n/a",
IF(OR(AV110="data missing",AW110="data missing"),"data missing",
IF(AV110&gt;7.5,"application rate too high - permissible rate exceeds limit",
IF('Soil results'!$F113&lt;=5.5,
  IF(AW110&gt;80,"no application - soil conc. already above limit",
  IF(AX110&gt;80,"application rate too high - soil conc. will exceed limit",
  IF(AW110&gt;80*0.9,"soil conc. is at or above 90% of the limit",
  IF(10*AV110*1000/3000+AW110&gt;80,"soil limit likely to be exceeded in 10yrs",
  IF(50*AV110*1000/3000+AW110&gt;80,"soil limit likely to be exceeded in 50yrs","ok"))))),
IF('Soil results'!$F113&lt;=6,
  IF(AW110&gt;100,"no application - soil conc. already above limit",
  IF(AX110&gt;100,"application rate too high - soil conc. will exceed limit",
  IF(AW110&gt;100*0.9,"soil conc. is at or above 90% of the limit",
  IF(10*AV110*1000/3000+AW110&gt;100,"soil limit likely to be exceeded in 10yrs",
  IF(50*AV110*1000/3000+AW110&gt;100,"soil limit likely to be exceeded in 50yrs","ok"))))),
IF('Soil results'!$F113&lt;=7,
  IF(AW110&gt;135,"no application - soil conc. already above limit",
  IF(AX110&gt;135,"application rate too high - soil conc. will exceed limit",
  IF(AW110&gt;135*0.9,"soil conc. is at or above 90% of the limit",
  IF(10*AV110*1000/3000+AW110&gt;135,"soil limit likely to be exceeded in 10yrs",
  IF(50*AV110*1000/3000+AW110&gt;135,"soil limit likely to be exceeded in 50yrs","ok"))))),
IF('Soil results'!$F113&gt;7,
  IF(AW110&gt;200,"no application - soil conc. already above limit",
  IF(AX110&gt;200,"application too high - soil conc. will exceed limit",
  IF(AW110&gt;200*0.9,"soil conc. is at or above 90% of the limit",
  IF(10*AV110*1000/3000+AW110&gt;200,"soil limit likely to be exceeded in 10yrs",
  IF(50*AV110*1000/3000+AW110&gt;200,"soil limit likely to be exceeded in 50yrs","ok")))))
))))))))</f>
        <v/>
      </c>
      <c r="AZ110" s="9"/>
      <c r="BA110" s="238" t="str">
        <f ca="1">IF(B110="","",
IF(AND('Field information 2'!$O$5="", 'Field information 2'!$Q$5=""),
   IF('Waste results'!$S$28&lt;&gt;"data missing", Calc!BC108*'Waste results'!$S$28, "data missing"),
IF('Field information 2'!$Q$5="",
   IF(Calc!BD108=0,
     IF('Waste results'!$S$28&lt;&gt;"data missing", Calc!BC108*'Waste results'!$S$28, "data missing"),
   IF(Calc!BC108=0,
     IF('Waste results'!$S$64&lt;&gt;"data missing", Calc!BD108*'Waste results'!$S$64, "data missing"),
   IF(OR('Waste results'!$S$28&lt;&gt;"data missing", 'Waste results'!$S$64&lt;&gt;"data missing"), Calc!BC108*'Waste results'!$S$28+ Calc!BD108*'Waste results'!$S$64, "data missing"))),
IF(AND('Field information 2'!$M$5&lt;&gt;"", 'Field information 2'!$O$5&lt;&gt;"", 'Field information 2'!$Q$5&lt;&gt;""),
   IF(AND(Calc!BD108=0,Calc!BE108=0),
     IF('Waste results'!$S$28&lt;&gt;"data missing", Calc!BC108*'Waste results'!$S$28, "data missing"),
   IF(AND(Calc!BC108=0,Calc!BE108=0),
     IF('Waste results'!$S$64&lt;&gt;"data missing", Calc!BD108*'Waste results'!$S$64, "data missing"),
   IF(AND(Calc!BC108=0,Calc!BD108=0),
     IF('Waste results'!$S$100&lt;&gt;"data missing", Calc!BE108*'Waste results'!$S$100, "data missing"),
   IF(Calc!BE108=0,
     IF(OR('Waste results'!$S$28&lt;&gt;"data missing", 'Waste results'!$S$64&lt;&gt;"data missing"), Calc!BC108*'Waste results'!$S$28+ Calc!BD108*'Waste results'!$S$64, "data missing"),
   IF(Calc!BD108=0,
     IF(OR('Waste results'!$S$28&lt;&gt;"data missing", 'Waste results'!$S$100&lt;&gt;"data missing"), Calc!BC108*'Waste results'!$S$28+ Calc!BE108*'Waste results'!$S$100, "data missing"),
   IF(Calc!BC108=0,
     IF(OR('Waste results'!$S$64&lt;&gt;"data missing", 'Waste results'!$S$100&lt;&gt;"data missing"), Calc!BD108*'Waste results'!$S$64+Calc!BE108*'Waste results'!$S$100, "data missing"),
   IF(OR('Waste results'!$S$28&lt;&gt;"data missing", 'Waste results'!$S$64&lt;&gt;"data missing", 'Waste results'!$S$100&lt;&gt;"data missing"), Calc!BC108*'Waste results'!$S$28+Calc!BD108*'Waste results'!$S$64+ Calc!BE108*'Waste results'!$S$100, "data missing")))))))))))</f>
        <v/>
      </c>
      <c r="BB110" s="239" t="str">
        <f ca="1">IF($B110="","",
IF(ISBLANK('Soil results'!N113),"data missing",'Soil results'!N113))</f>
        <v/>
      </c>
      <c r="BC110" s="239" t="str">
        <f t="shared" ca="1" si="45"/>
        <v/>
      </c>
      <c r="BD110" s="9" t="str">
        <f t="shared" ca="1" si="46"/>
        <v/>
      </c>
      <c r="BE110" s="9"/>
      <c r="BF110" s="238" t="str">
        <f ca="1">IF(B110="","",
IF(AND('Field information 2'!$O$5="", 'Field information 2'!$Q$5=""),
   IF('Waste results'!$S$29&lt;&gt;"data missing", Calc!BC108*'Waste results'!$S$29, "data missing"),
IF('Field information 2'!$Q$5="",
   IF(Calc!BD108=0,
     IF('Waste results'!$S$29&lt;&gt;"data missing", Calc!BC108*'Waste results'!$S$29, "data missing"),
   IF(Calc!BC108=0,
     IF('Waste results'!$S$65&lt;&gt;"data missing", Calc!BD108*'Waste results'!$S$65, "data missing"),
   IF(OR('Waste results'!$S$29&lt;&gt;"data missing", 'Waste results'!$S$65&lt;&gt;"data missing"), Calc!BC108*'Waste results'!$S$29+ Calc!BD108*'Waste results'!$S$65, "data missing"))),
IF(AND('Field information 2'!$M$5&lt;&gt;"", 'Field information 2'!$O$5&lt;&gt;"", 'Field information 2'!$Q$5&lt;&gt;""),
   IF(AND(Calc!BD108=0,Calc!BE108=0),
     IF('Waste results'!$S$29&lt;&gt;"data missing", Calc!BC108*'Waste results'!$S$29, "data missing"),
   IF(AND(Calc!BC108=0,Calc!BE108=0),
     IF('Waste results'!$S$65&lt;&gt;"data missing", Calc!BD108*'Waste results'!$S$65, "data missing"),
   IF(AND(Calc!BC108=0,Calc!BD108=0),
     IF('Waste results'!$S$101&lt;&gt;"data missing", Calc!BE108*'Waste results'!$S$101, "data missing"),
   IF(Calc!BE108=0,
     IF(OR('Waste results'!$S$29&lt;&gt;"data missing", 'Waste results'!$S$65&lt;&gt;"data missing"), Calc!BC108*'Waste results'!$S$29+ Calc!BD108*'Waste results'!$S$65, "data missing"),
   IF(Calc!BD108=0,
     IF(OR('Waste results'!$S$29&lt;&gt;"data missing", 'Waste results'!$S$101&lt;&gt;"data missing"), Calc!BC108*'Waste results'!$S$29+ Calc!BE108*'Waste results'!$S$101, "data missing"),
   IF(Calc!BC108=0,
     IF(OR('Waste results'!$S$65&lt;&gt;"data missing", 'Waste results'!$S$101&lt;&gt;"data missing"), Calc!BD108*'Waste results'!$S$65+Calc!BE108*'Waste results'!$S$101, "data missing"),
   IF(OR('Waste results'!$S$29&lt;&gt;"data missing", 'Waste results'!$S$65&lt;&gt;"data missing", 'Waste results'!$S$101&lt;&gt;"data missing"), Calc!BC108*'Waste results'!$S$29+Calc!BD108*'Waste results'!$S$65+ Calc!BE108*'Waste results'!$S$101, "data missing")))))))))))</f>
        <v/>
      </c>
      <c r="BG110" s="239" t="str">
        <f ca="1">IF($B110="","",
IF(ISBLANK('Soil results'!O113),"data missing",'Soil results'!O113))</f>
        <v/>
      </c>
      <c r="BH110" s="239" t="str">
        <f t="shared" ca="1" si="47"/>
        <v/>
      </c>
      <c r="BI110" s="9" t="str">
        <f ca="1">IF(B110="","",
IF(BF110=0,"n/a",
IF(OR(BF110="data missing",BG110="data missing"),"data missing",
IF(BF110&gt;3,"application rate too high - permissible rate exceeds limit",
IF('Soil results'!F113&lt;=5.5,
  IF(BG110&gt;50,"no application - soil conc. already above limit",
  IF(BH110&gt;50,"application rate too high - soil conc. will exceed limit",
  IF(BG110&gt;50*0.9,"soil conc. is at or above 90% of the limit",
  IF(10*BF110*1000/3000+BG110&gt;50,"soil limit likely to be exceeded in 10yrs",
  IF(50*BF110*1000/3000+BG110&gt;50,"soil limit likely to be exceeded in 50yrs","ok"))))),
IF('Soil results'!F113&lt;=6,
  IF(BG110&gt;60,"no application - soil conc. already above limit",
  IF(BH110&gt;60,"application rate too high - soil conc. will exceed limit",
  IF(BG110&gt;60*0.9,"soil conc. is at or above 90% of the limit",
  IF(10*BF110*1000/3000+BG110&gt;60,"soil limit likely to be exceeded in 10yrs",
  IF(50*BF110*1000/3000+BG110&gt;60,"soil limit likely to be exceeded in 50yrs","ok"))))),
IF('Soil results'!F113&lt;=7,
  IF(BG110&gt;75,"no application - soil conc. already above limit",
  IF(BH110&gt;75,"application rate too high - soil conc. will exceed limit",
  IF(BG110&gt;75*0.9,"soil conc. is at or above 90% of the limit",
  IF(10*BF110*1000/3000+BG110&gt;75,"soil limit likely to be exceeded in 10yrs",
  IF(50*BF110*1000/3000+BG110&gt;75,"soil limit likely to be exceeded in 50yrs","ok"))))),
IF('Soil results'!F113&gt;7,
  IF(BG110&gt;100,"no application - soil conc. already above limit",
  IF(BH110&gt;100,"application rate too high - soil conc. will exceed limit",
  IF(BG110&gt;100*0.9,"soil conc. is at or above 90% of the limit",
  IF(10*BF110*1000/3000+BG110&gt;100,"soil limit likely to be exceeded in 10yrs",
  IF(50*BF110*1000/3000+BG110&gt;100,"soil limit likely to beexceeded in 50yrs","ok")))))
))))))))</f>
        <v/>
      </c>
      <c r="BJ110" s="9"/>
      <c r="BK110" s="240" t="str">
        <f ca="1">IF(B110="","",
IF(AND('Field information 2'!$O$5="", 'Field information 2'!$Q$5=""),
   IF('Waste results'!$S$30&lt;&gt;"data missing", Calc!BC108*'Waste results'!$S$30, "data missing"),
IF('Field information 2'!$Q$5="",
   IF(Calc!BD108=0,
     IF('Waste results'!$S$30&lt;&gt;"data missing", Calc!BC108*'Waste results'!$S$30, "data missing"),
   IF(Calc!BC108=0,
     IF('Waste results'!$S$66&lt;&gt;"data missing", Calc!BD108*'Waste results'!$S$66, "data missing"),
   IF(OR('Waste results'!$S$30&lt;&gt;"data missing", 'Waste results'!$S$66&lt;&gt;"data missing"), Calc!BC108*'Waste results'!$S$30+ Calc!BD108*'Waste results'!$S$66, "data missing"))),
IF(AND('Field information 2'!$M$5&lt;&gt;"", 'Field information 2'!$O$5&lt;&gt;"", 'Field information 2'!$Q$5&lt;&gt;""),
   IF(AND(Calc!BD108=0,Calc!BE108=0),
     IF('Waste results'!$S$30&lt;&gt;"data missing", Calc!BC108*'Waste results'!$S$30, "data missing"),
   IF(AND(Calc!BC108=0,Calc!BE108=0),
     IF('Waste results'!$S$66&lt;&gt;"data missing", Calc!BD108*'Waste results'!$S$66, "data missing"),
   IF(AND(Calc!BC108=0,Calc!BD108=0),
     IF('Waste results'!$S$102&lt;&gt;"data missing", Calc!BE108*'Waste results'!$S$102, "data missing"),
   IF(Calc!BE108=0,
     IF(OR('Waste results'!$S$30&lt;&gt;"data missing", 'Waste results'!$S$66&lt;&gt;"data missing"), Calc!BC108*'Waste results'!$S$30+ Calc!BD108*'Waste results'!$S$66, "data missing"),
   IF(Calc!BD108=0,
     IF(OR('Waste results'!$S$30&lt;&gt;"data missing", 'Waste results'!$S$102&lt;&gt;"data missing"), Calc!BC108*'Waste results'!$S$30+ Calc!BE108*'Waste results'!$S$102, "data missing"),
   IF(Calc!BC108=0,
     IF(OR('Waste results'!$S$66&lt;&gt;"data missing", 'Waste results'!$S$102&lt;&gt;"data missing"), Calc!BD108*'Waste results'!$S$66+Calc!BE108*'Waste results'!$S$102, "data missing"),
   IF(OR('Waste results'!$S$30&lt;&gt;"data missing", 'Waste results'!$S$66&lt;&gt;"data missing", 'Waste results'!$S$102&lt;&gt;"data missing"), Calc!BC108*'Waste results'!$S$30+Calc!BD108*'Waste results'!$S$66+ Calc!BE108*'Waste results'!$S$102, "data missing")))))))))))</f>
        <v/>
      </c>
      <c r="BL110" s="241" t="str">
        <f ca="1">IF($B110="","",
IF(ISBLANK('Soil results'!P113),"data missing",'Soil results'!P113))</f>
        <v/>
      </c>
      <c r="BM110" s="241" t="str">
        <f t="shared" ca="1" si="48"/>
        <v/>
      </c>
      <c r="BN110" s="66" t="str">
        <f t="shared" ca="1" si="49"/>
        <v/>
      </c>
      <c r="BO110" s="9"/>
      <c r="BP110" s="238" t="str">
        <f ca="1">IF(B110="","",
IF(AND('Field information 2'!$O$5="", 'Field information 2'!$Q$5=""),
   IF('Waste results'!$S$31&lt;&gt;"data missing", Calc!BC108*'Waste results'!$S$31, "data missing"),
IF('Field information 2'!$Q$5="",
   IF(Calc!BD108=0,
     IF('Waste results'!$S$31&lt;&gt;"data missing", Calc!BC108*'Waste results'!$S$31, "data missing"),
   IF(Calc!BC108=0,
     IF('Waste results'!$S$67&lt;&gt;"data missing", Calc!BD108*'Waste results'!$S$67, "data missing"),
   IF(OR('Waste results'!$S$31&lt;&gt;"data missing", 'Waste results'!$S$67&lt;&gt;"data missing"), Calc!BC108*'Waste results'!$S$31+ Calc!BD108*'Waste results'!$S$67, "data missing"))),
IF(AND('Field information 2'!$M$5&lt;&gt;"", 'Field information 2'!$O$5&lt;&gt;"", 'Field information 2'!$Q$5&lt;&gt;""),
   IF(AND(Calc!BD108=0,Calc!BE108=0),
     IF('Waste results'!$S$31&lt;&gt;"data missing", Calc!BC108*'Waste results'!$S$31, "data missing"),
   IF(AND(Calc!BC108=0,Calc!BE108=0),
     IF('Waste results'!$S$67&lt;&gt;"data missing", Calc!BD108*'Waste results'!$S$67, "data missing"),
   IF(AND(Calc!BC108=0,Calc!BD108=0),
     IF('Waste results'!$S$103&lt;&gt;"data missing", Calc!BE108*'Waste results'!$S$103, "data missing"),
   IF(Calc!BE108=0,
     IF(OR('Waste results'!$S$31&lt;&gt;"data missing", 'Waste results'!$S$67&lt;&gt;"data missing"), Calc!BC108*'Waste results'!$S$31+ Calc!BD108*'Waste results'!$S$67, "data missing"),
   IF(Calc!BD108=0,
     IF(OR('Waste results'!$S$31&lt;&gt;"data missing", 'Waste results'!$S$103&lt;&gt;"data missing"), Calc!BC108*'Waste results'!$S$31+ Calc!BE108*'Waste results'!$S$103, "data missing"),
   IF(Calc!BC108=0,
     IF(OR('Waste results'!$S$67&lt;&gt;"data missing", 'Waste results'!$S$103&lt;&gt;"data missing"), Calc!BD108*'Waste results'!$S$67+Calc!BE108*'Waste results'!$S$103, "data missing"),
   IF(OR('Waste results'!$S$31&lt;&gt;"data missing", 'Waste results'!$S$67&lt;&gt;"data missing", 'Waste results'!$S$103&lt;&gt;"data missing"), Calc!BC108*'Waste results'!$S$31+Calc!BD108*'Waste results'!$S$67+ Calc!BE108*'Waste results'!$S$103, "data missing")))))))))))</f>
        <v/>
      </c>
      <c r="BQ110" s="239" t="str">
        <f ca="1">IF($B110="","",
IF(ISBLANK('Soil results'!Q113),"data missing",'Soil results'!Q113))</f>
        <v/>
      </c>
      <c r="BR110" s="239" t="str">
        <f t="shared" ca="1" si="50"/>
        <v/>
      </c>
      <c r="BS110" s="9" t="str">
        <f ca="1">IF(B110="","",
IF(BP110=0,"n/a",
IF(OR(BP110="data missing",BQ110=""),"data missing",
IF(BP110&gt;15,"application rate too high - permissible rate exceeds limit",
IF('Soil results'!F113&lt;=5.5,
  IF(BQ110&gt;200,"no application - soil conc. already above limit",
  IF(BR110&gt;200,"application rate too high - soil conc. will exceed limit",
  IF(BQ110&gt;200*0.9,"soil conc. is at or above 90% of the limit",
  IF(10*BP110*1000/3000+BQ110&gt;200,"soil limit likely to be exceeded in 10yrs",
  IF(50*BP110*1000/3000+BQ110&gt;200,"soil limit likely to be exceeded in 50yrs","ok"))))),
IF('Soil results'!F113&lt;=6,
  IF(BQ110&gt;250,"no application - soil conc. already above limit",
  IF(BR110&gt;250,"application rate too high - soil conc. will exceed limit",
  IF(BQ110&gt;250*0.9,"soil conc. is at or above 90% of the limit",
  IF(10*BP110*1000/3000+BQ110&gt;250,"soil limit likely to be exceeded in 10yrs",
  IF(50*BP110*1000/3000+BQ110&gt;250,"soil limit likely to be exceeded in 50yrs","ok"))))),
IF('Soil results'!F113&lt;=7,
  IF(BQ110&gt;300,"no application - soil conc. already above limit",
  IF(BR110&gt;300,"application rate too high - soil conc. will exceed limit",
  IF(BQ110&gt;300*0.9,"soil conc. is at or above 90% of the limit",
  IF(10*BP110*1000/3000+BQ110&gt;300,"soil limit likey to be exceeded in 10yrs",
  IF(50*BP110*1000/3000+BQ110&gt;300,"soil limit likely to be exceeded in 50yrs","ok"))))),
IF('Soil results'!F113&gt;7,
  IF(BQ110&gt;450,"no application - soil conc. already above limit",
  IF(BR110&gt;450,"application rate too high - soil conc. will exceed limit",
  IF(AW110&gt;450*0.9,"soil conc. is at or above 90% of the limit",
  IF(10*BP110*1000/3000+BQ110&gt;450,"soil limit likely to be exceeded in 10yrs",
  IF(50*BP110*1000/3000+BQ110&gt;450,"soil limit likely to be exceeded in 50yrs","ok")))))
))))))))</f>
        <v/>
      </c>
    </row>
    <row r="111" spans="2:71" ht="15" x14ac:dyDescent="0.25">
      <c r="B111" s="236" t="str">
        <f ca="1">'Soil results'!B114</f>
        <v/>
      </c>
      <c r="C111" s="91" t="str">
        <f ca="1">IF(B111="","",
IF(AND('Field information 2'!$O$5="", 'Field information 2'!$Q$5=""),
   IF('Waste results'!$S$12&lt;&gt;"data missing", Calc!BC109*'Waste results'!$S$12, "data missing"),
IF('Field information 2'!$Q$5="",
   IF(Calc!BD109=0,
     IF('Waste results'!$S$12&lt;&gt;"data missing", Calc!BC109*'Waste results'!$S$12, "data missing"),
   IF(Calc!BC109=0,
     IF('Waste results'!$S$48&lt;&gt;"data missing", Calc!BD109*'Waste results'!$S$48, "data missing"),
   IF(OR('Waste results'!$S$12&lt;&gt;"data missing", 'Waste results'!$S$48&lt;&gt;"data missing"), Calc!BC109*'Waste results'!$S$12+ Calc!BD109*'Waste results'!$S$48, "data missing"))),
IF(AND('Field information 2'!$M$5&lt;&gt;"", 'Field information 2'!$O$5&lt;&gt;"", 'Field information 2'!$Q$5&lt;&gt;""),
   IF(AND(Calc!BD109=0,Calc!BE109=0),
     IF('Waste results'!$S$12&lt;&gt;"data missing", Calc!BC109*'Waste results'!$S$12, "data missing"),
   IF(AND(Calc!BC109=0,Calc!BE109=0),
     IF('Waste results'!$S$48&lt;&gt;"data missing", Calc!BD109*'Waste results'!$S$48, "data missing"),
   IF(AND(Calc!BC109=0,Calc!BD109=0),
     IF('Waste results'!$S$84&lt;&gt;"data missing", Calc!BE109*'Waste results'!$S$84, "data missing"),
   IF(Calc!BE109=0,
     IF(OR('Waste results'!$S$12&lt;&gt;"data missing", 'Waste results'!$S$48&lt;&gt;"data missing"), Calc!BC109*'Waste results'!$S$12+ Calc!BD109*'Waste results'!$S$48, "data missing"),
   IF(Calc!BD109=0,
     IF(OR('Waste results'!$S$12&lt;&gt;"data missing", 'Waste results'!$S$84&lt;&gt;"data missing"), Calc!BC109*'Waste results'!$S$12+ Calc!BE109*'Waste results'!$S$84, "data missing"),
   IF(Calc!BC109=0,
     IF(OR('Waste results'!$S$48&lt;&gt;"data missing", 'Waste results'!$S$84&lt;&gt;"data missing"), Calc!BD109*'Waste results'!$S$48+Calc!BE109*'Waste results'!$S$84, "data missing"),
   IF(OR('Waste results'!$S$12&lt;&gt;"data missing", 'Waste results'!$S$48&lt;&gt;"data missing", 'Waste results'!$S$84&lt;&gt;"data missing"), Calc!BC109*'Waste results'!$S$12+Calc!BD109*'Waste results'!$S$48+ Calc!BE109*'Waste results'!$S$84, "data missing")))))))))))</f>
        <v/>
      </c>
      <c r="D111" s="161" t="str">
        <f ca="1">IF(B111="","",
IF(Calc!BG109="","soil texture missing",
IF(OR(Calc!BG109="SL; SZL; ZL",Calc!BG109="SCL; CL; ZCL; SC; ZC; C"),VLOOKUP(Calc!BI109,'Fertiliser recommendations'!$A$4:$C$63,3,FALSE),
IF(Calc!BG109="S; LS",VLOOKUP(Calc!BI109,'Fertiliser recommendations'!$A$4:$C$63,3,FALSE)+VLOOKUP(Calc!BI109,'Fertiliser recommendations'!$A$4:$D$63,4,FALSE),
IF(Calc!BG109="10-25% OM",VLOOKUP(Calc!BI109,'Fertiliser recommendations'!$A$4:$C$63,3,FALSE)+VLOOKUP(Calc!BI109,'Fertiliser recommendations'!$A$4:$E$63,5,FALSE),
IF(Calc!BG109="&gt;25% OM",VLOOKUP(Calc!BI109,'Fertiliser recommendations'!$A$4:$C$63,3,FALSE)+VLOOKUP(Calc!BI109,'Fertiliser recommendations'!$A$4:$F$63,6,FALSE),
""))))))</f>
        <v/>
      </c>
      <c r="E111" s="91" t="str">
        <f t="shared" ca="1" si="34"/>
        <v/>
      </c>
      <c r="F111" s="9" t="str">
        <f ca="1">IF(B111="","",
IF(OR(C111="data missing",D111="soil texture missing"),"data missing",
IF(Calc!BF109=0,"n/a",
IF(C111&lt;0.1*D111,"no benefit",
IF(C111&lt;0.3*D111,"limited benefit",
IF(C111&gt;250,"exceeds limit",
IF(OR(AND(D111=0,C111&gt;75),C111&gt;1.25*D111),"excessive",
IF(D111=0, "no requirement",
"benefit"))))))))</f>
        <v/>
      </c>
      <c r="G111" s="9"/>
      <c r="H111" s="91" t="str">
        <f ca="1">IF(B111="","",
IF(AND('Field information 2'!$O$5="", 'Field information 2'!$Q$5=""),
   IF('Waste results'!$S$17&lt;&gt;"data missing", Calc!BC109*'Waste results'!$S$17, "data missing"),
IF('Field information 2'!$Q$5="",
   IF(Calc!BD109=0,
     IF('Waste results'!$S$17&lt;&gt;"data missing", Calc!BC109*'Waste results'!$S$17, "data missing"),
   IF(Calc!BC109=0,
     IF('Waste results'!$S$53&lt;&gt;"data missing", Calc!BD109*'Waste results'!$S$53, "data missing"),
   IF(OR('Waste results'!$S$17&lt;&gt;"data missing", 'Waste results'!$S$53&lt;&gt;"data missing"), Calc!BC109*'Waste results'!$S$17+ Calc!BD109*'Waste results'!$S$53, "data missing"))),
IF(AND('Field information 2'!$M$5&lt;&gt;"", 'Field information 2'!$O$5&lt;&gt;"", 'Field information 2'!$Q$5&lt;&gt;""),
   IF(AND(Calc!BD109=0,Calc!BE109=0),
     IF('Waste results'!$S$17&lt;&gt;"data missing", Calc!BC109*'Waste results'!$S$17, "data missing"),
   IF(AND(Calc!BC109=0,Calc!BE109=0),
     IF('Waste results'!$S$53&lt;&gt;"data missing", Calc!BD109*'Waste results'!$S$53, "data missing"),
   IF(AND(Calc!BC109=0,Calc!BD109=0),
     IF('Waste results'!$S$89&lt;&gt;"data missing", Calc!BE109*'Waste results'!$S$89, "data missing"),
   IF(Calc!BE109=0,
     IF(OR('Waste results'!$S$17&lt;&gt;"data missing", 'Waste results'!$S$53&lt;&gt;"data missing"), Calc!BC109*'Waste results'!$S$17+ Calc!BD109*'Waste results'!$S$53, "data missing"),
   IF(Calc!BD109=0,
     IF(OR('Waste results'!$S$17&lt;&gt;"data missing", 'Waste results'!$S$89&lt;&gt;"data missing"), Calc!BC109*'Waste results'!$S$17+ Calc!BE109*'Waste results'!$S$89, "data missing"),
   IF(Calc!BC109=0,
     IF(OR('Waste results'!$S$53&lt;&gt;"data missing", 'Waste results'!$S$89&lt;&gt;"data missing"), Calc!BD109*'Waste results'!$S$53+Calc!BE109*'Waste results'!$S$89, "data missing"),
   IF(OR('Waste results'!$S$17&lt;&gt;"data missing", 'Waste results'!$S$53&lt;&gt;"data missing", 'Waste results'!$S$89&lt;&gt;"data missing"), Calc!BC109*'Waste results'!$S$17+Calc!BD109*'Waste results'!$S$53+ Calc!BE109*'Waste results'!$S$89, "data missing")))))))))))</f>
        <v/>
      </c>
      <c r="I111" s="195" t="str">
        <f ca="1">IF(B111="","",
IF(OR(ISBLANK('Soil results'!G114), ISBLANK('Soil results'!G$7)),"data missing",
IF(OR(AND('Soil results'!G$7="Olsen (ADAS)",'Soil results'!G114&lt;16),AND('Soil results'!G$7="modified Morgan (SAC)",'Soil results'!G114&lt;4.5)),50,100)))</f>
        <v/>
      </c>
      <c r="J111" s="49" t="str">
        <f ca="1">IF(B111="","",
IF(OR(ISBLANK('Soil results'!G$7),ISBLANK('Soil results'!G114)),"data missing",
IF(OR(AND('Soil results'!G$7="Olsen (ADAS)",'Soil results'!G114&gt;45),AND('Soil results'!G$7="modified Morgan (SAC)",'Soil results'!G114&gt;30)),0,
IF(OR(AND('Soil results'!G$7="Olsen (ADAS)",'Soil results'!G114&gt;=16,'Soil results'!G114&lt;=20),AND('Soil results'!G$7="modified Morgan (SAC)",'Soil results'!G114&gt;=4.5,'Soil results'!G114&lt;=9.4)),VLOOKUP(Calc!BI109,'Fertiliser recommendations'!$A$4:$I$63,9,FALSE),
IF(OR(AND('Soil results'!G$7="Olsen (ADAS)",'Soil results'!G114&lt;10),AND('Soil results'!G$7="modified Morgan (SAC)",'Soil results'!G114&lt;1.8)),VLOOKUP(Calc!BI109,'Fertiliser recommendations'!$A$4:$I$63,9,FALSE)+VLOOKUP(Calc!BI109,'Fertiliser recommendations'!$A$4:$J$63,10,FALSE),
IF(OR(AND('Soil results'!G$7="Olsen (ADAS)",'Soil results'!G114&lt;16),AND('Soil results'!G$7="modified Morgan (SAC)",'Soil results'!G114&lt;4.5)),VLOOKUP(Calc!BI109,'Fertiliser recommendations'!$A$4:$I$63,9,FALSE)+VLOOKUP(Calc!BI109,'Fertiliser recommendations'!$A$4:$K$63,11,FALSE),
IF(OR(AND('Soil results'!G$7="Olsen (ADAS)",'Soil results'!G114&lt;26),AND('Soil results'!G$7="modified Morgan (SAC)",'Soil results'!G114&lt;13.5)),VLOOKUP(Calc!BI109,'Fertiliser recommendations'!$A$4:$I$63,9,FALSE)+VLOOKUP(Calc!BI109,'Fertiliser recommendations'!$A$4:$L$63,12,FALSE),
IF(OR(AND('Soil results'!G$7="Olsen (ADAS)",'Soil results'!G114&lt;=45),AND('Soil results'!G$7="modified Morgan (SAC)",'Soil results'!G114&lt;=30)),VLOOKUP(Calc!BI109,'Fertiliser recommendations'!$A$4:$I$63,9,FALSE)+VLOOKUP(Calc!BI109,'Fertiliser recommendations'!$A$4:$M$63,13,FALSE),
""))))))))</f>
        <v/>
      </c>
      <c r="K111" s="161" t="str">
        <f t="shared" ca="1" si="35"/>
        <v/>
      </c>
      <c r="L111" s="47" t="str">
        <f ca="1">IF(OR(ISBLANK('Soil results'!G$7),ISBLANK('Soil results'!G114),B111="", H111="data missing"),"",
IF('Soil results'!G$7="Olsen (ADAS)",
IF(((H111*Calc!BM109/2.291-(VLOOKUP(Calc!BI109,'Fertiliser recommendations'!$A$4:$I$63,9,FALSE))/2.291)*10/(400/2.291)+'Soil results'!G114)&lt;10,"0 (VL)",
IF(((H111*Calc!BM109/2.291-(VLOOKUP(Calc!BI109,'Fertiliser recommendations'!$A$4:$I$63,9,FALSE))/2.291)*10/(400/2.291)+'Soil results'!G114)&lt;16,"1 (L)",
IF(((H111*Calc!BM109/2.291-(VLOOKUP(Calc!BI109,'Fertiliser recommendations'!$A$4:$I$63,9,FALSE))/2.291)*10/(400/2.291)+'Soil results'!G114)&lt;21,"2 (M-)",
IF(((H111*Calc!BM109/2.291-(VLOOKUP(Calc!BI109,'Fertiliser recommendations'!$A$4:$I$63,9,FALSE))/2.291)*10/(400/2.291)+'Soil results'!G114)&lt;26,"2 (M+)",
IF(((H111*Calc!BM109/2.291-(VLOOKUP(Calc!BI109,'Fertiliser recommendations'!$A$4:$I$63,9,FALSE))/2.291)*10/(400/2.291)+'Soil results'!G114)&lt;45,"3 (H)","&gt;3 (VH)"))))),
IF('Soil results'!G$7="modified Morgan (SAC)",
IF('Soil results'!G114&gt;=6,
IF(((H111*Calc!BM109/2.291-(VLOOKUP(Calc!BI109,'Fertiliser recommendations'!$A$4:$I$63,9,FALSE))/2.291)*5/(147/2.291)+'Soil results'!G114)&lt;9.5,"2 (M-)",
IF(((H111*Calc!BM109/2.291-(VLOOKUP(Calc!BI109,'Fertiliser recommendations'!$A$4:$I$63,9,FALSE))/2.291)*5/(147/2.291)+'Soil results'!G114)&lt;13.5,"2 (M+)",
IF(((H111*Calc!BM109/2.291-(VLOOKUP(Calc!BI109,'Fertiliser recommendations'!$A$4:$I$63,9,FALSE))/2.291)*5/(147/2.291)+'Soil results'!G114)&lt;30,"3 (H)","4 (VH)"))),
IF(((H111*Calc!BM109/2.291-(VLOOKUP(Calc!BI109,'Fertiliser recommendations'!$A$4:$I$63,9,FALSE))/2.291)*5/(346/2.291)+'Soil results'!G114)&lt;1.8,"0 (VL)",
IF(((H111*Calc!BM109/2.291-(VLOOKUP(Calc!BI109,'Fertiliser recommendations'!$A$4:$I$63,9,FALSE))/2.291)*5/(147/2.291)+'Soil results'!G114)&lt;4.5,"1 (L)","2 (M-)"))))))</f>
        <v/>
      </c>
      <c r="M111" s="9" t="str">
        <f ca="1">IF(B111="","",
IF(OR(H111="data missing",I111="data missing",J111="data missing"),"data missing",
IF(Calc!BF109=0,"n/a",
IF(OR(AND('Soil results'!G$7="Olsen (ADAS)",'Soil results'!G114&gt;45),AND('Soil results'!G$7="modified Morgan (SAC)",'Soil results'!G114&gt;30)),
IF(H111&gt;2,"too high, not acceptable","no requirement"),IF(OR(AND('Soil results'!G$7="Olsen (ADAS)",'Soil results'!G114&gt;25),AND('Soil results'!G$7="modified Morgan (SAC)",'Soil results'!G114&gt;13.4)),
IF(H111*(I111/100)&lt;0.1*J111,"no benefit",
IF(H111*(I111/100)&lt;0.3*J111,"limited benefit",
IF(H111*(I111/100)&lt;1.1*J111,"benefit",
IF(H111*(I111/100)&lt;0.7*VLOOKUP(Calc!BI109,'Fertiliser recommendations'!$A$4:$I$63,9,FALSE),"excessive","too high, not acceptable")))),
IF(OR(AND('Soil results'!G$7="Olsen (ADAS)",'Soil results'!G114&gt;20),AND('Soil results'!G$7="modified Morgan (SAC)",'Soil results'!G114&gt;9.4)),
IF(H111*Calc!BM109*(I111/100)&lt;0.1*J111,"no benefit",
IF(H111*Calc!BM109*(I111/100)&lt;0.3*J111,"limited benefit",
IF(H111*Calc!BM109*(I111/100)&lt;1.1*J111,"benefit",
IF(L111="3 (H)","too high, not acceptable","excessive")))),
IF(OR(AND('Soil results'!G$7="Olsen (ADAS)",'Soil results'!G114&gt;15),AND('Soil results'!G$7="modified Morgan (SAC)",'Soil results'!G114&gt;4.4)),
IF(H111*Calc!BM109*(I111/100)&lt;0.1*VLOOKUP(Calc!BI109,'Fertiliser recommendations'!$A$4:$I$63,9,FALSE),"no benefit",
IF(H111*Calc!BM109*(I111/100)&lt;0.3*VLOOKUP(Calc!BI109,'Fertiliser recommendations'!$A$4:$I$63,9,FALSE),"limited benefit",
IF(H111*Calc!BM109*(I111/100)&lt;1.1*VLOOKUP(Calc!BI109,'Fertiliser recommendations'!$A$4:$I$63,9,FALSE),"benefit",
IF(L111="3 (H)", "too high, not acceptable", "excessive")))),
IF(OR(AND('Soil results'!G$7="Olsen (ADAS)",'Soil results'!G114&lt;=15),AND('Soil results'!G$7="modified Morgan (SAC)",'Soil results'!G114&lt;=4.4)),
IF(H111*Calc!BM109*(I111/100)&lt;0.1*VLOOKUP(Calc!BI109,'Fertiliser recommendations'!$A$4:$I$63,9,FALSE),"no benefit",
IF(H111*Calc!BM109*(I111/100)&lt;0.3*VLOOKUP(Calc!BI109,'Fertiliser recommendations'!$A$4:$I$63,9,FALSE),"limited benefit",
IF(H111*Calc!BM109*(I111/100)&lt;1.1*J111,"benefit","excessive")))))))))))</f>
        <v/>
      </c>
      <c r="N111" s="9"/>
      <c r="O111" s="91" t="str">
        <f ca="1">IF(B111="","",
IF(AND('Field information 2'!$O$5="", 'Field information 2'!$Q$5=""),
   IF('Waste results'!$S$19&lt;&gt;"data missing", Calc!BC109*'Waste results'!$S$19, "data missing"),
IF('Field information 2'!$Q$5="",
   IF(Calc!BD109=0,
     IF('Waste results'!$S$19&lt;&gt;"data missing", Calc!BC109*'Waste results'!$S$19, "data missing"),
   IF(Calc!BC109=0,
     IF('Waste results'!$S$55&lt;&gt;"data missing", Calc!BD109*'Waste results'!$S$55, "data missing"),
   IF(OR('Waste results'!$S$19&lt;&gt;"data missing", 'Waste results'!$S$55&lt;&gt;"data missing"), Calc!BC109*'Waste results'!$S$19+ Calc!BD109*'Waste results'!$S$55, "data missing"))),
IF(AND('Field information 2'!$M$5&lt;&gt;"", 'Field information 2'!$O$5&lt;&gt;"", 'Field information 2'!$Q$5&lt;&gt;""),
   IF(AND(Calc!BD109=0,Calc!BE109=0),
     IF('Waste results'!$S$19&lt;&gt;"data missing", Calc!BC109*'Waste results'!$S$19, "data missing"),
   IF(AND(Calc!BC109=0,Calc!BE109=0),
     IF('Waste results'!$S$55&lt;&gt;"data missing", Calc!BD109*'Waste results'!$S$55, "data missing"),
   IF(AND(Calc!BC109=0,Calc!BD109=0),
     IF('Waste results'!$S$91&lt;&gt;"data missing", Calc!BE109*'Waste results'!$S$91, "data missing"),
   IF(Calc!BE109=0,
     IF(OR('Waste results'!$S$19&lt;&gt;"data missing", 'Waste results'!$S$55&lt;&gt;"data missing"), Calc!BC109*'Waste results'!$S$19+ Calc!BD109*'Waste results'!$S$55, "data missing"),
   IF(Calc!BD109=0,
     IF(OR('Waste results'!$S$19&lt;&gt;"data missing", 'Waste results'!$S$91&lt;&gt;"data missing"), Calc!BC109*'Waste results'!$S$19+ Calc!BE109*'Waste results'!$S$91, "data missing"),
   IF(Calc!BC109=0,
     IF(OR('Waste results'!$S$55&lt;&gt;"data missing", 'Waste results'!$S$91&lt;&gt;"data missing"), Calc!BD109*'Waste results'!$S$55+Calc!BE109*'Waste results'!$S$91, "data missing"),
   IF(OR('Waste results'!$S$19&lt;&gt;"data missing", 'Waste results'!$S$55&lt;&gt;"data missing", 'Waste results'!$S$91&lt;&gt;"data missing"), Calc!BC109*'Waste results'!$S$19+Calc!BD109*'Waste results'!$S$55+ Calc!BE109*'Waste results'!$S$91, "data missing")))))))))))</f>
        <v/>
      </c>
      <c r="P111" s="91" t="str">
        <f ca="1">IF(B111="","",
IF(OR(ISBLANK('Soil results'!H$7),ISBLANK('Soil results'!H114)),"data missing",
IF(OR(AND('Soil results'!H$7="ammonium nitrate (ADAS)",'Soil results'!H114&gt;400),AND('Soil results'!H$7="modified Morgan (SAC)",'Soil results'!H114&gt;400)),0,
IF(OR(AND('Soil results'!H$7="ammonium nitrate (ADAS)",'Soil results'!H114&gt;=121,'Soil results'!H114&lt;=180),AND('Soil results'!H$7="modified Morgan (SAC)",'Soil results'!H114&gt;=76,'Soil results'!H114&lt;=140)),VLOOKUP(Calc!BI109,'Fertiliser recommendations'!$A$4:$Z$63,26,FALSE),
IF(OR(AND('Soil results'!H$7="ammonium nitrate (ADAS)",'Soil results'!H114&lt;61),AND('Soil results'!H$7="modified Morgan (SAC)",'Soil results'!H114&lt;40)),VLOOKUP(Calc!BI109,'Fertiliser recommendations'!$A$4:$Z$63,26,FALSE)+VLOOKUP(Calc!BI109,'Fertiliser recommendations'!$A$4:$AA$63,27,FALSE),
IF(OR(AND('Soil results'!H$7="ammonium nitrate (ADAS)",'Soil results'!H114&lt;121),AND('Soil results'!H$7="modified Morgan (SAC)",'Soil results'!H114&lt;76)),VLOOKUP(Calc!BI109,'Fertiliser recommendations'!$A$4:$Z$63,26,FALSE)+VLOOKUP(Calc!BI109,'Fertiliser recommendations'!$A$4:$AB$63,28,FALSE),
IF(OR(AND('Soil results'!H$7="ammonium nitrate (ADAS)",'Soil results'!H114&lt;241),AND('Soil results'!H$7="modified Morgan (SAC)",'Soil results'!H114&lt;201)),VLOOKUP(Calc!BI109,'Fertiliser recommendations'!$A$4:$Z$63,26,FALSE)+VLOOKUP(Calc!BI109,'Fertiliser recommendations'!$A$4:$AC$63,29,FALSE),
IF(OR(AND('Soil results'!H$7="ammonium nitrate (ADAS)",'Soil results'!H114&lt;=400),AND('Soil results'!H$7="modified Morgan (SAC)",'Soil results'!H114&lt;=400)),VLOOKUP(Calc!BI109,'Fertiliser recommendations'!$A$4:$Z$63,26,FALSE)+VLOOKUP(Calc!BI109,'Fertiliser recommendations'!$A$4:$AD$63,30,FALSE),
"??"))))))))</f>
        <v/>
      </c>
      <c r="Q111" s="91" t="str">
        <f t="shared" ca="1" si="36"/>
        <v/>
      </c>
      <c r="R111" s="9" t="str">
        <f ca="1">IF(B111="","",
IF(OR(O111="data missing",P111="data missing"),"data missing",
IF(Calc!BF109=0,"n/a",
IF(P111=0, "no requirement",
IF(O111&lt;0.1*P111,"no benefit",
IF(O111&lt;0.3*P111,"limited benefit",
IF(O111&gt;1.25*P111,"excessive",
"benefit")))))))</f>
        <v/>
      </c>
      <c r="S111" s="9"/>
      <c r="T111" s="91" t="str">
        <f ca="1">IF(B111="","",
IF(AND('Field information 2'!$O$5="", 'Field information 2'!$Q$5=""),
   IF('Waste results'!$S$21&lt;&gt;"data missing", Calc!BC109*'Waste results'!$S$21, "data missing"),
IF('Field information 2'!$Q$5="",
   IF(Calc!BD109=0,
     IF('Waste results'!$S$21&lt;&gt;"data missing", Calc!BC109*'Waste results'!$S$21, "data missing"),
   IF(Calc!BC109=0,
     IF('Waste results'!$S$57&lt;&gt;"data missing", Calc!BD109*'Waste results'!$S$57, "data missing"),
   IF(OR('Waste results'!$S$21&lt;&gt;"data missing", 'Waste results'!$S$57&lt;&gt;"data missing"), Calc!BC109*'Waste results'!$S$21+ Calc!BD109*'Waste results'!$S$57, "data missing"))),
IF(AND('Field information 2'!$M$5&lt;&gt;"", 'Field information 2'!$O$5&lt;&gt;"", 'Field information 2'!$Q$5&lt;&gt;""),
   IF(AND(Calc!BD109=0,Calc!BE109=0),
     IF('Waste results'!$S$21&lt;&gt;"data missing", Calc!BC109*'Waste results'!$S$21, "data missing"),
   IF(AND(Calc!BC109=0,Calc!BE109=0),
     IF('Waste results'!$S$57&lt;&gt;"data missing", Calc!BD109*'Waste results'!$S$57, "data missing"),
   IF(AND(Calc!BC109=0,Calc!BD109=0),
     IF('Waste results'!$S$93&lt;&gt;"data missing", Calc!BE109*'Waste results'!$S$93, "data missing"),
   IF(Calc!BE109=0,
     IF(OR('Waste results'!$S$21&lt;&gt;"data missing", 'Waste results'!$S$57&lt;&gt;"data missing"), Calc!BC109*'Waste results'!$S$21+ Calc!BD109*'Waste results'!$S$57, "data missing"),
   IF(Calc!BD109=0,
     IF(OR('Waste results'!$S$21&lt;&gt;"data missing", 'Waste results'!$S$93&lt;&gt;"data missing"), Calc!BC109*'Waste results'!$S$21+ Calc!BE109*'Waste results'!$S$93, "data missing"),
   IF(Calc!BC109=0,
     IF(OR('Waste results'!$S$57&lt;&gt;"data missing", 'Waste results'!$S$93&lt;&gt;"data missing"), Calc!BD109*'Waste results'!$S$57+Calc!BE109*'Waste results'!$S$93, "data missing"),
   IF(OR('Waste results'!$S$21&lt;&gt;"data missing", 'Waste results'!$S$57&lt;&gt;"data missing", 'Waste results'!$S$93&lt;&gt;"data missing"), Calc!BC109*'Waste results'!$S$21+Calc!BD109*'Waste results'!$S$57+ Calc!BE109*'Waste results'!$S$93, "data missing")))))))))))</f>
        <v/>
      </c>
      <c r="U111" s="7" t="str">
        <f ca="1">IF(B111="","",
IF(OR(ISBLANK('Soil results'!I$7),ISBLANK('Soil results'!I114)),"data missing",
IF(OR(AND('Soil results'!I$7="ammonium nitrate (ADAS)",'Soil results'!I114&gt;51),AND('Soil results'!I$7="modified Morgan (SAC)",'Soil results'!I114&gt;61)),0,
IF(OR(AND('Soil results'!I$7="ammonium nitrate (ADAS)",'Soil results'!I114&lt;25),AND('Soil results'!I$7="modified Morgan (SAC)",'Soil results'!I114&lt;19)),VLOOKUP(Calc!BI109,'Fertiliser recommendations'!$A$4:$AH$63,34,FALSE),
IF(OR(AND('Soil results'!I$7="ammonium nitrate (ADAS)",'Soil results'!I114&lt;=51),AND('Soil results'!I$7="modified Morgan (SAC)",'Soil results'!I114&lt;=61)),VLOOKUP(Calc!BI109,'Fertiliser recommendations'!$A$4:$AI$63,35,FALSE),
"")))))</f>
        <v/>
      </c>
      <c r="V111" s="91" t="str">
        <f t="shared" ca="1" si="37"/>
        <v/>
      </c>
      <c r="W111" s="9" t="str">
        <f ca="1">IF(B111="","",
IF(OR(T111="data missing",U111="data missing"),"data missing",
IF(Calc!BF109=0,"n/a",
IF(U111=0,"no requirement",
IF(T111&lt;0.1*U111,"no benefit",
IF(T111&lt;0.3*U111,"limited benefit",
IF(OR(T111&gt;1.5*U111,AND(Calc!BJ109="g",T111&gt;100)),"excessive",
"benefit")))))))</f>
        <v/>
      </c>
      <c r="X111" s="9"/>
      <c r="Y111" s="91" t="str">
        <f ca="1">IF(B111="","",
IF(AND('Field information 2'!$O$5="", 'Field information 2'!$Q$5=""),
   IF('Waste results'!$P$23&lt;&gt;"", Calc!BC109*'Waste results'!$P$23, "no data"),
IF('Field information 2'!$Q$5="",
   IF(Calc!BD109=0,
     IF('Waste results'!$P$23&lt;&gt;"", Calc!BC109*'Waste results'!$P$23, "no data"),
   IF(Calc!BC109=0,
     IF('Waste results'!$P$59&lt;&gt;"", Calc!BD109*'Waste results'!$P$59, "no data"),
   IF(OR('Waste results'!$P$23&lt;&gt;"", 'Waste results'!$P$59&lt;&gt;""), Calc!BC109*'Waste results'!$P$23+ Calc!BD109*'Waste results'!$P$59, "no data"))),
IF(AND('Field information 2'!$M$5&lt;&gt;"", 'Field information 2'!$O$5&lt;&gt;"", 'Field information 2'!$Q$5&lt;&gt;""),
   IF(AND(Calc!BD109=0,Calc!BE109=0),
     IF('Waste results'!$P$23&lt;&gt;"", Calc!BC109*'Waste results'!$P$23, "no data"),
   IF(AND(Calc!BC109=0,Calc!BE109=0),
     IF('Waste results'!$P$59&lt;&gt;"", Calc!BD109*'Waste results'!$P$59, "no data"),
   IF(AND(Calc!BC109=0,Calc!BD109=0),
     IF('Waste results'!$P$95&lt;&gt;"", Calc!BE109*'Waste results'!$P$95, "no data"),
   IF(Calc!BE109=0,
     IF(OR('Waste results'!$P$23&lt;&gt;"", 'Waste results'!$P$59&lt;&gt;""), Calc!BC109*'Waste results'!$P$23+ Calc!BD109*'Waste results'!$P$59, "no data"),
   IF(Calc!BD109=0,
     IF(OR('Waste results'!$P$23&lt;&gt;"", 'Waste results'!$P$95&lt;&gt;""), Calc!BC109*'Waste results'!$P$23+ Calc!BE109*'Waste results'!$P$95, "no data"),
   IF(Calc!BC109=0,
     IF(OR('Waste results'!$P$59&lt;&gt;"", 'Waste results'!$P$95&lt;&gt;""), Calc!BD109*'Waste results'!$P$59+Calc!BE109*'Waste results'!$P$95, "no data"),
   IF(OR('Waste results'!$P$23&lt;&gt;"", 'Waste results'!$P$59&lt;&gt;"", 'Waste results'!$P$95&lt;&gt;""), Calc!BC109*'Waste results'!$P$23+Calc!BD109*'Waste results'!$P$59+ Calc!BE109*'Waste results'!$P$95, "no data")))))))))))</f>
        <v/>
      </c>
      <c r="Z111" s="7" t="str">
        <f ca="1">IF(OR(ISBLANK('Soil results'!I$7),ISBLANK('Soil results'!I114),'Soil results'!B114=""),"",
VLOOKUP(Calc!BI109,'Fertiliser recommendations'!$A$4:$AM$63,39,FALSE))</f>
        <v/>
      </c>
      <c r="AA111" s="91" t="str">
        <f t="shared" ca="1" si="38"/>
        <v/>
      </c>
      <c r="AB111" s="9" t="str">
        <f t="shared" ca="1" si="39"/>
        <v/>
      </c>
      <c r="AC111" s="9"/>
      <c r="AD111" s="48" t="str">
        <f>IF(ISBLANK('Soil results'!F114),"",'Soil results'!F114)</f>
        <v/>
      </c>
      <c r="AE111" s="49" t="str">
        <f ca="1">IF(B111="","",
IF(AND(Calc!BJ109="g", VLOOKUP(LEFT($B111,LEN($B111)-2),'Field information 2'!$B$12:$P$111,9,FALSE)&lt;&gt;"yes"),
 IF(Calc!BG109="10-25% OM", 5.9, IF(Calc!BG109="&gt;25% OM", 5.5, 6.2)),
IF(OR(Calc!BJ109="a", VLOOKUP(LEFT($B111,LEN($B111)-2),'Field information 2'!$B$12:$P$111,9,FALSE)="yes"),
 IF(Calc!BG109="10-25% OM", 6.4, IF(Calc!BG109="&gt;25% OM", 6, 6.7)), "")))</f>
        <v/>
      </c>
      <c r="AF111" s="91" t="str">
        <f ca="1">IF(B111="","",
IF('Waste results'!$Q$33="","no (significant) liming properties",
IF('Waste results'!Q$33&gt;100,"no (significant) liming properties",
IF(AD111="","",
IF(AD111&gt;=AE111,0,ROUNDDOWN((AE111-AD111)*Calc!BK109*'Waste results'!$Q$33+0.2,0))))))</f>
        <v/>
      </c>
      <c r="AG111" s="9" t="str">
        <f ca="1">IF(B111="","",
IF(T111=0,"n/a",
IF(AD111="","data missing",
IF(AND(AD111&lt;5,AF111="no (significant) liming properties"),"no waste application - pH too low",
IF(AND(AD111&gt;5.1,AF111="no (significant) liming properties",Calc!BH109&gt;25, LEFT(Calc!BI109,4)="graz"),"ok",
IF(AND(AD111&lt;=5.2,AF111="no (significant) liming properties"),"liming highly recommended",
IF(AF111=0,"no waste application - liming not required",
IF(AF111&lt;Calc!BC109,"application rate too high - exceeds liming requirement",
"ok"))))))))</f>
        <v/>
      </c>
      <c r="AH111" s="9"/>
      <c r="AI111" s="91" t="str">
        <f ca="1">IF(B111="","",
IF(AND('Field information 2'!$O$5="", 'Field information 2'!$Q$5=""),
   IF('Waste results'!$P$10&lt;&gt;"data missing", Calc!BC109*'Waste results'!$P$10, "data missing"),
IF('Field information 2'!$Q$5="",
   IF(Calc!BD109=0,
     IF('Waste results'!$P$10&lt;&gt;"data missing", Calc!BC109*'Waste results'!$P$10, "data missing"),
   IF(Calc!BC109=0,
     IF('Waste results'!$P$45&lt;&gt;"data missing", Calc!BD109*'Waste results'!$P$45, "data missing"),
   IF(OR('Waste results'!$P$10&lt;&gt;"data missing", 'Waste results'!$P$45&lt;&gt;"data missing"), Calc!BC109*'Waste results'!$P$10+ Calc!BD109*'Waste results'!$P$45, "data missing"))),
IF(AND('Field information 2'!$M$5&lt;&gt;"", 'Field information 2'!$O$5&lt;&gt;"", 'Field information 2'!$Q$5&lt;&gt;""),
   IF(AND(Calc!BD109=0,Calc!BE109=0),
     IF('Waste results'!$P$10&lt;&gt;"data missing", Calc!BC109*'Waste results'!$P$10, "data missing"),
   IF(AND(Calc!BC109=0,Calc!BE109=0),
     IF('Waste results'!$P$45&lt;&gt;"data missing", Calc!BD109*'Waste results'!$P$45, "data missing"),
   IF(AND(Calc!BC109=0,Calc!BD109=0),
     IF('Waste results'!$P$82&lt;&gt;"data missing", Calc!BE109*'Waste results'!$P$82, "data missing"),
   IF(Calc!BE109=0,
     IF(OR('Waste results'!$P$10&lt;&gt;"data missing", 'Waste results'!$P$45&lt;&gt;"data missing"), Calc!BC109*'Waste results'!$P$10+ Calc!BD109*'Waste results'!$P$45, "data missing"),
   IF(Calc!BD109=0,
     IF(OR('Waste results'!$P$10&lt;&gt;"data missing", 'Waste results'!$P$82&lt;&gt;"data missing"), Calc!BC109*'Waste results'!$P$10+ Calc!BE109*'Waste results'!$P$82, "data missing"),
   IF(Calc!BC109=0,
     IF(OR('Waste results'!$P$45&lt;&gt;"data missing", 'Waste results'!$P$82&lt;&gt;"data missing"), Calc!BD109*'Waste results'!$P$45+Calc!BE109*'Waste results'!$P$82, "data missing"),
   IF(OR('Waste results'!$P$10&lt;&gt;"data missing", 'Waste results'!$P$45&lt;&gt;"data missing", 'Waste results'!$P$82&lt;&gt;"data missing"), Calc!BC109*'Waste results'!$P$10+Calc!BD109*'Waste results'!$P$45+ Calc!BE109*'Waste results'!$P$82, "data missing")))))))))))</f>
        <v/>
      </c>
      <c r="AJ111" s="237" t="str">
        <f ca="1">IF(B111="","",
IF(AI111="data missing","data missing",
IF(Calc!BF109=0,"n/a",
IF(AND(Calc!BH109&gt;=8,AI111&lt;500),"no benefit",
IF(OR(AND(Calc!BH109&lt;=4,AI111&gt;=500),AND(Calc!BH109&lt;8,AI111&gt;5000)),"benefit",
"limited benefit")))))</f>
        <v/>
      </c>
      <c r="AK111" s="9"/>
      <c r="AL111" s="238" t="str">
        <f ca="1">IF(B111="","",
IF(AND('Field information 2'!$O$5="", 'Field information 2'!$Q$5=""),
   IF('Waste results'!$S$25&lt;&gt;"data missing", Calc!BC109*'Waste results'!$S$25, "data missing"),
IF('Field information 2'!$Q$5="",
   IF(Calc!BD109=0,
     IF('Waste results'!$S$25&lt;&gt;"data missing", Calc!BC109*'Waste results'!$S$25, "data missing"),
   IF(Calc!BC109=0,
     IF('Waste results'!$S$61&lt;&gt;"data missing", Calc!BD109*'Waste results'!$S$61, "data missing"),
   IF(OR('Waste results'!$S$25&lt;&gt;"data missing", 'Waste results'!$S$61&lt;&gt;"data missing"), Calc!BC109*'Waste results'!$S$25+ Calc!BD109*'Waste results'!$S$61, "data missing"))),
IF(AND('Field information 2'!$M$5&lt;&gt;"", 'Field information 2'!$O$5&lt;&gt;"", 'Field information 2'!$Q$5&lt;&gt;""),
   IF(AND(Calc!BD109=0,Calc!BE109=0),
     IF('Waste results'!$S$25&lt;&gt;"data missing", Calc!BC109*'Waste results'!$S$25, "data missing"),
   IF(AND(Calc!BC109=0,Calc!BE109=0),
     IF('Waste results'!$S$61&lt;&gt;"data missing", Calc!BD109*'Waste results'!$S$61, "data missing"),
   IF(AND(Calc!BC109=0,Calc!BD109=0),
     IF('Waste results'!$S$97&lt;&gt;"data missing", Calc!BE109*'Waste results'!$S$97, "data missing"),
   IF(Calc!BE109=0,
     IF(OR('Waste results'!$S$25&lt;&gt;"data missing", 'Waste results'!$S$61&lt;&gt;"data missing"), Calc!BC109*'Waste results'!$S$25+ Calc!BD109*'Waste results'!$S$61, "data missing"),
   IF(Calc!BD109=0,
     IF(OR('Waste results'!$S$25&lt;&gt;"data missing", 'Waste results'!$S$97&lt;&gt;"data missing"), Calc!BC109*'Waste results'!$S$25+ Calc!BE109*'Waste results'!$S$97, "data missing"),
   IF(Calc!BC109=0,
     IF(OR('Waste results'!$S$61&lt;&gt;"data missing", 'Waste results'!$S$97&lt;&gt;"data missing"), Calc!BD109*'Waste results'!$S$61+Calc!BE109*'Waste results'!$S$97, "data missing"),
   IF(OR('Waste results'!$S$25&lt;&gt;"data missing", 'Waste results'!$S$61&lt;&gt;"data missing", 'Waste results'!$S$97&lt;&gt;"data missing"), Calc!BC109*'Waste results'!$S$25+Calc!BD109*'Waste results'!$S$61+ Calc!BE109*'Waste results'!$S$97, "data missing")))))))))))</f>
        <v/>
      </c>
      <c r="AM111" s="239" t="str">
        <f ca="1">IF($B111="","",
IF(ISBLANK('Soil results'!K114),"data missing",'Soil results'!K114))</f>
        <v/>
      </c>
      <c r="AN111" s="239" t="str">
        <f t="shared" ca="1" si="40"/>
        <v/>
      </c>
      <c r="AO111" s="9" t="str">
        <f t="shared" ca="1" si="41"/>
        <v/>
      </c>
      <c r="AP111" s="9"/>
      <c r="AQ111" s="240" t="str">
        <f ca="1">IF(B111="","",
IF(AND('Field information 2'!$O$5="", 'Field information 2'!$Q$5=""),
   IF('Waste results'!$S$26&lt;&gt;"data missing", Calc!BC109*'Waste results'!$S$26, "data missing"),
IF('Field information 2'!$Q$5="",
   IF(Calc!BD109=0,
     IF('Waste results'!$S$26&lt;&gt;"data missing", Calc!BC109*'Waste results'!$S$26, "data missing"),
   IF(Calc!BC109=0,
     IF('Waste results'!$S$62&lt;&gt;"data missing", Calc!BD109*'Waste results'!$S$62, "data missing"),
   IF(OR('Waste results'!$S$26&lt;&gt;"data missing", 'Waste results'!$S$62&lt;&gt;"data missing"), Calc!BC109*'Waste results'!$S$26+ Calc!BD109*'Waste results'!$S$62, "data missing"))),
IF(AND('Field information 2'!$M$5&lt;&gt;"", 'Field information 2'!$O$5&lt;&gt;"", 'Field information 2'!$Q$5&lt;&gt;""),
   IF(AND(Calc!BD109=0,Calc!BE109=0),
     IF('Waste results'!$S$26&lt;&gt;"data missing", Calc!BC109*'Waste results'!$S$26, "data missing"),
   IF(AND(Calc!BC109=0,Calc!BE109=0),
     IF('Waste results'!$S$62&lt;&gt;"data missing", Calc!BD109*'Waste results'!$S$62, "data missing"),
   IF(AND(Calc!BC109=0,Calc!BD109=0),
     IF('Waste results'!$S$98&lt;&gt;"data missing", Calc!BE109*'Waste results'!$S$98, "data missing"),
   IF(Calc!BE109=0,
     IF(OR('Waste results'!$S$26&lt;&gt;"data missing", 'Waste results'!$S$62&lt;&gt;"data missing"), Calc!BC109*'Waste results'!$S$26+ Calc!BD109*'Waste results'!$S$62, "data missing"),
   IF(Calc!BD109=0,
     IF(OR('Waste results'!$S$26&lt;&gt;"data missing", 'Waste results'!$S$98&lt;&gt;"data missing"), Calc!BC109*'Waste results'!$S$26+ Calc!BE109*'Waste results'!$S$98, "data missing"),
   IF(Calc!BC109=0,
     IF(OR('Waste results'!$S$62&lt;&gt;"data missing", 'Waste results'!$S$98&lt;&gt;"data missing"), Calc!BD109*'Waste results'!$S$62+Calc!BE109*'Waste results'!$S$98, "data missing"),
   IF(OR('Waste results'!$S$26&lt;&gt;"data missing", 'Waste results'!$S$62&lt;&gt;"data missing", 'Waste results'!$S$98&lt;&gt;"data missing"), Calc!BC109*'Waste results'!$S$26+Calc!BD109*'Waste results'!$S$62+ Calc!BE109*'Waste results'!$S$98, "data missing")))))))))))</f>
        <v/>
      </c>
      <c r="AR111" s="241" t="str">
        <f ca="1">IF($B111="","",
IF(ISBLANK('Soil results'!L114),"data missing",'Soil results'!L114))</f>
        <v/>
      </c>
      <c r="AS111" s="241" t="str">
        <f t="shared" ca="1" si="42"/>
        <v/>
      </c>
      <c r="AT111" s="66" t="str">
        <f t="shared" ca="1" si="43"/>
        <v/>
      </c>
      <c r="AU111" s="9"/>
      <c r="AV111" s="238" t="str">
        <f ca="1">IF(B111="","",
IF(AND('Field information 2'!$O$5="", 'Field information 2'!$Q$5=""),
   IF('Waste results'!$S$27&lt;&gt;"data missing", Calc!BC109*'Waste results'!$S$27, "data missing"),
IF('Field information 2'!$Q$5="",
   IF(Calc!BD109=0,
     IF('Waste results'!$S$27&lt;&gt;"data missing", Calc!BC109*'Waste results'!$S$27, "data missing"),
   IF(Calc!BC109=0,
     IF('Waste results'!$S$63&lt;&gt;"data missing", Calc!BD109*'Waste results'!$S$63, "data missing"),
   IF(OR('Waste results'!$S$27&lt;&gt;"data missing", 'Waste results'!$S$63&lt;&gt;"data missing"), Calc!BC109*'Waste results'!$S$27+ Calc!BD109*'Waste results'!$S$63, "data missing"))),
IF(AND('Field information 2'!$M$5&lt;&gt;"", 'Field information 2'!$O$5&lt;&gt;"", 'Field information 2'!$Q$5&lt;&gt;""),
   IF(AND(Calc!BD109=0,Calc!BE109=0),
     IF('Waste results'!$S$27&lt;&gt;"data missing", Calc!BC109*'Waste results'!$S$27, "data missing"),
   IF(AND(Calc!BC109=0,Calc!BE109=0),
     IF('Waste results'!$S$63&lt;&gt;"data missing", Calc!BD109*'Waste results'!$S$63, "data missing"),
   IF(AND(Calc!BC109=0,Calc!BD109=0),
     IF('Waste results'!$S$99&lt;&gt;"data missing", Calc!BE109*'Waste results'!$S$99, "data missing"),
   IF(Calc!BE109=0,
     IF(OR('Waste results'!$S$27&lt;&gt;"data missing", 'Waste results'!$S$63&lt;&gt;"data missing"), Calc!BC109*'Waste results'!$S$27+ Calc!BD109*'Waste results'!$S$63, "data missing"),
   IF(Calc!BD109=0,
     IF(OR('Waste results'!$S$27&lt;&gt;"data missing", 'Waste results'!$S$99&lt;&gt;"data missing"), Calc!BC109*'Waste results'!$S$27+ Calc!BE109*'Waste results'!$S$99, "data missing"),
   IF(Calc!BC109=0,
     IF(OR('Waste results'!$S$63&lt;&gt;"data missing", 'Waste results'!$S$99&lt;&gt;"data missing"), Calc!BD109*'Waste results'!$S$63+Calc!BE109*'Waste results'!$S$99, "data missing"),
   IF(OR('Waste results'!$S$27&lt;&gt;"data missing", 'Waste results'!$S$63&lt;&gt;"data missing", 'Waste results'!$S$99&lt;&gt;"data missing"), Calc!BC109*'Waste results'!$S$27+Calc!BD109*'Waste results'!$S$63+ Calc!BE109*'Waste results'!$S$99, "data missing")))))))))))</f>
        <v/>
      </c>
      <c r="AW111" s="239" t="str">
        <f ca="1">IF($B111="","",
IF(ISBLANK('Soil results'!M114),"data missing",'Soil results'!M114))</f>
        <v/>
      </c>
      <c r="AX111" s="239" t="str">
        <f t="shared" ca="1" si="44"/>
        <v/>
      </c>
      <c r="AY111" s="9" t="str">
        <f ca="1">IF(B111="","",
IF(AV111=0,"n/a",
IF(OR(AV111="data missing",AW111="data missing"),"data missing",
IF(AV111&gt;7.5,"application rate too high - permissible rate exceeds limit",
IF('Soil results'!$F114&lt;=5.5,
  IF(AW111&gt;80,"no application - soil conc. already above limit",
  IF(AX111&gt;80,"application rate too high - soil conc. will exceed limit",
  IF(AW111&gt;80*0.9,"soil conc. is at or above 90% of the limit",
  IF(10*AV111*1000/3000+AW111&gt;80,"soil limit likely to be exceeded in 10yrs",
  IF(50*AV111*1000/3000+AW111&gt;80,"soil limit likely to be exceeded in 50yrs","ok"))))),
IF('Soil results'!$F114&lt;=6,
  IF(AW111&gt;100,"no application - soil conc. already above limit",
  IF(AX111&gt;100,"application rate too high - soil conc. will exceed limit",
  IF(AW111&gt;100*0.9,"soil conc. is at or above 90% of the limit",
  IF(10*AV111*1000/3000+AW111&gt;100,"soil limit likely to be exceeded in 10yrs",
  IF(50*AV111*1000/3000+AW111&gt;100,"soil limit likely to be exceeded in 50yrs","ok"))))),
IF('Soil results'!$F114&lt;=7,
  IF(AW111&gt;135,"no application - soil conc. already above limit",
  IF(AX111&gt;135,"application rate too high - soil conc. will exceed limit",
  IF(AW111&gt;135*0.9,"soil conc. is at or above 90% of the limit",
  IF(10*AV111*1000/3000+AW111&gt;135,"soil limit likely to be exceeded in 10yrs",
  IF(50*AV111*1000/3000+AW111&gt;135,"soil limit likely to be exceeded in 50yrs","ok"))))),
IF('Soil results'!$F114&gt;7,
  IF(AW111&gt;200,"no application - soil conc. already above limit",
  IF(AX111&gt;200,"application too high - soil conc. will exceed limit",
  IF(AW111&gt;200*0.9,"soil conc. is at or above 90% of the limit",
  IF(10*AV111*1000/3000+AW111&gt;200,"soil limit likely to be exceeded in 10yrs",
  IF(50*AV111*1000/3000+AW111&gt;200,"soil limit likely to be exceeded in 50yrs","ok")))))
))))))))</f>
        <v/>
      </c>
      <c r="AZ111" s="9"/>
      <c r="BA111" s="238" t="str">
        <f ca="1">IF(B111="","",
IF(AND('Field information 2'!$O$5="", 'Field information 2'!$Q$5=""),
   IF('Waste results'!$S$28&lt;&gt;"data missing", Calc!BC109*'Waste results'!$S$28, "data missing"),
IF('Field information 2'!$Q$5="",
   IF(Calc!BD109=0,
     IF('Waste results'!$S$28&lt;&gt;"data missing", Calc!BC109*'Waste results'!$S$28, "data missing"),
   IF(Calc!BC109=0,
     IF('Waste results'!$S$64&lt;&gt;"data missing", Calc!BD109*'Waste results'!$S$64, "data missing"),
   IF(OR('Waste results'!$S$28&lt;&gt;"data missing", 'Waste results'!$S$64&lt;&gt;"data missing"), Calc!BC109*'Waste results'!$S$28+ Calc!BD109*'Waste results'!$S$64, "data missing"))),
IF(AND('Field information 2'!$M$5&lt;&gt;"", 'Field information 2'!$O$5&lt;&gt;"", 'Field information 2'!$Q$5&lt;&gt;""),
   IF(AND(Calc!BD109=0,Calc!BE109=0),
     IF('Waste results'!$S$28&lt;&gt;"data missing", Calc!BC109*'Waste results'!$S$28, "data missing"),
   IF(AND(Calc!BC109=0,Calc!BE109=0),
     IF('Waste results'!$S$64&lt;&gt;"data missing", Calc!BD109*'Waste results'!$S$64, "data missing"),
   IF(AND(Calc!BC109=0,Calc!BD109=0),
     IF('Waste results'!$S$100&lt;&gt;"data missing", Calc!BE109*'Waste results'!$S$100, "data missing"),
   IF(Calc!BE109=0,
     IF(OR('Waste results'!$S$28&lt;&gt;"data missing", 'Waste results'!$S$64&lt;&gt;"data missing"), Calc!BC109*'Waste results'!$S$28+ Calc!BD109*'Waste results'!$S$64, "data missing"),
   IF(Calc!BD109=0,
     IF(OR('Waste results'!$S$28&lt;&gt;"data missing", 'Waste results'!$S$100&lt;&gt;"data missing"), Calc!BC109*'Waste results'!$S$28+ Calc!BE109*'Waste results'!$S$100, "data missing"),
   IF(Calc!BC109=0,
     IF(OR('Waste results'!$S$64&lt;&gt;"data missing", 'Waste results'!$S$100&lt;&gt;"data missing"), Calc!BD109*'Waste results'!$S$64+Calc!BE109*'Waste results'!$S$100, "data missing"),
   IF(OR('Waste results'!$S$28&lt;&gt;"data missing", 'Waste results'!$S$64&lt;&gt;"data missing", 'Waste results'!$S$100&lt;&gt;"data missing"), Calc!BC109*'Waste results'!$S$28+Calc!BD109*'Waste results'!$S$64+ Calc!BE109*'Waste results'!$S$100, "data missing")))))))))))</f>
        <v/>
      </c>
      <c r="BB111" s="239" t="str">
        <f ca="1">IF($B111="","",
IF(ISBLANK('Soil results'!N114),"data missing",'Soil results'!N114))</f>
        <v/>
      </c>
      <c r="BC111" s="239" t="str">
        <f t="shared" ca="1" si="45"/>
        <v/>
      </c>
      <c r="BD111" s="9" t="str">
        <f t="shared" ca="1" si="46"/>
        <v/>
      </c>
      <c r="BE111" s="9"/>
      <c r="BF111" s="238" t="str">
        <f ca="1">IF(B111="","",
IF(AND('Field information 2'!$O$5="", 'Field information 2'!$Q$5=""),
   IF('Waste results'!$S$29&lt;&gt;"data missing", Calc!BC109*'Waste results'!$S$29, "data missing"),
IF('Field information 2'!$Q$5="",
   IF(Calc!BD109=0,
     IF('Waste results'!$S$29&lt;&gt;"data missing", Calc!BC109*'Waste results'!$S$29, "data missing"),
   IF(Calc!BC109=0,
     IF('Waste results'!$S$65&lt;&gt;"data missing", Calc!BD109*'Waste results'!$S$65, "data missing"),
   IF(OR('Waste results'!$S$29&lt;&gt;"data missing", 'Waste results'!$S$65&lt;&gt;"data missing"), Calc!BC109*'Waste results'!$S$29+ Calc!BD109*'Waste results'!$S$65, "data missing"))),
IF(AND('Field information 2'!$M$5&lt;&gt;"", 'Field information 2'!$O$5&lt;&gt;"", 'Field information 2'!$Q$5&lt;&gt;""),
   IF(AND(Calc!BD109=0,Calc!BE109=0),
     IF('Waste results'!$S$29&lt;&gt;"data missing", Calc!BC109*'Waste results'!$S$29, "data missing"),
   IF(AND(Calc!BC109=0,Calc!BE109=0),
     IF('Waste results'!$S$65&lt;&gt;"data missing", Calc!BD109*'Waste results'!$S$65, "data missing"),
   IF(AND(Calc!BC109=0,Calc!BD109=0),
     IF('Waste results'!$S$101&lt;&gt;"data missing", Calc!BE109*'Waste results'!$S$101, "data missing"),
   IF(Calc!BE109=0,
     IF(OR('Waste results'!$S$29&lt;&gt;"data missing", 'Waste results'!$S$65&lt;&gt;"data missing"), Calc!BC109*'Waste results'!$S$29+ Calc!BD109*'Waste results'!$S$65, "data missing"),
   IF(Calc!BD109=0,
     IF(OR('Waste results'!$S$29&lt;&gt;"data missing", 'Waste results'!$S$101&lt;&gt;"data missing"), Calc!BC109*'Waste results'!$S$29+ Calc!BE109*'Waste results'!$S$101, "data missing"),
   IF(Calc!BC109=0,
     IF(OR('Waste results'!$S$65&lt;&gt;"data missing", 'Waste results'!$S$101&lt;&gt;"data missing"), Calc!BD109*'Waste results'!$S$65+Calc!BE109*'Waste results'!$S$101, "data missing"),
   IF(OR('Waste results'!$S$29&lt;&gt;"data missing", 'Waste results'!$S$65&lt;&gt;"data missing", 'Waste results'!$S$101&lt;&gt;"data missing"), Calc!BC109*'Waste results'!$S$29+Calc!BD109*'Waste results'!$S$65+ Calc!BE109*'Waste results'!$S$101, "data missing")))))))))))</f>
        <v/>
      </c>
      <c r="BG111" s="239" t="str">
        <f ca="1">IF($B111="","",
IF(ISBLANK('Soil results'!O114),"data missing",'Soil results'!O114))</f>
        <v/>
      </c>
      <c r="BH111" s="239" t="str">
        <f t="shared" ca="1" si="47"/>
        <v/>
      </c>
      <c r="BI111" s="9" t="str">
        <f ca="1">IF(B111="","",
IF(BF111=0,"n/a",
IF(OR(BF111="data missing",BG111="data missing"),"data missing",
IF(BF111&gt;3,"application rate too high - permissible rate exceeds limit",
IF('Soil results'!F114&lt;=5.5,
  IF(BG111&gt;50,"no application - soil conc. already above limit",
  IF(BH111&gt;50,"application rate too high - soil conc. will exceed limit",
  IF(BG111&gt;50*0.9,"soil conc. is at or above 90% of the limit",
  IF(10*BF111*1000/3000+BG111&gt;50,"soil limit likely to be exceeded in 10yrs",
  IF(50*BF111*1000/3000+BG111&gt;50,"soil limit likely to be exceeded in 50yrs","ok"))))),
IF('Soil results'!F114&lt;=6,
  IF(BG111&gt;60,"no application - soil conc. already above limit",
  IF(BH111&gt;60,"application rate too high - soil conc. will exceed limit",
  IF(BG111&gt;60*0.9,"soil conc. is at or above 90% of the limit",
  IF(10*BF111*1000/3000+BG111&gt;60,"soil limit likely to be exceeded in 10yrs",
  IF(50*BF111*1000/3000+BG111&gt;60,"soil limit likely to be exceeded in 50yrs","ok"))))),
IF('Soil results'!F114&lt;=7,
  IF(BG111&gt;75,"no application - soil conc. already above limit",
  IF(BH111&gt;75,"application rate too high - soil conc. will exceed limit",
  IF(BG111&gt;75*0.9,"soil conc. is at or above 90% of the limit",
  IF(10*BF111*1000/3000+BG111&gt;75,"soil limit likely to be exceeded in 10yrs",
  IF(50*BF111*1000/3000+BG111&gt;75,"soil limit likely to be exceeded in 50yrs","ok"))))),
IF('Soil results'!F114&gt;7,
  IF(BG111&gt;100,"no application - soil conc. already above limit",
  IF(BH111&gt;100,"application rate too high - soil conc. will exceed limit",
  IF(BG111&gt;100*0.9,"soil conc. is at or above 90% of the limit",
  IF(10*BF111*1000/3000+BG111&gt;100,"soil limit likely to be exceeded in 10yrs",
  IF(50*BF111*1000/3000+BG111&gt;100,"soil limit likely to beexceeded in 50yrs","ok")))))
))))))))</f>
        <v/>
      </c>
      <c r="BJ111" s="9"/>
      <c r="BK111" s="240" t="str">
        <f ca="1">IF(B111="","",
IF(AND('Field information 2'!$O$5="", 'Field information 2'!$Q$5=""),
   IF('Waste results'!$S$30&lt;&gt;"data missing", Calc!BC109*'Waste results'!$S$30, "data missing"),
IF('Field information 2'!$Q$5="",
   IF(Calc!BD109=0,
     IF('Waste results'!$S$30&lt;&gt;"data missing", Calc!BC109*'Waste results'!$S$30, "data missing"),
   IF(Calc!BC109=0,
     IF('Waste results'!$S$66&lt;&gt;"data missing", Calc!BD109*'Waste results'!$S$66, "data missing"),
   IF(OR('Waste results'!$S$30&lt;&gt;"data missing", 'Waste results'!$S$66&lt;&gt;"data missing"), Calc!BC109*'Waste results'!$S$30+ Calc!BD109*'Waste results'!$S$66, "data missing"))),
IF(AND('Field information 2'!$M$5&lt;&gt;"", 'Field information 2'!$O$5&lt;&gt;"", 'Field information 2'!$Q$5&lt;&gt;""),
   IF(AND(Calc!BD109=0,Calc!BE109=0),
     IF('Waste results'!$S$30&lt;&gt;"data missing", Calc!BC109*'Waste results'!$S$30, "data missing"),
   IF(AND(Calc!BC109=0,Calc!BE109=0),
     IF('Waste results'!$S$66&lt;&gt;"data missing", Calc!BD109*'Waste results'!$S$66, "data missing"),
   IF(AND(Calc!BC109=0,Calc!BD109=0),
     IF('Waste results'!$S$102&lt;&gt;"data missing", Calc!BE109*'Waste results'!$S$102, "data missing"),
   IF(Calc!BE109=0,
     IF(OR('Waste results'!$S$30&lt;&gt;"data missing", 'Waste results'!$S$66&lt;&gt;"data missing"), Calc!BC109*'Waste results'!$S$30+ Calc!BD109*'Waste results'!$S$66, "data missing"),
   IF(Calc!BD109=0,
     IF(OR('Waste results'!$S$30&lt;&gt;"data missing", 'Waste results'!$S$102&lt;&gt;"data missing"), Calc!BC109*'Waste results'!$S$30+ Calc!BE109*'Waste results'!$S$102, "data missing"),
   IF(Calc!BC109=0,
     IF(OR('Waste results'!$S$66&lt;&gt;"data missing", 'Waste results'!$S$102&lt;&gt;"data missing"), Calc!BD109*'Waste results'!$S$66+Calc!BE109*'Waste results'!$S$102, "data missing"),
   IF(OR('Waste results'!$S$30&lt;&gt;"data missing", 'Waste results'!$S$66&lt;&gt;"data missing", 'Waste results'!$S$102&lt;&gt;"data missing"), Calc!BC109*'Waste results'!$S$30+Calc!BD109*'Waste results'!$S$66+ Calc!BE109*'Waste results'!$S$102, "data missing")))))))))))</f>
        <v/>
      </c>
      <c r="BL111" s="241" t="str">
        <f ca="1">IF($B111="","",
IF(ISBLANK('Soil results'!P114),"data missing",'Soil results'!P114))</f>
        <v/>
      </c>
      <c r="BM111" s="241" t="str">
        <f t="shared" ca="1" si="48"/>
        <v/>
      </c>
      <c r="BN111" s="66" t="str">
        <f t="shared" ca="1" si="49"/>
        <v/>
      </c>
      <c r="BO111" s="9"/>
      <c r="BP111" s="238" t="str">
        <f ca="1">IF(B111="","",
IF(AND('Field information 2'!$O$5="", 'Field information 2'!$Q$5=""),
   IF('Waste results'!$S$31&lt;&gt;"data missing", Calc!BC109*'Waste results'!$S$31, "data missing"),
IF('Field information 2'!$Q$5="",
   IF(Calc!BD109=0,
     IF('Waste results'!$S$31&lt;&gt;"data missing", Calc!BC109*'Waste results'!$S$31, "data missing"),
   IF(Calc!BC109=0,
     IF('Waste results'!$S$67&lt;&gt;"data missing", Calc!BD109*'Waste results'!$S$67, "data missing"),
   IF(OR('Waste results'!$S$31&lt;&gt;"data missing", 'Waste results'!$S$67&lt;&gt;"data missing"), Calc!BC109*'Waste results'!$S$31+ Calc!BD109*'Waste results'!$S$67, "data missing"))),
IF(AND('Field information 2'!$M$5&lt;&gt;"", 'Field information 2'!$O$5&lt;&gt;"", 'Field information 2'!$Q$5&lt;&gt;""),
   IF(AND(Calc!BD109=0,Calc!BE109=0),
     IF('Waste results'!$S$31&lt;&gt;"data missing", Calc!BC109*'Waste results'!$S$31, "data missing"),
   IF(AND(Calc!BC109=0,Calc!BE109=0),
     IF('Waste results'!$S$67&lt;&gt;"data missing", Calc!BD109*'Waste results'!$S$67, "data missing"),
   IF(AND(Calc!BC109=0,Calc!BD109=0),
     IF('Waste results'!$S$103&lt;&gt;"data missing", Calc!BE109*'Waste results'!$S$103, "data missing"),
   IF(Calc!BE109=0,
     IF(OR('Waste results'!$S$31&lt;&gt;"data missing", 'Waste results'!$S$67&lt;&gt;"data missing"), Calc!BC109*'Waste results'!$S$31+ Calc!BD109*'Waste results'!$S$67, "data missing"),
   IF(Calc!BD109=0,
     IF(OR('Waste results'!$S$31&lt;&gt;"data missing", 'Waste results'!$S$103&lt;&gt;"data missing"), Calc!BC109*'Waste results'!$S$31+ Calc!BE109*'Waste results'!$S$103, "data missing"),
   IF(Calc!BC109=0,
     IF(OR('Waste results'!$S$67&lt;&gt;"data missing", 'Waste results'!$S$103&lt;&gt;"data missing"), Calc!BD109*'Waste results'!$S$67+Calc!BE109*'Waste results'!$S$103, "data missing"),
   IF(OR('Waste results'!$S$31&lt;&gt;"data missing", 'Waste results'!$S$67&lt;&gt;"data missing", 'Waste results'!$S$103&lt;&gt;"data missing"), Calc!BC109*'Waste results'!$S$31+Calc!BD109*'Waste results'!$S$67+ Calc!BE109*'Waste results'!$S$103, "data missing")))))))))))</f>
        <v/>
      </c>
      <c r="BQ111" s="239" t="str">
        <f ca="1">IF($B111="","",
IF(ISBLANK('Soil results'!Q114),"data missing",'Soil results'!Q114))</f>
        <v/>
      </c>
      <c r="BR111" s="239" t="str">
        <f t="shared" ca="1" si="50"/>
        <v/>
      </c>
      <c r="BS111" s="9" t="str">
        <f ca="1">IF(B111="","",
IF(BP111=0,"n/a",
IF(OR(BP111="data missing",BQ111=""),"data missing",
IF(BP111&gt;15,"application rate too high - permissible rate exceeds limit",
IF('Soil results'!F114&lt;=5.5,
  IF(BQ111&gt;200,"no application - soil conc. already above limit",
  IF(BR111&gt;200,"application rate too high - soil conc. will exceed limit",
  IF(BQ111&gt;200*0.9,"soil conc. is at or above 90% of the limit",
  IF(10*BP111*1000/3000+BQ111&gt;200,"soil limit likely to be exceeded in 10yrs",
  IF(50*BP111*1000/3000+BQ111&gt;200,"soil limit likely to be exceeded in 50yrs","ok"))))),
IF('Soil results'!F114&lt;=6,
  IF(BQ111&gt;250,"no application - soil conc. already above limit",
  IF(BR111&gt;250,"application rate too high - soil conc. will exceed limit",
  IF(BQ111&gt;250*0.9,"soil conc. is at or above 90% of the limit",
  IF(10*BP111*1000/3000+BQ111&gt;250,"soil limit likely to be exceeded in 10yrs",
  IF(50*BP111*1000/3000+BQ111&gt;250,"soil limit likely to be exceeded in 50yrs","ok"))))),
IF('Soil results'!F114&lt;=7,
  IF(BQ111&gt;300,"no application - soil conc. already above limit",
  IF(BR111&gt;300,"application rate too high - soil conc. will exceed limit",
  IF(BQ111&gt;300*0.9,"soil conc. is at or above 90% of the limit",
  IF(10*BP111*1000/3000+BQ111&gt;300,"soil limit likey to be exceeded in 10yrs",
  IF(50*BP111*1000/3000+BQ111&gt;300,"soil limit likely to be exceeded in 50yrs","ok"))))),
IF('Soil results'!F114&gt;7,
  IF(BQ111&gt;450,"no application - soil conc. already above limit",
  IF(BR111&gt;450,"application rate too high - soil conc. will exceed limit",
  IF(AW111&gt;450*0.9,"soil conc. is at or above 90% of the limit",
  IF(10*BP111*1000/3000+BQ111&gt;450,"soil limit likely to be exceeded in 10yrs",
  IF(50*BP111*1000/3000+BQ111&gt;450,"soil limit likely to be exceeded in 50yrs","ok")))))
))))))))</f>
        <v/>
      </c>
    </row>
    <row r="112" spans="2:71" ht="15" x14ac:dyDescent="0.25">
      <c r="B112" s="236" t="str">
        <f ca="1">'Soil results'!B115</f>
        <v/>
      </c>
      <c r="C112" s="91" t="str">
        <f ca="1">IF(B112="","",
IF(AND('Field information 2'!$O$5="", 'Field information 2'!$Q$5=""),
   IF('Waste results'!$S$12&lt;&gt;"data missing", Calc!BC110*'Waste results'!$S$12, "data missing"),
IF('Field information 2'!$Q$5="",
   IF(Calc!BD110=0,
     IF('Waste results'!$S$12&lt;&gt;"data missing", Calc!BC110*'Waste results'!$S$12, "data missing"),
   IF(Calc!BC110=0,
     IF('Waste results'!$S$48&lt;&gt;"data missing", Calc!BD110*'Waste results'!$S$48, "data missing"),
   IF(OR('Waste results'!$S$12&lt;&gt;"data missing", 'Waste results'!$S$48&lt;&gt;"data missing"), Calc!BC110*'Waste results'!$S$12+ Calc!BD110*'Waste results'!$S$48, "data missing"))),
IF(AND('Field information 2'!$M$5&lt;&gt;"", 'Field information 2'!$O$5&lt;&gt;"", 'Field information 2'!$Q$5&lt;&gt;""),
   IF(AND(Calc!BD110=0,Calc!BE110=0),
     IF('Waste results'!$S$12&lt;&gt;"data missing", Calc!BC110*'Waste results'!$S$12, "data missing"),
   IF(AND(Calc!BC110=0,Calc!BE110=0),
     IF('Waste results'!$S$48&lt;&gt;"data missing", Calc!BD110*'Waste results'!$S$48, "data missing"),
   IF(AND(Calc!BC110=0,Calc!BD110=0),
     IF('Waste results'!$S$84&lt;&gt;"data missing", Calc!BE110*'Waste results'!$S$84, "data missing"),
   IF(Calc!BE110=0,
     IF(OR('Waste results'!$S$12&lt;&gt;"data missing", 'Waste results'!$S$48&lt;&gt;"data missing"), Calc!BC110*'Waste results'!$S$12+ Calc!BD110*'Waste results'!$S$48, "data missing"),
   IF(Calc!BD110=0,
     IF(OR('Waste results'!$S$12&lt;&gt;"data missing", 'Waste results'!$S$84&lt;&gt;"data missing"), Calc!BC110*'Waste results'!$S$12+ Calc!BE110*'Waste results'!$S$84, "data missing"),
   IF(Calc!BC110=0,
     IF(OR('Waste results'!$S$48&lt;&gt;"data missing", 'Waste results'!$S$84&lt;&gt;"data missing"), Calc!BD110*'Waste results'!$S$48+Calc!BE110*'Waste results'!$S$84, "data missing"),
   IF(OR('Waste results'!$S$12&lt;&gt;"data missing", 'Waste results'!$S$48&lt;&gt;"data missing", 'Waste results'!$S$84&lt;&gt;"data missing"), Calc!BC110*'Waste results'!$S$12+Calc!BD110*'Waste results'!$S$48+ Calc!BE110*'Waste results'!$S$84, "data missing")))))))))))</f>
        <v/>
      </c>
      <c r="D112" s="161" t="str">
        <f ca="1">IF(B112="","",
IF(Calc!BG110="","soil texture missing",
IF(OR(Calc!BG110="SL; SZL; ZL",Calc!BG110="SCL; CL; ZCL; SC; ZC; C"),VLOOKUP(Calc!BI110,'Fertiliser recommendations'!$A$4:$C$63,3,FALSE),
IF(Calc!BG110="S; LS",VLOOKUP(Calc!BI110,'Fertiliser recommendations'!$A$4:$C$63,3,FALSE)+VLOOKUP(Calc!BI110,'Fertiliser recommendations'!$A$4:$D$63,4,FALSE),
IF(Calc!BG110="10-25% OM",VLOOKUP(Calc!BI110,'Fertiliser recommendations'!$A$4:$C$63,3,FALSE)+VLOOKUP(Calc!BI110,'Fertiliser recommendations'!$A$4:$E$63,5,FALSE),
IF(Calc!BG110="&gt;25% OM",VLOOKUP(Calc!BI110,'Fertiliser recommendations'!$A$4:$C$63,3,FALSE)+VLOOKUP(Calc!BI110,'Fertiliser recommendations'!$A$4:$F$63,6,FALSE),
""))))))</f>
        <v/>
      </c>
      <c r="E112" s="91" t="str">
        <f t="shared" ca="1" si="34"/>
        <v/>
      </c>
      <c r="F112" s="9" t="str">
        <f ca="1">IF(B112="","",
IF(OR(C112="data missing",D112="soil texture missing"),"data missing",
IF(Calc!BF110=0,"n/a",
IF(C112&lt;0.1*D112,"no benefit",
IF(C112&lt;0.3*D112,"limited benefit",
IF(C112&gt;250,"exceeds limit",
IF(OR(AND(D112=0,C112&gt;75),C112&gt;1.25*D112),"excessive",
IF(D112=0, "no requirement",
"benefit"))))))))</f>
        <v/>
      </c>
      <c r="G112" s="9"/>
      <c r="H112" s="91" t="str">
        <f ca="1">IF(B112="","",
IF(AND('Field information 2'!$O$5="", 'Field information 2'!$Q$5=""),
   IF('Waste results'!$S$17&lt;&gt;"data missing", Calc!BC110*'Waste results'!$S$17, "data missing"),
IF('Field information 2'!$Q$5="",
   IF(Calc!BD110=0,
     IF('Waste results'!$S$17&lt;&gt;"data missing", Calc!BC110*'Waste results'!$S$17, "data missing"),
   IF(Calc!BC110=0,
     IF('Waste results'!$S$53&lt;&gt;"data missing", Calc!BD110*'Waste results'!$S$53, "data missing"),
   IF(OR('Waste results'!$S$17&lt;&gt;"data missing", 'Waste results'!$S$53&lt;&gt;"data missing"), Calc!BC110*'Waste results'!$S$17+ Calc!BD110*'Waste results'!$S$53, "data missing"))),
IF(AND('Field information 2'!$M$5&lt;&gt;"", 'Field information 2'!$O$5&lt;&gt;"", 'Field information 2'!$Q$5&lt;&gt;""),
   IF(AND(Calc!BD110=0,Calc!BE110=0),
     IF('Waste results'!$S$17&lt;&gt;"data missing", Calc!BC110*'Waste results'!$S$17, "data missing"),
   IF(AND(Calc!BC110=0,Calc!BE110=0),
     IF('Waste results'!$S$53&lt;&gt;"data missing", Calc!BD110*'Waste results'!$S$53, "data missing"),
   IF(AND(Calc!BC110=0,Calc!BD110=0),
     IF('Waste results'!$S$89&lt;&gt;"data missing", Calc!BE110*'Waste results'!$S$89, "data missing"),
   IF(Calc!BE110=0,
     IF(OR('Waste results'!$S$17&lt;&gt;"data missing", 'Waste results'!$S$53&lt;&gt;"data missing"), Calc!BC110*'Waste results'!$S$17+ Calc!BD110*'Waste results'!$S$53, "data missing"),
   IF(Calc!BD110=0,
     IF(OR('Waste results'!$S$17&lt;&gt;"data missing", 'Waste results'!$S$89&lt;&gt;"data missing"), Calc!BC110*'Waste results'!$S$17+ Calc!BE110*'Waste results'!$S$89, "data missing"),
   IF(Calc!BC110=0,
     IF(OR('Waste results'!$S$53&lt;&gt;"data missing", 'Waste results'!$S$89&lt;&gt;"data missing"), Calc!BD110*'Waste results'!$S$53+Calc!BE110*'Waste results'!$S$89, "data missing"),
   IF(OR('Waste results'!$S$17&lt;&gt;"data missing", 'Waste results'!$S$53&lt;&gt;"data missing", 'Waste results'!$S$89&lt;&gt;"data missing"), Calc!BC110*'Waste results'!$S$17+Calc!BD110*'Waste results'!$S$53+ Calc!BE110*'Waste results'!$S$89, "data missing")))))))))))</f>
        <v/>
      </c>
      <c r="I112" s="195" t="str">
        <f ca="1">IF(B112="","",
IF(OR(ISBLANK('Soil results'!G115), ISBLANK('Soil results'!G$7)),"data missing",
IF(OR(AND('Soil results'!G$7="Olsen (ADAS)",'Soil results'!G115&lt;16),AND('Soil results'!G$7="modified Morgan (SAC)",'Soil results'!G115&lt;4.5)),50,100)))</f>
        <v/>
      </c>
      <c r="J112" s="49" t="str">
        <f ca="1">IF(B112="","",
IF(OR(ISBLANK('Soil results'!G$7),ISBLANK('Soil results'!G115)),"data missing",
IF(OR(AND('Soil results'!G$7="Olsen (ADAS)",'Soil results'!G115&gt;45),AND('Soil results'!G$7="modified Morgan (SAC)",'Soil results'!G115&gt;30)),0,
IF(OR(AND('Soil results'!G$7="Olsen (ADAS)",'Soil results'!G115&gt;=16,'Soil results'!G115&lt;=20),AND('Soil results'!G$7="modified Morgan (SAC)",'Soil results'!G115&gt;=4.5,'Soil results'!G115&lt;=9.4)),VLOOKUP(Calc!BI110,'Fertiliser recommendations'!$A$4:$I$63,9,FALSE),
IF(OR(AND('Soil results'!G$7="Olsen (ADAS)",'Soil results'!G115&lt;10),AND('Soil results'!G$7="modified Morgan (SAC)",'Soil results'!G115&lt;1.8)),VLOOKUP(Calc!BI110,'Fertiliser recommendations'!$A$4:$I$63,9,FALSE)+VLOOKUP(Calc!BI110,'Fertiliser recommendations'!$A$4:$J$63,10,FALSE),
IF(OR(AND('Soil results'!G$7="Olsen (ADAS)",'Soil results'!G115&lt;16),AND('Soil results'!G$7="modified Morgan (SAC)",'Soil results'!G115&lt;4.5)),VLOOKUP(Calc!BI110,'Fertiliser recommendations'!$A$4:$I$63,9,FALSE)+VLOOKUP(Calc!BI110,'Fertiliser recommendations'!$A$4:$K$63,11,FALSE),
IF(OR(AND('Soil results'!G$7="Olsen (ADAS)",'Soil results'!G115&lt;26),AND('Soil results'!G$7="modified Morgan (SAC)",'Soil results'!G115&lt;13.5)),VLOOKUP(Calc!BI110,'Fertiliser recommendations'!$A$4:$I$63,9,FALSE)+VLOOKUP(Calc!BI110,'Fertiliser recommendations'!$A$4:$L$63,12,FALSE),
IF(OR(AND('Soil results'!G$7="Olsen (ADAS)",'Soil results'!G115&lt;=45),AND('Soil results'!G$7="modified Morgan (SAC)",'Soil results'!G115&lt;=30)),VLOOKUP(Calc!BI110,'Fertiliser recommendations'!$A$4:$I$63,9,FALSE)+VLOOKUP(Calc!BI110,'Fertiliser recommendations'!$A$4:$M$63,13,FALSE),
""))))))))</f>
        <v/>
      </c>
      <c r="K112" s="161" t="str">
        <f t="shared" ca="1" si="35"/>
        <v/>
      </c>
      <c r="L112" s="47" t="str">
        <f ca="1">IF(OR(ISBLANK('Soil results'!G$7),ISBLANK('Soil results'!G115),B112="", H112="data missing"),"",
IF('Soil results'!G$7="Olsen (ADAS)",
IF(((H112*Calc!BM110/2.291-(VLOOKUP(Calc!BI110,'Fertiliser recommendations'!$A$4:$I$63,9,FALSE))/2.291)*10/(400/2.291)+'Soil results'!G115)&lt;10,"0 (VL)",
IF(((H112*Calc!BM110/2.291-(VLOOKUP(Calc!BI110,'Fertiliser recommendations'!$A$4:$I$63,9,FALSE))/2.291)*10/(400/2.291)+'Soil results'!G115)&lt;16,"1 (L)",
IF(((H112*Calc!BM110/2.291-(VLOOKUP(Calc!BI110,'Fertiliser recommendations'!$A$4:$I$63,9,FALSE))/2.291)*10/(400/2.291)+'Soil results'!G115)&lt;21,"2 (M-)",
IF(((H112*Calc!BM110/2.291-(VLOOKUP(Calc!BI110,'Fertiliser recommendations'!$A$4:$I$63,9,FALSE))/2.291)*10/(400/2.291)+'Soil results'!G115)&lt;26,"2 (M+)",
IF(((H112*Calc!BM110/2.291-(VLOOKUP(Calc!BI110,'Fertiliser recommendations'!$A$4:$I$63,9,FALSE))/2.291)*10/(400/2.291)+'Soil results'!G115)&lt;45,"3 (H)","&gt;3 (VH)"))))),
IF('Soil results'!G$7="modified Morgan (SAC)",
IF('Soil results'!G115&gt;=6,
IF(((H112*Calc!BM110/2.291-(VLOOKUP(Calc!BI110,'Fertiliser recommendations'!$A$4:$I$63,9,FALSE))/2.291)*5/(147/2.291)+'Soil results'!G115)&lt;9.5,"2 (M-)",
IF(((H112*Calc!BM110/2.291-(VLOOKUP(Calc!BI110,'Fertiliser recommendations'!$A$4:$I$63,9,FALSE))/2.291)*5/(147/2.291)+'Soil results'!G115)&lt;13.5,"2 (M+)",
IF(((H112*Calc!BM110/2.291-(VLOOKUP(Calc!BI110,'Fertiliser recommendations'!$A$4:$I$63,9,FALSE))/2.291)*5/(147/2.291)+'Soil results'!G115)&lt;30,"3 (H)","4 (VH)"))),
IF(((H112*Calc!BM110/2.291-(VLOOKUP(Calc!BI110,'Fertiliser recommendations'!$A$4:$I$63,9,FALSE))/2.291)*5/(346/2.291)+'Soil results'!G115)&lt;1.8,"0 (VL)",
IF(((H112*Calc!BM110/2.291-(VLOOKUP(Calc!BI110,'Fertiliser recommendations'!$A$4:$I$63,9,FALSE))/2.291)*5/(147/2.291)+'Soil results'!G115)&lt;4.5,"1 (L)","2 (M-)"))))))</f>
        <v/>
      </c>
      <c r="M112" s="9" t="str">
        <f ca="1">IF(B112="","",
IF(OR(H112="data missing",I112="data missing",J112="data missing"),"data missing",
IF(Calc!BF110=0,"n/a",
IF(OR(AND('Soil results'!G$7="Olsen (ADAS)",'Soil results'!G115&gt;45),AND('Soil results'!G$7="modified Morgan (SAC)",'Soil results'!G115&gt;30)),
IF(H112&gt;2,"too high, not acceptable","no requirement"),IF(OR(AND('Soil results'!G$7="Olsen (ADAS)",'Soil results'!G115&gt;25),AND('Soil results'!G$7="modified Morgan (SAC)",'Soil results'!G115&gt;13.4)),
IF(H112*(I112/100)&lt;0.1*J112,"no benefit",
IF(H112*(I112/100)&lt;0.3*J112,"limited benefit",
IF(H112*(I112/100)&lt;1.1*J112,"benefit",
IF(H112*(I112/100)&lt;0.7*VLOOKUP(Calc!BI110,'Fertiliser recommendations'!$A$4:$I$63,9,FALSE),"excessive","too high, not acceptable")))),
IF(OR(AND('Soil results'!G$7="Olsen (ADAS)",'Soil results'!G115&gt;20),AND('Soil results'!G$7="modified Morgan (SAC)",'Soil results'!G115&gt;9.4)),
IF(H112*Calc!BM110*(I112/100)&lt;0.1*J112,"no benefit",
IF(H112*Calc!BM110*(I112/100)&lt;0.3*J112,"limited benefit",
IF(H112*Calc!BM110*(I112/100)&lt;1.1*J112,"benefit",
IF(L112="3 (H)","too high, not acceptable","excessive")))),
IF(OR(AND('Soil results'!G$7="Olsen (ADAS)",'Soil results'!G115&gt;15),AND('Soil results'!G$7="modified Morgan (SAC)",'Soil results'!G115&gt;4.4)),
IF(H112*Calc!BM110*(I112/100)&lt;0.1*VLOOKUP(Calc!BI110,'Fertiliser recommendations'!$A$4:$I$63,9,FALSE),"no benefit",
IF(H112*Calc!BM110*(I112/100)&lt;0.3*VLOOKUP(Calc!BI110,'Fertiliser recommendations'!$A$4:$I$63,9,FALSE),"limited benefit",
IF(H112*Calc!BM110*(I112/100)&lt;1.1*VLOOKUP(Calc!BI110,'Fertiliser recommendations'!$A$4:$I$63,9,FALSE),"benefit",
IF(L112="3 (H)", "too high, not acceptable", "excessive")))),
IF(OR(AND('Soil results'!G$7="Olsen (ADAS)",'Soil results'!G115&lt;=15),AND('Soil results'!G$7="modified Morgan (SAC)",'Soil results'!G115&lt;=4.4)),
IF(H112*Calc!BM110*(I112/100)&lt;0.1*VLOOKUP(Calc!BI110,'Fertiliser recommendations'!$A$4:$I$63,9,FALSE),"no benefit",
IF(H112*Calc!BM110*(I112/100)&lt;0.3*VLOOKUP(Calc!BI110,'Fertiliser recommendations'!$A$4:$I$63,9,FALSE),"limited benefit",
IF(H112*Calc!BM110*(I112/100)&lt;1.1*J112,"benefit","excessive")))))))))))</f>
        <v/>
      </c>
      <c r="N112" s="9"/>
      <c r="O112" s="91" t="str">
        <f ca="1">IF(B112="","",
IF(AND('Field information 2'!$O$5="", 'Field information 2'!$Q$5=""),
   IF('Waste results'!$S$19&lt;&gt;"data missing", Calc!BC110*'Waste results'!$S$19, "data missing"),
IF('Field information 2'!$Q$5="",
   IF(Calc!BD110=0,
     IF('Waste results'!$S$19&lt;&gt;"data missing", Calc!BC110*'Waste results'!$S$19, "data missing"),
   IF(Calc!BC110=0,
     IF('Waste results'!$S$55&lt;&gt;"data missing", Calc!BD110*'Waste results'!$S$55, "data missing"),
   IF(OR('Waste results'!$S$19&lt;&gt;"data missing", 'Waste results'!$S$55&lt;&gt;"data missing"), Calc!BC110*'Waste results'!$S$19+ Calc!BD110*'Waste results'!$S$55, "data missing"))),
IF(AND('Field information 2'!$M$5&lt;&gt;"", 'Field information 2'!$O$5&lt;&gt;"", 'Field information 2'!$Q$5&lt;&gt;""),
   IF(AND(Calc!BD110=0,Calc!BE110=0),
     IF('Waste results'!$S$19&lt;&gt;"data missing", Calc!BC110*'Waste results'!$S$19, "data missing"),
   IF(AND(Calc!BC110=0,Calc!BE110=0),
     IF('Waste results'!$S$55&lt;&gt;"data missing", Calc!BD110*'Waste results'!$S$55, "data missing"),
   IF(AND(Calc!BC110=0,Calc!BD110=0),
     IF('Waste results'!$S$91&lt;&gt;"data missing", Calc!BE110*'Waste results'!$S$91, "data missing"),
   IF(Calc!BE110=0,
     IF(OR('Waste results'!$S$19&lt;&gt;"data missing", 'Waste results'!$S$55&lt;&gt;"data missing"), Calc!BC110*'Waste results'!$S$19+ Calc!BD110*'Waste results'!$S$55, "data missing"),
   IF(Calc!BD110=0,
     IF(OR('Waste results'!$S$19&lt;&gt;"data missing", 'Waste results'!$S$91&lt;&gt;"data missing"), Calc!BC110*'Waste results'!$S$19+ Calc!BE110*'Waste results'!$S$91, "data missing"),
   IF(Calc!BC110=0,
     IF(OR('Waste results'!$S$55&lt;&gt;"data missing", 'Waste results'!$S$91&lt;&gt;"data missing"), Calc!BD110*'Waste results'!$S$55+Calc!BE110*'Waste results'!$S$91, "data missing"),
   IF(OR('Waste results'!$S$19&lt;&gt;"data missing", 'Waste results'!$S$55&lt;&gt;"data missing", 'Waste results'!$S$91&lt;&gt;"data missing"), Calc!BC110*'Waste results'!$S$19+Calc!BD110*'Waste results'!$S$55+ Calc!BE110*'Waste results'!$S$91, "data missing")))))))))))</f>
        <v/>
      </c>
      <c r="P112" s="91" t="str">
        <f ca="1">IF(B112="","",
IF(OR(ISBLANK('Soil results'!H$7),ISBLANK('Soil results'!H115)),"data missing",
IF(OR(AND('Soil results'!H$7="ammonium nitrate (ADAS)",'Soil results'!H115&gt;400),AND('Soil results'!H$7="modified Morgan (SAC)",'Soil results'!H115&gt;400)),0,
IF(OR(AND('Soil results'!H$7="ammonium nitrate (ADAS)",'Soil results'!H115&gt;=121,'Soil results'!H115&lt;=180),AND('Soil results'!H$7="modified Morgan (SAC)",'Soil results'!H115&gt;=76,'Soil results'!H115&lt;=140)),VLOOKUP(Calc!BI110,'Fertiliser recommendations'!$A$4:$Z$63,26,FALSE),
IF(OR(AND('Soil results'!H$7="ammonium nitrate (ADAS)",'Soil results'!H115&lt;61),AND('Soil results'!H$7="modified Morgan (SAC)",'Soil results'!H115&lt;40)),VLOOKUP(Calc!BI110,'Fertiliser recommendations'!$A$4:$Z$63,26,FALSE)+VLOOKUP(Calc!BI110,'Fertiliser recommendations'!$A$4:$AA$63,27,FALSE),
IF(OR(AND('Soil results'!H$7="ammonium nitrate (ADAS)",'Soil results'!H115&lt;121),AND('Soil results'!H$7="modified Morgan (SAC)",'Soil results'!H115&lt;76)),VLOOKUP(Calc!BI110,'Fertiliser recommendations'!$A$4:$Z$63,26,FALSE)+VLOOKUP(Calc!BI110,'Fertiliser recommendations'!$A$4:$AB$63,28,FALSE),
IF(OR(AND('Soil results'!H$7="ammonium nitrate (ADAS)",'Soil results'!H115&lt;241),AND('Soil results'!H$7="modified Morgan (SAC)",'Soil results'!H115&lt;201)),VLOOKUP(Calc!BI110,'Fertiliser recommendations'!$A$4:$Z$63,26,FALSE)+VLOOKUP(Calc!BI110,'Fertiliser recommendations'!$A$4:$AC$63,29,FALSE),
IF(OR(AND('Soil results'!H$7="ammonium nitrate (ADAS)",'Soil results'!H115&lt;=400),AND('Soil results'!H$7="modified Morgan (SAC)",'Soil results'!H115&lt;=400)),VLOOKUP(Calc!BI110,'Fertiliser recommendations'!$A$4:$Z$63,26,FALSE)+VLOOKUP(Calc!BI110,'Fertiliser recommendations'!$A$4:$AD$63,30,FALSE),
"??"))))))))</f>
        <v/>
      </c>
      <c r="Q112" s="91" t="str">
        <f t="shared" ca="1" si="36"/>
        <v/>
      </c>
      <c r="R112" s="9" t="str">
        <f ca="1">IF(B112="","",
IF(OR(O112="data missing",P112="data missing"),"data missing",
IF(Calc!BF110=0,"n/a",
IF(P112=0, "no requirement",
IF(O112&lt;0.1*P112,"no benefit",
IF(O112&lt;0.3*P112,"limited benefit",
IF(O112&gt;1.25*P112,"excessive",
"benefit")))))))</f>
        <v/>
      </c>
      <c r="S112" s="9"/>
      <c r="T112" s="91" t="str">
        <f ca="1">IF(B112="","",
IF(AND('Field information 2'!$O$5="", 'Field information 2'!$Q$5=""),
   IF('Waste results'!$S$21&lt;&gt;"data missing", Calc!BC110*'Waste results'!$S$21, "data missing"),
IF('Field information 2'!$Q$5="",
   IF(Calc!BD110=0,
     IF('Waste results'!$S$21&lt;&gt;"data missing", Calc!BC110*'Waste results'!$S$21, "data missing"),
   IF(Calc!BC110=0,
     IF('Waste results'!$S$57&lt;&gt;"data missing", Calc!BD110*'Waste results'!$S$57, "data missing"),
   IF(OR('Waste results'!$S$21&lt;&gt;"data missing", 'Waste results'!$S$57&lt;&gt;"data missing"), Calc!BC110*'Waste results'!$S$21+ Calc!BD110*'Waste results'!$S$57, "data missing"))),
IF(AND('Field information 2'!$M$5&lt;&gt;"", 'Field information 2'!$O$5&lt;&gt;"", 'Field information 2'!$Q$5&lt;&gt;""),
   IF(AND(Calc!BD110=0,Calc!BE110=0),
     IF('Waste results'!$S$21&lt;&gt;"data missing", Calc!BC110*'Waste results'!$S$21, "data missing"),
   IF(AND(Calc!BC110=0,Calc!BE110=0),
     IF('Waste results'!$S$57&lt;&gt;"data missing", Calc!BD110*'Waste results'!$S$57, "data missing"),
   IF(AND(Calc!BC110=0,Calc!BD110=0),
     IF('Waste results'!$S$93&lt;&gt;"data missing", Calc!BE110*'Waste results'!$S$93, "data missing"),
   IF(Calc!BE110=0,
     IF(OR('Waste results'!$S$21&lt;&gt;"data missing", 'Waste results'!$S$57&lt;&gt;"data missing"), Calc!BC110*'Waste results'!$S$21+ Calc!BD110*'Waste results'!$S$57, "data missing"),
   IF(Calc!BD110=0,
     IF(OR('Waste results'!$S$21&lt;&gt;"data missing", 'Waste results'!$S$93&lt;&gt;"data missing"), Calc!BC110*'Waste results'!$S$21+ Calc!BE110*'Waste results'!$S$93, "data missing"),
   IF(Calc!BC110=0,
     IF(OR('Waste results'!$S$57&lt;&gt;"data missing", 'Waste results'!$S$93&lt;&gt;"data missing"), Calc!BD110*'Waste results'!$S$57+Calc!BE110*'Waste results'!$S$93, "data missing"),
   IF(OR('Waste results'!$S$21&lt;&gt;"data missing", 'Waste results'!$S$57&lt;&gt;"data missing", 'Waste results'!$S$93&lt;&gt;"data missing"), Calc!BC110*'Waste results'!$S$21+Calc!BD110*'Waste results'!$S$57+ Calc!BE110*'Waste results'!$S$93, "data missing")))))))))))</f>
        <v/>
      </c>
      <c r="U112" s="7" t="str">
        <f ca="1">IF(B112="","",
IF(OR(ISBLANK('Soil results'!I$7),ISBLANK('Soil results'!I115)),"data missing",
IF(OR(AND('Soil results'!I$7="ammonium nitrate (ADAS)",'Soil results'!I115&gt;51),AND('Soil results'!I$7="modified Morgan (SAC)",'Soil results'!I115&gt;61)),0,
IF(OR(AND('Soil results'!I$7="ammonium nitrate (ADAS)",'Soil results'!I115&lt;25),AND('Soil results'!I$7="modified Morgan (SAC)",'Soil results'!I115&lt;19)),VLOOKUP(Calc!BI110,'Fertiliser recommendations'!$A$4:$AH$63,34,FALSE),
IF(OR(AND('Soil results'!I$7="ammonium nitrate (ADAS)",'Soil results'!I115&lt;=51),AND('Soil results'!I$7="modified Morgan (SAC)",'Soil results'!I115&lt;=61)),VLOOKUP(Calc!BI110,'Fertiliser recommendations'!$A$4:$AI$63,35,FALSE),
"")))))</f>
        <v/>
      </c>
      <c r="V112" s="91" t="str">
        <f t="shared" ca="1" si="37"/>
        <v/>
      </c>
      <c r="W112" s="9" t="str">
        <f ca="1">IF(B112="","",
IF(OR(T112="data missing",U112="data missing"),"data missing",
IF(Calc!BF110=0,"n/a",
IF(U112=0,"no requirement",
IF(T112&lt;0.1*U112,"no benefit",
IF(T112&lt;0.3*U112,"limited benefit",
IF(OR(T112&gt;1.5*U112,AND(Calc!BJ110="g",T112&gt;100)),"excessive",
"benefit")))))))</f>
        <v/>
      </c>
      <c r="X112" s="9"/>
      <c r="Y112" s="91" t="str">
        <f ca="1">IF(B112="","",
IF(AND('Field information 2'!$O$5="", 'Field information 2'!$Q$5=""),
   IF('Waste results'!$P$23&lt;&gt;"", Calc!BC110*'Waste results'!$P$23, "no data"),
IF('Field information 2'!$Q$5="",
   IF(Calc!BD110=0,
     IF('Waste results'!$P$23&lt;&gt;"", Calc!BC110*'Waste results'!$P$23, "no data"),
   IF(Calc!BC110=0,
     IF('Waste results'!$P$59&lt;&gt;"", Calc!BD110*'Waste results'!$P$59, "no data"),
   IF(OR('Waste results'!$P$23&lt;&gt;"", 'Waste results'!$P$59&lt;&gt;""), Calc!BC110*'Waste results'!$P$23+ Calc!BD110*'Waste results'!$P$59, "no data"))),
IF(AND('Field information 2'!$M$5&lt;&gt;"", 'Field information 2'!$O$5&lt;&gt;"", 'Field information 2'!$Q$5&lt;&gt;""),
   IF(AND(Calc!BD110=0,Calc!BE110=0),
     IF('Waste results'!$P$23&lt;&gt;"", Calc!BC110*'Waste results'!$P$23, "no data"),
   IF(AND(Calc!BC110=0,Calc!BE110=0),
     IF('Waste results'!$P$59&lt;&gt;"", Calc!BD110*'Waste results'!$P$59, "no data"),
   IF(AND(Calc!BC110=0,Calc!BD110=0),
     IF('Waste results'!$P$95&lt;&gt;"", Calc!BE110*'Waste results'!$P$95, "no data"),
   IF(Calc!BE110=0,
     IF(OR('Waste results'!$P$23&lt;&gt;"", 'Waste results'!$P$59&lt;&gt;""), Calc!BC110*'Waste results'!$P$23+ Calc!BD110*'Waste results'!$P$59, "no data"),
   IF(Calc!BD110=0,
     IF(OR('Waste results'!$P$23&lt;&gt;"", 'Waste results'!$P$95&lt;&gt;""), Calc!BC110*'Waste results'!$P$23+ Calc!BE110*'Waste results'!$P$95, "no data"),
   IF(Calc!BC110=0,
     IF(OR('Waste results'!$P$59&lt;&gt;"", 'Waste results'!$P$95&lt;&gt;""), Calc!BD110*'Waste results'!$P$59+Calc!BE110*'Waste results'!$P$95, "no data"),
   IF(OR('Waste results'!$P$23&lt;&gt;"", 'Waste results'!$P$59&lt;&gt;"", 'Waste results'!$P$95&lt;&gt;""), Calc!BC110*'Waste results'!$P$23+Calc!BD110*'Waste results'!$P$59+ Calc!BE110*'Waste results'!$P$95, "no data")))))))))))</f>
        <v/>
      </c>
      <c r="Z112" s="7" t="str">
        <f ca="1">IF(OR(ISBLANK('Soil results'!I$7),ISBLANK('Soil results'!I115),'Soil results'!B115=""),"",
VLOOKUP(Calc!BI110,'Fertiliser recommendations'!$A$4:$AM$63,39,FALSE))</f>
        <v/>
      </c>
      <c r="AA112" s="91" t="str">
        <f t="shared" ca="1" si="38"/>
        <v/>
      </c>
      <c r="AB112" s="9" t="str">
        <f t="shared" ca="1" si="39"/>
        <v/>
      </c>
      <c r="AC112" s="9"/>
      <c r="AD112" s="48" t="str">
        <f>IF(ISBLANK('Soil results'!F115),"",'Soil results'!F115)</f>
        <v/>
      </c>
      <c r="AE112" s="49" t="str">
        <f ca="1">IF(B112="","",
IF(AND(Calc!BJ110="g", VLOOKUP(LEFT($B112,LEN($B112)-2),'Field information 2'!$B$12:$P$111,9,FALSE)&lt;&gt;"yes"),
 IF(Calc!BG110="10-25% OM", 5.9, IF(Calc!BG110="&gt;25% OM", 5.5, 6.2)),
IF(OR(Calc!BJ110="a", VLOOKUP(LEFT($B112,LEN($B112)-2),'Field information 2'!$B$12:$P$111,9,FALSE)="yes"),
 IF(Calc!BG110="10-25% OM", 6.4, IF(Calc!BG110="&gt;25% OM", 6, 6.7)), "")))</f>
        <v/>
      </c>
      <c r="AF112" s="91" t="str">
        <f ca="1">IF(B112="","",
IF('Waste results'!$Q$33="","no (significant) liming properties",
IF('Waste results'!Q$33&gt;100,"no (significant) liming properties",
IF(AD112="","",
IF(AD112&gt;=AE112,0,ROUNDDOWN((AE112-AD112)*Calc!BK110*'Waste results'!$Q$33+0.2,0))))))</f>
        <v/>
      </c>
      <c r="AG112" s="9" t="str">
        <f ca="1">IF(B112="","",
IF(T112=0,"n/a",
IF(AD112="","data missing",
IF(AND(AD112&lt;5,AF112="no (significant) liming properties"),"no waste application - pH too low",
IF(AND(AD112&gt;5.1,AF112="no (significant) liming properties",Calc!BH110&gt;25, LEFT(Calc!BI110,4)="graz"),"ok",
IF(AND(AD112&lt;=5.2,AF112="no (significant) liming properties"),"liming highly recommended",
IF(AF112=0,"no waste application - liming not required",
IF(AF112&lt;Calc!BC110,"application rate too high - exceeds liming requirement",
"ok"))))))))</f>
        <v/>
      </c>
      <c r="AH112" s="9"/>
      <c r="AI112" s="91" t="str">
        <f ca="1">IF(B112="","",
IF(AND('Field information 2'!$O$5="", 'Field information 2'!$Q$5=""),
   IF('Waste results'!$P$10&lt;&gt;"data missing", Calc!BC110*'Waste results'!$P$10, "data missing"),
IF('Field information 2'!$Q$5="",
   IF(Calc!BD110=0,
     IF('Waste results'!$P$10&lt;&gt;"data missing", Calc!BC110*'Waste results'!$P$10, "data missing"),
   IF(Calc!BC110=0,
     IF('Waste results'!$P$45&lt;&gt;"data missing", Calc!BD110*'Waste results'!$P$45, "data missing"),
   IF(OR('Waste results'!$P$10&lt;&gt;"data missing", 'Waste results'!$P$45&lt;&gt;"data missing"), Calc!BC110*'Waste results'!$P$10+ Calc!BD110*'Waste results'!$P$45, "data missing"))),
IF(AND('Field information 2'!$M$5&lt;&gt;"", 'Field information 2'!$O$5&lt;&gt;"", 'Field information 2'!$Q$5&lt;&gt;""),
   IF(AND(Calc!BD110=0,Calc!BE110=0),
     IF('Waste results'!$P$10&lt;&gt;"data missing", Calc!BC110*'Waste results'!$P$10, "data missing"),
   IF(AND(Calc!BC110=0,Calc!BE110=0),
     IF('Waste results'!$P$45&lt;&gt;"data missing", Calc!BD110*'Waste results'!$P$45, "data missing"),
   IF(AND(Calc!BC110=0,Calc!BD110=0),
     IF('Waste results'!$P$82&lt;&gt;"data missing", Calc!BE110*'Waste results'!$P$82, "data missing"),
   IF(Calc!BE110=0,
     IF(OR('Waste results'!$P$10&lt;&gt;"data missing", 'Waste results'!$P$45&lt;&gt;"data missing"), Calc!BC110*'Waste results'!$P$10+ Calc!BD110*'Waste results'!$P$45, "data missing"),
   IF(Calc!BD110=0,
     IF(OR('Waste results'!$P$10&lt;&gt;"data missing", 'Waste results'!$P$82&lt;&gt;"data missing"), Calc!BC110*'Waste results'!$P$10+ Calc!BE110*'Waste results'!$P$82, "data missing"),
   IF(Calc!BC110=0,
     IF(OR('Waste results'!$P$45&lt;&gt;"data missing", 'Waste results'!$P$82&lt;&gt;"data missing"), Calc!BD110*'Waste results'!$P$45+Calc!BE110*'Waste results'!$P$82, "data missing"),
   IF(OR('Waste results'!$P$10&lt;&gt;"data missing", 'Waste results'!$P$45&lt;&gt;"data missing", 'Waste results'!$P$82&lt;&gt;"data missing"), Calc!BC110*'Waste results'!$P$10+Calc!BD110*'Waste results'!$P$45+ Calc!BE110*'Waste results'!$P$82, "data missing")))))))))))</f>
        <v/>
      </c>
      <c r="AJ112" s="237" t="str">
        <f ca="1">IF(B112="","",
IF(AI112="data missing","data missing",
IF(Calc!BF110=0,"n/a",
IF(AND(Calc!BH110&gt;=8,AI112&lt;500),"no benefit",
IF(OR(AND(Calc!BH110&lt;=4,AI112&gt;=500),AND(Calc!BH110&lt;8,AI112&gt;5000)),"benefit",
"limited benefit")))))</f>
        <v/>
      </c>
      <c r="AK112" s="9"/>
      <c r="AL112" s="238" t="str">
        <f ca="1">IF(B112="","",
IF(AND('Field information 2'!$O$5="", 'Field information 2'!$Q$5=""),
   IF('Waste results'!$S$25&lt;&gt;"data missing", Calc!BC110*'Waste results'!$S$25, "data missing"),
IF('Field information 2'!$Q$5="",
   IF(Calc!BD110=0,
     IF('Waste results'!$S$25&lt;&gt;"data missing", Calc!BC110*'Waste results'!$S$25, "data missing"),
   IF(Calc!BC110=0,
     IF('Waste results'!$S$61&lt;&gt;"data missing", Calc!BD110*'Waste results'!$S$61, "data missing"),
   IF(OR('Waste results'!$S$25&lt;&gt;"data missing", 'Waste results'!$S$61&lt;&gt;"data missing"), Calc!BC110*'Waste results'!$S$25+ Calc!BD110*'Waste results'!$S$61, "data missing"))),
IF(AND('Field information 2'!$M$5&lt;&gt;"", 'Field information 2'!$O$5&lt;&gt;"", 'Field information 2'!$Q$5&lt;&gt;""),
   IF(AND(Calc!BD110=0,Calc!BE110=0),
     IF('Waste results'!$S$25&lt;&gt;"data missing", Calc!BC110*'Waste results'!$S$25, "data missing"),
   IF(AND(Calc!BC110=0,Calc!BE110=0),
     IF('Waste results'!$S$61&lt;&gt;"data missing", Calc!BD110*'Waste results'!$S$61, "data missing"),
   IF(AND(Calc!BC110=0,Calc!BD110=0),
     IF('Waste results'!$S$97&lt;&gt;"data missing", Calc!BE110*'Waste results'!$S$97, "data missing"),
   IF(Calc!BE110=0,
     IF(OR('Waste results'!$S$25&lt;&gt;"data missing", 'Waste results'!$S$61&lt;&gt;"data missing"), Calc!BC110*'Waste results'!$S$25+ Calc!BD110*'Waste results'!$S$61, "data missing"),
   IF(Calc!BD110=0,
     IF(OR('Waste results'!$S$25&lt;&gt;"data missing", 'Waste results'!$S$97&lt;&gt;"data missing"), Calc!BC110*'Waste results'!$S$25+ Calc!BE110*'Waste results'!$S$97, "data missing"),
   IF(Calc!BC110=0,
     IF(OR('Waste results'!$S$61&lt;&gt;"data missing", 'Waste results'!$S$97&lt;&gt;"data missing"), Calc!BD110*'Waste results'!$S$61+Calc!BE110*'Waste results'!$S$97, "data missing"),
   IF(OR('Waste results'!$S$25&lt;&gt;"data missing", 'Waste results'!$S$61&lt;&gt;"data missing", 'Waste results'!$S$97&lt;&gt;"data missing"), Calc!BC110*'Waste results'!$S$25+Calc!BD110*'Waste results'!$S$61+ Calc!BE110*'Waste results'!$S$97, "data missing")))))))))))</f>
        <v/>
      </c>
      <c r="AM112" s="239" t="str">
        <f ca="1">IF($B112="","",
IF(ISBLANK('Soil results'!K115),"data missing",'Soil results'!K115))</f>
        <v/>
      </c>
      <c r="AN112" s="239" t="str">
        <f t="shared" ca="1" si="40"/>
        <v/>
      </c>
      <c r="AO112" s="9" t="str">
        <f t="shared" ca="1" si="41"/>
        <v/>
      </c>
      <c r="AP112" s="9"/>
      <c r="AQ112" s="240" t="str">
        <f ca="1">IF(B112="","",
IF(AND('Field information 2'!$O$5="", 'Field information 2'!$Q$5=""),
   IF('Waste results'!$S$26&lt;&gt;"data missing", Calc!BC110*'Waste results'!$S$26, "data missing"),
IF('Field information 2'!$Q$5="",
   IF(Calc!BD110=0,
     IF('Waste results'!$S$26&lt;&gt;"data missing", Calc!BC110*'Waste results'!$S$26, "data missing"),
   IF(Calc!BC110=0,
     IF('Waste results'!$S$62&lt;&gt;"data missing", Calc!BD110*'Waste results'!$S$62, "data missing"),
   IF(OR('Waste results'!$S$26&lt;&gt;"data missing", 'Waste results'!$S$62&lt;&gt;"data missing"), Calc!BC110*'Waste results'!$S$26+ Calc!BD110*'Waste results'!$S$62, "data missing"))),
IF(AND('Field information 2'!$M$5&lt;&gt;"", 'Field information 2'!$O$5&lt;&gt;"", 'Field information 2'!$Q$5&lt;&gt;""),
   IF(AND(Calc!BD110=0,Calc!BE110=0),
     IF('Waste results'!$S$26&lt;&gt;"data missing", Calc!BC110*'Waste results'!$S$26, "data missing"),
   IF(AND(Calc!BC110=0,Calc!BE110=0),
     IF('Waste results'!$S$62&lt;&gt;"data missing", Calc!BD110*'Waste results'!$S$62, "data missing"),
   IF(AND(Calc!BC110=0,Calc!BD110=0),
     IF('Waste results'!$S$98&lt;&gt;"data missing", Calc!BE110*'Waste results'!$S$98, "data missing"),
   IF(Calc!BE110=0,
     IF(OR('Waste results'!$S$26&lt;&gt;"data missing", 'Waste results'!$S$62&lt;&gt;"data missing"), Calc!BC110*'Waste results'!$S$26+ Calc!BD110*'Waste results'!$S$62, "data missing"),
   IF(Calc!BD110=0,
     IF(OR('Waste results'!$S$26&lt;&gt;"data missing", 'Waste results'!$S$98&lt;&gt;"data missing"), Calc!BC110*'Waste results'!$S$26+ Calc!BE110*'Waste results'!$S$98, "data missing"),
   IF(Calc!BC110=0,
     IF(OR('Waste results'!$S$62&lt;&gt;"data missing", 'Waste results'!$S$98&lt;&gt;"data missing"), Calc!BD110*'Waste results'!$S$62+Calc!BE110*'Waste results'!$S$98, "data missing"),
   IF(OR('Waste results'!$S$26&lt;&gt;"data missing", 'Waste results'!$S$62&lt;&gt;"data missing", 'Waste results'!$S$98&lt;&gt;"data missing"), Calc!BC110*'Waste results'!$S$26+Calc!BD110*'Waste results'!$S$62+ Calc!BE110*'Waste results'!$S$98, "data missing")))))))))))</f>
        <v/>
      </c>
      <c r="AR112" s="241" t="str">
        <f ca="1">IF($B112="","",
IF(ISBLANK('Soil results'!L115),"data missing",'Soil results'!L115))</f>
        <v/>
      </c>
      <c r="AS112" s="241" t="str">
        <f t="shared" ca="1" si="42"/>
        <v/>
      </c>
      <c r="AT112" s="66" t="str">
        <f t="shared" ca="1" si="43"/>
        <v/>
      </c>
      <c r="AU112" s="9"/>
      <c r="AV112" s="238" t="str">
        <f ca="1">IF(B112="","",
IF(AND('Field information 2'!$O$5="", 'Field information 2'!$Q$5=""),
   IF('Waste results'!$S$27&lt;&gt;"data missing", Calc!BC110*'Waste results'!$S$27, "data missing"),
IF('Field information 2'!$Q$5="",
   IF(Calc!BD110=0,
     IF('Waste results'!$S$27&lt;&gt;"data missing", Calc!BC110*'Waste results'!$S$27, "data missing"),
   IF(Calc!BC110=0,
     IF('Waste results'!$S$63&lt;&gt;"data missing", Calc!BD110*'Waste results'!$S$63, "data missing"),
   IF(OR('Waste results'!$S$27&lt;&gt;"data missing", 'Waste results'!$S$63&lt;&gt;"data missing"), Calc!BC110*'Waste results'!$S$27+ Calc!BD110*'Waste results'!$S$63, "data missing"))),
IF(AND('Field information 2'!$M$5&lt;&gt;"", 'Field information 2'!$O$5&lt;&gt;"", 'Field information 2'!$Q$5&lt;&gt;""),
   IF(AND(Calc!BD110=0,Calc!BE110=0),
     IF('Waste results'!$S$27&lt;&gt;"data missing", Calc!BC110*'Waste results'!$S$27, "data missing"),
   IF(AND(Calc!BC110=0,Calc!BE110=0),
     IF('Waste results'!$S$63&lt;&gt;"data missing", Calc!BD110*'Waste results'!$S$63, "data missing"),
   IF(AND(Calc!BC110=0,Calc!BD110=0),
     IF('Waste results'!$S$99&lt;&gt;"data missing", Calc!BE110*'Waste results'!$S$99, "data missing"),
   IF(Calc!BE110=0,
     IF(OR('Waste results'!$S$27&lt;&gt;"data missing", 'Waste results'!$S$63&lt;&gt;"data missing"), Calc!BC110*'Waste results'!$S$27+ Calc!BD110*'Waste results'!$S$63, "data missing"),
   IF(Calc!BD110=0,
     IF(OR('Waste results'!$S$27&lt;&gt;"data missing", 'Waste results'!$S$99&lt;&gt;"data missing"), Calc!BC110*'Waste results'!$S$27+ Calc!BE110*'Waste results'!$S$99, "data missing"),
   IF(Calc!BC110=0,
     IF(OR('Waste results'!$S$63&lt;&gt;"data missing", 'Waste results'!$S$99&lt;&gt;"data missing"), Calc!BD110*'Waste results'!$S$63+Calc!BE110*'Waste results'!$S$99, "data missing"),
   IF(OR('Waste results'!$S$27&lt;&gt;"data missing", 'Waste results'!$S$63&lt;&gt;"data missing", 'Waste results'!$S$99&lt;&gt;"data missing"), Calc!BC110*'Waste results'!$S$27+Calc!BD110*'Waste results'!$S$63+ Calc!BE110*'Waste results'!$S$99, "data missing")))))))))))</f>
        <v/>
      </c>
      <c r="AW112" s="239" t="str">
        <f ca="1">IF($B112="","",
IF(ISBLANK('Soil results'!M115),"data missing",'Soil results'!M115))</f>
        <v/>
      </c>
      <c r="AX112" s="239" t="str">
        <f t="shared" ca="1" si="44"/>
        <v/>
      </c>
      <c r="AY112" s="9" t="str">
        <f ca="1">IF(B112="","",
IF(AV112=0,"n/a",
IF(OR(AV112="data missing",AW112="data missing"),"data missing",
IF(AV112&gt;7.5,"application rate too high - permissible rate exceeds limit",
IF('Soil results'!$F115&lt;=5.5,
  IF(AW112&gt;80,"no application - soil conc. already above limit",
  IF(AX112&gt;80,"application rate too high - soil conc. will exceed limit",
  IF(AW112&gt;80*0.9,"soil conc. is at or above 90% of the limit",
  IF(10*AV112*1000/3000+AW112&gt;80,"soil limit likely to be exceeded in 10yrs",
  IF(50*AV112*1000/3000+AW112&gt;80,"soil limit likely to be exceeded in 50yrs","ok"))))),
IF('Soil results'!$F115&lt;=6,
  IF(AW112&gt;100,"no application - soil conc. already above limit",
  IF(AX112&gt;100,"application rate too high - soil conc. will exceed limit",
  IF(AW112&gt;100*0.9,"soil conc. is at or above 90% of the limit",
  IF(10*AV112*1000/3000+AW112&gt;100,"soil limit likely to be exceeded in 10yrs",
  IF(50*AV112*1000/3000+AW112&gt;100,"soil limit likely to be exceeded in 50yrs","ok"))))),
IF('Soil results'!$F115&lt;=7,
  IF(AW112&gt;135,"no application - soil conc. already above limit",
  IF(AX112&gt;135,"application rate too high - soil conc. will exceed limit",
  IF(AW112&gt;135*0.9,"soil conc. is at or above 90% of the limit",
  IF(10*AV112*1000/3000+AW112&gt;135,"soil limit likely to be exceeded in 10yrs",
  IF(50*AV112*1000/3000+AW112&gt;135,"soil limit likely to be exceeded in 50yrs","ok"))))),
IF('Soil results'!$F115&gt;7,
  IF(AW112&gt;200,"no application - soil conc. already above limit",
  IF(AX112&gt;200,"application too high - soil conc. will exceed limit",
  IF(AW112&gt;200*0.9,"soil conc. is at or above 90% of the limit",
  IF(10*AV112*1000/3000+AW112&gt;200,"soil limit likely to be exceeded in 10yrs",
  IF(50*AV112*1000/3000+AW112&gt;200,"soil limit likely to be exceeded in 50yrs","ok")))))
))))))))</f>
        <v/>
      </c>
      <c r="AZ112" s="9"/>
      <c r="BA112" s="238" t="str">
        <f ca="1">IF(B112="","",
IF(AND('Field information 2'!$O$5="", 'Field information 2'!$Q$5=""),
   IF('Waste results'!$S$28&lt;&gt;"data missing", Calc!BC110*'Waste results'!$S$28, "data missing"),
IF('Field information 2'!$Q$5="",
   IF(Calc!BD110=0,
     IF('Waste results'!$S$28&lt;&gt;"data missing", Calc!BC110*'Waste results'!$S$28, "data missing"),
   IF(Calc!BC110=0,
     IF('Waste results'!$S$64&lt;&gt;"data missing", Calc!BD110*'Waste results'!$S$64, "data missing"),
   IF(OR('Waste results'!$S$28&lt;&gt;"data missing", 'Waste results'!$S$64&lt;&gt;"data missing"), Calc!BC110*'Waste results'!$S$28+ Calc!BD110*'Waste results'!$S$64, "data missing"))),
IF(AND('Field information 2'!$M$5&lt;&gt;"", 'Field information 2'!$O$5&lt;&gt;"", 'Field information 2'!$Q$5&lt;&gt;""),
   IF(AND(Calc!BD110=0,Calc!BE110=0),
     IF('Waste results'!$S$28&lt;&gt;"data missing", Calc!BC110*'Waste results'!$S$28, "data missing"),
   IF(AND(Calc!BC110=0,Calc!BE110=0),
     IF('Waste results'!$S$64&lt;&gt;"data missing", Calc!BD110*'Waste results'!$S$64, "data missing"),
   IF(AND(Calc!BC110=0,Calc!BD110=0),
     IF('Waste results'!$S$100&lt;&gt;"data missing", Calc!BE110*'Waste results'!$S$100, "data missing"),
   IF(Calc!BE110=0,
     IF(OR('Waste results'!$S$28&lt;&gt;"data missing", 'Waste results'!$S$64&lt;&gt;"data missing"), Calc!BC110*'Waste results'!$S$28+ Calc!BD110*'Waste results'!$S$64, "data missing"),
   IF(Calc!BD110=0,
     IF(OR('Waste results'!$S$28&lt;&gt;"data missing", 'Waste results'!$S$100&lt;&gt;"data missing"), Calc!BC110*'Waste results'!$S$28+ Calc!BE110*'Waste results'!$S$100, "data missing"),
   IF(Calc!BC110=0,
     IF(OR('Waste results'!$S$64&lt;&gt;"data missing", 'Waste results'!$S$100&lt;&gt;"data missing"), Calc!BD110*'Waste results'!$S$64+Calc!BE110*'Waste results'!$S$100, "data missing"),
   IF(OR('Waste results'!$S$28&lt;&gt;"data missing", 'Waste results'!$S$64&lt;&gt;"data missing", 'Waste results'!$S$100&lt;&gt;"data missing"), Calc!BC110*'Waste results'!$S$28+Calc!BD110*'Waste results'!$S$64+ Calc!BE110*'Waste results'!$S$100, "data missing")))))))))))</f>
        <v/>
      </c>
      <c r="BB112" s="239" t="str">
        <f ca="1">IF($B112="","",
IF(ISBLANK('Soil results'!N115),"data missing",'Soil results'!N115))</f>
        <v/>
      </c>
      <c r="BC112" s="239" t="str">
        <f t="shared" ca="1" si="45"/>
        <v/>
      </c>
      <c r="BD112" s="9" t="str">
        <f t="shared" ca="1" si="46"/>
        <v/>
      </c>
      <c r="BE112" s="9"/>
      <c r="BF112" s="238" t="str">
        <f ca="1">IF(B112="","",
IF(AND('Field information 2'!$O$5="", 'Field information 2'!$Q$5=""),
   IF('Waste results'!$S$29&lt;&gt;"data missing", Calc!BC110*'Waste results'!$S$29, "data missing"),
IF('Field information 2'!$Q$5="",
   IF(Calc!BD110=0,
     IF('Waste results'!$S$29&lt;&gt;"data missing", Calc!BC110*'Waste results'!$S$29, "data missing"),
   IF(Calc!BC110=0,
     IF('Waste results'!$S$65&lt;&gt;"data missing", Calc!BD110*'Waste results'!$S$65, "data missing"),
   IF(OR('Waste results'!$S$29&lt;&gt;"data missing", 'Waste results'!$S$65&lt;&gt;"data missing"), Calc!BC110*'Waste results'!$S$29+ Calc!BD110*'Waste results'!$S$65, "data missing"))),
IF(AND('Field information 2'!$M$5&lt;&gt;"", 'Field information 2'!$O$5&lt;&gt;"", 'Field information 2'!$Q$5&lt;&gt;""),
   IF(AND(Calc!BD110=0,Calc!BE110=0),
     IF('Waste results'!$S$29&lt;&gt;"data missing", Calc!BC110*'Waste results'!$S$29, "data missing"),
   IF(AND(Calc!BC110=0,Calc!BE110=0),
     IF('Waste results'!$S$65&lt;&gt;"data missing", Calc!BD110*'Waste results'!$S$65, "data missing"),
   IF(AND(Calc!BC110=0,Calc!BD110=0),
     IF('Waste results'!$S$101&lt;&gt;"data missing", Calc!BE110*'Waste results'!$S$101, "data missing"),
   IF(Calc!BE110=0,
     IF(OR('Waste results'!$S$29&lt;&gt;"data missing", 'Waste results'!$S$65&lt;&gt;"data missing"), Calc!BC110*'Waste results'!$S$29+ Calc!BD110*'Waste results'!$S$65, "data missing"),
   IF(Calc!BD110=0,
     IF(OR('Waste results'!$S$29&lt;&gt;"data missing", 'Waste results'!$S$101&lt;&gt;"data missing"), Calc!BC110*'Waste results'!$S$29+ Calc!BE110*'Waste results'!$S$101, "data missing"),
   IF(Calc!BC110=0,
     IF(OR('Waste results'!$S$65&lt;&gt;"data missing", 'Waste results'!$S$101&lt;&gt;"data missing"), Calc!BD110*'Waste results'!$S$65+Calc!BE110*'Waste results'!$S$101, "data missing"),
   IF(OR('Waste results'!$S$29&lt;&gt;"data missing", 'Waste results'!$S$65&lt;&gt;"data missing", 'Waste results'!$S$101&lt;&gt;"data missing"), Calc!BC110*'Waste results'!$S$29+Calc!BD110*'Waste results'!$S$65+ Calc!BE110*'Waste results'!$S$101, "data missing")))))))))))</f>
        <v/>
      </c>
      <c r="BG112" s="239" t="str">
        <f ca="1">IF($B112="","",
IF(ISBLANK('Soil results'!O115),"data missing",'Soil results'!O115))</f>
        <v/>
      </c>
      <c r="BH112" s="239" t="str">
        <f t="shared" ca="1" si="47"/>
        <v/>
      </c>
      <c r="BI112" s="9" t="str">
        <f ca="1">IF(B112="","",
IF(BF112=0,"n/a",
IF(OR(BF112="data missing",BG112="data missing"),"data missing",
IF(BF112&gt;3,"application rate too high - permissible rate exceeds limit",
IF('Soil results'!F115&lt;=5.5,
  IF(BG112&gt;50,"no application - soil conc. already above limit",
  IF(BH112&gt;50,"application rate too high - soil conc. will exceed limit",
  IF(BG112&gt;50*0.9,"soil conc. is at or above 90% of the limit",
  IF(10*BF112*1000/3000+BG112&gt;50,"soil limit likely to be exceeded in 10yrs",
  IF(50*BF112*1000/3000+BG112&gt;50,"soil limit likely to be exceeded in 50yrs","ok"))))),
IF('Soil results'!F115&lt;=6,
  IF(BG112&gt;60,"no application - soil conc. already above limit",
  IF(BH112&gt;60,"application rate too high - soil conc. will exceed limit",
  IF(BG112&gt;60*0.9,"soil conc. is at or above 90% of the limit",
  IF(10*BF112*1000/3000+BG112&gt;60,"soil limit likely to be exceeded in 10yrs",
  IF(50*BF112*1000/3000+BG112&gt;60,"soil limit likely to be exceeded in 50yrs","ok"))))),
IF('Soil results'!F115&lt;=7,
  IF(BG112&gt;75,"no application - soil conc. already above limit",
  IF(BH112&gt;75,"application rate too high - soil conc. will exceed limit",
  IF(BG112&gt;75*0.9,"soil conc. is at or above 90% of the limit",
  IF(10*BF112*1000/3000+BG112&gt;75,"soil limit likely to be exceeded in 10yrs",
  IF(50*BF112*1000/3000+BG112&gt;75,"soil limit likely to be exceeded in 50yrs","ok"))))),
IF('Soil results'!F115&gt;7,
  IF(BG112&gt;100,"no application - soil conc. already above limit",
  IF(BH112&gt;100,"application rate too high - soil conc. will exceed limit",
  IF(BG112&gt;100*0.9,"soil conc. is at or above 90% of the limit",
  IF(10*BF112*1000/3000+BG112&gt;100,"soil limit likely to be exceeded in 10yrs",
  IF(50*BF112*1000/3000+BG112&gt;100,"soil limit likely to beexceeded in 50yrs","ok")))))
))))))))</f>
        <v/>
      </c>
      <c r="BJ112" s="9"/>
      <c r="BK112" s="240" t="str">
        <f ca="1">IF(B112="","",
IF(AND('Field information 2'!$O$5="", 'Field information 2'!$Q$5=""),
   IF('Waste results'!$S$30&lt;&gt;"data missing", Calc!BC110*'Waste results'!$S$30, "data missing"),
IF('Field information 2'!$Q$5="",
   IF(Calc!BD110=0,
     IF('Waste results'!$S$30&lt;&gt;"data missing", Calc!BC110*'Waste results'!$S$30, "data missing"),
   IF(Calc!BC110=0,
     IF('Waste results'!$S$66&lt;&gt;"data missing", Calc!BD110*'Waste results'!$S$66, "data missing"),
   IF(OR('Waste results'!$S$30&lt;&gt;"data missing", 'Waste results'!$S$66&lt;&gt;"data missing"), Calc!BC110*'Waste results'!$S$30+ Calc!BD110*'Waste results'!$S$66, "data missing"))),
IF(AND('Field information 2'!$M$5&lt;&gt;"", 'Field information 2'!$O$5&lt;&gt;"", 'Field information 2'!$Q$5&lt;&gt;""),
   IF(AND(Calc!BD110=0,Calc!BE110=0),
     IF('Waste results'!$S$30&lt;&gt;"data missing", Calc!BC110*'Waste results'!$S$30, "data missing"),
   IF(AND(Calc!BC110=0,Calc!BE110=0),
     IF('Waste results'!$S$66&lt;&gt;"data missing", Calc!BD110*'Waste results'!$S$66, "data missing"),
   IF(AND(Calc!BC110=0,Calc!BD110=0),
     IF('Waste results'!$S$102&lt;&gt;"data missing", Calc!BE110*'Waste results'!$S$102, "data missing"),
   IF(Calc!BE110=0,
     IF(OR('Waste results'!$S$30&lt;&gt;"data missing", 'Waste results'!$S$66&lt;&gt;"data missing"), Calc!BC110*'Waste results'!$S$30+ Calc!BD110*'Waste results'!$S$66, "data missing"),
   IF(Calc!BD110=0,
     IF(OR('Waste results'!$S$30&lt;&gt;"data missing", 'Waste results'!$S$102&lt;&gt;"data missing"), Calc!BC110*'Waste results'!$S$30+ Calc!BE110*'Waste results'!$S$102, "data missing"),
   IF(Calc!BC110=0,
     IF(OR('Waste results'!$S$66&lt;&gt;"data missing", 'Waste results'!$S$102&lt;&gt;"data missing"), Calc!BD110*'Waste results'!$S$66+Calc!BE110*'Waste results'!$S$102, "data missing"),
   IF(OR('Waste results'!$S$30&lt;&gt;"data missing", 'Waste results'!$S$66&lt;&gt;"data missing", 'Waste results'!$S$102&lt;&gt;"data missing"), Calc!BC110*'Waste results'!$S$30+Calc!BD110*'Waste results'!$S$66+ Calc!BE110*'Waste results'!$S$102, "data missing")))))))))))</f>
        <v/>
      </c>
      <c r="BL112" s="241" t="str">
        <f ca="1">IF($B112="","",
IF(ISBLANK('Soil results'!P115),"data missing",'Soil results'!P115))</f>
        <v/>
      </c>
      <c r="BM112" s="241" t="str">
        <f t="shared" ca="1" si="48"/>
        <v/>
      </c>
      <c r="BN112" s="66" t="str">
        <f t="shared" ca="1" si="49"/>
        <v/>
      </c>
      <c r="BO112" s="9"/>
      <c r="BP112" s="238" t="str">
        <f ca="1">IF(B112="","",
IF(AND('Field information 2'!$O$5="", 'Field information 2'!$Q$5=""),
   IF('Waste results'!$S$31&lt;&gt;"data missing", Calc!BC110*'Waste results'!$S$31, "data missing"),
IF('Field information 2'!$Q$5="",
   IF(Calc!BD110=0,
     IF('Waste results'!$S$31&lt;&gt;"data missing", Calc!BC110*'Waste results'!$S$31, "data missing"),
   IF(Calc!BC110=0,
     IF('Waste results'!$S$67&lt;&gt;"data missing", Calc!BD110*'Waste results'!$S$67, "data missing"),
   IF(OR('Waste results'!$S$31&lt;&gt;"data missing", 'Waste results'!$S$67&lt;&gt;"data missing"), Calc!BC110*'Waste results'!$S$31+ Calc!BD110*'Waste results'!$S$67, "data missing"))),
IF(AND('Field information 2'!$M$5&lt;&gt;"", 'Field information 2'!$O$5&lt;&gt;"", 'Field information 2'!$Q$5&lt;&gt;""),
   IF(AND(Calc!BD110=0,Calc!BE110=0),
     IF('Waste results'!$S$31&lt;&gt;"data missing", Calc!BC110*'Waste results'!$S$31, "data missing"),
   IF(AND(Calc!BC110=0,Calc!BE110=0),
     IF('Waste results'!$S$67&lt;&gt;"data missing", Calc!BD110*'Waste results'!$S$67, "data missing"),
   IF(AND(Calc!BC110=0,Calc!BD110=0),
     IF('Waste results'!$S$103&lt;&gt;"data missing", Calc!BE110*'Waste results'!$S$103, "data missing"),
   IF(Calc!BE110=0,
     IF(OR('Waste results'!$S$31&lt;&gt;"data missing", 'Waste results'!$S$67&lt;&gt;"data missing"), Calc!BC110*'Waste results'!$S$31+ Calc!BD110*'Waste results'!$S$67, "data missing"),
   IF(Calc!BD110=0,
     IF(OR('Waste results'!$S$31&lt;&gt;"data missing", 'Waste results'!$S$103&lt;&gt;"data missing"), Calc!BC110*'Waste results'!$S$31+ Calc!BE110*'Waste results'!$S$103, "data missing"),
   IF(Calc!BC110=0,
     IF(OR('Waste results'!$S$67&lt;&gt;"data missing", 'Waste results'!$S$103&lt;&gt;"data missing"), Calc!BD110*'Waste results'!$S$67+Calc!BE110*'Waste results'!$S$103, "data missing"),
   IF(OR('Waste results'!$S$31&lt;&gt;"data missing", 'Waste results'!$S$67&lt;&gt;"data missing", 'Waste results'!$S$103&lt;&gt;"data missing"), Calc!BC110*'Waste results'!$S$31+Calc!BD110*'Waste results'!$S$67+ Calc!BE110*'Waste results'!$S$103, "data missing")))))))))))</f>
        <v/>
      </c>
      <c r="BQ112" s="239" t="str">
        <f ca="1">IF($B112="","",
IF(ISBLANK('Soil results'!Q115),"data missing",'Soil results'!Q115))</f>
        <v/>
      </c>
      <c r="BR112" s="239" t="str">
        <f t="shared" ca="1" si="50"/>
        <v/>
      </c>
      <c r="BS112" s="9" t="str">
        <f ca="1">IF(B112="","",
IF(BP112=0,"n/a",
IF(OR(BP112="data missing",BQ112=""),"data missing",
IF(BP112&gt;15,"application rate too high - permissible rate exceeds limit",
IF('Soil results'!F115&lt;=5.5,
  IF(BQ112&gt;200,"no application - soil conc. already above limit",
  IF(BR112&gt;200,"application rate too high - soil conc. will exceed limit",
  IF(BQ112&gt;200*0.9,"soil conc. is at or above 90% of the limit",
  IF(10*BP112*1000/3000+BQ112&gt;200,"soil limit likely to be exceeded in 10yrs",
  IF(50*BP112*1000/3000+BQ112&gt;200,"soil limit likely to be exceeded in 50yrs","ok"))))),
IF('Soil results'!F115&lt;=6,
  IF(BQ112&gt;250,"no application - soil conc. already above limit",
  IF(BR112&gt;250,"application rate too high - soil conc. will exceed limit",
  IF(BQ112&gt;250*0.9,"soil conc. is at or above 90% of the limit",
  IF(10*BP112*1000/3000+BQ112&gt;250,"soil limit likely to be exceeded in 10yrs",
  IF(50*BP112*1000/3000+BQ112&gt;250,"soil limit likely to be exceeded in 50yrs","ok"))))),
IF('Soil results'!F115&lt;=7,
  IF(BQ112&gt;300,"no application - soil conc. already above limit",
  IF(BR112&gt;300,"application rate too high - soil conc. will exceed limit",
  IF(BQ112&gt;300*0.9,"soil conc. is at or above 90% of the limit",
  IF(10*BP112*1000/3000+BQ112&gt;300,"soil limit likey to be exceeded in 10yrs",
  IF(50*BP112*1000/3000+BQ112&gt;300,"soil limit likely to be exceeded in 50yrs","ok"))))),
IF('Soil results'!F115&gt;7,
  IF(BQ112&gt;450,"no application - soil conc. already above limit",
  IF(BR112&gt;450,"application rate too high - soil conc. will exceed limit",
  IF(AW112&gt;450*0.9,"soil conc. is at or above 90% of the limit",
  IF(10*BP112*1000/3000+BQ112&gt;450,"soil limit likely to be exceeded in 10yrs",
  IF(50*BP112*1000/3000+BQ112&gt;450,"soil limit likely to be exceeded in 50yrs","ok")))))
))))))))</f>
        <v/>
      </c>
    </row>
    <row r="113" spans="2:71" ht="15" x14ac:dyDescent="0.25">
      <c r="B113" s="236" t="str">
        <f ca="1">'Soil results'!B116</f>
        <v/>
      </c>
      <c r="C113" s="91" t="str">
        <f ca="1">IF(B113="","",
IF(AND('Field information 2'!$O$5="", 'Field information 2'!$Q$5=""),
   IF('Waste results'!$S$12&lt;&gt;"data missing", Calc!BC111*'Waste results'!$S$12, "data missing"),
IF('Field information 2'!$Q$5="",
   IF(Calc!BD111=0,
     IF('Waste results'!$S$12&lt;&gt;"data missing", Calc!BC111*'Waste results'!$S$12, "data missing"),
   IF(Calc!BC111=0,
     IF('Waste results'!$S$48&lt;&gt;"data missing", Calc!BD111*'Waste results'!$S$48, "data missing"),
   IF(OR('Waste results'!$S$12&lt;&gt;"data missing", 'Waste results'!$S$48&lt;&gt;"data missing"), Calc!BC111*'Waste results'!$S$12+ Calc!BD111*'Waste results'!$S$48, "data missing"))),
IF(AND('Field information 2'!$M$5&lt;&gt;"", 'Field information 2'!$O$5&lt;&gt;"", 'Field information 2'!$Q$5&lt;&gt;""),
   IF(AND(Calc!BD111=0,Calc!BE111=0),
     IF('Waste results'!$S$12&lt;&gt;"data missing", Calc!BC111*'Waste results'!$S$12, "data missing"),
   IF(AND(Calc!BC111=0,Calc!BE111=0),
     IF('Waste results'!$S$48&lt;&gt;"data missing", Calc!BD111*'Waste results'!$S$48, "data missing"),
   IF(AND(Calc!BC111=0,Calc!BD111=0),
     IF('Waste results'!$S$84&lt;&gt;"data missing", Calc!BE111*'Waste results'!$S$84, "data missing"),
   IF(Calc!BE111=0,
     IF(OR('Waste results'!$S$12&lt;&gt;"data missing", 'Waste results'!$S$48&lt;&gt;"data missing"), Calc!BC111*'Waste results'!$S$12+ Calc!BD111*'Waste results'!$S$48, "data missing"),
   IF(Calc!BD111=0,
     IF(OR('Waste results'!$S$12&lt;&gt;"data missing", 'Waste results'!$S$84&lt;&gt;"data missing"), Calc!BC111*'Waste results'!$S$12+ Calc!BE111*'Waste results'!$S$84, "data missing"),
   IF(Calc!BC111=0,
     IF(OR('Waste results'!$S$48&lt;&gt;"data missing", 'Waste results'!$S$84&lt;&gt;"data missing"), Calc!BD111*'Waste results'!$S$48+Calc!BE111*'Waste results'!$S$84, "data missing"),
   IF(OR('Waste results'!$S$12&lt;&gt;"data missing", 'Waste results'!$S$48&lt;&gt;"data missing", 'Waste results'!$S$84&lt;&gt;"data missing"), Calc!BC111*'Waste results'!$S$12+Calc!BD111*'Waste results'!$S$48+ Calc!BE111*'Waste results'!$S$84, "data missing")))))))))))</f>
        <v/>
      </c>
      <c r="D113" s="161" t="str">
        <f ca="1">IF(B113="","",
IF(Calc!BG111="","soil texture missing",
IF(OR(Calc!BG111="SL; SZL; ZL",Calc!BG111="SCL; CL; ZCL; SC; ZC; C"),VLOOKUP(Calc!BI111,'Fertiliser recommendations'!$A$4:$C$63,3,FALSE),
IF(Calc!BG111="S; LS",VLOOKUP(Calc!BI111,'Fertiliser recommendations'!$A$4:$C$63,3,FALSE)+VLOOKUP(Calc!BI111,'Fertiliser recommendations'!$A$4:$D$63,4,FALSE),
IF(Calc!BG111="10-25% OM",VLOOKUP(Calc!BI111,'Fertiliser recommendations'!$A$4:$C$63,3,FALSE)+VLOOKUP(Calc!BI111,'Fertiliser recommendations'!$A$4:$E$63,5,FALSE),
IF(Calc!BG111="&gt;25% OM",VLOOKUP(Calc!BI111,'Fertiliser recommendations'!$A$4:$C$63,3,FALSE)+VLOOKUP(Calc!BI111,'Fertiliser recommendations'!$A$4:$F$63,6,FALSE),
""))))))</f>
        <v/>
      </c>
      <c r="E113" s="91" t="str">
        <f t="shared" ca="1" si="34"/>
        <v/>
      </c>
      <c r="F113" s="9" t="str">
        <f ca="1">IF(B113="","",
IF(OR(C113="data missing",D113="soil texture missing"),"data missing",
IF(Calc!BF111=0,"n/a",
IF(C113&lt;0.1*D113,"no benefit",
IF(C113&lt;0.3*D113,"limited benefit",
IF(C113&gt;250,"exceeds limit",
IF(OR(AND(D113=0,C113&gt;75),C113&gt;1.25*D113),"excessive",
IF(D113=0, "no requirement",
"benefit"))))))))</f>
        <v/>
      </c>
      <c r="G113" s="9"/>
      <c r="H113" s="91" t="str">
        <f ca="1">IF(B113="","",
IF(AND('Field information 2'!$O$5="", 'Field information 2'!$Q$5=""),
   IF('Waste results'!$S$17&lt;&gt;"data missing", Calc!BC111*'Waste results'!$S$17, "data missing"),
IF('Field information 2'!$Q$5="",
   IF(Calc!BD111=0,
     IF('Waste results'!$S$17&lt;&gt;"data missing", Calc!BC111*'Waste results'!$S$17, "data missing"),
   IF(Calc!BC111=0,
     IF('Waste results'!$S$53&lt;&gt;"data missing", Calc!BD111*'Waste results'!$S$53, "data missing"),
   IF(OR('Waste results'!$S$17&lt;&gt;"data missing", 'Waste results'!$S$53&lt;&gt;"data missing"), Calc!BC111*'Waste results'!$S$17+ Calc!BD111*'Waste results'!$S$53, "data missing"))),
IF(AND('Field information 2'!$M$5&lt;&gt;"", 'Field information 2'!$O$5&lt;&gt;"", 'Field information 2'!$Q$5&lt;&gt;""),
   IF(AND(Calc!BD111=0,Calc!BE111=0),
     IF('Waste results'!$S$17&lt;&gt;"data missing", Calc!BC111*'Waste results'!$S$17, "data missing"),
   IF(AND(Calc!BC111=0,Calc!BE111=0),
     IF('Waste results'!$S$53&lt;&gt;"data missing", Calc!BD111*'Waste results'!$S$53, "data missing"),
   IF(AND(Calc!BC111=0,Calc!BD111=0),
     IF('Waste results'!$S$89&lt;&gt;"data missing", Calc!BE111*'Waste results'!$S$89, "data missing"),
   IF(Calc!BE111=0,
     IF(OR('Waste results'!$S$17&lt;&gt;"data missing", 'Waste results'!$S$53&lt;&gt;"data missing"), Calc!BC111*'Waste results'!$S$17+ Calc!BD111*'Waste results'!$S$53, "data missing"),
   IF(Calc!BD111=0,
     IF(OR('Waste results'!$S$17&lt;&gt;"data missing", 'Waste results'!$S$89&lt;&gt;"data missing"), Calc!BC111*'Waste results'!$S$17+ Calc!BE111*'Waste results'!$S$89, "data missing"),
   IF(Calc!BC111=0,
     IF(OR('Waste results'!$S$53&lt;&gt;"data missing", 'Waste results'!$S$89&lt;&gt;"data missing"), Calc!BD111*'Waste results'!$S$53+Calc!BE111*'Waste results'!$S$89, "data missing"),
   IF(OR('Waste results'!$S$17&lt;&gt;"data missing", 'Waste results'!$S$53&lt;&gt;"data missing", 'Waste results'!$S$89&lt;&gt;"data missing"), Calc!BC111*'Waste results'!$S$17+Calc!BD111*'Waste results'!$S$53+ Calc!BE111*'Waste results'!$S$89, "data missing")))))))))))</f>
        <v/>
      </c>
      <c r="I113" s="195" t="str">
        <f ca="1">IF(B113="","",
IF(OR(ISBLANK('Soil results'!G116), ISBLANK('Soil results'!G$7)),"data missing",
IF(OR(AND('Soil results'!G$7="Olsen (ADAS)",'Soil results'!G116&lt;16),AND('Soil results'!G$7="modified Morgan (SAC)",'Soil results'!G116&lt;4.5)),50,100)))</f>
        <v/>
      </c>
      <c r="J113" s="49" t="str">
        <f ca="1">IF(B113="","",
IF(OR(ISBLANK('Soil results'!G$7),ISBLANK('Soil results'!G116)),"data missing",
IF(OR(AND('Soil results'!G$7="Olsen (ADAS)",'Soil results'!G116&gt;45),AND('Soil results'!G$7="modified Morgan (SAC)",'Soil results'!G116&gt;30)),0,
IF(OR(AND('Soil results'!G$7="Olsen (ADAS)",'Soil results'!G116&gt;=16,'Soil results'!G116&lt;=20),AND('Soil results'!G$7="modified Morgan (SAC)",'Soil results'!G116&gt;=4.5,'Soil results'!G116&lt;=9.4)),VLOOKUP(Calc!BI111,'Fertiliser recommendations'!$A$4:$I$63,9,FALSE),
IF(OR(AND('Soil results'!G$7="Olsen (ADAS)",'Soil results'!G116&lt;10),AND('Soil results'!G$7="modified Morgan (SAC)",'Soil results'!G116&lt;1.8)),VLOOKUP(Calc!BI111,'Fertiliser recommendations'!$A$4:$I$63,9,FALSE)+VLOOKUP(Calc!BI111,'Fertiliser recommendations'!$A$4:$J$63,10,FALSE),
IF(OR(AND('Soil results'!G$7="Olsen (ADAS)",'Soil results'!G116&lt;16),AND('Soil results'!G$7="modified Morgan (SAC)",'Soil results'!G116&lt;4.5)),VLOOKUP(Calc!BI111,'Fertiliser recommendations'!$A$4:$I$63,9,FALSE)+VLOOKUP(Calc!BI111,'Fertiliser recommendations'!$A$4:$K$63,11,FALSE),
IF(OR(AND('Soil results'!G$7="Olsen (ADAS)",'Soil results'!G116&lt;26),AND('Soil results'!G$7="modified Morgan (SAC)",'Soil results'!G116&lt;13.5)),VLOOKUP(Calc!BI111,'Fertiliser recommendations'!$A$4:$I$63,9,FALSE)+VLOOKUP(Calc!BI111,'Fertiliser recommendations'!$A$4:$L$63,12,FALSE),
IF(OR(AND('Soil results'!G$7="Olsen (ADAS)",'Soil results'!G116&lt;=45),AND('Soil results'!G$7="modified Morgan (SAC)",'Soil results'!G116&lt;=30)),VLOOKUP(Calc!BI111,'Fertiliser recommendations'!$A$4:$I$63,9,FALSE)+VLOOKUP(Calc!BI111,'Fertiliser recommendations'!$A$4:$M$63,13,FALSE),
""))))))))</f>
        <v/>
      </c>
      <c r="K113" s="161" t="str">
        <f t="shared" ca="1" si="35"/>
        <v/>
      </c>
      <c r="L113" s="47" t="str">
        <f ca="1">IF(OR(ISBLANK('Soil results'!G$7),ISBLANK('Soil results'!G116),B113="", H113="data missing"),"",
IF('Soil results'!G$7="Olsen (ADAS)",
IF(((H113*Calc!BM111/2.291-(VLOOKUP(Calc!BI111,'Fertiliser recommendations'!$A$4:$I$63,9,FALSE))/2.291)*10/(400/2.291)+'Soil results'!G116)&lt;10,"0 (VL)",
IF(((H113*Calc!BM111/2.291-(VLOOKUP(Calc!BI111,'Fertiliser recommendations'!$A$4:$I$63,9,FALSE))/2.291)*10/(400/2.291)+'Soil results'!G116)&lt;16,"1 (L)",
IF(((H113*Calc!BM111/2.291-(VLOOKUP(Calc!BI111,'Fertiliser recommendations'!$A$4:$I$63,9,FALSE))/2.291)*10/(400/2.291)+'Soil results'!G116)&lt;21,"2 (M-)",
IF(((H113*Calc!BM111/2.291-(VLOOKUP(Calc!BI111,'Fertiliser recommendations'!$A$4:$I$63,9,FALSE))/2.291)*10/(400/2.291)+'Soil results'!G116)&lt;26,"2 (M+)",
IF(((H113*Calc!BM111/2.291-(VLOOKUP(Calc!BI111,'Fertiliser recommendations'!$A$4:$I$63,9,FALSE))/2.291)*10/(400/2.291)+'Soil results'!G116)&lt;45,"3 (H)","&gt;3 (VH)"))))),
IF('Soil results'!G$7="modified Morgan (SAC)",
IF('Soil results'!G116&gt;=6,
IF(((H113*Calc!BM111/2.291-(VLOOKUP(Calc!BI111,'Fertiliser recommendations'!$A$4:$I$63,9,FALSE))/2.291)*5/(147/2.291)+'Soil results'!G116)&lt;9.5,"2 (M-)",
IF(((H113*Calc!BM111/2.291-(VLOOKUP(Calc!BI111,'Fertiliser recommendations'!$A$4:$I$63,9,FALSE))/2.291)*5/(147/2.291)+'Soil results'!G116)&lt;13.5,"2 (M+)",
IF(((H113*Calc!BM111/2.291-(VLOOKUP(Calc!BI111,'Fertiliser recommendations'!$A$4:$I$63,9,FALSE))/2.291)*5/(147/2.291)+'Soil results'!G116)&lt;30,"3 (H)","4 (VH)"))),
IF(((H113*Calc!BM111/2.291-(VLOOKUP(Calc!BI111,'Fertiliser recommendations'!$A$4:$I$63,9,FALSE))/2.291)*5/(346/2.291)+'Soil results'!G116)&lt;1.8,"0 (VL)",
IF(((H113*Calc!BM111/2.291-(VLOOKUP(Calc!BI111,'Fertiliser recommendations'!$A$4:$I$63,9,FALSE))/2.291)*5/(147/2.291)+'Soil results'!G116)&lt;4.5,"1 (L)","2 (M-)"))))))</f>
        <v/>
      </c>
      <c r="M113" s="9" t="str">
        <f ca="1">IF(B113="","",
IF(OR(H113="data missing",I113="data missing",J113="data missing"),"data missing",
IF(Calc!BF111=0,"n/a",
IF(OR(AND('Soil results'!G$7="Olsen (ADAS)",'Soil results'!G116&gt;45),AND('Soil results'!G$7="modified Morgan (SAC)",'Soil results'!G116&gt;30)),
IF(H113&gt;2,"too high, not acceptable","no requirement"),IF(OR(AND('Soil results'!G$7="Olsen (ADAS)",'Soil results'!G116&gt;25),AND('Soil results'!G$7="modified Morgan (SAC)",'Soil results'!G116&gt;13.4)),
IF(H113*(I113/100)&lt;0.1*J113,"no benefit",
IF(H113*(I113/100)&lt;0.3*J113,"limited benefit",
IF(H113*(I113/100)&lt;1.1*J113,"benefit",
IF(H113*(I113/100)&lt;0.7*VLOOKUP(Calc!BI111,'Fertiliser recommendations'!$A$4:$I$63,9,FALSE),"excessive","too high, not acceptable")))),
IF(OR(AND('Soil results'!G$7="Olsen (ADAS)",'Soil results'!G116&gt;20),AND('Soil results'!G$7="modified Morgan (SAC)",'Soil results'!G116&gt;9.4)),
IF(H113*Calc!BM111*(I113/100)&lt;0.1*J113,"no benefit",
IF(H113*Calc!BM111*(I113/100)&lt;0.3*J113,"limited benefit",
IF(H113*Calc!BM111*(I113/100)&lt;1.1*J113,"benefit",
IF(L113="3 (H)","too high, not acceptable","excessive")))),
IF(OR(AND('Soil results'!G$7="Olsen (ADAS)",'Soil results'!G116&gt;15),AND('Soil results'!G$7="modified Morgan (SAC)",'Soil results'!G116&gt;4.4)),
IF(H113*Calc!BM111*(I113/100)&lt;0.1*VLOOKUP(Calc!BI111,'Fertiliser recommendations'!$A$4:$I$63,9,FALSE),"no benefit",
IF(H113*Calc!BM111*(I113/100)&lt;0.3*VLOOKUP(Calc!BI111,'Fertiliser recommendations'!$A$4:$I$63,9,FALSE),"limited benefit",
IF(H113*Calc!BM111*(I113/100)&lt;1.1*VLOOKUP(Calc!BI111,'Fertiliser recommendations'!$A$4:$I$63,9,FALSE),"benefit",
IF(L113="3 (H)", "too high, not acceptable", "excessive")))),
IF(OR(AND('Soil results'!G$7="Olsen (ADAS)",'Soil results'!G116&lt;=15),AND('Soil results'!G$7="modified Morgan (SAC)",'Soil results'!G116&lt;=4.4)),
IF(H113*Calc!BM111*(I113/100)&lt;0.1*VLOOKUP(Calc!BI111,'Fertiliser recommendations'!$A$4:$I$63,9,FALSE),"no benefit",
IF(H113*Calc!BM111*(I113/100)&lt;0.3*VLOOKUP(Calc!BI111,'Fertiliser recommendations'!$A$4:$I$63,9,FALSE),"limited benefit",
IF(H113*Calc!BM111*(I113/100)&lt;1.1*J113,"benefit","excessive")))))))))))</f>
        <v/>
      </c>
      <c r="N113" s="9"/>
      <c r="O113" s="91" t="str">
        <f ca="1">IF(B113="","",
IF(AND('Field information 2'!$O$5="", 'Field information 2'!$Q$5=""),
   IF('Waste results'!$S$19&lt;&gt;"data missing", Calc!BC111*'Waste results'!$S$19, "data missing"),
IF('Field information 2'!$Q$5="",
   IF(Calc!BD111=0,
     IF('Waste results'!$S$19&lt;&gt;"data missing", Calc!BC111*'Waste results'!$S$19, "data missing"),
   IF(Calc!BC111=0,
     IF('Waste results'!$S$55&lt;&gt;"data missing", Calc!BD111*'Waste results'!$S$55, "data missing"),
   IF(OR('Waste results'!$S$19&lt;&gt;"data missing", 'Waste results'!$S$55&lt;&gt;"data missing"), Calc!BC111*'Waste results'!$S$19+ Calc!BD111*'Waste results'!$S$55, "data missing"))),
IF(AND('Field information 2'!$M$5&lt;&gt;"", 'Field information 2'!$O$5&lt;&gt;"", 'Field information 2'!$Q$5&lt;&gt;""),
   IF(AND(Calc!BD111=0,Calc!BE111=0),
     IF('Waste results'!$S$19&lt;&gt;"data missing", Calc!BC111*'Waste results'!$S$19, "data missing"),
   IF(AND(Calc!BC111=0,Calc!BE111=0),
     IF('Waste results'!$S$55&lt;&gt;"data missing", Calc!BD111*'Waste results'!$S$55, "data missing"),
   IF(AND(Calc!BC111=0,Calc!BD111=0),
     IF('Waste results'!$S$91&lt;&gt;"data missing", Calc!BE111*'Waste results'!$S$91, "data missing"),
   IF(Calc!BE111=0,
     IF(OR('Waste results'!$S$19&lt;&gt;"data missing", 'Waste results'!$S$55&lt;&gt;"data missing"), Calc!BC111*'Waste results'!$S$19+ Calc!BD111*'Waste results'!$S$55, "data missing"),
   IF(Calc!BD111=0,
     IF(OR('Waste results'!$S$19&lt;&gt;"data missing", 'Waste results'!$S$91&lt;&gt;"data missing"), Calc!BC111*'Waste results'!$S$19+ Calc!BE111*'Waste results'!$S$91, "data missing"),
   IF(Calc!BC111=0,
     IF(OR('Waste results'!$S$55&lt;&gt;"data missing", 'Waste results'!$S$91&lt;&gt;"data missing"), Calc!BD111*'Waste results'!$S$55+Calc!BE111*'Waste results'!$S$91, "data missing"),
   IF(OR('Waste results'!$S$19&lt;&gt;"data missing", 'Waste results'!$S$55&lt;&gt;"data missing", 'Waste results'!$S$91&lt;&gt;"data missing"), Calc!BC111*'Waste results'!$S$19+Calc!BD111*'Waste results'!$S$55+ Calc!BE111*'Waste results'!$S$91, "data missing")))))))))))</f>
        <v/>
      </c>
      <c r="P113" s="91" t="str">
        <f ca="1">IF(B113="","",
IF(OR(ISBLANK('Soil results'!H$7),ISBLANK('Soil results'!H116)),"data missing",
IF(OR(AND('Soil results'!H$7="ammonium nitrate (ADAS)",'Soil results'!H116&gt;400),AND('Soil results'!H$7="modified Morgan (SAC)",'Soil results'!H116&gt;400)),0,
IF(OR(AND('Soil results'!H$7="ammonium nitrate (ADAS)",'Soil results'!H116&gt;=121,'Soil results'!H116&lt;=180),AND('Soil results'!H$7="modified Morgan (SAC)",'Soil results'!H116&gt;=76,'Soil results'!H116&lt;=140)),VLOOKUP(Calc!BI111,'Fertiliser recommendations'!$A$4:$Z$63,26,FALSE),
IF(OR(AND('Soil results'!H$7="ammonium nitrate (ADAS)",'Soil results'!H116&lt;61),AND('Soil results'!H$7="modified Morgan (SAC)",'Soil results'!H116&lt;40)),VLOOKUP(Calc!BI111,'Fertiliser recommendations'!$A$4:$Z$63,26,FALSE)+VLOOKUP(Calc!BI111,'Fertiliser recommendations'!$A$4:$AA$63,27,FALSE),
IF(OR(AND('Soil results'!H$7="ammonium nitrate (ADAS)",'Soil results'!H116&lt;121),AND('Soil results'!H$7="modified Morgan (SAC)",'Soil results'!H116&lt;76)),VLOOKUP(Calc!BI111,'Fertiliser recommendations'!$A$4:$Z$63,26,FALSE)+VLOOKUP(Calc!BI111,'Fertiliser recommendations'!$A$4:$AB$63,28,FALSE),
IF(OR(AND('Soil results'!H$7="ammonium nitrate (ADAS)",'Soil results'!H116&lt;241),AND('Soil results'!H$7="modified Morgan (SAC)",'Soil results'!H116&lt;201)),VLOOKUP(Calc!BI111,'Fertiliser recommendations'!$A$4:$Z$63,26,FALSE)+VLOOKUP(Calc!BI111,'Fertiliser recommendations'!$A$4:$AC$63,29,FALSE),
IF(OR(AND('Soil results'!H$7="ammonium nitrate (ADAS)",'Soil results'!H116&lt;=400),AND('Soil results'!H$7="modified Morgan (SAC)",'Soil results'!H116&lt;=400)),VLOOKUP(Calc!BI111,'Fertiliser recommendations'!$A$4:$Z$63,26,FALSE)+VLOOKUP(Calc!BI111,'Fertiliser recommendations'!$A$4:$AD$63,30,FALSE),
"??"))))))))</f>
        <v/>
      </c>
      <c r="Q113" s="91" t="str">
        <f t="shared" ca="1" si="36"/>
        <v/>
      </c>
      <c r="R113" s="9" t="str">
        <f ca="1">IF(B113="","",
IF(OR(O113="data missing",P113="data missing"),"data missing",
IF(Calc!BF111=0,"n/a",
IF(P113=0, "no requirement",
IF(O113&lt;0.1*P113,"no benefit",
IF(O113&lt;0.3*P113,"limited benefit",
IF(O113&gt;1.25*P113,"excessive",
"benefit")))))))</f>
        <v/>
      </c>
      <c r="S113" s="9"/>
      <c r="T113" s="91" t="str">
        <f ca="1">IF(B113="","",
IF(AND('Field information 2'!$O$5="", 'Field information 2'!$Q$5=""),
   IF('Waste results'!$S$21&lt;&gt;"data missing", Calc!BC111*'Waste results'!$S$21, "data missing"),
IF('Field information 2'!$Q$5="",
   IF(Calc!BD111=0,
     IF('Waste results'!$S$21&lt;&gt;"data missing", Calc!BC111*'Waste results'!$S$21, "data missing"),
   IF(Calc!BC111=0,
     IF('Waste results'!$S$57&lt;&gt;"data missing", Calc!BD111*'Waste results'!$S$57, "data missing"),
   IF(OR('Waste results'!$S$21&lt;&gt;"data missing", 'Waste results'!$S$57&lt;&gt;"data missing"), Calc!BC111*'Waste results'!$S$21+ Calc!BD111*'Waste results'!$S$57, "data missing"))),
IF(AND('Field information 2'!$M$5&lt;&gt;"", 'Field information 2'!$O$5&lt;&gt;"", 'Field information 2'!$Q$5&lt;&gt;""),
   IF(AND(Calc!BD111=0,Calc!BE111=0),
     IF('Waste results'!$S$21&lt;&gt;"data missing", Calc!BC111*'Waste results'!$S$21, "data missing"),
   IF(AND(Calc!BC111=0,Calc!BE111=0),
     IF('Waste results'!$S$57&lt;&gt;"data missing", Calc!BD111*'Waste results'!$S$57, "data missing"),
   IF(AND(Calc!BC111=0,Calc!BD111=0),
     IF('Waste results'!$S$93&lt;&gt;"data missing", Calc!BE111*'Waste results'!$S$93, "data missing"),
   IF(Calc!BE111=0,
     IF(OR('Waste results'!$S$21&lt;&gt;"data missing", 'Waste results'!$S$57&lt;&gt;"data missing"), Calc!BC111*'Waste results'!$S$21+ Calc!BD111*'Waste results'!$S$57, "data missing"),
   IF(Calc!BD111=0,
     IF(OR('Waste results'!$S$21&lt;&gt;"data missing", 'Waste results'!$S$93&lt;&gt;"data missing"), Calc!BC111*'Waste results'!$S$21+ Calc!BE111*'Waste results'!$S$93, "data missing"),
   IF(Calc!BC111=0,
     IF(OR('Waste results'!$S$57&lt;&gt;"data missing", 'Waste results'!$S$93&lt;&gt;"data missing"), Calc!BD111*'Waste results'!$S$57+Calc!BE111*'Waste results'!$S$93, "data missing"),
   IF(OR('Waste results'!$S$21&lt;&gt;"data missing", 'Waste results'!$S$57&lt;&gt;"data missing", 'Waste results'!$S$93&lt;&gt;"data missing"), Calc!BC111*'Waste results'!$S$21+Calc!BD111*'Waste results'!$S$57+ Calc!BE111*'Waste results'!$S$93, "data missing")))))))))))</f>
        <v/>
      </c>
      <c r="U113" s="7" t="str">
        <f ca="1">IF(B113="","",
IF(OR(ISBLANK('Soil results'!I$7),ISBLANK('Soil results'!I116)),"data missing",
IF(OR(AND('Soil results'!I$7="ammonium nitrate (ADAS)",'Soil results'!I116&gt;51),AND('Soil results'!I$7="modified Morgan (SAC)",'Soil results'!I116&gt;61)),0,
IF(OR(AND('Soil results'!I$7="ammonium nitrate (ADAS)",'Soil results'!I116&lt;25),AND('Soil results'!I$7="modified Morgan (SAC)",'Soil results'!I116&lt;19)),VLOOKUP(Calc!BI111,'Fertiliser recommendations'!$A$4:$AH$63,34,FALSE),
IF(OR(AND('Soil results'!I$7="ammonium nitrate (ADAS)",'Soil results'!I116&lt;=51),AND('Soil results'!I$7="modified Morgan (SAC)",'Soil results'!I116&lt;=61)),VLOOKUP(Calc!BI111,'Fertiliser recommendations'!$A$4:$AI$63,35,FALSE),
"")))))</f>
        <v/>
      </c>
      <c r="V113" s="91" t="str">
        <f t="shared" ca="1" si="37"/>
        <v/>
      </c>
      <c r="W113" s="9" t="str">
        <f ca="1">IF(B113="","",
IF(OR(T113="data missing",U113="data missing"),"data missing",
IF(Calc!BF111=0,"n/a",
IF(U113=0,"no requirement",
IF(T113&lt;0.1*U113,"no benefit",
IF(T113&lt;0.3*U113,"limited benefit",
IF(OR(T113&gt;1.5*U113,AND(Calc!BJ111="g",T113&gt;100)),"excessive",
"benefit")))))))</f>
        <v/>
      </c>
      <c r="X113" s="9"/>
      <c r="Y113" s="91" t="str">
        <f ca="1">IF(B113="","",
IF(AND('Field information 2'!$O$5="", 'Field information 2'!$Q$5=""),
   IF('Waste results'!$P$23&lt;&gt;"", Calc!BC111*'Waste results'!$P$23, "no data"),
IF('Field information 2'!$Q$5="",
   IF(Calc!BD111=0,
     IF('Waste results'!$P$23&lt;&gt;"", Calc!BC111*'Waste results'!$P$23, "no data"),
   IF(Calc!BC111=0,
     IF('Waste results'!$P$59&lt;&gt;"", Calc!BD111*'Waste results'!$P$59, "no data"),
   IF(OR('Waste results'!$P$23&lt;&gt;"", 'Waste results'!$P$59&lt;&gt;""), Calc!BC111*'Waste results'!$P$23+ Calc!BD111*'Waste results'!$P$59, "no data"))),
IF(AND('Field information 2'!$M$5&lt;&gt;"", 'Field information 2'!$O$5&lt;&gt;"", 'Field information 2'!$Q$5&lt;&gt;""),
   IF(AND(Calc!BD111=0,Calc!BE111=0),
     IF('Waste results'!$P$23&lt;&gt;"", Calc!BC111*'Waste results'!$P$23, "no data"),
   IF(AND(Calc!BC111=0,Calc!BE111=0),
     IF('Waste results'!$P$59&lt;&gt;"", Calc!BD111*'Waste results'!$P$59, "no data"),
   IF(AND(Calc!BC111=0,Calc!BD111=0),
     IF('Waste results'!$P$95&lt;&gt;"", Calc!BE111*'Waste results'!$P$95, "no data"),
   IF(Calc!BE111=0,
     IF(OR('Waste results'!$P$23&lt;&gt;"", 'Waste results'!$P$59&lt;&gt;""), Calc!BC111*'Waste results'!$P$23+ Calc!BD111*'Waste results'!$P$59, "no data"),
   IF(Calc!BD111=0,
     IF(OR('Waste results'!$P$23&lt;&gt;"", 'Waste results'!$P$95&lt;&gt;""), Calc!BC111*'Waste results'!$P$23+ Calc!BE111*'Waste results'!$P$95, "no data"),
   IF(Calc!BC111=0,
     IF(OR('Waste results'!$P$59&lt;&gt;"", 'Waste results'!$P$95&lt;&gt;""), Calc!BD111*'Waste results'!$P$59+Calc!BE111*'Waste results'!$P$95, "no data"),
   IF(OR('Waste results'!$P$23&lt;&gt;"", 'Waste results'!$P$59&lt;&gt;"", 'Waste results'!$P$95&lt;&gt;""), Calc!BC111*'Waste results'!$P$23+Calc!BD111*'Waste results'!$P$59+ Calc!BE111*'Waste results'!$P$95, "no data")))))))))))</f>
        <v/>
      </c>
      <c r="Z113" s="7" t="str">
        <f ca="1">IF(OR(ISBLANK('Soil results'!I$7),ISBLANK('Soil results'!I116),'Soil results'!B116=""),"",
VLOOKUP(Calc!BI111,'Fertiliser recommendations'!$A$4:$AM$63,39,FALSE))</f>
        <v/>
      </c>
      <c r="AA113" s="91" t="str">
        <f t="shared" ca="1" si="38"/>
        <v/>
      </c>
      <c r="AB113" s="9" t="str">
        <f t="shared" ca="1" si="39"/>
        <v/>
      </c>
      <c r="AC113" s="9"/>
      <c r="AD113" s="48" t="str">
        <f>IF(ISBLANK('Soil results'!F116),"",'Soil results'!F116)</f>
        <v/>
      </c>
      <c r="AE113" s="49" t="str">
        <f ca="1">IF(B113="","",
IF(AND(Calc!BJ111="g", VLOOKUP(LEFT($B113,LEN($B113)-2),'Field information 2'!$B$12:$P$111,9,FALSE)&lt;&gt;"yes"),
 IF(Calc!BG111="10-25% OM", 5.9, IF(Calc!BG111="&gt;25% OM", 5.5, 6.2)),
IF(OR(Calc!BJ111="a", VLOOKUP(LEFT($B113,LEN($B113)-2),'Field information 2'!$B$12:$P$111,9,FALSE)="yes"),
 IF(Calc!BG111="10-25% OM", 6.4, IF(Calc!BG111="&gt;25% OM", 6, 6.7)), "")))</f>
        <v/>
      </c>
      <c r="AF113" s="91" t="str">
        <f ca="1">IF(B113="","",
IF('Waste results'!$Q$33="","no (significant) liming properties",
IF('Waste results'!Q$33&gt;100,"no (significant) liming properties",
IF(AD113="","",
IF(AD113&gt;=AE113,0,ROUNDDOWN((AE113-AD113)*Calc!BK111*'Waste results'!$Q$33+0.2,0))))))</f>
        <v/>
      </c>
      <c r="AG113" s="9" t="str">
        <f ca="1">IF(B113="","",
IF(T113=0,"n/a",
IF(AD113="","data missing",
IF(AND(AD113&lt;5,AF113="no (significant) liming properties"),"no waste application - pH too low",
IF(AND(AD113&gt;5.1,AF113="no (significant) liming properties",Calc!BH111&gt;25, LEFT(Calc!BI111,4)="graz"),"ok",
IF(AND(AD113&lt;=5.2,AF113="no (significant) liming properties"),"liming highly recommended",
IF(AF113=0,"no waste application - liming not required",
IF(AF113&lt;Calc!BC111,"application rate too high - exceeds liming requirement",
"ok"))))))))</f>
        <v/>
      </c>
      <c r="AH113" s="9"/>
      <c r="AI113" s="91" t="str">
        <f ca="1">IF(B113="","",
IF(AND('Field information 2'!$O$5="", 'Field information 2'!$Q$5=""),
   IF('Waste results'!$P$10&lt;&gt;"data missing", Calc!BC111*'Waste results'!$P$10, "data missing"),
IF('Field information 2'!$Q$5="",
   IF(Calc!BD111=0,
     IF('Waste results'!$P$10&lt;&gt;"data missing", Calc!BC111*'Waste results'!$P$10, "data missing"),
   IF(Calc!BC111=0,
     IF('Waste results'!$P$45&lt;&gt;"data missing", Calc!BD111*'Waste results'!$P$45, "data missing"),
   IF(OR('Waste results'!$P$10&lt;&gt;"data missing", 'Waste results'!$P$45&lt;&gt;"data missing"), Calc!BC111*'Waste results'!$P$10+ Calc!BD111*'Waste results'!$P$45, "data missing"))),
IF(AND('Field information 2'!$M$5&lt;&gt;"", 'Field information 2'!$O$5&lt;&gt;"", 'Field information 2'!$Q$5&lt;&gt;""),
   IF(AND(Calc!BD111=0,Calc!BE111=0),
     IF('Waste results'!$P$10&lt;&gt;"data missing", Calc!BC111*'Waste results'!$P$10, "data missing"),
   IF(AND(Calc!BC111=0,Calc!BE111=0),
     IF('Waste results'!$P$45&lt;&gt;"data missing", Calc!BD111*'Waste results'!$P$45, "data missing"),
   IF(AND(Calc!BC111=0,Calc!BD111=0),
     IF('Waste results'!$P$82&lt;&gt;"data missing", Calc!BE111*'Waste results'!$P$82, "data missing"),
   IF(Calc!BE111=0,
     IF(OR('Waste results'!$P$10&lt;&gt;"data missing", 'Waste results'!$P$45&lt;&gt;"data missing"), Calc!BC111*'Waste results'!$P$10+ Calc!BD111*'Waste results'!$P$45, "data missing"),
   IF(Calc!BD111=0,
     IF(OR('Waste results'!$P$10&lt;&gt;"data missing", 'Waste results'!$P$82&lt;&gt;"data missing"), Calc!BC111*'Waste results'!$P$10+ Calc!BE111*'Waste results'!$P$82, "data missing"),
   IF(Calc!BC111=0,
     IF(OR('Waste results'!$P$45&lt;&gt;"data missing", 'Waste results'!$P$82&lt;&gt;"data missing"), Calc!BD111*'Waste results'!$P$45+Calc!BE111*'Waste results'!$P$82, "data missing"),
   IF(OR('Waste results'!$P$10&lt;&gt;"data missing", 'Waste results'!$P$45&lt;&gt;"data missing", 'Waste results'!$P$82&lt;&gt;"data missing"), Calc!BC111*'Waste results'!$P$10+Calc!BD111*'Waste results'!$P$45+ Calc!BE111*'Waste results'!$P$82, "data missing")))))))))))</f>
        <v/>
      </c>
      <c r="AJ113" s="237" t="str">
        <f ca="1">IF(B113="","",
IF(AI113="data missing","data missing",
IF(Calc!BF111=0,"n/a",
IF(AND(Calc!BH111&gt;=8,AI113&lt;500),"no benefit",
IF(OR(AND(Calc!BH111&lt;=4,AI113&gt;=500),AND(Calc!BH111&lt;8,AI113&gt;5000)),"benefit",
"limited benefit")))))</f>
        <v/>
      </c>
      <c r="AK113" s="9"/>
      <c r="AL113" s="238" t="str">
        <f ca="1">IF(B113="","",
IF(AND('Field information 2'!$O$5="", 'Field information 2'!$Q$5=""),
   IF('Waste results'!$S$25&lt;&gt;"data missing", Calc!BC111*'Waste results'!$S$25, "data missing"),
IF('Field information 2'!$Q$5="",
   IF(Calc!BD111=0,
     IF('Waste results'!$S$25&lt;&gt;"data missing", Calc!BC111*'Waste results'!$S$25, "data missing"),
   IF(Calc!BC111=0,
     IF('Waste results'!$S$61&lt;&gt;"data missing", Calc!BD111*'Waste results'!$S$61, "data missing"),
   IF(OR('Waste results'!$S$25&lt;&gt;"data missing", 'Waste results'!$S$61&lt;&gt;"data missing"), Calc!BC111*'Waste results'!$S$25+ Calc!BD111*'Waste results'!$S$61, "data missing"))),
IF(AND('Field information 2'!$M$5&lt;&gt;"", 'Field information 2'!$O$5&lt;&gt;"", 'Field information 2'!$Q$5&lt;&gt;""),
   IF(AND(Calc!BD111=0,Calc!BE111=0),
     IF('Waste results'!$S$25&lt;&gt;"data missing", Calc!BC111*'Waste results'!$S$25, "data missing"),
   IF(AND(Calc!BC111=0,Calc!BE111=0),
     IF('Waste results'!$S$61&lt;&gt;"data missing", Calc!BD111*'Waste results'!$S$61, "data missing"),
   IF(AND(Calc!BC111=0,Calc!BD111=0),
     IF('Waste results'!$S$97&lt;&gt;"data missing", Calc!BE111*'Waste results'!$S$97, "data missing"),
   IF(Calc!BE111=0,
     IF(OR('Waste results'!$S$25&lt;&gt;"data missing", 'Waste results'!$S$61&lt;&gt;"data missing"), Calc!BC111*'Waste results'!$S$25+ Calc!BD111*'Waste results'!$S$61, "data missing"),
   IF(Calc!BD111=0,
     IF(OR('Waste results'!$S$25&lt;&gt;"data missing", 'Waste results'!$S$97&lt;&gt;"data missing"), Calc!BC111*'Waste results'!$S$25+ Calc!BE111*'Waste results'!$S$97, "data missing"),
   IF(Calc!BC111=0,
     IF(OR('Waste results'!$S$61&lt;&gt;"data missing", 'Waste results'!$S$97&lt;&gt;"data missing"), Calc!BD111*'Waste results'!$S$61+Calc!BE111*'Waste results'!$S$97, "data missing"),
   IF(OR('Waste results'!$S$25&lt;&gt;"data missing", 'Waste results'!$S$61&lt;&gt;"data missing", 'Waste results'!$S$97&lt;&gt;"data missing"), Calc!BC111*'Waste results'!$S$25+Calc!BD111*'Waste results'!$S$61+ Calc!BE111*'Waste results'!$S$97, "data missing")))))))))))</f>
        <v/>
      </c>
      <c r="AM113" s="239" t="str">
        <f ca="1">IF($B113="","",
IF(ISBLANK('Soil results'!K116),"data missing",'Soil results'!K116))</f>
        <v/>
      </c>
      <c r="AN113" s="239" t="str">
        <f t="shared" ca="1" si="40"/>
        <v/>
      </c>
      <c r="AO113" s="9" t="str">
        <f t="shared" ca="1" si="41"/>
        <v/>
      </c>
      <c r="AP113" s="9"/>
      <c r="AQ113" s="240" t="str">
        <f ca="1">IF(B113="","",
IF(AND('Field information 2'!$O$5="", 'Field information 2'!$Q$5=""),
   IF('Waste results'!$S$26&lt;&gt;"data missing", Calc!BC111*'Waste results'!$S$26, "data missing"),
IF('Field information 2'!$Q$5="",
   IF(Calc!BD111=0,
     IF('Waste results'!$S$26&lt;&gt;"data missing", Calc!BC111*'Waste results'!$S$26, "data missing"),
   IF(Calc!BC111=0,
     IF('Waste results'!$S$62&lt;&gt;"data missing", Calc!BD111*'Waste results'!$S$62, "data missing"),
   IF(OR('Waste results'!$S$26&lt;&gt;"data missing", 'Waste results'!$S$62&lt;&gt;"data missing"), Calc!BC111*'Waste results'!$S$26+ Calc!BD111*'Waste results'!$S$62, "data missing"))),
IF(AND('Field information 2'!$M$5&lt;&gt;"", 'Field information 2'!$O$5&lt;&gt;"", 'Field information 2'!$Q$5&lt;&gt;""),
   IF(AND(Calc!BD111=0,Calc!BE111=0),
     IF('Waste results'!$S$26&lt;&gt;"data missing", Calc!BC111*'Waste results'!$S$26, "data missing"),
   IF(AND(Calc!BC111=0,Calc!BE111=0),
     IF('Waste results'!$S$62&lt;&gt;"data missing", Calc!BD111*'Waste results'!$S$62, "data missing"),
   IF(AND(Calc!BC111=0,Calc!BD111=0),
     IF('Waste results'!$S$98&lt;&gt;"data missing", Calc!BE111*'Waste results'!$S$98, "data missing"),
   IF(Calc!BE111=0,
     IF(OR('Waste results'!$S$26&lt;&gt;"data missing", 'Waste results'!$S$62&lt;&gt;"data missing"), Calc!BC111*'Waste results'!$S$26+ Calc!BD111*'Waste results'!$S$62, "data missing"),
   IF(Calc!BD111=0,
     IF(OR('Waste results'!$S$26&lt;&gt;"data missing", 'Waste results'!$S$98&lt;&gt;"data missing"), Calc!BC111*'Waste results'!$S$26+ Calc!BE111*'Waste results'!$S$98, "data missing"),
   IF(Calc!BC111=0,
     IF(OR('Waste results'!$S$62&lt;&gt;"data missing", 'Waste results'!$S$98&lt;&gt;"data missing"), Calc!BD111*'Waste results'!$S$62+Calc!BE111*'Waste results'!$S$98, "data missing"),
   IF(OR('Waste results'!$S$26&lt;&gt;"data missing", 'Waste results'!$S$62&lt;&gt;"data missing", 'Waste results'!$S$98&lt;&gt;"data missing"), Calc!BC111*'Waste results'!$S$26+Calc!BD111*'Waste results'!$S$62+ Calc!BE111*'Waste results'!$S$98, "data missing")))))))))))</f>
        <v/>
      </c>
      <c r="AR113" s="241" t="str">
        <f ca="1">IF($B113="","",
IF(ISBLANK('Soil results'!L116),"data missing",'Soil results'!L116))</f>
        <v/>
      </c>
      <c r="AS113" s="241" t="str">
        <f t="shared" ca="1" si="42"/>
        <v/>
      </c>
      <c r="AT113" s="66" t="str">
        <f t="shared" ca="1" si="43"/>
        <v/>
      </c>
      <c r="AU113" s="9"/>
      <c r="AV113" s="238" t="str">
        <f ca="1">IF(B113="","",
IF(AND('Field information 2'!$O$5="", 'Field information 2'!$Q$5=""),
   IF('Waste results'!$S$27&lt;&gt;"data missing", Calc!BC111*'Waste results'!$S$27, "data missing"),
IF('Field information 2'!$Q$5="",
   IF(Calc!BD111=0,
     IF('Waste results'!$S$27&lt;&gt;"data missing", Calc!BC111*'Waste results'!$S$27, "data missing"),
   IF(Calc!BC111=0,
     IF('Waste results'!$S$63&lt;&gt;"data missing", Calc!BD111*'Waste results'!$S$63, "data missing"),
   IF(OR('Waste results'!$S$27&lt;&gt;"data missing", 'Waste results'!$S$63&lt;&gt;"data missing"), Calc!BC111*'Waste results'!$S$27+ Calc!BD111*'Waste results'!$S$63, "data missing"))),
IF(AND('Field information 2'!$M$5&lt;&gt;"", 'Field information 2'!$O$5&lt;&gt;"", 'Field information 2'!$Q$5&lt;&gt;""),
   IF(AND(Calc!BD111=0,Calc!BE111=0),
     IF('Waste results'!$S$27&lt;&gt;"data missing", Calc!BC111*'Waste results'!$S$27, "data missing"),
   IF(AND(Calc!BC111=0,Calc!BE111=0),
     IF('Waste results'!$S$63&lt;&gt;"data missing", Calc!BD111*'Waste results'!$S$63, "data missing"),
   IF(AND(Calc!BC111=0,Calc!BD111=0),
     IF('Waste results'!$S$99&lt;&gt;"data missing", Calc!BE111*'Waste results'!$S$99, "data missing"),
   IF(Calc!BE111=0,
     IF(OR('Waste results'!$S$27&lt;&gt;"data missing", 'Waste results'!$S$63&lt;&gt;"data missing"), Calc!BC111*'Waste results'!$S$27+ Calc!BD111*'Waste results'!$S$63, "data missing"),
   IF(Calc!BD111=0,
     IF(OR('Waste results'!$S$27&lt;&gt;"data missing", 'Waste results'!$S$99&lt;&gt;"data missing"), Calc!BC111*'Waste results'!$S$27+ Calc!BE111*'Waste results'!$S$99, "data missing"),
   IF(Calc!BC111=0,
     IF(OR('Waste results'!$S$63&lt;&gt;"data missing", 'Waste results'!$S$99&lt;&gt;"data missing"), Calc!BD111*'Waste results'!$S$63+Calc!BE111*'Waste results'!$S$99, "data missing"),
   IF(OR('Waste results'!$S$27&lt;&gt;"data missing", 'Waste results'!$S$63&lt;&gt;"data missing", 'Waste results'!$S$99&lt;&gt;"data missing"), Calc!BC111*'Waste results'!$S$27+Calc!BD111*'Waste results'!$S$63+ Calc!BE111*'Waste results'!$S$99, "data missing")))))))))))</f>
        <v/>
      </c>
      <c r="AW113" s="239" t="str">
        <f ca="1">IF($B113="","",
IF(ISBLANK('Soil results'!M116),"data missing",'Soil results'!M116))</f>
        <v/>
      </c>
      <c r="AX113" s="239" t="str">
        <f t="shared" ca="1" si="44"/>
        <v/>
      </c>
      <c r="AY113" s="9" t="str">
        <f ca="1">IF(B113="","",
IF(AV113=0,"n/a",
IF(OR(AV113="data missing",AW113="data missing"),"data missing",
IF(AV113&gt;7.5,"application rate too high - permissible rate exceeds limit",
IF('Soil results'!$F116&lt;=5.5,
  IF(AW113&gt;80,"no application - soil conc. already above limit",
  IF(AX113&gt;80,"application rate too high - soil conc. will exceed limit",
  IF(AW113&gt;80*0.9,"soil conc. is at or above 90% of the limit",
  IF(10*AV113*1000/3000+AW113&gt;80,"soil limit likely to be exceeded in 10yrs",
  IF(50*AV113*1000/3000+AW113&gt;80,"soil limit likely to be exceeded in 50yrs","ok"))))),
IF('Soil results'!$F116&lt;=6,
  IF(AW113&gt;100,"no application - soil conc. already above limit",
  IF(AX113&gt;100,"application rate too high - soil conc. will exceed limit",
  IF(AW113&gt;100*0.9,"soil conc. is at or above 90% of the limit",
  IF(10*AV113*1000/3000+AW113&gt;100,"soil limit likely to be exceeded in 10yrs",
  IF(50*AV113*1000/3000+AW113&gt;100,"soil limit likely to be exceeded in 50yrs","ok"))))),
IF('Soil results'!$F116&lt;=7,
  IF(AW113&gt;135,"no application - soil conc. already above limit",
  IF(AX113&gt;135,"application rate too high - soil conc. will exceed limit",
  IF(AW113&gt;135*0.9,"soil conc. is at or above 90% of the limit",
  IF(10*AV113*1000/3000+AW113&gt;135,"soil limit likely to be exceeded in 10yrs",
  IF(50*AV113*1000/3000+AW113&gt;135,"soil limit likely to be exceeded in 50yrs","ok"))))),
IF('Soil results'!$F116&gt;7,
  IF(AW113&gt;200,"no application - soil conc. already above limit",
  IF(AX113&gt;200,"application too high - soil conc. will exceed limit",
  IF(AW113&gt;200*0.9,"soil conc. is at or above 90% of the limit",
  IF(10*AV113*1000/3000+AW113&gt;200,"soil limit likely to be exceeded in 10yrs",
  IF(50*AV113*1000/3000+AW113&gt;200,"soil limit likely to be exceeded in 50yrs","ok")))))
))))))))</f>
        <v/>
      </c>
      <c r="AZ113" s="9"/>
      <c r="BA113" s="238" t="str">
        <f ca="1">IF(B113="","",
IF(AND('Field information 2'!$O$5="", 'Field information 2'!$Q$5=""),
   IF('Waste results'!$S$28&lt;&gt;"data missing", Calc!BC111*'Waste results'!$S$28, "data missing"),
IF('Field information 2'!$Q$5="",
   IF(Calc!BD111=0,
     IF('Waste results'!$S$28&lt;&gt;"data missing", Calc!BC111*'Waste results'!$S$28, "data missing"),
   IF(Calc!BC111=0,
     IF('Waste results'!$S$64&lt;&gt;"data missing", Calc!BD111*'Waste results'!$S$64, "data missing"),
   IF(OR('Waste results'!$S$28&lt;&gt;"data missing", 'Waste results'!$S$64&lt;&gt;"data missing"), Calc!BC111*'Waste results'!$S$28+ Calc!BD111*'Waste results'!$S$64, "data missing"))),
IF(AND('Field information 2'!$M$5&lt;&gt;"", 'Field information 2'!$O$5&lt;&gt;"", 'Field information 2'!$Q$5&lt;&gt;""),
   IF(AND(Calc!BD111=0,Calc!BE111=0),
     IF('Waste results'!$S$28&lt;&gt;"data missing", Calc!BC111*'Waste results'!$S$28, "data missing"),
   IF(AND(Calc!BC111=0,Calc!BE111=0),
     IF('Waste results'!$S$64&lt;&gt;"data missing", Calc!BD111*'Waste results'!$S$64, "data missing"),
   IF(AND(Calc!BC111=0,Calc!BD111=0),
     IF('Waste results'!$S$100&lt;&gt;"data missing", Calc!BE111*'Waste results'!$S$100, "data missing"),
   IF(Calc!BE111=0,
     IF(OR('Waste results'!$S$28&lt;&gt;"data missing", 'Waste results'!$S$64&lt;&gt;"data missing"), Calc!BC111*'Waste results'!$S$28+ Calc!BD111*'Waste results'!$S$64, "data missing"),
   IF(Calc!BD111=0,
     IF(OR('Waste results'!$S$28&lt;&gt;"data missing", 'Waste results'!$S$100&lt;&gt;"data missing"), Calc!BC111*'Waste results'!$S$28+ Calc!BE111*'Waste results'!$S$100, "data missing"),
   IF(Calc!BC111=0,
     IF(OR('Waste results'!$S$64&lt;&gt;"data missing", 'Waste results'!$S$100&lt;&gt;"data missing"), Calc!BD111*'Waste results'!$S$64+Calc!BE111*'Waste results'!$S$100, "data missing"),
   IF(OR('Waste results'!$S$28&lt;&gt;"data missing", 'Waste results'!$S$64&lt;&gt;"data missing", 'Waste results'!$S$100&lt;&gt;"data missing"), Calc!BC111*'Waste results'!$S$28+Calc!BD111*'Waste results'!$S$64+ Calc!BE111*'Waste results'!$S$100, "data missing")))))))))))</f>
        <v/>
      </c>
      <c r="BB113" s="239" t="str">
        <f ca="1">IF($B113="","",
IF(ISBLANK('Soil results'!N116),"data missing",'Soil results'!N116))</f>
        <v/>
      </c>
      <c r="BC113" s="239" t="str">
        <f t="shared" ca="1" si="45"/>
        <v/>
      </c>
      <c r="BD113" s="9" t="str">
        <f t="shared" ca="1" si="46"/>
        <v/>
      </c>
      <c r="BE113" s="9"/>
      <c r="BF113" s="238" t="str">
        <f ca="1">IF(B113="","",
IF(AND('Field information 2'!$O$5="", 'Field information 2'!$Q$5=""),
   IF('Waste results'!$S$29&lt;&gt;"data missing", Calc!BC111*'Waste results'!$S$29, "data missing"),
IF('Field information 2'!$Q$5="",
   IF(Calc!BD111=0,
     IF('Waste results'!$S$29&lt;&gt;"data missing", Calc!BC111*'Waste results'!$S$29, "data missing"),
   IF(Calc!BC111=0,
     IF('Waste results'!$S$65&lt;&gt;"data missing", Calc!BD111*'Waste results'!$S$65, "data missing"),
   IF(OR('Waste results'!$S$29&lt;&gt;"data missing", 'Waste results'!$S$65&lt;&gt;"data missing"), Calc!BC111*'Waste results'!$S$29+ Calc!BD111*'Waste results'!$S$65, "data missing"))),
IF(AND('Field information 2'!$M$5&lt;&gt;"", 'Field information 2'!$O$5&lt;&gt;"", 'Field information 2'!$Q$5&lt;&gt;""),
   IF(AND(Calc!BD111=0,Calc!BE111=0),
     IF('Waste results'!$S$29&lt;&gt;"data missing", Calc!BC111*'Waste results'!$S$29, "data missing"),
   IF(AND(Calc!BC111=0,Calc!BE111=0),
     IF('Waste results'!$S$65&lt;&gt;"data missing", Calc!BD111*'Waste results'!$S$65, "data missing"),
   IF(AND(Calc!BC111=0,Calc!BD111=0),
     IF('Waste results'!$S$101&lt;&gt;"data missing", Calc!BE111*'Waste results'!$S$101, "data missing"),
   IF(Calc!BE111=0,
     IF(OR('Waste results'!$S$29&lt;&gt;"data missing", 'Waste results'!$S$65&lt;&gt;"data missing"), Calc!BC111*'Waste results'!$S$29+ Calc!BD111*'Waste results'!$S$65, "data missing"),
   IF(Calc!BD111=0,
     IF(OR('Waste results'!$S$29&lt;&gt;"data missing", 'Waste results'!$S$101&lt;&gt;"data missing"), Calc!BC111*'Waste results'!$S$29+ Calc!BE111*'Waste results'!$S$101, "data missing"),
   IF(Calc!BC111=0,
     IF(OR('Waste results'!$S$65&lt;&gt;"data missing", 'Waste results'!$S$101&lt;&gt;"data missing"), Calc!BD111*'Waste results'!$S$65+Calc!BE111*'Waste results'!$S$101, "data missing"),
   IF(OR('Waste results'!$S$29&lt;&gt;"data missing", 'Waste results'!$S$65&lt;&gt;"data missing", 'Waste results'!$S$101&lt;&gt;"data missing"), Calc!BC111*'Waste results'!$S$29+Calc!BD111*'Waste results'!$S$65+ Calc!BE111*'Waste results'!$S$101, "data missing")))))))))))</f>
        <v/>
      </c>
      <c r="BG113" s="239" t="str">
        <f ca="1">IF($B113="","",
IF(ISBLANK('Soil results'!O116),"data missing",'Soil results'!O116))</f>
        <v/>
      </c>
      <c r="BH113" s="239" t="str">
        <f t="shared" ca="1" si="47"/>
        <v/>
      </c>
      <c r="BI113" s="9" t="str">
        <f ca="1">IF(B113="","",
IF(BF113=0,"n/a",
IF(OR(BF113="data missing",BG113="data missing"),"data missing",
IF(BF113&gt;3,"application rate too high - permissible rate exceeds limit",
IF('Soil results'!F116&lt;=5.5,
  IF(BG113&gt;50,"no application - soil conc. already above limit",
  IF(BH113&gt;50,"application rate too high - soil conc. will exceed limit",
  IF(BG113&gt;50*0.9,"soil conc. is at or above 90% of the limit",
  IF(10*BF113*1000/3000+BG113&gt;50,"soil limit likely to be exceeded in 10yrs",
  IF(50*BF113*1000/3000+BG113&gt;50,"soil limit likely to be exceeded in 50yrs","ok"))))),
IF('Soil results'!F116&lt;=6,
  IF(BG113&gt;60,"no application - soil conc. already above limit",
  IF(BH113&gt;60,"application rate too high - soil conc. will exceed limit",
  IF(BG113&gt;60*0.9,"soil conc. is at or above 90% of the limit",
  IF(10*BF113*1000/3000+BG113&gt;60,"soil limit likely to be exceeded in 10yrs",
  IF(50*BF113*1000/3000+BG113&gt;60,"soil limit likely to be exceeded in 50yrs","ok"))))),
IF('Soil results'!F116&lt;=7,
  IF(BG113&gt;75,"no application - soil conc. already above limit",
  IF(BH113&gt;75,"application rate too high - soil conc. will exceed limit",
  IF(BG113&gt;75*0.9,"soil conc. is at or above 90% of the limit",
  IF(10*BF113*1000/3000+BG113&gt;75,"soil limit likely to be exceeded in 10yrs",
  IF(50*BF113*1000/3000+BG113&gt;75,"soil limit likely to be exceeded in 50yrs","ok"))))),
IF('Soil results'!F116&gt;7,
  IF(BG113&gt;100,"no application - soil conc. already above limit",
  IF(BH113&gt;100,"application rate too high - soil conc. will exceed limit",
  IF(BG113&gt;100*0.9,"soil conc. is at or above 90% of the limit",
  IF(10*BF113*1000/3000+BG113&gt;100,"soil limit likely to be exceeded in 10yrs",
  IF(50*BF113*1000/3000+BG113&gt;100,"soil limit likely to beexceeded in 50yrs","ok")))))
))))))))</f>
        <v/>
      </c>
      <c r="BJ113" s="9"/>
      <c r="BK113" s="240" t="str">
        <f ca="1">IF(B113="","",
IF(AND('Field information 2'!$O$5="", 'Field information 2'!$Q$5=""),
   IF('Waste results'!$S$30&lt;&gt;"data missing", Calc!BC111*'Waste results'!$S$30, "data missing"),
IF('Field information 2'!$Q$5="",
   IF(Calc!BD111=0,
     IF('Waste results'!$S$30&lt;&gt;"data missing", Calc!BC111*'Waste results'!$S$30, "data missing"),
   IF(Calc!BC111=0,
     IF('Waste results'!$S$66&lt;&gt;"data missing", Calc!BD111*'Waste results'!$S$66, "data missing"),
   IF(OR('Waste results'!$S$30&lt;&gt;"data missing", 'Waste results'!$S$66&lt;&gt;"data missing"), Calc!BC111*'Waste results'!$S$30+ Calc!BD111*'Waste results'!$S$66, "data missing"))),
IF(AND('Field information 2'!$M$5&lt;&gt;"", 'Field information 2'!$O$5&lt;&gt;"", 'Field information 2'!$Q$5&lt;&gt;""),
   IF(AND(Calc!BD111=0,Calc!BE111=0),
     IF('Waste results'!$S$30&lt;&gt;"data missing", Calc!BC111*'Waste results'!$S$30, "data missing"),
   IF(AND(Calc!BC111=0,Calc!BE111=0),
     IF('Waste results'!$S$66&lt;&gt;"data missing", Calc!BD111*'Waste results'!$S$66, "data missing"),
   IF(AND(Calc!BC111=0,Calc!BD111=0),
     IF('Waste results'!$S$102&lt;&gt;"data missing", Calc!BE111*'Waste results'!$S$102, "data missing"),
   IF(Calc!BE111=0,
     IF(OR('Waste results'!$S$30&lt;&gt;"data missing", 'Waste results'!$S$66&lt;&gt;"data missing"), Calc!BC111*'Waste results'!$S$30+ Calc!BD111*'Waste results'!$S$66, "data missing"),
   IF(Calc!BD111=0,
     IF(OR('Waste results'!$S$30&lt;&gt;"data missing", 'Waste results'!$S$102&lt;&gt;"data missing"), Calc!BC111*'Waste results'!$S$30+ Calc!BE111*'Waste results'!$S$102, "data missing"),
   IF(Calc!BC111=0,
     IF(OR('Waste results'!$S$66&lt;&gt;"data missing", 'Waste results'!$S$102&lt;&gt;"data missing"), Calc!BD111*'Waste results'!$S$66+Calc!BE111*'Waste results'!$S$102, "data missing"),
   IF(OR('Waste results'!$S$30&lt;&gt;"data missing", 'Waste results'!$S$66&lt;&gt;"data missing", 'Waste results'!$S$102&lt;&gt;"data missing"), Calc!BC111*'Waste results'!$S$30+Calc!BD111*'Waste results'!$S$66+ Calc!BE111*'Waste results'!$S$102, "data missing")))))))))))</f>
        <v/>
      </c>
      <c r="BL113" s="241" t="str">
        <f ca="1">IF($B113="","",
IF(ISBLANK('Soil results'!P116),"data missing",'Soil results'!P116))</f>
        <v/>
      </c>
      <c r="BM113" s="241" t="str">
        <f t="shared" ca="1" si="48"/>
        <v/>
      </c>
      <c r="BN113" s="66" t="str">
        <f t="shared" ca="1" si="49"/>
        <v/>
      </c>
      <c r="BO113" s="9"/>
      <c r="BP113" s="238" t="str">
        <f ca="1">IF(B113="","",
IF(AND('Field information 2'!$O$5="", 'Field information 2'!$Q$5=""),
   IF('Waste results'!$S$31&lt;&gt;"data missing", Calc!BC111*'Waste results'!$S$31, "data missing"),
IF('Field information 2'!$Q$5="",
   IF(Calc!BD111=0,
     IF('Waste results'!$S$31&lt;&gt;"data missing", Calc!BC111*'Waste results'!$S$31, "data missing"),
   IF(Calc!BC111=0,
     IF('Waste results'!$S$67&lt;&gt;"data missing", Calc!BD111*'Waste results'!$S$67, "data missing"),
   IF(OR('Waste results'!$S$31&lt;&gt;"data missing", 'Waste results'!$S$67&lt;&gt;"data missing"), Calc!BC111*'Waste results'!$S$31+ Calc!BD111*'Waste results'!$S$67, "data missing"))),
IF(AND('Field information 2'!$M$5&lt;&gt;"", 'Field information 2'!$O$5&lt;&gt;"", 'Field information 2'!$Q$5&lt;&gt;""),
   IF(AND(Calc!BD111=0,Calc!BE111=0),
     IF('Waste results'!$S$31&lt;&gt;"data missing", Calc!BC111*'Waste results'!$S$31, "data missing"),
   IF(AND(Calc!BC111=0,Calc!BE111=0),
     IF('Waste results'!$S$67&lt;&gt;"data missing", Calc!BD111*'Waste results'!$S$67, "data missing"),
   IF(AND(Calc!BC111=0,Calc!BD111=0),
     IF('Waste results'!$S$103&lt;&gt;"data missing", Calc!BE111*'Waste results'!$S$103, "data missing"),
   IF(Calc!BE111=0,
     IF(OR('Waste results'!$S$31&lt;&gt;"data missing", 'Waste results'!$S$67&lt;&gt;"data missing"), Calc!BC111*'Waste results'!$S$31+ Calc!BD111*'Waste results'!$S$67, "data missing"),
   IF(Calc!BD111=0,
     IF(OR('Waste results'!$S$31&lt;&gt;"data missing", 'Waste results'!$S$103&lt;&gt;"data missing"), Calc!BC111*'Waste results'!$S$31+ Calc!BE111*'Waste results'!$S$103, "data missing"),
   IF(Calc!BC111=0,
     IF(OR('Waste results'!$S$67&lt;&gt;"data missing", 'Waste results'!$S$103&lt;&gt;"data missing"), Calc!BD111*'Waste results'!$S$67+Calc!BE111*'Waste results'!$S$103, "data missing"),
   IF(OR('Waste results'!$S$31&lt;&gt;"data missing", 'Waste results'!$S$67&lt;&gt;"data missing", 'Waste results'!$S$103&lt;&gt;"data missing"), Calc!BC111*'Waste results'!$S$31+Calc!BD111*'Waste results'!$S$67+ Calc!BE111*'Waste results'!$S$103, "data missing")))))))))))</f>
        <v/>
      </c>
      <c r="BQ113" s="239" t="str">
        <f ca="1">IF($B113="","",
IF(ISBLANK('Soil results'!Q116),"data missing",'Soil results'!Q116))</f>
        <v/>
      </c>
      <c r="BR113" s="239" t="str">
        <f t="shared" ca="1" si="50"/>
        <v/>
      </c>
      <c r="BS113" s="9" t="str">
        <f ca="1">IF(B113="","",
IF(BP113=0,"n/a",
IF(OR(BP113="data missing",BQ113=""),"data missing",
IF(BP113&gt;15,"application rate too high - permissible rate exceeds limit",
IF('Soil results'!F116&lt;=5.5,
  IF(BQ113&gt;200,"no application - soil conc. already above limit",
  IF(BR113&gt;200,"application rate too high - soil conc. will exceed limit",
  IF(BQ113&gt;200*0.9,"soil conc. is at or above 90% of the limit",
  IF(10*BP113*1000/3000+BQ113&gt;200,"soil limit likely to be exceeded in 10yrs",
  IF(50*BP113*1000/3000+BQ113&gt;200,"soil limit likely to be exceeded in 50yrs","ok"))))),
IF('Soil results'!F116&lt;=6,
  IF(BQ113&gt;250,"no application - soil conc. already above limit",
  IF(BR113&gt;250,"application rate too high - soil conc. will exceed limit",
  IF(BQ113&gt;250*0.9,"soil conc. is at or above 90% of the limit",
  IF(10*BP113*1000/3000+BQ113&gt;250,"soil limit likely to be exceeded in 10yrs",
  IF(50*BP113*1000/3000+BQ113&gt;250,"soil limit likely to be exceeded in 50yrs","ok"))))),
IF('Soil results'!F116&lt;=7,
  IF(BQ113&gt;300,"no application - soil conc. already above limit",
  IF(BR113&gt;300,"application rate too high - soil conc. will exceed limit",
  IF(BQ113&gt;300*0.9,"soil conc. is at or above 90% of the limit",
  IF(10*BP113*1000/3000+BQ113&gt;300,"soil limit likey to be exceeded in 10yrs",
  IF(50*BP113*1000/3000+BQ113&gt;300,"soil limit likely to be exceeded in 50yrs","ok"))))),
IF('Soil results'!F116&gt;7,
  IF(BQ113&gt;450,"no application - soil conc. already above limit",
  IF(BR113&gt;450,"application rate too high - soil conc. will exceed limit",
  IF(AW113&gt;450*0.9,"soil conc. is at or above 90% of the limit",
  IF(10*BP113*1000/3000+BQ113&gt;450,"soil limit likely to be exceeded in 10yrs",
  IF(50*BP113*1000/3000+BQ113&gt;450,"soil limit likely to be exceeded in 50yrs","ok")))))
))))))))</f>
        <v/>
      </c>
    </row>
    <row r="114" spans="2:71" ht="15" x14ac:dyDescent="0.25">
      <c r="B114" s="236" t="str">
        <f ca="1">'Soil results'!B117</f>
        <v/>
      </c>
      <c r="C114" s="91" t="str">
        <f ca="1">IF(B114="","",
IF(AND('Field information 2'!$O$5="", 'Field information 2'!$Q$5=""),
   IF('Waste results'!$S$12&lt;&gt;"data missing", Calc!BC112*'Waste results'!$S$12, "data missing"),
IF('Field information 2'!$Q$5="",
   IF(Calc!BD112=0,
     IF('Waste results'!$S$12&lt;&gt;"data missing", Calc!BC112*'Waste results'!$S$12, "data missing"),
   IF(Calc!BC112=0,
     IF('Waste results'!$S$48&lt;&gt;"data missing", Calc!BD112*'Waste results'!$S$48, "data missing"),
   IF(OR('Waste results'!$S$12&lt;&gt;"data missing", 'Waste results'!$S$48&lt;&gt;"data missing"), Calc!BC112*'Waste results'!$S$12+ Calc!BD112*'Waste results'!$S$48, "data missing"))),
IF(AND('Field information 2'!$M$5&lt;&gt;"", 'Field information 2'!$O$5&lt;&gt;"", 'Field information 2'!$Q$5&lt;&gt;""),
   IF(AND(Calc!BD112=0,Calc!BE112=0),
     IF('Waste results'!$S$12&lt;&gt;"data missing", Calc!BC112*'Waste results'!$S$12, "data missing"),
   IF(AND(Calc!BC112=0,Calc!BE112=0),
     IF('Waste results'!$S$48&lt;&gt;"data missing", Calc!BD112*'Waste results'!$S$48, "data missing"),
   IF(AND(Calc!BC112=0,Calc!BD112=0),
     IF('Waste results'!$S$84&lt;&gt;"data missing", Calc!BE112*'Waste results'!$S$84, "data missing"),
   IF(Calc!BE112=0,
     IF(OR('Waste results'!$S$12&lt;&gt;"data missing", 'Waste results'!$S$48&lt;&gt;"data missing"), Calc!BC112*'Waste results'!$S$12+ Calc!BD112*'Waste results'!$S$48, "data missing"),
   IF(Calc!BD112=0,
     IF(OR('Waste results'!$S$12&lt;&gt;"data missing", 'Waste results'!$S$84&lt;&gt;"data missing"), Calc!BC112*'Waste results'!$S$12+ Calc!BE112*'Waste results'!$S$84, "data missing"),
   IF(Calc!BC112=0,
     IF(OR('Waste results'!$S$48&lt;&gt;"data missing", 'Waste results'!$S$84&lt;&gt;"data missing"), Calc!BD112*'Waste results'!$S$48+Calc!BE112*'Waste results'!$S$84, "data missing"),
   IF(OR('Waste results'!$S$12&lt;&gt;"data missing", 'Waste results'!$S$48&lt;&gt;"data missing", 'Waste results'!$S$84&lt;&gt;"data missing"), Calc!BC112*'Waste results'!$S$12+Calc!BD112*'Waste results'!$S$48+ Calc!BE112*'Waste results'!$S$84, "data missing")))))))))))</f>
        <v/>
      </c>
      <c r="D114" s="161" t="str">
        <f ca="1">IF(B114="","",
IF(Calc!BG112="","soil texture missing",
IF(OR(Calc!BG112="SL; SZL; ZL",Calc!BG112="SCL; CL; ZCL; SC; ZC; C"),VLOOKUP(Calc!BI112,'Fertiliser recommendations'!$A$4:$C$63,3,FALSE),
IF(Calc!BG112="S; LS",VLOOKUP(Calc!BI112,'Fertiliser recommendations'!$A$4:$C$63,3,FALSE)+VLOOKUP(Calc!BI112,'Fertiliser recommendations'!$A$4:$D$63,4,FALSE),
IF(Calc!BG112="10-25% OM",VLOOKUP(Calc!BI112,'Fertiliser recommendations'!$A$4:$C$63,3,FALSE)+VLOOKUP(Calc!BI112,'Fertiliser recommendations'!$A$4:$E$63,5,FALSE),
IF(Calc!BG112="&gt;25% OM",VLOOKUP(Calc!BI112,'Fertiliser recommendations'!$A$4:$C$63,3,FALSE)+VLOOKUP(Calc!BI112,'Fertiliser recommendations'!$A$4:$F$63,6,FALSE),
""))))))</f>
        <v/>
      </c>
      <c r="E114" s="91" t="str">
        <f t="shared" ca="1" si="34"/>
        <v/>
      </c>
      <c r="F114" s="9" t="str">
        <f ca="1">IF(B114="","",
IF(OR(C114="data missing",D114="soil texture missing"),"data missing",
IF(Calc!BF112=0,"n/a",
IF(C114&lt;0.1*D114,"no benefit",
IF(C114&lt;0.3*D114,"limited benefit",
IF(C114&gt;250,"exceeds limit",
IF(OR(AND(D114=0,C114&gt;75),C114&gt;1.25*D114),"excessive",
IF(D114=0, "no requirement",
"benefit"))))))))</f>
        <v/>
      </c>
      <c r="G114" s="9"/>
      <c r="H114" s="91" t="str">
        <f ca="1">IF(B114="","",
IF(AND('Field information 2'!$O$5="", 'Field information 2'!$Q$5=""),
   IF('Waste results'!$S$17&lt;&gt;"data missing", Calc!BC112*'Waste results'!$S$17, "data missing"),
IF('Field information 2'!$Q$5="",
   IF(Calc!BD112=0,
     IF('Waste results'!$S$17&lt;&gt;"data missing", Calc!BC112*'Waste results'!$S$17, "data missing"),
   IF(Calc!BC112=0,
     IF('Waste results'!$S$53&lt;&gt;"data missing", Calc!BD112*'Waste results'!$S$53, "data missing"),
   IF(OR('Waste results'!$S$17&lt;&gt;"data missing", 'Waste results'!$S$53&lt;&gt;"data missing"), Calc!BC112*'Waste results'!$S$17+ Calc!BD112*'Waste results'!$S$53, "data missing"))),
IF(AND('Field information 2'!$M$5&lt;&gt;"", 'Field information 2'!$O$5&lt;&gt;"", 'Field information 2'!$Q$5&lt;&gt;""),
   IF(AND(Calc!BD112=0,Calc!BE112=0),
     IF('Waste results'!$S$17&lt;&gt;"data missing", Calc!BC112*'Waste results'!$S$17, "data missing"),
   IF(AND(Calc!BC112=0,Calc!BE112=0),
     IF('Waste results'!$S$53&lt;&gt;"data missing", Calc!BD112*'Waste results'!$S$53, "data missing"),
   IF(AND(Calc!BC112=0,Calc!BD112=0),
     IF('Waste results'!$S$89&lt;&gt;"data missing", Calc!BE112*'Waste results'!$S$89, "data missing"),
   IF(Calc!BE112=0,
     IF(OR('Waste results'!$S$17&lt;&gt;"data missing", 'Waste results'!$S$53&lt;&gt;"data missing"), Calc!BC112*'Waste results'!$S$17+ Calc!BD112*'Waste results'!$S$53, "data missing"),
   IF(Calc!BD112=0,
     IF(OR('Waste results'!$S$17&lt;&gt;"data missing", 'Waste results'!$S$89&lt;&gt;"data missing"), Calc!BC112*'Waste results'!$S$17+ Calc!BE112*'Waste results'!$S$89, "data missing"),
   IF(Calc!BC112=0,
     IF(OR('Waste results'!$S$53&lt;&gt;"data missing", 'Waste results'!$S$89&lt;&gt;"data missing"), Calc!BD112*'Waste results'!$S$53+Calc!BE112*'Waste results'!$S$89, "data missing"),
   IF(OR('Waste results'!$S$17&lt;&gt;"data missing", 'Waste results'!$S$53&lt;&gt;"data missing", 'Waste results'!$S$89&lt;&gt;"data missing"), Calc!BC112*'Waste results'!$S$17+Calc!BD112*'Waste results'!$S$53+ Calc!BE112*'Waste results'!$S$89, "data missing")))))))))))</f>
        <v/>
      </c>
      <c r="I114" s="195" t="str">
        <f ca="1">IF(B114="","",
IF(OR(ISBLANK('Soil results'!G117), ISBLANK('Soil results'!G$7)),"data missing",
IF(OR(AND('Soil results'!G$7="Olsen (ADAS)",'Soil results'!G117&lt;16),AND('Soil results'!G$7="modified Morgan (SAC)",'Soil results'!G117&lt;4.5)),50,100)))</f>
        <v/>
      </c>
      <c r="J114" s="49" t="str">
        <f ca="1">IF(B114="","",
IF(OR(ISBLANK('Soil results'!G$7),ISBLANK('Soil results'!G117)),"data missing",
IF(OR(AND('Soil results'!G$7="Olsen (ADAS)",'Soil results'!G117&gt;45),AND('Soil results'!G$7="modified Morgan (SAC)",'Soil results'!G117&gt;30)),0,
IF(OR(AND('Soil results'!G$7="Olsen (ADAS)",'Soil results'!G117&gt;=16,'Soil results'!G117&lt;=20),AND('Soil results'!G$7="modified Morgan (SAC)",'Soil results'!G117&gt;=4.5,'Soil results'!G117&lt;=9.4)),VLOOKUP(Calc!BI112,'Fertiliser recommendations'!$A$4:$I$63,9,FALSE),
IF(OR(AND('Soil results'!G$7="Olsen (ADAS)",'Soil results'!G117&lt;10),AND('Soil results'!G$7="modified Morgan (SAC)",'Soil results'!G117&lt;1.8)),VLOOKUP(Calc!BI112,'Fertiliser recommendations'!$A$4:$I$63,9,FALSE)+VLOOKUP(Calc!BI112,'Fertiliser recommendations'!$A$4:$J$63,10,FALSE),
IF(OR(AND('Soil results'!G$7="Olsen (ADAS)",'Soil results'!G117&lt;16),AND('Soil results'!G$7="modified Morgan (SAC)",'Soil results'!G117&lt;4.5)),VLOOKUP(Calc!BI112,'Fertiliser recommendations'!$A$4:$I$63,9,FALSE)+VLOOKUP(Calc!BI112,'Fertiliser recommendations'!$A$4:$K$63,11,FALSE),
IF(OR(AND('Soil results'!G$7="Olsen (ADAS)",'Soil results'!G117&lt;26),AND('Soil results'!G$7="modified Morgan (SAC)",'Soil results'!G117&lt;13.5)),VLOOKUP(Calc!BI112,'Fertiliser recommendations'!$A$4:$I$63,9,FALSE)+VLOOKUP(Calc!BI112,'Fertiliser recommendations'!$A$4:$L$63,12,FALSE),
IF(OR(AND('Soil results'!G$7="Olsen (ADAS)",'Soil results'!G117&lt;=45),AND('Soil results'!G$7="modified Morgan (SAC)",'Soil results'!G117&lt;=30)),VLOOKUP(Calc!BI112,'Fertiliser recommendations'!$A$4:$I$63,9,FALSE)+VLOOKUP(Calc!BI112,'Fertiliser recommendations'!$A$4:$M$63,13,FALSE),
""))))))))</f>
        <v/>
      </c>
      <c r="K114" s="161" t="str">
        <f t="shared" ca="1" si="35"/>
        <v/>
      </c>
      <c r="L114" s="47" t="str">
        <f ca="1">IF(OR(ISBLANK('Soil results'!G$7),ISBLANK('Soil results'!G117),B114="", H114="data missing"),"",
IF('Soil results'!G$7="Olsen (ADAS)",
IF(((H114*Calc!BM112/2.291-(VLOOKUP(Calc!BI112,'Fertiliser recommendations'!$A$4:$I$63,9,FALSE))/2.291)*10/(400/2.291)+'Soil results'!G117)&lt;10,"0 (VL)",
IF(((H114*Calc!BM112/2.291-(VLOOKUP(Calc!BI112,'Fertiliser recommendations'!$A$4:$I$63,9,FALSE))/2.291)*10/(400/2.291)+'Soil results'!G117)&lt;16,"1 (L)",
IF(((H114*Calc!BM112/2.291-(VLOOKUP(Calc!BI112,'Fertiliser recommendations'!$A$4:$I$63,9,FALSE))/2.291)*10/(400/2.291)+'Soil results'!G117)&lt;21,"2 (M-)",
IF(((H114*Calc!BM112/2.291-(VLOOKUP(Calc!BI112,'Fertiliser recommendations'!$A$4:$I$63,9,FALSE))/2.291)*10/(400/2.291)+'Soil results'!G117)&lt;26,"2 (M+)",
IF(((H114*Calc!BM112/2.291-(VLOOKUP(Calc!BI112,'Fertiliser recommendations'!$A$4:$I$63,9,FALSE))/2.291)*10/(400/2.291)+'Soil results'!G117)&lt;45,"3 (H)","&gt;3 (VH)"))))),
IF('Soil results'!G$7="modified Morgan (SAC)",
IF('Soil results'!G117&gt;=6,
IF(((H114*Calc!BM112/2.291-(VLOOKUP(Calc!BI112,'Fertiliser recommendations'!$A$4:$I$63,9,FALSE))/2.291)*5/(147/2.291)+'Soil results'!G117)&lt;9.5,"2 (M-)",
IF(((H114*Calc!BM112/2.291-(VLOOKUP(Calc!BI112,'Fertiliser recommendations'!$A$4:$I$63,9,FALSE))/2.291)*5/(147/2.291)+'Soil results'!G117)&lt;13.5,"2 (M+)",
IF(((H114*Calc!BM112/2.291-(VLOOKUP(Calc!BI112,'Fertiliser recommendations'!$A$4:$I$63,9,FALSE))/2.291)*5/(147/2.291)+'Soil results'!G117)&lt;30,"3 (H)","4 (VH)"))),
IF(((H114*Calc!BM112/2.291-(VLOOKUP(Calc!BI112,'Fertiliser recommendations'!$A$4:$I$63,9,FALSE))/2.291)*5/(346/2.291)+'Soil results'!G117)&lt;1.8,"0 (VL)",
IF(((H114*Calc!BM112/2.291-(VLOOKUP(Calc!BI112,'Fertiliser recommendations'!$A$4:$I$63,9,FALSE))/2.291)*5/(147/2.291)+'Soil results'!G117)&lt;4.5,"1 (L)","2 (M-)"))))))</f>
        <v/>
      </c>
      <c r="M114" s="9" t="str">
        <f ca="1">IF(B114="","",
IF(OR(H114="data missing",I114="data missing",J114="data missing"),"data missing",
IF(Calc!BF112=0,"n/a",
IF(OR(AND('Soil results'!G$7="Olsen (ADAS)",'Soil results'!G117&gt;45),AND('Soil results'!G$7="modified Morgan (SAC)",'Soil results'!G117&gt;30)),
IF(H114&gt;2,"too high, not acceptable","no requirement"),IF(OR(AND('Soil results'!G$7="Olsen (ADAS)",'Soil results'!G117&gt;25),AND('Soil results'!G$7="modified Morgan (SAC)",'Soil results'!G117&gt;13.4)),
IF(H114*(I114/100)&lt;0.1*J114,"no benefit",
IF(H114*(I114/100)&lt;0.3*J114,"limited benefit",
IF(H114*(I114/100)&lt;1.1*J114,"benefit",
IF(H114*(I114/100)&lt;0.7*VLOOKUP(Calc!BI112,'Fertiliser recommendations'!$A$4:$I$63,9,FALSE),"excessive","too high, not acceptable")))),
IF(OR(AND('Soil results'!G$7="Olsen (ADAS)",'Soil results'!G117&gt;20),AND('Soil results'!G$7="modified Morgan (SAC)",'Soil results'!G117&gt;9.4)),
IF(H114*Calc!BM112*(I114/100)&lt;0.1*J114,"no benefit",
IF(H114*Calc!BM112*(I114/100)&lt;0.3*J114,"limited benefit",
IF(H114*Calc!BM112*(I114/100)&lt;1.1*J114,"benefit",
IF(L114="3 (H)","too high, not acceptable","excessive")))),
IF(OR(AND('Soil results'!G$7="Olsen (ADAS)",'Soil results'!G117&gt;15),AND('Soil results'!G$7="modified Morgan (SAC)",'Soil results'!G117&gt;4.4)),
IF(H114*Calc!BM112*(I114/100)&lt;0.1*VLOOKUP(Calc!BI112,'Fertiliser recommendations'!$A$4:$I$63,9,FALSE),"no benefit",
IF(H114*Calc!BM112*(I114/100)&lt;0.3*VLOOKUP(Calc!BI112,'Fertiliser recommendations'!$A$4:$I$63,9,FALSE),"limited benefit",
IF(H114*Calc!BM112*(I114/100)&lt;1.1*VLOOKUP(Calc!BI112,'Fertiliser recommendations'!$A$4:$I$63,9,FALSE),"benefit",
IF(L114="3 (H)", "too high, not acceptable", "excessive")))),
IF(OR(AND('Soil results'!G$7="Olsen (ADAS)",'Soil results'!G117&lt;=15),AND('Soil results'!G$7="modified Morgan (SAC)",'Soil results'!G117&lt;=4.4)),
IF(H114*Calc!BM112*(I114/100)&lt;0.1*VLOOKUP(Calc!BI112,'Fertiliser recommendations'!$A$4:$I$63,9,FALSE),"no benefit",
IF(H114*Calc!BM112*(I114/100)&lt;0.3*VLOOKUP(Calc!BI112,'Fertiliser recommendations'!$A$4:$I$63,9,FALSE),"limited benefit",
IF(H114*Calc!BM112*(I114/100)&lt;1.1*J114,"benefit","excessive")))))))))))</f>
        <v/>
      </c>
      <c r="N114" s="9"/>
      <c r="O114" s="91" t="str">
        <f ca="1">IF(B114="","",
IF(AND('Field information 2'!$O$5="", 'Field information 2'!$Q$5=""),
   IF('Waste results'!$S$19&lt;&gt;"data missing", Calc!BC112*'Waste results'!$S$19, "data missing"),
IF('Field information 2'!$Q$5="",
   IF(Calc!BD112=0,
     IF('Waste results'!$S$19&lt;&gt;"data missing", Calc!BC112*'Waste results'!$S$19, "data missing"),
   IF(Calc!BC112=0,
     IF('Waste results'!$S$55&lt;&gt;"data missing", Calc!BD112*'Waste results'!$S$55, "data missing"),
   IF(OR('Waste results'!$S$19&lt;&gt;"data missing", 'Waste results'!$S$55&lt;&gt;"data missing"), Calc!BC112*'Waste results'!$S$19+ Calc!BD112*'Waste results'!$S$55, "data missing"))),
IF(AND('Field information 2'!$M$5&lt;&gt;"", 'Field information 2'!$O$5&lt;&gt;"", 'Field information 2'!$Q$5&lt;&gt;""),
   IF(AND(Calc!BD112=0,Calc!BE112=0),
     IF('Waste results'!$S$19&lt;&gt;"data missing", Calc!BC112*'Waste results'!$S$19, "data missing"),
   IF(AND(Calc!BC112=0,Calc!BE112=0),
     IF('Waste results'!$S$55&lt;&gt;"data missing", Calc!BD112*'Waste results'!$S$55, "data missing"),
   IF(AND(Calc!BC112=0,Calc!BD112=0),
     IF('Waste results'!$S$91&lt;&gt;"data missing", Calc!BE112*'Waste results'!$S$91, "data missing"),
   IF(Calc!BE112=0,
     IF(OR('Waste results'!$S$19&lt;&gt;"data missing", 'Waste results'!$S$55&lt;&gt;"data missing"), Calc!BC112*'Waste results'!$S$19+ Calc!BD112*'Waste results'!$S$55, "data missing"),
   IF(Calc!BD112=0,
     IF(OR('Waste results'!$S$19&lt;&gt;"data missing", 'Waste results'!$S$91&lt;&gt;"data missing"), Calc!BC112*'Waste results'!$S$19+ Calc!BE112*'Waste results'!$S$91, "data missing"),
   IF(Calc!BC112=0,
     IF(OR('Waste results'!$S$55&lt;&gt;"data missing", 'Waste results'!$S$91&lt;&gt;"data missing"), Calc!BD112*'Waste results'!$S$55+Calc!BE112*'Waste results'!$S$91, "data missing"),
   IF(OR('Waste results'!$S$19&lt;&gt;"data missing", 'Waste results'!$S$55&lt;&gt;"data missing", 'Waste results'!$S$91&lt;&gt;"data missing"), Calc!BC112*'Waste results'!$S$19+Calc!BD112*'Waste results'!$S$55+ Calc!BE112*'Waste results'!$S$91, "data missing")))))))))))</f>
        <v/>
      </c>
      <c r="P114" s="91" t="str">
        <f ca="1">IF(B114="","",
IF(OR(ISBLANK('Soil results'!H$7),ISBLANK('Soil results'!H117)),"data missing",
IF(OR(AND('Soil results'!H$7="ammonium nitrate (ADAS)",'Soil results'!H117&gt;400),AND('Soil results'!H$7="modified Morgan (SAC)",'Soil results'!H117&gt;400)),0,
IF(OR(AND('Soil results'!H$7="ammonium nitrate (ADAS)",'Soil results'!H117&gt;=121,'Soil results'!H117&lt;=180),AND('Soil results'!H$7="modified Morgan (SAC)",'Soil results'!H117&gt;=76,'Soil results'!H117&lt;=140)),VLOOKUP(Calc!BI112,'Fertiliser recommendations'!$A$4:$Z$63,26,FALSE),
IF(OR(AND('Soil results'!H$7="ammonium nitrate (ADAS)",'Soil results'!H117&lt;61),AND('Soil results'!H$7="modified Morgan (SAC)",'Soil results'!H117&lt;40)),VLOOKUP(Calc!BI112,'Fertiliser recommendations'!$A$4:$Z$63,26,FALSE)+VLOOKUP(Calc!BI112,'Fertiliser recommendations'!$A$4:$AA$63,27,FALSE),
IF(OR(AND('Soil results'!H$7="ammonium nitrate (ADAS)",'Soil results'!H117&lt;121),AND('Soil results'!H$7="modified Morgan (SAC)",'Soil results'!H117&lt;76)),VLOOKUP(Calc!BI112,'Fertiliser recommendations'!$A$4:$Z$63,26,FALSE)+VLOOKUP(Calc!BI112,'Fertiliser recommendations'!$A$4:$AB$63,28,FALSE),
IF(OR(AND('Soil results'!H$7="ammonium nitrate (ADAS)",'Soil results'!H117&lt;241),AND('Soil results'!H$7="modified Morgan (SAC)",'Soil results'!H117&lt;201)),VLOOKUP(Calc!BI112,'Fertiliser recommendations'!$A$4:$Z$63,26,FALSE)+VLOOKUP(Calc!BI112,'Fertiliser recommendations'!$A$4:$AC$63,29,FALSE),
IF(OR(AND('Soil results'!H$7="ammonium nitrate (ADAS)",'Soil results'!H117&lt;=400),AND('Soil results'!H$7="modified Morgan (SAC)",'Soil results'!H117&lt;=400)),VLOOKUP(Calc!BI112,'Fertiliser recommendations'!$A$4:$Z$63,26,FALSE)+VLOOKUP(Calc!BI112,'Fertiliser recommendations'!$A$4:$AD$63,30,FALSE),
"??"))))))))</f>
        <v/>
      </c>
      <c r="Q114" s="91" t="str">
        <f t="shared" ca="1" si="36"/>
        <v/>
      </c>
      <c r="R114" s="9" t="str">
        <f ca="1">IF(B114="","",
IF(OR(O114="data missing",P114="data missing"),"data missing",
IF(Calc!BF112=0,"n/a",
IF(P114=0, "no requirement",
IF(O114&lt;0.1*P114,"no benefit",
IF(O114&lt;0.3*P114,"limited benefit",
IF(O114&gt;1.25*P114,"excessive",
"benefit")))))))</f>
        <v/>
      </c>
      <c r="S114" s="9"/>
      <c r="T114" s="91" t="str">
        <f ca="1">IF(B114="","",
IF(AND('Field information 2'!$O$5="", 'Field information 2'!$Q$5=""),
   IF('Waste results'!$S$21&lt;&gt;"data missing", Calc!BC112*'Waste results'!$S$21, "data missing"),
IF('Field information 2'!$Q$5="",
   IF(Calc!BD112=0,
     IF('Waste results'!$S$21&lt;&gt;"data missing", Calc!BC112*'Waste results'!$S$21, "data missing"),
   IF(Calc!BC112=0,
     IF('Waste results'!$S$57&lt;&gt;"data missing", Calc!BD112*'Waste results'!$S$57, "data missing"),
   IF(OR('Waste results'!$S$21&lt;&gt;"data missing", 'Waste results'!$S$57&lt;&gt;"data missing"), Calc!BC112*'Waste results'!$S$21+ Calc!BD112*'Waste results'!$S$57, "data missing"))),
IF(AND('Field information 2'!$M$5&lt;&gt;"", 'Field information 2'!$O$5&lt;&gt;"", 'Field information 2'!$Q$5&lt;&gt;""),
   IF(AND(Calc!BD112=0,Calc!BE112=0),
     IF('Waste results'!$S$21&lt;&gt;"data missing", Calc!BC112*'Waste results'!$S$21, "data missing"),
   IF(AND(Calc!BC112=0,Calc!BE112=0),
     IF('Waste results'!$S$57&lt;&gt;"data missing", Calc!BD112*'Waste results'!$S$57, "data missing"),
   IF(AND(Calc!BC112=0,Calc!BD112=0),
     IF('Waste results'!$S$93&lt;&gt;"data missing", Calc!BE112*'Waste results'!$S$93, "data missing"),
   IF(Calc!BE112=0,
     IF(OR('Waste results'!$S$21&lt;&gt;"data missing", 'Waste results'!$S$57&lt;&gt;"data missing"), Calc!BC112*'Waste results'!$S$21+ Calc!BD112*'Waste results'!$S$57, "data missing"),
   IF(Calc!BD112=0,
     IF(OR('Waste results'!$S$21&lt;&gt;"data missing", 'Waste results'!$S$93&lt;&gt;"data missing"), Calc!BC112*'Waste results'!$S$21+ Calc!BE112*'Waste results'!$S$93, "data missing"),
   IF(Calc!BC112=0,
     IF(OR('Waste results'!$S$57&lt;&gt;"data missing", 'Waste results'!$S$93&lt;&gt;"data missing"), Calc!BD112*'Waste results'!$S$57+Calc!BE112*'Waste results'!$S$93, "data missing"),
   IF(OR('Waste results'!$S$21&lt;&gt;"data missing", 'Waste results'!$S$57&lt;&gt;"data missing", 'Waste results'!$S$93&lt;&gt;"data missing"), Calc!BC112*'Waste results'!$S$21+Calc!BD112*'Waste results'!$S$57+ Calc!BE112*'Waste results'!$S$93, "data missing")))))))))))</f>
        <v/>
      </c>
      <c r="U114" s="7" t="str">
        <f ca="1">IF(B114="","",
IF(OR(ISBLANK('Soil results'!I$7),ISBLANK('Soil results'!I117)),"data missing",
IF(OR(AND('Soil results'!I$7="ammonium nitrate (ADAS)",'Soil results'!I117&gt;51),AND('Soil results'!I$7="modified Morgan (SAC)",'Soil results'!I117&gt;61)),0,
IF(OR(AND('Soil results'!I$7="ammonium nitrate (ADAS)",'Soil results'!I117&lt;25),AND('Soil results'!I$7="modified Morgan (SAC)",'Soil results'!I117&lt;19)),VLOOKUP(Calc!BI112,'Fertiliser recommendations'!$A$4:$AH$63,34,FALSE),
IF(OR(AND('Soil results'!I$7="ammonium nitrate (ADAS)",'Soil results'!I117&lt;=51),AND('Soil results'!I$7="modified Morgan (SAC)",'Soil results'!I117&lt;=61)),VLOOKUP(Calc!BI112,'Fertiliser recommendations'!$A$4:$AI$63,35,FALSE),
"")))))</f>
        <v/>
      </c>
      <c r="V114" s="91" t="str">
        <f t="shared" ca="1" si="37"/>
        <v/>
      </c>
      <c r="W114" s="9" t="str">
        <f ca="1">IF(B114="","",
IF(OR(T114="data missing",U114="data missing"),"data missing",
IF(Calc!BF112=0,"n/a",
IF(U114=0,"no requirement",
IF(T114&lt;0.1*U114,"no benefit",
IF(T114&lt;0.3*U114,"limited benefit",
IF(OR(T114&gt;1.5*U114,AND(Calc!BJ112="g",T114&gt;100)),"excessive",
"benefit")))))))</f>
        <v/>
      </c>
      <c r="X114" s="9"/>
      <c r="Y114" s="91" t="str">
        <f ca="1">IF(B114="","",
IF(AND('Field information 2'!$O$5="", 'Field information 2'!$Q$5=""),
   IF('Waste results'!$P$23&lt;&gt;"", Calc!BC112*'Waste results'!$P$23, "no data"),
IF('Field information 2'!$Q$5="",
   IF(Calc!BD112=0,
     IF('Waste results'!$P$23&lt;&gt;"", Calc!BC112*'Waste results'!$P$23, "no data"),
   IF(Calc!BC112=0,
     IF('Waste results'!$P$59&lt;&gt;"", Calc!BD112*'Waste results'!$P$59, "no data"),
   IF(OR('Waste results'!$P$23&lt;&gt;"", 'Waste results'!$P$59&lt;&gt;""), Calc!BC112*'Waste results'!$P$23+ Calc!BD112*'Waste results'!$P$59, "no data"))),
IF(AND('Field information 2'!$M$5&lt;&gt;"", 'Field information 2'!$O$5&lt;&gt;"", 'Field information 2'!$Q$5&lt;&gt;""),
   IF(AND(Calc!BD112=0,Calc!BE112=0),
     IF('Waste results'!$P$23&lt;&gt;"", Calc!BC112*'Waste results'!$P$23, "no data"),
   IF(AND(Calc!BC112=0,Calc!BE112=0),
     IF('Waste results'!$P$59&lt;&gt;"", Calc!BD112*'Waste results'!$P$59, "no data"),
   IF(AND(Calc!BC112=0,Calc!BD112=0),
     IF('Waste results'!$P$95&lt;&gt;"", Calc!BE112*'Waste results'!$P$95, "no data"),
   IF(Calc!BE112=0,
     IF(OR('Waste results'!$P$23&lt;&gt;"", 'Waste results'!$P$59&lt;&gt;""), Calc!BC112*'Waste results'!$P$23+ Calc!BD112*'Waste results'!$P$59, "no data"),
   IF(Calc!BD112=0,
     IF(OR('Waste results'!$P$23&lt;&gt;"", 'Waste results'!$P$95&lt;&gt;""), Calc!BC112*'Waste results'!$P$23+ Calc!BE112*'Waste results'!$P$95, "no data"),
   IF(Calc!BC112=0,
     IF(OR('Waste results'!$P$59&lt;&gt;"", 'Waste results'!$P$95&lt;&gt;""), Calc!BD112*'Waste results'!$P$59+Calc!BE112*'Waste results'!$P$95, "no data"),
   IF(OR('Waste results'!$P$23&lt;&gt;"", 'Waste results'!$P$59&lt;&gt;"", 'Waste results'!$P$95&lt;&gt;""), Calc!BC112*'Waste results'!$P$23+Calc!BD112*'Waste results'!$P$59+ Calc!BE112*'Waste results'!$P$95, "no data")))))))))))</f>
        <v/>
      </c>
      <c r="Z114" s="7" t="str">
        <f ca="1">IF(OR(ISBLANK('Soil results'!I$7),ISBLANK('Soil results'!I117),'Soil results'!B117=""),"",
VLOOKUP(Calc!BI112,'Fertiliser recommendations'!$A$4:$AM$63,39,FALSE))</f>
        <v/>
      </c>
      <c r="AA114" s="91" t="str">
        <f t="shared" ca="1" si="38"/>
        <v/>
      </c>
      <c r="AB114" s="9" t="str">
        <f t="shared" ca="1" si="39"/>
        <v/>
      </c>
      <c r="AC114" s="9"/>
      <c r="AD114" s="48" t="str">
        <f>IF(ISBLANK('Soil results'!F117),"",'Soil results'!F117)</f>
        <v/>
      </c>
      <c r="AE114" s="49" t="str">
        <f ca="1">IF(B114="","",
IF(AND(Calc!BJ112="g", VLOOKUP(LEFT($B114,LEN($B114)-2),'Field information 2'!$B$12:$P$111,9,FALSE)&lt;&gt;"yes"),
 IF(Calc!BG112="10-25% OM", 5.9, IF(Calc!BG112="&gt;25% OM", 5.5, 6.2)),
IF(OR(Calc!BJ112="a", VLOOKUP(LEFT($B114,LEN($B114)-2),'Field information 2'!$B$12:$P$111,9,FALSE)="yes"),
 IF(Calc!BG112="10-25% OM", 6.4, IF(Calc!BG112="&gt;25% OM", 6, 6.7)), "")))</f>
        <v/>
      </c>
      <c r="AF114" s="91" t="str">
        <f ca="1">IF(B114="","",
IF('Waste results'!$Q$33="","no (significant) liming properties",
IF('Waste results'!Q$33&gt;100,"no (significant) liming properties",
IF(AD114="","",
IF(AD114&gt;=AE114,0,ROUNDDOWN((AE114-AD114)*Calc!BK112*'Waste results'!$Q$33+0.2,0))))))</f>
        <v/>
      </c>
      <c r="AG114" s="9" t="str">
        <f ca="1">IF(B114="","",
IF(T114=0,"n/a",
IF(AD114="","data missing",
IF(AND(AD114&lt;5,AF114="no (significant) liming properties"),"no waste application - pH too low",
IF(AND(AD114&gt;5.1,AF114="no (significant) liming properties",Calc!BH112&gt;25, LEFT(Calc!BI112,4)="graz"),"ok",
IF(AND(AD114&lt;=5.2,AF114="no (significant) liming properties"),"liming highly recommended",
IF(AF114=0,"no waste application - liming not required",
IF(AF114&lt;Calc!BC112,"application rate too high - exceeds liming requirement",
"ok"))))))))</f>
        <v/>
      </c>
      <c r="AH114" s="9"/>
      <c r="AI114" s="91" t="str">
        <f ca="1">IF(B114="","",
IF(AND('Field information 2'!$O$5="", 'Field information 2'!$Q$5=""),
   IF('Waste results'!$P$10&lt;&gt;"data missing", Calc!BC112*'Waste results'!$P$10, "data missing"),
IF('Field information 2'!$Q$5="",
   IF(Calc!BD112=0,
     IF('Waste results'!$P$10&lt;&gt;"data missing", Calc!BC112*'Waste results'!$P$10, "data missing"),
   IF(Calc!BC112=0,
     IF('Waste results'!$P$45&lt;&gt;"data missing", Calc!BD112*'Waste results'!$P$45, "data missing"),
   IF(OR('Waste results'!$P$10&lt;&gt;"data missing", 'Waste results'!$P$45&lt;&gt;"data missing"), Calc!BC112*'Waste results'!$P$10+ Calc!BD112*'Waste results'!$P$45, "data missing"))),
IF(AND('Field information 2'!$M$5&lt;&gt;"", 'Field information 2'!$O$5&lt;&gt;"", 'Field information 2'!$Q$5&lt;&gt;""),
   IF(AND(Calc!BD112=0,Calc!BE112=0),
     IF('Waste results'!$P$10&lt;&gt;"data missing", Calc!BC112*'Waste results'!$P$10, "data missing"),
   IF(AND(Calc!BC112=0,Calc!BE112=0),
     IF('Waste results'!$P$45&lt;&gt;"data missing", Calc!BD112*'Waste results'!$P$45, "data missing"),
   IF(AND(Calc!BC112=0,Calc!BD112=0),
     IF('Waste results'!$P$82&lt;&gt;"data missing", Calc!BE112*'Waste results'!$P$82, "data missing"),
   IF(Calc!BE112=0,
     IF(OR('Waste results'!$P$10&lt;&gt;"data missing", 'Waste results'!$P$45&lt;&gt;"data missing"), Calc!BC112*'Waste results'!$P$10+ Calc!BD112*'Waste results'!$P$45, "data missing"),
   IF(Calc!BD112=0,
     IF(OR('Waste results'!$P$10&lt;&gt;"data missing", 'Waste results'!$P$82&lt;&gt;"data missing"), Calc!BC112*'Waste results'!$P$10+ Calc!BE112*'Waste results'!$P$82, "data missing"),
   IF(Calc!BC112=0,
     IF(OR('Waste results'!$P$45&lt;&gt;"data missing", 'Waste results'!$P$82&lt;&gt;"data missing"), Calc!BD112*'Waste results'!$P$45+Calc!BE112*'Waste results'!$P$82, "data missing"),
   IF(OR('Waste results'!$P$10&lt;&gt;"data missing", 'Waste results'!$P$45&lt;&gt;"data missing", 'Waste results'!$P$82&lt;&gt;"data missing"), Calc!BC112*'Waste results'!$P$10+Calc!BD112*'Waste results'!$P$45+ Calc!BE112*'Waste results'!$P$82, "data missing")))))))))))</f>
        <v/>
      </c>
      <c r="AJ114" s="237" t="str">
        <f ca="1">IF(B114="","",
IF(AI114="data missing","data missing",
IF(Calc!BF112=0,"n/a",
IF(AND(Calc!BH112&gt;=8,AI114&lt;500),"no benefit",
IF(OR(AND(Calc!BH112&lt;=4,AI114&gt;=500),AND(Calc!BH112&lt;8,AI114&gt;5000)),"benefit",
"limited benefit")))))</f>
        <v/>
      </c>
      <c r="AK114" s="9"/>
      <c r="AL114" s="238" t="str">
        <f ca="1">IF(B114="","",
IF(AND('Field information 2'!$O$5="", 'Field information 2'!$Q$5=""),
   IF('Waste results'!$S$25&lt;&gt;"data missing", Calc!BC112*'Waste results'!$S$25, "data missing"),
IF('Field information 2'!$Q$5="",
   IF(Calc!BD112=0,
     IF('Waste results'!$S$25&lt;&gt;"data missing", Calc!BC112*'Waste results'!$S$25, "data missing"),
   IF(Calc!BC112=0,
     IF('Waste results'!$S$61&lt;&gt;"data missing", Calc!BD112*'Waste results'!$S$61, "data missing"),
   IF(OR('Waste results'!$S$25&lt;&gt;"data missing", 'Waste results'!$S$61&lt;&gt;"data missing"), Calc!BC112*'Waste results'!$S$25+ Calc!BD112*'Waste results'!$S$61, "data missing"))),
IF(AND('Field information 2'!$M$5&lt;&gt;"", 'Field information 2'!$O$5&lt;&gt;"", 'Field information 2'!$Q$5&lt;&gt;""),
   IF(AND(Calc!BD112=0,Calc!BE112=0),
     IF('Waste results'!$S$25&lt;&gt;"data missing", Calc!BC112*'Waste results'!$S$25, "data missing"),
   IF(AND(Calc!BC112=0,Calc!BE112=0),
     IF('Waste results'!$S$61&lt;&gt;"data missing", Calc!BD112*'Waste results'!$S$61, "data missing"),
   IF(AND(Calc!BC112=0,Calc!BD112=0),
     IF('Waste results'!$S$97&lt;&gt;"data missing", Calc!BE112*'Waste results'!$S$97, "data missing"),
   IF(Calc!BE112=0,
     IF(OR('Waste results'!$S$25&lt;&gt;"data missing", 'Waste results'!$S$61&lt;&gt;"data missing"), Calc!BC112*'Waste results'!$S$25+ Calc!BD112*'Waste results'!$S$61, "data missing"),
   IF(Calc!BD112=0,
     IF(OR('Waste results'!$S$25&lt;&gt;"data missing", 'Waste results'!$S$97&lt;&gt;"data missing"), Calc!BC112*'Waste results'!$S$25+ Calc!BE112*'Waste results'!$S$97, "data missing"),
   IF(Calc!BC112=0,
     IF(OR('Waste results'!$S$61&lt;&gt;"data missing", 'Waste results'!$S$97&lt;&gt;"data missing"), Calc!BD112*'Waste results'!$S$61+Calc!BE112*'Waste results'!$S$97, "data missing"),
   IF(OR('Waste results'!$S$25&lt;&gt;"data missing", 'Waste results'!$S$61&lt;&gt;"data missing", 'Waste results'!$S$97&lt;&gt;"data missing"), Calc!BC112*'Waste results'!$S$25+Calc!BD112*'Waste results'!$S$61+ Calc!BE112*'Waste results'!$S$97, "data missing")))))))))))</f>
        <v/>
      </c>
      <c r="AM114" s="239" t="str">
        <f ca="1">IF($B114="","",
IF(ISBLANK('Soil results'!K117),"data missing",'Soil results'!K117))</f>
        <v/>
      </c>
      <c r="AN114" s="239" t="str">
        <f t="shared" ca="1" si="40"/>
        <v/>
      </c>
      <c r="AO114" s="9" t="str">
        <f t="shared" ca="1" si="41"/>
        <v/>
      </c>
      <c r="AP114" s="9"/>
      <c r="AQ114" s="240" t="str">
        <f ca="1">IF(B114="","",
IF(AND('Field information 2'!$O$5="", 'Field information 2'!$Q$5=""),
   IF('Waste results'!$S$26&lt;&gt;"data missing", Calc!BC112*'Waste results'!$S$26, "data missing"),
IF('Field information 2'!$Q$5="",
   IF(Calc!BD112=0,
     IF('Waste results'!$S$26&lt;&gt;"data missing", Calc!BC112*'Waste results'!$S$26, "data missing"),
   IF(Calc!BC112=0,
     IF('Waste results'!$S$62&lt;&gt;"data missing", Calc!BD112*'Waste results'!$S$62, "data missing"),
   IF(OR('Waste results'!$S$26&lt;&gt;"data missing", 'Waste results'!$S$62&lt;&gt;"data missing"), Calc!BC112*'Waste results'!$S$26+ Calc!BD112*'Waste results'!$S$62, "data missing"))),
IF(AND('Field information 2'!$M$5&lt;&gt;"", 'Field information 2'!$O$5&lt;&gt;"", 'Field information 2'!$Q$5&lt;&gt;""),
   IF(AND(Calc!BD112=0,Calc!BE112=0),
     IF('Waste results'!$S$26&lt;&gt;"data missing", Calc!BC112*'Waste results'!$S$26, "data missing"),
   IF(AND(Calc!BC112=0,Calc!BE112=0),
     IF('Waste results'!$S$62&lt;&gt;"data missing", Calc!BD112*'Waste results'!$S$62, "data missing"),
   IF(AND(Calc!BC112=0,Calc!BD112=0),
     IF('Waste results'!$S$98&lt;&gt;"data missing", Calc!BE112*'Waste results'!$S$98, "data missing"),
   IF(Calc!BE112=0,
     IF(OR('Waste results'!$S$26&lt;&gt;"data missing", 'Waste results'!$S$62&lt;&gt;"data missing"), Calc!BC112*'Waste results'!$S$26+ Calc!BD112*'Waste results'!$S$62, "data missing"),
   IF(Calc!BD112=0,
     IF(OR('Waste results'!$S$26&lt;&gt;"data missing", 'Waste results'!$S$98&lt;&gt;"data missing"), Calc!BC112*'Waste results'!$S$26+ Calc!BE112*'Waste results'!$S$98, "data missing"),
   IF(Calc!BC112=0,
     IF(OR('Waste results'!$S$62&lt;&gt;"data missing", 'Waste results'!$S$98&lt;&gt;"data missing"), Calc!BD112*'Waste results'!$S$62+Calc!BE112*'Waste results'!$S$98, "data missing"),
   IF(OR('Waste results'!$S$26&lt;&gt;"data missing", 'Waste results'!$S$62&lt;&gt;"data missing", 'Waste results'!$S$98&lt;&gt;"data missing"), Calc!BC112*'Waste results'!$S$26+Calc!BD112*'Waste results'!$S$62+ Calc!BE112*'Waste results'!$S$98, "data missing")))))))))))</f>
        <v/>
      </c>
      <c r="AR114" s="241" t="str">
        <f ca="1">IF($B114="","",
IF(ISBLANK('Soil results'!L117),"data missing",'Soil results'!L117))</f>
        <v/>
      </c>
      <c r="AS114" s="241" t="str">
        <f t="shared" ca="1" si="42"/>
        <v/>
      </c>
      <c r="AT114" s="66" t="str">
        <f t="shared" ca="1" si="43"/>
        <v/>
      </c>
      <c r="AU114" s="9"/>
      <c r="AV114" s="238" t="str">
        <f ca="1">IF(B114="","",
IF(AND('Field information 2'!$O$5="", 'Field information 2'!$Q$5=""),
   IF('Waste results'!$S$27&lt;&gt;"data missing", Calc!BC112*'Waste results'!$S$27, "data missing"),
IF('Field information 2'!$Q$5="",
   IF(Calc!BD112=0,
     IF('Waste results'!$S$27&lt;&gt;"data missing", Calc!BC112*'Waste results'!$S$27, "data missing"),
   IF(Calc!BC112=0,
     IF('Waste results'!$S$63&lt;&gt;"data missing", Calc!BD112*'Waste results'!$S$63, "data missing"),
   IF(OR('Waste results'!$S$27&lt;&gt;"data missing", 'Waste results'!$S$63&lt;&gt;"data missing"), Calc!BC112*'Waste results'!$S$27+ Calc!BD112*'Waste results'!$S$63, "data missing"))),
IF(AND('Field information 2'!$M$5&lt;&gt;"", 'Field information 2'!$O$5&lt;&gt;"", 'Field information 2'!$Q$5&lt;&gt;""),
   IF(AND(Calc!BD112=0,Calc!BE112=0),
     IF('Waste results'!$S$27&lt;&gt;"data missing", Calc!BC112*'Waste results'!$S$27, "data missing"),
   IF(AND(Calc!BC112=0,Calc!BE112=0),
     IF('Waste results'!$S$63&lt;&gt;"data missing", Calc!BD112*'Waste results'!$S$63, "data missing"),
   IF(AND(Calc!BC112=0,Calc!BD112=0),
     IF('Waste results'!$S$99&lt;&gt;"data missing", Calc!BE112*'Waste results'!$S$99, "data missing"),
   IF(Calc!BE112=0,
     IF(OR('Waste results'!$S$27&lt;&gt;"data missing", 'Waste results'!$S$63&lt;&gt;"data missing"), Calc!BC112*'Waste results'!$S$27+ Calc!BD112*'Waste results'!$S$63, "data missing"),
   IF(Calc!BD112=0,
     IF(OR('Waste results'!$S$27&lt;&gt;"data missing", 'Waste results'!$S$99&lt;&gt;"data missing"), Calc!BC112*'Waste results'!$S$27+ Calc!BE112*'Waste results'!$S$99, "data missing"),
   IF(Calc!BC112=0,
     IF(OR('Waste results'!$S$63&lt;&gt;"data missing", 'Waste results'!$S$99&lt;&gt;"data missing"), Calc!BD112*'Waste results'!$S$63+Calc!BE112*'Waste results'!$S$99, "data missing"),
   IF(OR('Waste results'!$S$27&lt;&gt;"data missing", 'Waste results'!$S$63&lt;&gt;"data missing", 'Waste results'!$S$99&lt;&gt;"data missing"), Calc!BC112*'Waste results'!$S$27+Calc!BD112*'Waste results'!$S$63+ Calc!BE112*'Waste results'!$S$99, "data missing")))))))))))</f>
        <v/>
      </c>
      <c r="AW114" s="239" t="str">
        <f ca="1">IF($B114="","",
IF(ISBLANK('Soil results'!M117),"data missing",'Soil results'!M117))</f>
        <v/>
      </c>
      <c r="AX114" s="239" t="str">
        <f t="shared" ca="1" si="44"/>
        <v/>
      </c>
      <c r="AY114" s="9" t="str">
        <f ca="1">IF(B114="","",
IF(AV114=0,"n/a",
IF(OR(AV114="data missing",AW114="data missing"),"data missing",
IF(AV114&gt;7.5,"application rate too high - permissible rate exceeds limit",
IF('Soil results'!$F117&lt;=5.5,
  IF(AW114&gt;80,"no application - soil conc. already above limit",
  IF(AX114&gt;80,"application rate too high - soil conc. will exceed limit",
  IF(AW114&gt;80*0.9,"soil conc. is at or above 90% of the limit",
  IF(10*AV114*1000/3000+AW114&gt;80,"soil limit likely to be exceeded in 10yrs",
  IF(50*AV114*1000/3000+AW114&gt;80,"soil limit likely to be exceeded in 50yrs","ok"))))),
IF('Soil results'!$F117&lt;=6,
  IF(AW114&gt;100,"no application - soil conc. already above limit",
  IF(AX114&gt;100,"application rate too high - soil conc. will exceed limit",
  IF(AW114&gt;100*0.9,"soil conc. is at or above 90% of the limit",
  IF(10*AV114*1000/3000+AW114&gt;100,"soil limit likely to be exceeded in 10yrs",
  IF(50*AV114*1000/3000+AW114&gt;100,"soil limit likely to be exceeded in 50yrs","ok"))))),
IF('Soil results'!$F117&lt;=7,
  IF(AW114&gt;135,"no application - soil conc. already above limit",
  IF(AX114&gt;135,"application rate too high - soil conc. will exceed limit",
  IF(AW114&gt;135*0.9,"soil conc. is at or above 90% of the limit",
  IF(10*AV114*1000/3000+AW114&gt;135,"soil limit likely to be exceeded in 10yrs",
  IF(50*AV114*1000/3000+AW114&gt;135,"soil limit likely to be exceeded in 50yrs","ok"))))),
IF('Soil results'!$F117&gt;7,
  IF(AW114&gt;200,"no application - soil conc. already above limit",
  IF(AX114&gt;200,"application too high - soil conc. will exceed limit",
  IF(AW114&gt;200*0.9,"soil conc. is at or above 90% of the limit",
  IF(10*AV114*1000/3000+AW114&gt;200,"soil limit likely to be exceeded in 10yrs",
  IF(50*AV114*1000/3000+AW114&gt;200,"soil limit likely to be exceeded in 50yrs","ok")))))
))))))))</f>
        <v/>
      </c>
      <c r="AZ114" s="9"/>
      <c r="BA114" s="238" t="str">
        <f ca="1">IF(B114="","",
IF(AND('Field information 2'!$O$5="", 'Field information 2'!$Q$5=""),
   IF('Waste results'!$S$28&lt;&gt;"data missing", Calc!BC112*'Waste results'!$S$28, "data missing"),
IF('Field information 2'!$Q$5="",
   IF(Calc!BD112=0,
     IF('Waste results'!$S$28&lt;&gt;"data missing", Calc!BC112*'Waste results'!$S$28, "data missing"),
   IF(Calc!BC112=0,
     IF('Waste results'!$S$64&lt;&gt;"data missing", Calc!BD112*'Waste results'!$S$64, "data missing"),
   IF(OR('Waste results'!$S$28&lt;&gt;"data missing", 'Waste results'!$S$64&lt;&gt;"data missing"), Calc!BC112*'Waste results'!$S$28+ Calc!BD112*'Waste results'!$S$64, "data missing"))),
IF(AND('Field information 2'!$M$5&lt;&gt;"", 'Field information 2'!$O$5&lt;&gt;"", 'Field information 2'!$Q$5&lt;&gt;""),
   IF(AND(Calc!BD112=0,Calc!BE112=0),
     IF('Waste results'!$S$28&lt;&gt;"data missing", Calc!BC112*'Waste results'!$S$28, "data missing"),
   IF(AND(Calc!BC112=0,Calc!BE112=0),
     IF('Waste results'!$S$64&lt;&gt;"data missing", Calc!BD112*'Waste results'!$S$64, "data missing"),
   IF(AND(Calc!BC112=0,Calc!BD112=0),
     IF('Waste results'!$S$100&lt;&gt;"data missing", Calc!BE112*'Waste results'!$S$100, "data missing"),
   IF(Calc!BE112=0,
     IF(OR('Waste results'!$S$28&lt;&gt;"data missing", 'Waste results'!$S$64&lt;&gt;"data missing"), Calc!BC112*'Waste results'!$S$28+ Calc!BD112*'Waste results'!$S$64, "data missing"),
   IF(Calc!BD112=0,
     IF(OR('Waste results'!$S$28&lt;&gt;"data missing", 'Waste results'!$S$100&lt;&gt;"data missing"), Calc!BC112*'Waste results'!$S$28+ Calc!BE112*'Waste results'!$S$100, "data missing"),
   IF(Calc!BC112=0,
     IF(OR('Waste results'!$S$64&lt;&gt;"data missing", 'Waste results'!$S$100&lt;&gt;"data missing"), Calc!BD112*'Waste results'!$S$64+Calc!BE112*'Waste results'!$S$100, "data missing"),
   IF(OR('Waste results'!$S$28&lt;&gt;"data missing", 'Waste results'!$S$64&lt;&gt;"data missing", 'Waste results'!$S$100&lt;&gt;"data missing"), Calc!BC112*'Waste results'!$S$28+Calc!BD112*'Waste results'!$S$64+ Calc!BE112*'Waste results'!$S$100, "data missing")))))))))))</f>
        <v/>
      </c>
      <c r="BB114" s="239" t="str">
        <f ca="1">IF($B114="","",
IF(ISBLANK('Soil results'!N117),"data missing",'Soil results'!N117))</f>
        <v/>
      </c>
      <c r="BC114" s="239" t="str">
        <f t="shared" ca="1" si="45"/>
        <v/>
      </c>
      <c r="BD114" s="9" t="str">
        <f t="shared" ca="1" si="46"/>
        <v/>
      </c>
      <c r="BE114" s="9"/>
      <c r="BF114" s="238" t="str">
        <f ca="1">IF(B114="","",
IF(AND('Field information 2'!$O$5="", 'Field information 2'!$Q$5=""),
   IF('Waste results'!$S$29&lt;&gt;"data missing", Calc!BC112*'Waste results'!$S$29, "data missing"),
IF('Field information 2'!$Q$5="",
   IF(Calc!BD112=0,
     IF('Waste results'!$S$29&lt;&gt;"data missing", Calc!BC112*'Waste results'!$S$29, "data missing"),
   IF(Calc!BC112=0,
     IF('Waste results'!$S$65&lt;&gt;"data missing", Calc!BD112*'Waste results'!$S$65, "data missing"),
   IF(OR('Waste results'!$S$29&lt;&gt;"data missing", 'Waste results'!$S$65&lt;&gt;"data missing"), Calc!BC112*'Waste results'!$S$29+ Calc!BD112*'Waste results'!$S$65, "data missing"))),
IF(AND('Field information 2'!$M$5&lt;&gt;"", 'Field information 2'!$O$5&lt;&gt;"", 'Field information 2'!$Q$5&lt;&gt;""),
   IF(AND(Calc!BD112=0,Calc!BE112=0),
     IF('Waste results'!$S$29&lt;&gt;"data missing", Calc!BC112*'Waste results'!$S$29, "data missing"),
   IF(AND(Calc!BC112=0,Calc!BE112=0),
     IF('Waste results'!$S$65&lt;&gt;"data missing", Calc!BD112*'Waste results'!$S$65, "data missing"),
   IF(AND(Calc!BC112=0,Calc!BD112=0),
     IF('Waste results'!$S$101&lt;&gt;"data missing", Calc!BE112*'Waste results'!$S$101, "data missing"),
   IF(Calc!BE112=0,
     IF(OR('Waste results'!$S$29&lt;&gt;"data missing", 'Waste results'!$S$65&lt;&gt;"data missing"), Calc!BC112*'Waste results'!$S$29+ Calc!BD112*'Waste results'!$S$65, "data missing"),
   IF(Calc!BD112=0,
     IF(OR('Waste results'!$S$29&lt;&gt;"data missing", 'Waste results'!$S$101&lt;&gt;"data missing"), Calc!BC112*'Waste results'!$S$29+ Calc!BE112*'Waste results'!$S$101, "data missing"),
   IF(Calc!BC112=0,
     IF(OR('Waste results'!$S$65&lt;&gt;"data missing", 'Waste results'!$S$101&lt;&gt;"data missing"), Calc!BD112*'Waste results'!$S$65+Calc!BE112*'Waste results'!$S$101, "data missing"),
   IF(OR('Waste results'!$S$29&lt;&gt;"data missing", 'Waste results'!$S$65&lt;&gt;"data missing", 'Waste results'!$S$101&lt;&gt;"data missing"), Calc!BC112*'Waste results'!$S$29+Calc!BD112*'Waste results'!$S$65+ Calc!BE112*'Waste results'!$S$101, "data missing")))))))))))</f>
        <v/>
      </c>
      <c r="BG114" s="239" t="str">
        <f ca="1">IF($B114="","",
IF(ISBLANK('Soil results'!O117),"data missing",'Soil results'!O117))</f>
        <v/>
      </c>
      <c r="BH114" s="239" t="str">
        <f t="shared" ca="1" si="47"/>
        <v/>
      </c>
      <c r="BI114" s="9" t="str">
        <f ca="1">IF(B114="","",
IF(BF114=0,"n/a",
IF(OR(BF114="data missing",BG114="data missing"),"data missing",
IF(BF114&gt;3,"application rate too high - permissible rate exceeds limit",
IF('Soil results'!F117&lt;=5.5,
  IF(BG114&gt;50,"no application - soil conc. already above limit",
  IF(BH114&gt;50,"application rate too high - soil conc. will exceed limit",
  IF(BG114&gt;50*0.9,"soil conc. is at or above 90% of the limit",
  IF(10*BF114*1000/3000+BG114&gt;50,"soil limit likely to be exceeded in 10yrs",
  IF(50*BF114*1000/3000+BG114&gt;50,"soil limit likely to be exceeded in 50yrs","ok"))))),
IF('Soil results'!F117&lt;=6,
  IF(BG114&gt;60,"no application - soil conc. already above limit",
  IF(BH114&gt;60,"application rate too high - soil conc. will exceed limit",
  IF(BG114&gt;60*0.9,"soil conc. is at or above 90% of the limit",
  IF(10*BF114*1000/3000+BG114&gt;60,"soil limit likely to be exceeded in 10yrs",
  IF(50*BF114*1000/3000+BG114&gt;60,"soil limit likely to be exceeded in 50yrs","ok"))))),
IF('Soil results'!F117&lt;=7,
  IF(BG114&gt;75,"no application - soil conc. already above limit",
  IF(BH114&gt;75,"application rate too high - soil conc. will exceed limit",
  IF(BG114&gt;75*0.9,"soil conc. is at or above 90% of the limit",
  IF(10*BF114*1000/3000+BG114&gt;75,"soil limit likely to be exceeded in 10yrs",
  IF(50*BF114*1000/3000+BG114&gt;75,"soil limit likely to be exceeded in 50yrs","ok"))))),
IF('Soil results'!F117&gt;7,
  IF(BG114&gt;100,"no application - soil conc. already above limit",
  IF(BH114&gt;100,"application rate too high - soil conc. will exceed limit",
  IF(BG114&gt;100*0.9,"soil conc. is at or above 90% of the limit",
  IF(10*BF114*1000/3000+BG114&gt;100,"soil limit likely to be exceeded in 10yrs",
  IF(50*BF114*1000/3000+BG114&gt;100,"soil limit likely to beexceeded in 50yrs","ok")))))
))))))))</f>
        <v/>
      </c>
      <c r="BJ114" s="9"/>
      <c r="BK114" s="240" t="str">
        <f ca="1">IF(B114="","",
IF(AND('Field information 2'!$O$5="", 'Field information 2'!$Q$5=""),
   IF('Waste results'!$S$30&lt;&gt;"data missing", Calc!BC112*'Waste results'!$S$30, "data missing"),
IF('Field information 2'!$Q$5="",
   IF(Calc!BD112=0,
     IF('Waste results'!$S$30&lt;&gt;"data missing", Calc!BC112*'Waste results'!$S$30, "data missing"),
   IF(Calc!BC112=0,
     IF('Waste results'!$S$66&lt;&gt;"data missing", Calc!BD112*'Waste results'!$S$66, "data missing"),
   IF(OR('Waste results'!$S$30&lt;&gt;"data missing", 'Waste results'!$S$66&lt;&gt;"data missing"), Calc!BC112*'Waste results'!$S$30+ Calc!BD112*'Waste results'!$S$66, "data missing"))),
IF(AND('Field information 2'!$M$5&lt;&gt;"", 'Field information 2'!$O$5&lt;&gt;"", 'Field information 2'!$Q$5&lt;&gt;""),
   IF(AND(Calc!BD112=0,Calc!BE112=0),
     IF('Waste results'!$S$30&lt;&gt;"data missing", Calc!BC112*'Waste results'!$S$30, "data missing"),
   IF(AND(Calc!BC112=0,Calc!BE112=0),
     IF('Waste results'!$S$66&lt;&gt;"data missing", Calc!BD112*'Waste results'!$S$66, "data missing"),
   IF(AND(Calc!BC112=0,Calc!BD112=0),
     IF('Waste results'!$S$102&lt;&gt;"data missing", Calc!BE112*'Waste results'!$S$102, "data missing"),
   IF(Calc!BE112=0,
     IF(OR('Waste results'!$S$30&lt;&gt;"data missing", 'Waste results'!$S$66&lt;&gt;"data missing"), Calc!BC112*'Waste results'!$S$30+ Calc!BD112*'Waste results'!$S$66, "data missing"),
   IF(Calc!BD112=0,
     IF(OR('Waste results'!$S$30&lt;&gt;"data missing", 'Waste results'!$S$102&lt;&gt;"data missing"), Calc!BC112*'Waste results'!$S$30+ Calc!BE112*'Waste results'!$S$102, "data missing"),
   IF(Calc!BC112=0,
     IF(OR('Waste results'!$S$66&lt;&gt;"data missing", 'Waste results'!$S$102&lt;&gt;"data missing"), Calc!BD112*'Waste results'!$S$66+Calc!BE112*'Waste results'!$S$102, "data missing"),
   IF(OR('Waste results'!$S$30&lt;&gt;"data missing", 'Waste results'!$S$66&lt;&gt;"data missing", 'Waste results'!$S$102&lt;&gt;"data missing"), Calc!BC112*'Waste results'!$S$30+Calc!BD112*'Waste results'!$S$66+ Calc!BE112*'Waste results'!$S$102, "data missing")))))))))))</f>
        <v/>
      </c>
      <c r="BL114" s="241" t="str">
        <f ca="1">IF($B114="","",
IF(ISBLANK('Soil results'!P117),"data missing",'Soil results'!P117))</f>
        <v/>
      </c>
      <c r="BM114" s="241" t="str">
        <f t="shared" ca="1" si="48"/>
        <v/>
      </c>
      <c r="BN114" s="66" t="str">
        <f t="shared" ca="1" si="49"/>
        <v/>
      </c>
      <c r="BO114" s="9"/>
      <c r="BP114" s="238" t="str">
        <f ca="1">IF(B114="","",
IF(AND('Field information 2'!$O$5="", 'Field information 2'!$Q$5=""),
   IF('Waste results'!$S$31&lt;&gt;"data missing", Calc!BC112*'Waste results'!$S$31, "data missing"),
IF('Field information 2'!$Q$5="",
   IF(Calc!BD112=0,
     IF('Waste results'!$S$31&lt;&gt;"data missing", Calc!BC112*'Waste results'!$S$31, "data missing"),
   IF(Calc!BC112=0,
     IF('Waste results'!$S$67&lt;&gt;"data missing", Calc!BD112*'Waste results'!$S$67, "data missing"),
   IF(OR('Waste results'!$S$31&lt;&gt;"data missing", 'Waste results'!$S$67&lt;&gt;"data missing"), Calc!BC112*'Waste results'!$S$31+ Calc!BD112*'Waste results'!$S$67, "data missing"))),
IF(AND('Field information 2'!$M$5&lt;&gt;"", 'Field information 2'!$O$5&lt;&gt;"", 'Field information 2'!$Q$5&lt;&gt;""),
   IF(AND(Calc!BD112=0,Calc!BE112=0),
     IF('Waste results'!$S$31&lt;&gt;"data missing", Calc!BC112*'Waste results'!$S$31, "data missing"),
   IF(AND(Calc!BC112=0,Calc!BE112=0),
     IF('Waste results'!$S$67&lt;&gt;"data missing", Calc!BD112*'Waste results'!$S$67, "data missing"),
   IF(AND(Calc!BC112=0,Calc!BD112=0),
     IF('Waste results'!$S$103&lt;&gt;"data missing", Calc!BE112*'Waste results'!$S$103, "data missing"),
   IF(Calc!BE112=0,
     IF(OR('Waste results'!$S$31&lt;&gt;"data missing", 'Waste results'!$S$67&lt;&gt;"data missing"), Calc!BC112*'Waste results'!$S$31+ Calc!BD112*'Waste results'!$S$67, "data missing"),
   IF(Calc!BD112=0,
     IF(OR('Waste results'!$S$31&lt;&gt;"data missing", 'Waste results'!$S$103&lt;&gt;"data missing"), Calc!BC112*'Waste results'!$S$31+ Calc!BE112*'Waste results'!$S$103, "data missing"),
   IF(Calc!BC112=0,
     IF(OR('Waste results'!$S$67&lt;&gt;"data missing", 'Waste results'!$S$103&lt;&gt;"data missing"), Calc!BD112*'Waste results'!$S$67+Calc!BE112*'Waste results'!$S$103, "data missing"),
   IF(OR('Waste results'!$S$31&lt;&gt;"data missing", 'Waste results'!$S$67&lt;&gt;"data missing", 'Waste results'!$S$103&lt;&gt;"data missing"), Calc!BC112*'Waste results'!$S$31+Calc!BD112*'Waste results'!$S$67+ Calc!BE112*'Waste results'!$S$103, "data missing")))))))))))</f>
        <v/>
      </c>
      <c r="BQ114" s="239" t="str">
        <f ca="1">IF($B114="","",
IF(ISBLANK('Soil results'!Q117),"data missing",'Soil results'!Q117))</f>
        <v/>
      </c>
      <c r="BR114" s="239" t="str">
        <f t="shared" ca="1" si="50"/>
        <v/>
      </c>
      <c r="BS114" s="9" t="str">
        <f ca="1">IF(B114="","",
IF(BP114=0,"n/a",
IF(OR(BP114="data missing",BQ114=""),"data missing",
IF(BP114&gt;15,"application rate too high - permissible rate exceeds limit",
IF('Soil results'!F117&lt;=5.5,
  IF(BQ114&gt;200,"no application - soil conc. already above limit",
  IF(BR114&gt;200,"application rate too high - soil conc. will exceed limit",
  IF(BQ114&gt;200*0.9,"soil conc. is at or above 90% of the limit",
  IF(10*BP114*1000/3000+BQ114&gt;200,"soil limit likely to be exceeded in 10yrs",
  IF(50*BP114*1000/3000+BQ114&gt;200,"soil limit likely to be exceeded in 50yrs","ok"))))),
IF('Soil results'!F117&lt;=6,
  IF(BQ114&gt;250,"no application - soil conc. already above limit",
  IF(BR114&gt;250,"application rate too high - soil conc. will exceed limit",
  IF(BQ114&gt;250*0.9,"soil conc. is at or above 90% of the limit",
  IF(10*BP114*1000/3000+BQ114&gt;250,"soil limit likely to be exceeded in 10yrs",
  IF(50*BP114*1000/3000+BQ114&gt;250,"soil limit likely to be exceeded in 50yrs","ok"))))),
IF('Soil results'!F117&lt;=7,
  IF(BQ114&gt;300,"no application - soil conc. already above limit",
  IF(BR114&gt;300,"application rate too high - soil conc. will exceed limit",
  IF(BQ114&gt;300*0.9,"soil conc. is at or above 90% of the limit",
  IF(10*BP114*1000/3000+BQ114&gt;300,"soil limit likey to be exceeded in 10yrs",
  IF(50*BP114*1000/3000+BQ114&gt;300,"soil limit likely to be exceeded in 50yrs","ok"))))),
IF('Soil results'!F117&gt;7,
  IF(BQ114&gt;450,"no application - soil conc. already above limit",
  IF(BR114&gt;450,"application rate too high - soil conc. will exceed limit",
  IF(AW114&gt;450*0.9,"soil conc. is at or above 90% of the limit",
  IF(10*BP114*1000/3000+BQ114&gt;450,"soil limit likely to be exceeded in 10yrs",
  IF(50*BP114*1000/3000+BQ114&gt;450,"soil limit likely to be exceeded in 50yrs","ok")))))
))))))))</f>
        <v/>
      </c>
    </row>
    <row r="115" spans="2:71" ht="15" x14ac:dyDescent="0.25">
      <c r="B115" s="236" t="str">
        <f ca="1">'Soil results'!B118</f>
        <v/>
      </c>
      <c r="C115" s="91" t="str">
        <f ca="1">IF(B115="","",
IF(AND('Field information 2'!$O$5="", 'Field information 2'!$Q$5=""),
   IF('Waste results'!$S$12&lt;&gt;"data missing", Calc!BC113*'Waste results'!$S$12, "data missing"),
IF('Field information 2'!$Q$5="",
   IF(Calc!BD113=0,
     IF('Waste results'!$S$12&lt;&gt;"data missing", Calc!BC113*'Waste results'!$S$12, "data missing"),
   IF(Calc!BC113=0,
     IF('Waste results'!$S$48&lt;&gt;"data missing", Calc!BD113*'Waste results'!$S$48, "data missing"),
   IF(OR('Waste results'!$S$12&lt;&gt;"data missing", 'Waste results'!$S$48&lt;&gt;"data missing"), Calc!BC113*'Waste results'!$S$12+ Calc!BD113*'Waste results'!$S$48, "data missing"))),
IF(AND('Field information 2'!$M$5&lt;&gt;"", 'Field information 2'!$O$5&lt;&gt;"", 'Field information 2'!$Q$5&lt;&gt;""),
   IF(AND(Calc!BD113=0,Calc!BE113=0),
     IF('Waste results'!$S$12&lt;&gt;"data missing", Calc!BC113*'Waste results'!$S$12, "data missing"),
   IF(AND(Calc!BC113=0,Calc!BE113=0),
     IF('Waste results'!$S$48&lt;&gt;"data missing", Calc!BD113*'Waste results'!$S$48, "data missing"),
   IF(AND(Calc!BC113=0,Calc!BD113=0),
     IF('Waste results'!$S$84&lt;&gt;"data missing", Calc!BE113*'Waste results'!$S$84, "data missing"),
   IF(Calc!BE113=0,
     IF(OR('Waste results'!$S$12&lt;&gt;"data missing", 'Waste results'!$S$48&lt;&gt;"data missing"), Calc!BC113*'Waste results'!$S$12+ Calc!BD113*'Waste results'!$S$48, "data missing"),
   IF(Calc!BD113=0,
     IF(OR('Waste results'!$S$12&lt;&gt;"data missing", 'Waste results'!$S$84&lt;&gt;"data missing"), Calc!BC113*'Waste results'!$S$12+ Calc!BE113*'Waste results'!$S$84, "data missing"),
   IF(Calc!BC113=0,
     IF(OR('Waste results'!$S$48&lt;&gt;"data missing", 'Waste results'!$S$84&lt;&gt;"data missing"), Calc!BD113*'Waste results'!$S$48+Calc!BE113*'Waste results'!$S$84, "data missing"),
   IF(OR('Waste results'!$S$12&lt;&gt;"data missing", 'Waste results'!$S$48&lt;&gt;"data missing", 'Waste results'!$S$84&lt;&gt;"data missing"), Calc!BC113*'Waste results'!$S$12+Calc!BD113*'Waste results'!$S$48+ Calc!BE113*'Waste results'!$S$84, "data missing")))))))))))</f>
        <v/>
      </c>
      <c r="D115" s="161" t="str">
        <f ca="1">IF(B115="","",
IF(Calc!BG113="","soil texture missing",
IF(OR(Calc!BG113="SL; SZL; ZL",Calc!BG113="SCL; CL; ZCL; SC; ZC; C"),VLOOKUP(Calc!BI113,'Fertiliser recommendations'!$A$4:$C$63,3,FALSE),
IF(Calc!BG113="S; LS",VLOOKUP(Calc!BI113,'Fertiliser recommendations'!$A$4:$C$63,3,FALSE)+VLOOKUP(Calc!BI113,'Fertiliser recommendations'!$A$4:$D$63,4,FALSE),
IF(Calc!BG113="10-25% OM",VLOOKUP(Calc!BI113,'Fertiliser recommendations'!$A$4:$C$63,3,FALSE)+VLOOKUP(Calc!BI113,'Fertiliser recommendations'!$A$4:$E$63,5,FALSE),
IF(Calc!BG113="&gt;25% OM",VLOOKUP(Calc!BI113,'Fertiliser recommendations'!$A$4:$C$63,3,FALSE)+VLOOKUP(Calc!BI113,'Fertiliser recommendations'!$A$4:$F$63,6,FALSE),
""))))))</f>
        <v/>
      </c>
      <c r="E115" s="91" t="str">
        <f t="shared" ca="1" si="34"/>
        <v/>
      </c>
      <c r="F115" s="9" t="str">
        <f ca="1">IF(B115="","",
IF(OR(C115="data missing",D115="soil texture missing"),"data missing",
IF(Calc!BF113=0,"n/a",
IF(C115&lt;0.1*D115,"no benefit",
IF(C115&lt;0.3*D115,"limited benefit",
IF(C115&gt;250,"exceeds limit",
IF(OR(AND(D115=0,C115&gt;75),C115&gt;1.25*D115),"excessive",
IF(D115=0, "no requirement",
"benefit"))))))))</f>
        <v/>
      </c>
      <c r="G115" s="9"/>
      <c r="H115" s="91" t="str">
        <f ca="1">IF(B115="","",
IF(AND('Field information 2'!$O$5="", 'Field information 2'!$Q$5=""),
   IF('Waste results'!$S$17&lt;&gt;"data missing", Calc!BC113*'Waste results'!$S$17, "data missing"),
IF('Field information 2'!$Q$5="",
   IF(Calc!BD113=0,
     IF('Waste results'!$S$17&lt;&gt;"data missing", Calc!BC113*'Waste results'!$S$17, "data missing"),
   IF(Calc!BC113=0,
     IF('Waste results'!$S$53&lt;&gt;"data missing", Calc!BD113*'Waste results'!$S$53, "data missing"),
   IF(OR('Waste results'!$S$17&lt;&gt;"data missing", 'Waste results'!$S$53&lt;&gt;"data missing"), Calc!BC113*'Waste results'!$S$17+ Calc!BD113*'Waste results'!$S$53, "data missing"))),
IF(AND('Field information 2'!$M$5&lt;&gt;"", 'Field information 2'!$O$5&lt;&gt;"", 'Field information 2'!$Q$5&lt;&gt;""),
   IF(AND(Calc!BD113=0,Calc!BE113=0),
     IF('Waste results'!$S$17&lt;&gt;"data missing", Calc!BC113*'Waste results'!$S$17, "data missing"),
   IF(AND(Calc!BC113=0,Calc!BE113=0),
     IF('Waste results'!$S$53&lt;&gt;"data missing", Calc!BD113*'Waste results'!$S$53, "data missing"),
   IF(AND(Calc!BC113=0,Calc!BD113=0),
     IF('Waste results'!$S$89&lt;&gt;"data missing", Calc!BE113*'Waste results'!$S$89, "data missing"),
   IF(Calc!BE113=0,
     IF(OR('Waste results'!$S$17&lt;&gt;"data missing", 'Waste results'!$S$53&lt;&gt;"data missing"), Calc!BC113*'Waste results'!$S$17+ Calc!BD113*'Waste results'!$S$53, "data missing"),
   IF(Calc!BD113=0,
     IF(OR('Waste results'!$S$17&lt;&gt;"data missing", 'Waste results'!$S$89&lt;&gt;"data missing"), Calc!BC113*'Waste results'!$S$17+ Calc!BE113*'Waste results'!$S$89, "data missing"),
   IF(Calc!BC113=0,
     IF(OR('Waste results'!$S$53&lt;&gt;"data missing", 'Waste results'!$S$89&lt;&gt;"data missing"), Calc!BD113*'Waste results'!$S$53+Calc!BE113*'Waste results'!$S$89, "data missing"),
   IF(OR('Waste results'!$S$17&lt;&gt;"data missing", 'Waste results'!$S$53&lt;&gt;"data missing", 'Waste results'!$S$89&lt;&gt;"data missing"), Calc!BC113*'Waste results'!$S$17+Calc!BD113*'Waste results'!$S$53+ Calc!BE113*'Waste results'!$S$89, "data missing")))))))))))</f>
        <v/>
      </c>
      <c r="I115" s="195" t="str">
        <f ca="1">IF(B115="","",
IF(OR(ISBLANK('Soil results'!G118), ISBLANK('Soil results'!G$7)),"data missing",
IF(OR(AND('Soil results'!G$7="Olsen (ADAS)",'Soil results'!G118&lt;16),AND('Soil results'!G$7="modified Morgan (SAC)",'Soil results'!G118&lt;4.5)),50,100)))</f>
        <v/>
      </c>
      <c r="J115" s="49" t="str">
        <f ca="1">IF(B115="","",
IF(OR(ISBLANK('Soil results'!G$7),ISBLANK('Soil results'!G118)),"data missing",
IF(OR(AND('Soil results'!G$7="Olsen (ADAS)",'Soil results'!G118&gt;45),AND('Soil results'!G$7="modified Morgan (SAC)",'Soil results'!G118&gt;30)),0,
IF(OR(AND('Soil results'!G$7="Olsen (ADAS)",'Soil results'!G118&gt;=16,'Soil results'!G118&lt;=20),AND('Soil results'!G$7="modified Morgan (SAC)",'Soil results'!G118&gt;=4.5,'Soil results'!G118&lt;=9.4)),VLOOKUP(Calc!BI113,'Fertiliser recommendations'!$A$4:$I$63,9,FALSE),
IF(OR(AND('Soil results'!G$7="Olsen (ADAS)",'Soil results'!G118&lt;10),AND('Soil results'!G$7="modified Morgan (SAC)",'Soil results'!G118&lt;1.8)),VLOOKUP(Calc!BI113,'Fertiliser recommendations'!$A$4:$I$63,9,FALSE)+VLOOKUP(Calc!BI113,'Fertiliser recommendations'!$A$4:$J$63,10,FALSE),
IF(OR(AND('Soil results'!G$7="Olsen (ADAS)",'Soil results'!G118&lt;16),AND('Soil results'!G$7="modified Morgan (SAC)",'Soil results'!G118&lt;4.5)),VLOOKUP(Calc!BI113,'Fertiliser recommendations'!$A$4:$I$63,9,FALSE)+VLOOKUP(Calc!BI113,'Fertiliser recommendations'!$A$4:$K$63,11,FALSE),
IF(OR(AND('Soil results'!G$7="Olsen (ADAS)",'Soil results'!G118&lt;26),AND('Soil results'!G$7="modified Morgan (SAC)",'Soil results'!G118&lt;13.5)),VLOOKUP(Calc!BI113,'Fertiliser recommendations'!$A$4:$I$63,9,FALSE)+VLOOKUP(Calc!BI113,'Fertiliser recommendations'!$A$4:$L$63,12,FALSE),
IF(OR(AND('Soil results'!G$7="Olsen (ADAS)",'Soil results'!G118&lt;=45),AND('Soil results'!G$7="modified Morgan (SAC)",'Soil results'!G118&lt;=30)),VLOOKUP(Calc!BI113,'Fertiliser recommendations'!$A$4:$I$63,9,FALSE)+VLOOKUP(Calc!BI113,'Fertiliser recommendations'!$A$4:$M$63,13,FALSE),
""))))))))</f>
        <v/>
      </c>
      <c r="K115" s="161" t="str">
        <f t="shared" ca="1" si="35"/>
        <v/>
      </c>
      <c r="L115" s="47" t="str">
        <f ca="1">IF(OR(ISBLANK('Soil results'!G$7),ISBLANK('Soil results'!G118),B115="", H115="data missing"),"",
IF('Soil results'!G$7="Olsen (ADAS)",
IF(((H115*Calc!BM113/2.291-(VLOOKUP(Calc!BI113,'Fertiliser recommendations'!$A$4:$I$63,9,FALSE))/2.291)*10/(400/2.291)+'Soil results'!G118)&lt;10,"0 (VL)",
IF(((H115*Calc!BM113/2.291-(VLOOKUP(Calc!BI113,'Fertiliser recommendations'!$A$4:$I$63,9,FALSE))/2.291)*10/(400/2.291)+'Soil results'!G118)&lt;16,"1 (L)",
IF(((H115*Calc!BM113/2.291-(VLOOKUP(Calc!BI113,'Fertiliser recommendations'!$A$4:$I$63,9,FALSE))/2.291)*10/(400/2.291)+'Soil results'!G118)&lt;21,"2 (M-)",
IF(((H115*Calc!BM113/2.291-(VLOOKUP(Calc!BI113,'Fertiliser recommendations'!$A$4:$I$63,9,FALSE))/2.291)*10/(400/2.291)+'Soil results'!G118)&lt;26,"2 (M+)",
IF(((H115*Calc!BM113/2.291-(VLOOKUP(Calc!BI113,'Fertiliser recommendations'!$A$4:$I$63,9,FALSE))/2.291)*10/(400/2.291)+'Soil results'!G118)&lt;45,"3 (H)","&gt;3 (VH)"))))),
IF('Soil results'!G$7="modified Morgan (SAC)",
IF('Soil results'!G118&gt;=6,
IF(((H115*Calc!BM113/2.291-(VLOOKUP(Calc!BI113,'Fertiliser recommendations'!$A$4:$I$63,9,FALSE))/2.291)*5/(147/2.291)+'Soil results'!G118)&lt;9.5,"2 (M-)",
IF(((H115*Calc!BM113/2.291-(VLOOKUP(Calc!BI113,'Fertiliser recommendations'!$A$4:$I$63,9,FALSE))/2.291)*5/(147/2.291)+'Soil results'!G118)&lt;13.5,"2 (M+)",
IF(((H115*Calc!BM113/2.291-(VLOOKUP(Calc!BI113,'Fertiliser recommendations'!$A$4:$I$63,9,FALSE))/2.291)*5/(147/2.291)+'Soil results'!G118)&lt;30,"3 (H)","4 (VH)"))),
IF(((H115*Calc!BM113/2.291-(VLOOKUP(Calc!BI113,'Fertiliser recommendations'!$A$4:$I$63,9,FALSE))/2.291)*5/(346/2.291)+'Soil results'!G118)&lt;1.8,"0 (VL)",
IF(((H115*Calc!BM113/2.291-(VLOOKUP(Calc!BI113,'Fertiliser recommendations'!$A$4:$I$63,9,FALSE))/2.291)*5/(147/2.291)+'Soil results'!G118)&lt;4.5,"1 (L)","2 (M-)"))))))</f>
        <v/>
      </c>
      <c r="M115" s="9" t="str">
        <f ca="1">IF(B115="","",
IF(OR(H115="data missing",I115="data missing",J115="data missing"),"data missing",
IF(Calc!BF113=0,"n/a",
IF(OR(AND('Soil results'!G$7="Olsen (ADAS)",'Soil results'!G118&gt;45),AND('Soil results'!G$7="modified Morgan (SAC)",'Soil results'!G118&gt;30)),
IF(H115&gt;2,"too high, not acceptable","no requirement"),IF(OR(AND('Soil results'!G$7="Olsen (ADAS)",'Soil results'!G118&gt;25),AND('Soil results'!G$7="modified Morgan (SAC)",'Soil results'!G118&gt;13.4)),
IF(H115*(I115/100)&lt;0.1*J115,"no benefit",
IF(H115*(I115/100)&lt;0.3*J115,"limited benefit",
IF(H115*(I115/100)&lt;1.1*J115,"benefit",
IF(H115*(I115/100)&lt;0.7*VLOOKUP(Calc!BI113,'Fertiliser recommendations'!$A$4:$I$63,9,FALSE),"excessive","too high, not acceptable")))),
IF(OR(AND('Soil results'!G$7="Olsen (ADAS)",'Soil results'!G118&gt;20),AND('Soil results'!G$7="modified Morgan (SAC)",'Soil results'!G118&gt;9.4)),
IF(H115*Calc!BM113*(I115/100)&lt;0.1*J115,"no benefit",
IF(H115*Calc!BM113*(I115/100)&lt;0.3*J115,"limited benefit",
IF(H115*Calc!BM113*(I115/100)&lt;1.1*J115,"benefit",
IF(L115="3 (H)","too high, not acceptable","excessive")))),
IF(OR(AND('Soil results'!G$7="Olsen (ADAS)",'Soil results'!G118&gt;15),AND('Soil results'!G$7="modified Morgan (SAC)",'Soil results'!G118&gt;4.4)),
IF(H115*Calc!BM113*(I115/100)&lt;0.1*VLOOKUP(Calc!BI113,'Fertiliser recommendations'!$A$4:$I$63,9,FALSE),"no benefit",
IF(H115*Calc!BM113*(I115/100)&lt;0.3*VLOOKUP(Calc!BI113,'Fertiliser recommendations'!$A$4:$I$63,9,FALSE),"limited benefit",
IF(H115*Calc!BM113*(I115/100)&lt;1.1*VLOOKUP(Calc!BI113,'Fertiliser recommendations'!$A$4:$I$63,9,FALSE),"benefit",
IF(L115="3 (H)", "too high, not acceptable", "excessive")))),
IF(OR(AND('Soil results'!G$7="Olsen (ADAS)",'Soil results'!G118&lt;=15),AND('Soil results'!G$7="modified Morgan (SAC)",'Soil results'!G118&lt;=4.4)),
IF(H115*Calc!BM113*(I115/100)&lt;0.1*VLOOKUP(Calc!BI113,'Fertiliser recommendations'!$A$4:$I$63,9,FALSE),"no benefit",
IF(H115*Calc!BM113*(I115/100)&lt;0.3*VLOOKUP(Calc!BI113,'Fertiliser recommendations'!$A$4:$I$63,9,FALSE),"limited benefit",
IF(H115*Calc!BM113*(I115/100)&lt;1.1*J115,"benefit","excessive")))))))))))</f>
        <v/>
      </c>
      <c r="N115" s="9"/>
      <c r="O115" s="91" t="str">
        <f ca="1">IF(B115="","",
IF(AND('Field information 2'!$O$5="", 'Field information 2'!$Q$5=""),
   IF('Waste results'!$S$19&lt;&gt;"data missing", Calc!BC113*'Waste results'!$S$19, "data missing"),
IF('Field information 2'!$Q$5="",
   IF(Calc!BD113=0,
     IF('Waste results'!$S$19&lt;&gt;"data missing", Calc!BC113*'Waste results'!$S$19, "data missing"),
   IF(Calc!BC113=0,
     IF('Waste results'!$S$55&lt;&gt;"data missing", Calc!BD113*'Waste results'!$S$55, "data missing"),
   IF(OR('Waste results'!$S$19&lt;&gt;"data missing", 'Waste results'!$S$55&lt;&gt;"data missing"), Calc!BC113*'Waste results'!$S$19+ Calc!BD113*'Waste results'!$S$55, "data missing"))),
IF(AND('Field information 2'!$M$5&lt;&gt;"", 'Field information 2'!$O$5&lt;&gt;"", 'Field information 2'!$Q$5&lt;&gt;""),
   IF(AND(Calc!BD113=0,Calc!BE113=0),
     IF('Waste results'!$S$19&lt;&gt;"data missing", Calc!BC113*'Waste results'!$S$19, "data missing"),
   IF(AND(Calc!BC113=0,Calc!BE113=0),
     IF('Waste results'!$S$55&lt;&gt;"data missing", Calc!BD113*'Waste results'!$S$55, "data missing"),
   IF(AND(Calc!BC113=0,Calc!BD113=0),
     IF('Waste results'!$S$91&lt;&gt;"data missing", Calc!BE113*'Waste results'!$S$91, "data missing"),
   IF(Calc!BE113=0,
     IF(OR('Waste results'!$S$19&lt;&gt;"data missing", 'Waste results'!$S$55&lt;&gt;"data missing"), Calc!BC113*'Waste results'!$S$19+ Calc!BD113*'Waste results'!$S$55, "data missing"),
   IF(Calc!BD113=0,
     IF(OR('Waste results'!$S$19&lt;&gt;"data missing", 'Waste results'!$S$91&lt;&gt;"data missing"), Calc!BC113*'Waste results'!$S$19+ Calc!BE113*'Waste results'!$S$91, "data missing"),
   IF(Calc!BC113=0,
     IF(OR('Waste results'!$S$55&lt;&gt;"data missing", 'Waste results'!$S$91&lt;&gt;"data missing"), Calc!BD113*'Waste results'!$S$55+Calc!BE113*'Waste results'!$S$91, "data missing"),
   IF(OR('Waste results'!$S$19&lt;&gt;"data missing", 'Waste results'!$S$55&lt;&gt;"data missing", 'Waste results'!$S$91&lt;&gt;"data missing"), Calc!BC113*'Waste results'!$S$19+Calc!BD113*'Waste results'!$S$55+ Calc!BE113*'Waste results'!$S$91, "data missing")))))))))))</f>
        <v/>
      </c>
      <c r="P115" s="91" t="str">
        <f ca="1">IF(B115="","",
IF(OR(ISBLANK('Soil results'!H$7),ISBLANK('Soil results'!H118)),"data missing",
IF(OR(AND('Soil results'!H$7="ammonium nitrate (ADAS)",'Soil results'!H118&gt;400),AND('Soil results'!H$7="modified Morgan (SAC)",'Soil results'!H118&gt;400)),0,
IF(OR(AND('Soil results'!H$7="ammonium nitrate (ADAS)",'Soil results'!H118&gt;=121,'Soil results'!H118&lt;=180),AND('Soil results'!H$7="modified Morgan (SAC)",'Soil results'!H118&gt;=76,'Soil results'!H118&lt;=140)),VLOOKUP(Calc!BI113,'Fertiliser recommendations'!$A$4:$Z$63,26,FALSE),
IF(OR(AND('Soil results'!H$7="ammonium nitrate (ADAS)",'Soil results'!H118&lt;61),AND('Soil results'!H$7="modified Morgan (SAC)",'Soil results'!H118&lt;40)),VLOOKUP(Calc!BI113,'Fertiliser recommendations'!$A$4:$Z$63,26,FALSE)+VLOOKUP(Calc!BI113,'Fertiliser recommendations'!$A$4:$AA$63,27,FALSE),
IF(OR(AND('Soil results'!H$7="ammonium nitrate (ADAS)",'Soil results'!H118&lt;121),AND('Soil results'!H$7="modified Morgan (SAC)",'Soil results'!H118&lt;76)),VLOOKUP(Calc!BI113,'Fertiliser recommendations'!$A$4:$Z$63,26,FALSE)+VLOOKUP(Calc!BI113,'Fertiliser recommendations'!$A$4:$AB$63,28,FALSE),
IF(OR(AND('Soil results'!H$7="ammonium nitrate (ADAS)",'Soil results'!H118&lt;241),AND('Soil results'!H$7="modified Morgan (SAC)",'Soil results'!H118&lt;201)),VLOOKUP(Calc!BI113,'Fertiliser recommendations'!$A$4:$Z$63,26,FALSE)+VLOOKUP(Calc!BI113,'Fertiliser recommendations'!$A$4:$AC$63,29,FALSE),
IF(OR(AND('Soil results'!H$7="ammonium nitrate (ADAS)",'Soil results'!H118&lt;=400),AND('Soil results'!H$7="modified Morgan (SAC)",'Soil results'!H118&lt;=400)),VLOOKUP(Calc!BI113,'Fertiliser recommendations'!$A$4:$Z$63,26,FALSE)+VLOOKUP(Calc!BI113,'Fertiliser recommendations'!$A$4:$AD$63,30,FALSE),
"??"))))))))</f>
        <v/>
      </c>
      <c r="Q115" s="91" t="str">
        <f t="shared" ca="1" si="36"/>
        <v/>
      </c>
      <c r="R115" s="9" t="str">
        <f ca="1">IF(B115="","",
IF(OR(O115="data missing",P115="data missing"),"data missing",
IF(Calc!BF113=0,"n/a",
IF(P115=0, "no requirement",
IF(O115&lt;0.1*P115,"no benefit",
IF(O115&lt;0.3*P115,"limited benefit",
IF(O115&gt;1.25*P115,"excessive",
"benefit")))))))</f>
        <v/>
      </c>
      <c r="S115" s="9"/>
      <c r="T115" s="91" t="str">
        <f ca="1">IF(B115="","",
IF(AND('Field information 2'!$O$5="", 'Field information 2'!$Q$5=""),
   IF('Waste results'!$S$21&lt;&gt;"data missing", Calc!BC113*'Waste results'!$S$21, "data missing"),
IF('Field information 2'!$Q$5="",
   IF(Calc!BD113=0,
     IF('Waste results'!$S$21&lt;&gt;"data missing", Calc!BC113*'Waste results'!$S$21, "data missing"),
   IF(Calc!BC113=0,
     IF('Waste results'!$S$57&lt;&gt;"data missing", Calc!BD113*'Waste results'!$S$57, "data missing"),
   IF(OR('Waste results'!$S$21&lt;&gt;"data missing", 'Waste results'!$S$57&lt;&gt;"data missing"), Calc!BC113*'Waste results'!$S$21+ Calc!BD113*'Waste results'!$S$57, "data missing"))),
IF(AND('Field information 2'!$M$5&lt;&gt;"", 'Field information 2'!$O$5&lt;&gt;"", 'Field information 2'!$Q$5&lt;&gt;""),
   IF(AND(Calc!BD113=0,Calc!BE113=0),
     IF('Waste results'!$S$21&lt;&gt;"data missing", Calc!BC113*'Waste results'!$S$21, "data missing"),
   IF(AND(Calc!BC113=0,Calc!BE113=0),
     IF('Waste results'!$S$57&lt;&gt;"data missing", Calc!BD113*'Waste results'!$S$57, "data missing"),
   IF(AND(Calc!BC113=0,Calc!BD113=0),
     IF('Waste results'!$S$93&lt;&gt;"data missing", Calc!BE113*'Waste results'!$S$93, "data missing"),
   IF(Calc!BE113=0,
     IF(OR('Waste results'!$S$21&lt;&gt;"data missing", 'Waste results'!$S$57&lt;&gt;"data missing"), Calc!BC113*'Waste results'!$S$21+ Calc!BD113*'Waste results'!$S$57, "data missing"),
   IF(Calc!BD113=0,
     IF(OR('Waste results'!$S$21&lt;&gt;"data missing", 'Waste results'!$S$93&lt;&gt;"data missing"), Calc!BC113*'Waste results'!$S$21+ Calc!BE113*'Waste results'!$S$93, "data missing"),
   IF(Calc!BC113=0,
     IF(OR('Waste results'!$S$57&lt;&gt;"data missing", 'Waste results'!$S$93&lt;&gt;"data missing"), Calc!BD113*'Waste results'!$S$57+Calc!BE113*'Waste results'!$S$93, "data missing"),
   IF(OR('Waste results'!$S$21&lt;&gt;"data missing", 'Waste results'!$S$57&lt;&gt;"data missing", 'Waste results'!$S$93&lt;&gt;"data missing"), Calc!BC113*'Waste results'!$S$21+Calc!BD113*'Waste results'!$S$57+ Calc!BE113*'Waste results'!$S$93, "data missing")))))))))))</f>
        <v/>
      </c>
      <c r="U115" s="7" t="str">
        <f ca="1">IF(B115="","",
IF(OR(ISBLANK('Soil results'!I$7),ISBLANK('Soil results'!I118)),"data missing",
IF(OR(AND('Soil results'!I$7="ammonium nitrate (ADAS)",'Soil results'!I118&gt;51),AND('Soil results'!I$7="modified Morgan (SAC)",'Soil results'!I118&gt;61)),0,
IF(OR(AND('Soil results'!I$7="ammonium nitrate (ADAS)",'Soil results'!I118&lt;25),AND('Soil results'!I$7="modified Morgan (SAC)",'Soil results'!I118&lt;19)),VLOOKUP(Calc!BI113,'Fertiliser recommendations'!$A$4:$AH$63,34,FALSE),
IF(OR(AND('Soil results'!I$7="ammonium nitrate (ADAS)",'Soil results'!I118&lt;=51),AND('Soil results'!I$7="modified Morgan (SAC)",'Soil results'!I118&lt;=61)),VLOOKUP(Calc!BI113,'Fertiliser recommendations'!$A$4:$AI$63,35,FALSE),
"")))))</f>
        <v/>
      </c>
      <c r="V115" s="91" t="str">
        <f t="shared" ca="1" si="37"/>
        <v/>
      </c>
      <c r="W115" s="9" t="str">
        <f ca="1">IF(B115="","",
IF(OR(T115="data missing",U115="data missing"),"data missing",
IF(Calc!BF113=0,"n/a",
IF(U115=0,"no requirement",
IF(T115&lt;0.1*U115,"no benefit",
IF(T115&lt;0.3*U115,"limited benefit",
IF(OR(T115&gt;1.5*U115,AND(Calc!BJ113="g",T115&gt;100)),"excessive",
"benefit")))))))</f>
        <v/>
      </c>
      <c r="X115" s="9"/>
      <c r="Y115" s="91" t="str">
        <f ca="1">IF(B115="","",
IF(AND('Field information 2'!$O$5="", 'Field information 2'!$Q$5=""),
   IF('Waste results'!$P$23&lt;&gt;"", Calc!BC113*'Waste results'!$P$23, "no data"),
IF('Field information 2'!$Q$5="",
   IF(Calc!BD113=0,
     IF('Waste results'!$P$23&lt;&gt;"", Calc!BC113*'Waste results'!$P$23, "no data"),
   IF(Calc!BC113=0,
     IF('Waste results'!$P$59&lt;&gt;"", Calc!BD113*'Waste results'!$P$59, "no data"),
   IF(OR('Waste results'!$P$23&lt;&gt;"", 'Waste results'!$P$59&lt;&gt;""), Calc!BC113*'Waste results'!$P$23+ Calc!BD113*'Waste results'!$P$59, "no data"))),
IF(AND('Field information 2'!$M$5&lt;&gt;"", 'Field information 2'!$O$5&lt;&gt;"", 'Field information 2'!$Q$5&lt;&gt;""),
   IF(AND(Calc!BD113=0,Calc!BE113=0),
     IF('Waste results'!$P$23&lt;&gt;"", Calc!BC113*'Waste results'!$P$23, "no data"),
   IF(AND(Calc!BC113=0,Calc!BE113=0),
     IF('Waste results'!$P$59&lt;&gt;"", Calc!BD113*'Waste results'!$P$59, "no data"),
   IF(AND(Calc!BC113=0,Calc!BD113=0),
     IF('Waste results'!$P$95&lt;&gt;"", Calc!BE113*'Waste results'!$P$95, "no data"),
   IF(Calc!BE113=0,
     IF(OR('Waste results'!$P$23&lt;&gt;"", 'Waste results'!$P$59&lt;&gt;""), Calc!BC113*'Waste results'!$P$23+ Calc!BD113*'Waste results'!$P$59, "no data"),
   IF(Calc!BD113=0,
     IF(OR('Waste results'!$P$23&lt;&gt;"", 'Waste results'!$P$95&lt;&gt;""), Calc!BC113*'Waste results'!$P$23+ Calc!BE113*'Waste results'!$P$95, "no data"),
   IF(Calc!BC113=0,
     IF(OR('Waste results'!$P$59&lt;&gt;"", 'Waste results'!$P$95&lt;&gt;""), Calc!BD113*'Waste results'!$P$59+Calc!BE113*'Waste results'!$P$95, "no data"),
   IF(OR('Waste results'!$P$23&lt;&gt;"", 'Waste results'!$P$59&lt;&gt;"", 'Waste results'!$P$95&lt;&gt;""), Calc!BC113*'Waste results'!$P$23+Calc!BD113*'Waste results'!$P$59+ Calc!BE113*'Waste results'!$P$95, "no data")))))))))))</f>
        <v/>
      </c>
      <c r="Z115" s="7" t="str">
        <f ca="1">IF(OR(ISBLANK('Soil results'!I$7),ISBLANK('Soil results'!I118),'Soil results'!B118=""),"",
VLOOKUP(Calc!BI113,'Fertiliser recommendations'!$A$4:$AM$63,39,FALSE))</f>
        <v/>
      </c>
      <c r="AA115" s="91" t="str">
        <f t="shared" ca="1" si="38"/>
        <v/>
      </c>
      <c r="AB115" s="9" t="str">
        <f t="shared" ca="1" si="39"/>
        <v/>
      </c>
      <c r="AC115" s="9"/>
      <c r="AD115" s="48" t="str">
        <f>IF(ISBLANK('Soil results'!F118),"",'Soil results'!F118)</f>
        <v/>
      </c>
      <c r="AE115" s="49" t="str">
        <f ca="1">IF(B115="","",
IF(AND(Calc!BJ113="g", VLOOKUP(LEFT($B115,LEN($B115)-2),'Field information 2'!$B$12:$P$111,9,FALSE)&lt;&gt;"yes"),
 IF(Calc!BG113="10-25% OM", 5.9, IF(Calc!BG113="&gt;25% OM", 5.5, 6.2)),
IF(OR(Calc!BJ113="a", VLOOKUP(LEFT($B115,LEN($B115)-2),'Field information 2'!$B$12:$P$111,9,FALSE)="yes"),
 IF(Calc!BG113="10-25% OM", 6.4, IF(Calc!BG113="&gt;25% OM", 6, 6.7)), "")))</f>
        <v/>
      </c>
      <c r="AF115" s="91" t="str">
        <f ca="1">IF(B115="","",
IF('Waste results'!$Q$33="","no (significant) liming properties",
IF('Waste results'!Q$33&gt;100,"no (significant) liming properties",
IF(AD115="","",
IF(AD115&gt;=AE115,0,ROUNDDOWN((AE115-AD115)*Calc!BK113*'Waste results'!$Q$33+0.2,0))))))</f>
        <v/>
      </c>
      <c r="AG115" s="9" t="str">
        <f ca="1">IF(B115="","",
IF(T115=0,"n/a",
IF(AD115="","data missing",
IF(AND(AD115&lt;5,AF115="no (significant) liming properties"),"no waste application - pH too low",
IF(AND(AD115&gt;5.1,AF115="no (significant) liming properties",Calc!BH113&gt;25, LEFT(Calc!BI113,4)="graz"),"ok",
IF(AND(AD115&lt;=5.2,AF115="no (significant) liming properties"),"liming highly recommended",
IF(AF115=0,"no waste application - liming not required",
IF(AF115&lt;Calc!BC113,"application rate too high - exceeds liming requirement",
"ok"))))))))</f>
        <v/>
      </c>
      <c r="AH115" s="9"/>
      <c r="AI115" s="91" t="str">
        <f ca="1">IF(B115="","",
IF(AND('Field information 2'!$O$5="", 'Field information 2'!$Q$5=""),
   IF('Waste results'!$P$10&lt;&gt;"data missing", Calc!BC113*'Waste results'!$P$10, "data missing"),
IF('Field information 2'!$Q$5="",
   IF(Calc!BD113=0,
     IF('Waste results'!$P$10&lt;&gt;"data missing", Calc!BC113*'Waste results'!$P$10, "data missing"),
   IF(Calc!BC113=0,
     IF('Waste results'!$P$45&lt;&gt;"data missing", Calc!BD113*'Waste results'!$P$45, "data missing"),
   IF(OR('Waste results'!$P$10&lt;&gt;"data missing", 'Waste results'!$P$45&lt;&gt;"data missing"), Calc!BC113*'Waste results'!$P$10+ Calc!BD113*'Waste results'!$P$45, "data missing"))),
IF(AND('Field information 2'!$M$5&lt;&gt;"", 'Field information 2'!$O$5&lt;&gt;"", 'Field information 2'!$Q$5&lt;&gt;""),
   IF(AND(Calc!BD113=0,Calc!BE113=0),
     IF('Waste results'!$P$10&lt;&gt;"data missing", Calc!BC113*'Waste results'!$P$10, "data missing"),
   IF(AND(Calc!BC113=0,Calc!BE113=0),
     IF('Waste results'!$P$45&lt;&gt;"data missing", Calc!BD113*'Waste results'!$P$45, "data missing"),
   IF(AND(Calc!BC113=0,Calc!BD113=0),
     IF('Waste results'!$P$82&lt;&gt;"data missing", Calc!BE113*'Waste results'!$P$82, "data missing"),
   IF(Calc!BE113=0,
     IF(OR('Waste results'!$P$10&lt;&gt;"data missing", 'Waste results'!$P$45&lt;&gt;"data missing"), Calc!BC113*'Waste results'!$P$10+ Calc!BD113*'Waste results'!$P$45, "data missing"),
   IF(Calc!BD113=0,
     IF(OR('Waste results'!$P$10&lt;&gt;"data missing", 'Waste results'!$P$82&lt;&gt;"data missing"), Calc!BC113*'Waste results'!$P$10+ Calc!BE113*'Waste results'!$P$82, "data missing"),
   IF(Calc!BC113=0,
     IF(OR('Waste results'!$P$45&lt;&gt;"data missing", 'Waste results'!$P$82&lt;&gt;"data missing"), Calc!BD113*'Waste results'!$P$45+Calc!BE113*'Waste results'!$P$82, "data missing"),
   IF(OR('Waste results'!$P$10&lt;&gt;"data missing", 'Waste results'!$P$45&lt;&gt;"data missing", 'Waste results'!$P$82&lt;&gt;"data missing"), Calc!BC113*'Waste results'!$P$10+Calc!BD113*'Waste results'!$P$45+ Calc!BE113*'Waste results'!$P$82, "data missing")))))))))))</f>
        <v/>
      </c>
      <c r="AJ115" s="237" t="str">
        <f ca="1">IF(B115="","",
IF(AI115="data missing","data missing",
IF(Calc!BF113=0,"n/a",
IF(AND(Calc!BH113&gt;=8,AI115&lt;500),"no benefit",
IF(OR(AND(Calc!BH113&lt;=4,AI115&gt;=500),AND(Calc!BH113&lt;8,AI115&gt;5000)),"benefit",
"limited benefit")))))</f>
        <v/>
      </c>
      <c r="AK115" s="9"/>
      <c r="AL115" s="238" t="str">
        <f ca="1">IF(B115="","",
IF(AND('Field information 2'!$O$5="", 'Field information 2'!$Q$5=""),
   IF('Waste results'!$S$25&lt;&gt;"data missing", Calc!BC113*'Waste results'!$S$25, "data missing"),
IF('Field information 2'!$Q$5="",
   IF(Calc!BD113=0,
     IF('Waste results'!$S$25&lt;&gt;"data missing", Calc!BC113*'Waste results'!$S$25, "data missing"),
   IF(Calc!BC113=0,
     IF('Waste results'!$S$61&lt;&gt;"data missing", Calc!BD113*'Waste results'!$S$61, "data missing"),
   IF(OR('Waste results'!$S$25&lt;&gt;"data missing", 'Waste results'!$S$61&lt;&gt;"data missing"), Calc!BC113*'Waste results'!$S$25+ Calc!BD113*'Waste results'!$S$61, "data missing"))),
IF(AND('Field information 2'!$M$5&lt;&gt;"", 'Field information 2'!$O$5&lt;&gt;"", 'Field information 2'!$Q$5&lt;&gt;""),
   IF(AND(Calc!BD113=0,Calc!BE113=0),
     IF('Waste results'!$S$25&lt;&gt;"data missing", Calc!BC113*'Waste results'!$S$25, "data missing"),
   IF(AND(Calc!BC113=0,Calc!BE113=0),
     IF('Waste results'!$S$61&lt;&gt;"data missing", Calc!BD113*'Waste results'!$S$61, "data missing"),
   IF(AND(Calc!BC113=0,Calc!BD113=0),
     IF('Waste results'!$S$97&lt;&gt;"data missing", Calc!BE113*'Waste results'!$S$97, "data missing"),
   IF(Calc!BE113=0,
     IF(OR('Waste results'!$S$25&lt;&gt;"data missing", 'Waste results'!$S$61&lt;&gt;"data missing"), Calc!BC113*'Waste results'!$S$25+ Calc!BD113*'Waste results'!$S$61, "data missing"),
   IF(Calc!BD113=0,
     IF(OR('Waste results'!$S$25&lt;&gt;"data missing", 'Waste results'!$S$97&lt;&gt;"data missing"), Calc!BC113*'Waste results'!$S$25+ Calc!BE113*'Waste results'!$S$97, "data missing"),
   IF(Calc!BC113=0,
     IF(OR('Waste results'!$S$61&lt;&gt;"data missing", 'Waste results'!$S$97&lt;&gt;"data missing"), Calc!BD113*'Waste results'!$S$61+Calc!BE113*'Waste results'!$S$97, "data missing"),
   IF(OR('Waste results'!$S$25&lt;&gt;"data missing", 'Waste results'!$S$61&lt;&gt;"data missing", 'Waste results'!$S$97&lt;&gt;"data missing"), Calc!BC113*'Waste results'!$S$25+Calc!BD113*'Waste results'!$S$61+ Calc!BE113*'Waste results'!$S$97, "data missing")))))))))))</f>
        <v/>
      </c>
      <c r="AM115" s="239" t="str">
        <f ca="1">IF($B115="","",
IF(ISBLANK('Soil results'!K118),"data missing",'Soil results'!K118))</f>
        <v/>
      </c>
      <c r="AN115" s="239" t="str">
        <f t="shared" ca="1" si="40"/>
        <v/>
      </c>
      <c r="AO115" s="9" t="str">
        <f t="shared" ca="1" si="41"/>
        <v/>
      </c>
      <c r="AP115" s="9"/>
      <c r="AQ115" s="240" t="str">
        <f ca="1">IF(B115="","",
IF(AND('Field information 2'!$O$5="", 'Field information 2'!$Q$5=""),
   IF('Waste results'!$S$26&lt;&gt;"data missing", Calc!BC113*'Waste results'!$S$26, "data missing"),
IF('Field information 2'!$Q$5="",
   IF(Calc!BD113=0,
     IF('Waste results'!$S$26&lt;&gt;"data missing", Calc!BC113*'Waste results'!$S$26, "data missing"),
   IF(Calc!BC113=0,
     IF('Waste results'!$S$62&lt;&gt;"data missing", Calc!BD113*'Waste results'!$S$62, "data missing"),
   IF(OR('Waste results'!$S$26&lt;&gt;"data missing", 'Waste results'!$S$62&lt;&gt;"data missing"), Calc!BC113*'Waste results'!$S$26+ Calc!BD113*'Waste results'!$S$62, "data missing"))),
IF(AND('Field information 2'!$M$5&lt;&gt;"", 'Field information 2'!$O$5&lt;&gt;"", 'Field information 2'!$Q$5&lt;&gt;""),
   IF(AND(Calc!BD113=0,Calc!BE113=0),
     IF('Waste results'!$S$26&lt;&gt;"data missing", Calc!BC113*'Waste results'!$S$26, "data missing"),
   IF(AND(Calc!BC113=0,Calc!BE113=0),
     IF('Waste results'!$S$62&lt;&gt;"data missing", Calc!BD113*'Waste results'!$S$62, "data missing"),
   IF(AND(Calc!BC113=0,Calc!BD113=0),
     IF('Waste results'!$S$98&lt;&gt;"data missing", Calc!BE113*'Waste results'!$S$98, "data missing"),
   IF(Calc!BE113=0,
     IF(OR('Waste results'!$S$26&lt;&gt;"data missing", 'Waste results'!$S$62&lt;&gt;"data missing"), Calc!BC113*'Waste results'!$S$26+ Calc!BD113*'Waste results'!$S$62, "data missing"),
   IF(Calc!BD113=0,
     IF(OR('Waste results'!$S$26&lt;&gt;"data missing", 'Waste results'!$S$98&lt;&gt;"data missing"), Calc!BC113*'Waste results'!$S$26+ Calc!BE113*'Waste results'!$S$98, "data missing"),
   IF(Calc!BC113=0,
     IF(OR('Waste results'!$S$62&lt;&gt;"data missing", 'Waste results'!$S$98&lt;&gt;"data missing"), Calc!BD113*'Waste results'!$S$62+Calc!BE113*'Waste results'!$S$98, "data missing"),
   IF(OR('Waste results'!$S$26&lt;&gt;"data missing", 'Waste results'!$S$62&lt;&gt;"data missing", 'Waste results'!$S$98&lt;&gt;"data missing"), Calc!BC113*'Waste results'!$S$26+Calc!BD113*'Waste results'!$S$62+ Calc!BE113*'Waste results'!$S$98, "data missing")))))))))))</f>
        <v/>
      </c>
      <c r="AR115" s="241" t="str">
        <f ca="1">IF($B115="","",
IF(ISBLANK('Soil results'!L118),"data missing",'Soil results'!L118))</f>
        <v/>
      </c>
      <c r="AS115" s="241" t="str">
        <f t="shared" ca="1" si="42"/>
        <v/>
      </c>
      <c r="AT115" s="66" t="str">
        <f t="shared" ca="1" si="43"/>
        <v/>
      </c>
      <c r="AU115" s="9"/>
      <c r="AV115" s="238" t="str">
        <f ca="1">IF(B115="","",
IF(AND('Field information 2'!$O$5="", 'Field information 2'!$Q$5=""),
   IF('Waste results'!$S$27&lt;&gt;"data missing", Calc!BC113*'Waste results'!$S$27, "data missing"),
IF('Field information 2'!$Q$5="",
   IF(Calc!BD113=0,
     IF('Waste results'!$S$27&lt;&gt;"data missing", Calc!BC113*'Waste results'!$S$27, "data missing"),
   IF(Calc!BC113=0,
     IF('Waste results'!$S$63&lt;&gt;"data missing", Calc!BD113*'Waste results'!$S$63, "data missing"),
   IF(OR('Waste results'!$S$27&lt;&gt;"data missing", 'Waste results'!$S$63&lt;&gt;"data missing"), Calc!BC113*'Waste results'!$S$27+ Calc!BD113*'Waste results'!$S$63, "data missing"))),
IF(AND('Field information 2'!$M$5&lt;&gt;"", 'Field information 2'!$O$5&lt;&gt;"", 'Field information 2'!$Q$5&lt;&gt;""),
   IF(AND(Calc!BD113=0,Calc!BE113=0),
     IF('Waste results'!$S$27&lt;&gt;"data missing", Calc!BC113*'Waste results'!$S$27, "data missing"),
   IF(AND(Calc!BC113=0,Calc!BE113=0),
     IF('Waste results'!$S$63&lt;&gt;"data missing", Calc!BD113*'Waste results'!$S$63, "data missing"),
   IF(AND(Calc!BC113=0,Calc!BD113=0),
     IF('Waste results'!$S$99&lt;&gt;"data missing", Calc!BE113*'Waste results'!$S$99, "data missing"),
   IF(Calc!BE113=0,
     IF(OR('Waste results'!$S$27&lt;&gt;"data missing", 'Waste results'!$S$63&lt;&gt;"data missing"), Calc!BC113*'Waste results'!$S$27+ Calc!BD113*'Waste results'!$S$63, "data missing"),
   IF(Calc!BD113=0,
     IF(OR('Waste results'!$S$27&lt;&gt;"data missing", 'Waste results'!$S$99&lt;&gt;"data missing"), Calc!BC113*'Waste results'!$S$27+ Calc!BE113*'Waste results'!$S$99, "data missing"),
   IF(Calc!BC113=0,
     IF(OR('Waste results'!$S$63&lt;&gt;"data missing", 'Waste results'!$S$99&lt;&gt;"data missing"), Calc!BD113*'Waste results'!$S$63+Calc!BE113*'Waste results'!$S$99, "data missing"),
   IF(OR('Waste results'!$S$27&lt;&gt;"data missing", 'Waste results'!$S$63&lt;&gt;"data missing", 'Waste results'!$S$99&lt;&gt;"data missing"), Calc!BC113*'Waste results'!$S$27+Calc!BD113*'Waste results'!$S$63+ Calc!BE113*'Waste results'!$S$99, "data missing")))))))))))</f>
        <v/>
      </c>
      <c r="AW115" s="239" t="str">
        <f ca="1">IF($B115="","",
IF(ISBLANK('Soil results'!M118),"data missing",'Soil results'!M118))</f>
        <v/>
      </c>
      <c r="AX115" s="239" t="str">
        <f t="shared" ca="1" si="44"/>
        <v/>
      </c>
      <c r="AY115" s="9" t="str">
        <f ca="1">IF(B115="","",
IF(AV115=0,"n/a",
IF(OR(AV115="data missing",AW115="data missing"),"data missing",
IF(AV115&gt;7.5,"application rate too high - permissible rate exceeds limit",
IF('Soil results'!$F118&lt;=5.5,
  IF(AW115&gt;80,"no application - soil conc. already above limit",
  IF(AX115&gt;80,"application rate too high - soil conc. will exceed limit",
  IF(AW115&gt;80*0.9,"soil conc. is at or above 90% of the limit",
  IF(10*AV115*1000/3000+AW115&gt;80,"soil limit likely to be exceeded in 10yrs",
  IF(50*AV115*1000/3000+AW115&gt;80,"soil limit likely to be exceeded in 50yrs","ok"))))),
IF('Soil results'!$F118&lt;=6,
  IF(AW115&gt;100,"no application - soil conc. already above limit",
  IF(AX115&gt;100,"application rate too high - soil conc. will exceed limit",
  IF(AW115&gt;100*0.9,"soil conc. is at or above 90% of the limit",
  IF(10*AV115*1000/3000+AW115&gt;100,"soil limit likely to be exceeded in 10yrs",
  IF(50*AV115*1000/3000+AW115&gt;100,"soil limit likely to be exceeded in 50yrs","ok"))))),
IF('Soil results'!$F118&lt;=7,
  IF(AW115&gt;135,"no application - soil conc. already above limit",
  IF(AX115&gt;135,"application rate too high - soil conc. will exceed limit",
  IF(AW115&gt;135*0.9,"soil conc. is at or above 90% of the limit",
  IF(10*AV115*1000/3000+AW115&gt;135,"soil limit likely to be exceeded in 10yrs",
  IF(50*AV115*1000/3000+AW115&gt;135,"soil limit likely to be exceeded in 50yrs","ok"))))),
IF('Soil results'!$F118&gt;7,
  IF(AW115&gt;200,"no application - soil conc. already above limit",
  IF(AX115&gt;200,"application too high - soil conc. will exceed limit",
  IF(AW115&gt;200*0.9,"soil conc. is at or above 90% of the limit",
  IF(10*AV115*1000/3000+AW115&gt;200,"soil limit likely to be exceeded in 10yrs",
  IF(50*AV115*1000/3000+AW115&gt;200,"soil limit likely to be exceeded in 50yrs","ok")))))
))))))))</f>
        <v/>
      </c>
      <c r="AZ115" s="9"/>
      <c r="BA115" s="238" t="str">
        <f ca="1">IF(B115="","",
IF(AND('Field information 2'!$O$5="", 'Field information 2'!$Q$5=""),
   IF('Waste results'!$S$28&lt;&gt;"data missing", Calc!BC113*'Waste results'!$S$28, "data missing"),
IF('Field information 2'!$Q$5="",
   IF(Calc!BD113=0,
     IF('Waste results'!$S$28&lt;&gt;"data missing", Calc!BC113*'Waste results'!$S$28, "data missing"),
   IF(Calc!BC113=0,
     IF('Waste results'!$S$64&lt;&gt;"data missing", Calc!BD113*'Waste results'!$S$64, "data missing"),
   IF(OR('Waste results'!$S$28&lt;&gt;"data missing", 'Waste results'!$S$64&lt;&gt;"data missing"), Calc!BC113*'Waste results'!$S$28+ Calc!BD113*'Waste results'!$S$64, "data missing"))),
IF(AND('Field information 2'!$M$5&lt;&gt;"", 'Field information 2'!$O$5&lt;&gt;"", 'Field information 2'!$Q$5&lt;&gt;""),
   IF(AND(Calc!BD113=0,Calc!BE113=0),
     IF('Waste results'!$S$28&lt;&gt;"data missing", Calc!BC113*'Waste results'!$S$28, "data missing"),
   IF(AND(Calc!BC113=0,Calc!BE113=0),
     IF('Waste results'!$S$64&lt;&gt;"data missing", Calc!BD113*'Waste results'!$S$64, "data missing"),
   IF(AND(Calc!BC113=0,Calc!BD113=0),
     IF('Waste results'!$S$100&lt;&gt;"data missing", Calc!BE113*'Waste results'!$S$100, "data missing"),
   IF(Calc!BE113=0,
     IF(OR('Waste results'!$S$28&lt;&gt;"data missing", 'Waste results'!$S$64&lt;&gt;"data missing"), Calc!BC113*'Waste results'!$S$28+ Calc!BD113*'Waste results'!$S$64, "data missing"),
   IF(Calc!BD113=0,
     IF(OR('Waste results'!$S$28&lt;&gt;"data missing", 'Waste results'!$S$100&lt;&gt;"data missing"), Calc!BC113*'Waste results'!$S$28+ Calc!BE113*'Waste results'!$S$100, "data missing"),
   IF(Calc!BC113=0,
     IF(OR('Waste results'!$S$64&lt;&gt;"data missing", 'Waste results'!$S$100&lt;&gt;"data missing"), Calc!BD113*'Waste results'!$S$64+Calc!BE113*'Waste results'!$S$100, "data missing"),
   IF(OR('Waste results'!$S$28&lt;&gt;"data missing", 'Waste results'!$S$64&lt;&gt;"data missing", 'Waste results'!$S$100&lt;&gt;"data missing"), Calc!BC113*'Waste results'!$S$28+Calc!BD113*'Waste results'!$S$64+ Calc!BE113*'Waste results'!$S$100, "data missing")))))))))))</f>
        <v/>
      </c>
      <c r="BB115" s="239" t="str">
        <f ca="1">IF($B115="","",
IF(ISBLANK('Soil results'!N118),"data missing",'Soil results'!N118))</f>
        <v/>
      </c>
      <c r="BC115" s="239" t="str">
        <f t="shared" ca="1" si="45"/>
        <v/>
      </c>
      <c r="BD115" s="9" t="str">
        <f t="shared" ca="1" si="46"/>
        <v/>
      </c>
      <c r="BE115" s="9"/>
      <c r="BF115" s="238" t="str">
        <f ca="1">IF(B115="","",
IF(AND('Field information 2'!$O$5="", 'Field information 2'!$Q$5=""),
   IF('Waste results'!$S$29&lt;&gt;"data missing", Calc!BC113*'Waste results'!$S$29, "data missing"),
IF('Field information 2'!$Q$5="",
   IF(Calc!BD113=0,
     IF('Waste results'!$S$29&lt;&gt;"data missing", Calc!BC113*'Waste results'!$S$29, "data missing"),
   IF(Calc!BC113=0,
     IF('Waste results'!$S$65&lt;&gt;"data missing", Calc!BD113*'Waste results'!$S$65, "data missing"),
   IF(OR('Waste results'!$S$29&lt;&gt;"data missing", 'Waste results'!$S$65&lt;&gt;"data missing"), Calc!BC113*'Waste results'!$S$29+ Calc!BD113*'Waste results'!$S$65, "data missing"))),
IF(AND('Field information 2'!$M$5&lt;&gt;"", 'Field information 2'!$O$5&lt;&gt;"", 'Field information 2'!$Q$5&lt;&gt;""),
   IF(AND(Calc!BD113=0,Calc!BE113=0),
     IF('Waste results'!$S$29&lt;&gt;"data missing", Calc!BC113*'Waste results'!$S$29, "data missing"),
   IF(AND(Calc!BC113=0,Calc!BE113=0),
     IF('Waste results'!$S$65&lt;&gt;"data missing", Calc!BD113*'Waste results'!$S$65, "data missing"),
   IF(AND(Calc!BC113=0,Calc!BD113=0),
     IF('Waste results'!$S$101&lt;&gt;"data missing", Calc!BE113*'Waste results'!$S$101, "data missing"),
   IF(Calc!BE113=0,
     IF(OR('Waste results'!$S$29&lt;&gt;"data missing", 'Waste results'!$S$65&lt;&gt;"data missing"), Calc!BC113*'Waste results'!$S$29+ Calc!BD113*'Waste results'!$S$65, "data missing"),
   IF(Calc!BD113=0,
     IF(OR('Waste results'!$S$29&lt;&gt;"data missing", 'Waste results'!$S$101&lt;&gt;"data missing"), Calc!BC113*'Waste results'!$S$29+ Calc!BE113*'Waste results'!$S$101, "data missing"),
   IF(Calc!BC113=0,
     IF(OR('Waste results'!$S$65&lt;&gt;"data missing", 'Waste results'!$S$101&lt;&gt;"data missing"), Calc!BD113*'Waste results'!$S$65+Calc!BE113*'Waste results'!$S$101, "data missing"),
   IF(OR('Waste results'!$S$29&lt;&gt;"data missing", 'Waste results'!$S$65&lt;&gt;"data missing", 'Waste results'!$S$101&lt;&gt;"data missing"), Calc!BC113*'Waste results'!$S$29+Calc!BD113*'Waste results'!$S$65+ Calc!BE113*'Waste results'!$S$101, "data missing")))))))))))</f>
        <v/>
      </c>
      <c r="BG115" s="239" t="str">
        <f ca="1">IF($B115="","",
IF(ISBLANK('Soil results'!O118),"data missing",'Soil results'!O118))</f>
        <v/>
      </c>
      <c r="BH115" s="239" t="str">
        <f t="shared" ca="1" si="47"/>
        <v/>
      </c>
      <c r="BI115" s="9" t="str">
        <f ca="1">IF(B115="","",
IF(BF115=0,"n/a",
IF(OR(BF115="data missing",BG115="data missing"),"data missing",
IF(BF115&gt;3,"application rate too high - permissible rate exceeds limit",
IF('Soil results'!F118&lt;=5.5,
  IF(BG115&gt;50,"no application - soil conc. already above limit",
  IF(BH115&gt;50,"application rate too high - soil conc. will exceed limit",
  IF(BG115&gt;50*0.9,"soil conc. is at or above 90% of the limit",
  IF(10*BF115*1000/3000+BG115&gt;50,"soil limit likely to be exceeded in 10yrs",
  IF(50*BF115*1000/3000+BG115&gt;50,"soil limit likely to be exceeded in 50yrs","ok"))))),
IF('Soil results'!F118&lt;=6,
  IF(BG115&gt;60,"no application - soil conc. already above limit",
  IF(BH115&gt;60,"application rate too high - soil conc. will exceed limit",
  IF(BG115&gt;60*0.9,"soil conc. is at or above 90% of the limit",
  IF(10*BF115*1000/3000+BG115&gt;60,"soil limit likely to be exceeded in 10yrs",
  IF(50*BF115*1000/3000+BG115&gt;60,"soil limit likely to be exceeded in 50yrs","ok"))))),
IF('Soil results'!F118&lt;=7,
  IF(BG115&gt;75,"no application - soil conc. already above limit",
  IF(BH115&gt;75,"application rate too high - soil conc. will exceed limit",
  IF(BG115&gt;75*0.9,"soil conc. is at or above 90% of the limit",
  IF(10*BF115*1000/3000+BG115&gt;75,"soil limit likely to be exceeded in 10yrs",
  IF(50*BF115*1000/3000+BG115&gt;75,"soil limit likely to be exceeded in 50yrs","ok"))))),
IF('Soil results'!F118&gt;7,
  IF(BG115&gt;100,"no application - soil conc. already above limit",
  IF(BH115&gt;100,"application rate too high - soil conc. will exceed limit",
  IF(BG115&gt;100*0.9,"soil conc. is at or above 90% of the limit",
  IF(10*BF115*1000/3000+BG115&gt;100,"soil limit likely to be exceeded in 10yrs",
  IF(50*BF115*1000/3000+BG115&gt;100,"soil limit likely to beexceeded in 50yrs","ok")))))
))))))))</f>
        <v/>
      </c>
      <c r="BJ115" s="9"/>
      <c r="BK115" s="240" t="str">
        <f ca="1">IF(B115="","",
IF(AND('Field information 2'!$O$5="", 'Field information 2'!$Q$5=""),
   IF('Waste results'!$S$30&lt;&gt;"data missing", Calc!BC113*'Waste results'!$S$30, "data missing"),
IF('Field information 2'!$Q$5="",
   IF(Calc!BD113=0,
     IF('Waste results'!$S$30&lt;&gt;"data missing", Calc!BC113*'Waste results'!$S$30, "data missing"),
   IF(Calc!BC113=0,
     IF('Waste results'!$S$66&lt;&gt;"data missing", Calc!BD113*'Waste results'!$S$66, "data missing"),
   IF(OR('Waste results'!$S$30&lt;&gt;"data missing", 'Waste results'!$S$66&lt;&gt;"data missing"), Calc!BC113*'Waste results'!$S$30+ Calc!BD113*'Waste results'!$S$66, "data missing"))),
IF(AND('Field information 2'!$M$5&lt;&gt;"", 'Field information 2'!$O$5&lt;&gt;"", 'Field information 2'!$Q$5&lt;&gt;""),
   IF(AND(Calc!BD113=0,Calc!BE113=0),
     IF('Waste results'!$S$30&lt;&gt;"data missing", Calc!BC113*'Waste results'!$S$30, "data missing"),
   IF(AND(Calc!BC113=0,Calc!BE113=0),
     IF('Waste results'!$S$66&lt;&gt;"data missing", Calc!BD113*'Waste results'!$S$66, "data missing"),
   IF(AND(Calc!BC113=0,Calc!BD113=0),
     IF('Waste results'!$S$102&lt;&gt;"data missing", Calc!BE113*'Waste results'!$S$102, "data missing"),
   IF(Calc!BE113=0,
     IF(OR('Waste results'!$S$30&lt;&gt;"data missing", 'Waste results'!$S$66&lt;&gt;"data missing"), Calc!BC113*'Waste results'!$S$30+ Calc!BD113*'Waste results'!$S$66, "data missing"),
   IF(Calc!BD113=0,
     IF(OR('Waste results'!$S$30&lt;&gt;"data missing", 'Waste results'!$S$102&lt;&gt;"data missing"), Calc!BC113*'Waste results'!$S$30+ Calc!BE113*'Waste results'!$S$102, "data missing"),
   IF(Calc!BC113=0,
     IF(OR('Waste results'!$S$66&lt;&gt;"data missing", 'Waste results'!$S$102&lt;&gt;"data missing"), Calc!BD113*'Waste results'!$S$66+Calc!BE113*'Waste results'!$S$102, "data missing"),
   IF(OR('Waste results'!$S$30&lt;&gt;"data missing", 'Waste results'!$S$66&lt;&gt;"data missing", 'Waste results'!$S$102&lt;&gt;"data missing"), Calc!BC113*'Waste results'!$S$30+Calc!BD113*'Waste results'!$S$66+ Calc!BE113*'Waste results'!$S$102, "data missing")))))))))))</f>
        <v/>
      </c>
      <c r="BL115" s="241" t="str">
        <f ca="1">IF($B115="","",
IF(ISBLANK('Soil results'!P118),"data missing",'Soil results'!P118))</f>
        <v/>
      </c>
      <c r="BM115" s="241" t="str">
        <f t="shared" ca="1" si="48"/>
        <v/>
      </c>
      <c r="BN115" s="66" t="str">
        <f t="shared" ca="1" si="49"/>
        <v/>
      </c>
      <c r="BO115" s="9"/>
      <c r="BP115" s="238" t="str">
        <f ca="1">IF(B115="","",
IF(AND('Field information 2'!$O$5="", 'Field information 2'!$Q$5=""),
   IF('Waste results'!$S$31&lt;&gt;"data missing", Calc!BC113*'Waste results'!$S$31, "data missing"),
IF('Field information 2'!$Q$5="",
   IF(Calc!BD113=0,
     IF('Waste results'!$S$31&lt;&gt;"data missing", Calc!BC113*'Waste results'!$S$31, "data missing"),
   IF(Calc!BC113=0,
     IF('Waste results'!$S$67&lt;&gt;"data missing", Calc!BD113*'Waste results'!$S$67, "data missing"),
   IF(OR('Waste results'!$S$31&lt;&gt;"data missing", 'Waste results'!$S$67&lt;&gt;"data missing"), Calc!BC113*'Waste results'!$S$31+ Calc!BD113*'Waste results'!$S$67, "data missing"))),
IF(AND('Field information 2'!$M$5&lt;&gt;"", 'Field information 2'!$O$5&lt;&gt;"", 'Field information 2'!$Q$5&lt;&gt;""),
   IF(AND(Calc!BD113=0,Calc!BE113=0),
     IF('Waste results'!$S$31&lt;&gt;"data missing", Calc!BC113*'Waste results'!$S$31, "data missing"),
   IF(AND(Calc!BC113=0,Calc!BE113=0),
     IF('Waste results'!$S$67&lt;&gt;"data missing", Calc!BD113*'Waste results'!$S$67, "data missing"),
   IF(AND(Calc!BC113=0,Calc!BD113=0),
     IF('Waste results'!$S$103&lt;&gt;"data missing", Calc!BE113*'Waste results'!$S$103, "data missing"),
   IF(Calc!BE113=0,
     IF(OR('Waste results'!$S$31&lt;&gt;"data missing", 'Waste results'!$S$67&lt;&gt;"data missing"), Calc!BC113*'Waste results'!$S$31+ Calc!BD113*'Waste results'!$S$67, "data missing"),
   IF(Calc!BD113=0,
     IF(OR('Waste results'!$S$31&lt;&gt;"data missing", 'Waste results'!$S$103&lt;&gt;"data missing"), Calc!BC113*'Waste results'!$S$31+ Calc!BE113*'Waste results'!$S$103, "data missing"),
   IF(Calc!BC113=0,
     IF(OR('Waste results'!$S$67&lt;&gt;"data missing", 'Waste results'!$S$103&lt;&gt;"data missing"), Calc!BD113*'Waste results'!$S$67+Calc!BE113*'Waste results'!$S$103, "data missing"),
   IF(OR('Waste results'!$S$31&lt;&gt;"data missing", 'Waste results'!$S$67&lt;&gt;"data missing", 'Waste results'!$S$103&lt;&gt;"data missing"), Calc!BC113*'Waste results'!$S$31+Calc!BD113*'Waste results'!$S$67+ Calc!BE113*'Waste results'!$S$103, "data missing")))))))))))</f>
        <v/>
      </c>
      <c r="BQ115" s="239" t="str">
        <f ca="1">IF($B115="","",
IF(ISBLANK('Soil results'!Q118),"data missing",'Soil results'!Q118))</f>
        <v/>
      </c>
      <c r="BR115" s="239" t="str">
        <f t="shared" ca="1" si="50"/>
        <v/>
      </c>
      <c r="BS115" s="9" t="str">
        <f ca="1">IF(B115="","",
IF(BP115=0,"n/a",
IF(OR(BP115="data missing",BQ115=""),"data missing",
IF(BP115&gt;15,"application rate too high - permissible rate exceeds limit",
IF('Soil results'!F118&lt;=5.5,
  IF(BQ115&gt;200,"no application - soil conc. already above limit",
  IF(BR115&gt;200,"application rate too high - soil conc. will exceed limit",
  IF(BQ115&gt;200*0.9,"soil conc. is at or above 90% of the limit",
  IF(10*BP115*1000/3000+BQ115&gt;200,"soil limit likely to be exceeded in 10yrs",
  IF(50*BP115*1000/3000+BQ115&gt;200,"soil limit likely to be exceeded in 50yrs","ok"))))),
IF('Soil results'!F118&lt;=6,
  IF(BQ115&gt;250,"no application - soil conc. already above limit",
  IF(BR115&gt;250,"application rate too high - soil conc. will exceed limit",
  IF(BQ115&gt;250*0.9,"soil conc. is at or above 90% of the limit",
  IF(10*BP115*1000/3000+BQ115&gt;250,"soil limit likely to be exceeded in 10yrs",
  IF(50*BP115*1000/3000+BQ115&gt;250,"soil limit likely to be exceeded in 50yrs","ok"))))),
IF('Soil results'!F118&lt;=7,
  IF(BQ115&gt;300,"no application - soil conc. already above limit",
  IF(BR115&gt;300,"application rate too high - soil conc. will exceed limit",
  IF(BQ115&gt;300*0.9,"soil conc. is at or above 90% of the limit",
  IF(10*BP115*1000/3000+BQ115&gt;300,"soil limit likey to be exceeded in 10yrs",
  IF(50*BP115*1000/3000+BQ115&gt;300,"soil limit likely to be exceeded in 50yrs","ok"))))),
IF('Soil results'!F118&gt;7,
  IF(BQ115&gt;450,"no application - soil conc. already above limit",
  IF(BR115&gt;450,"application rate too high - soil conc. will exceed limit",
  IF(AW115&gt;450*0.9,"soil conc. is at or above 90% of the limit",
  IF(10*BP115*1000/3000+BQ115&gt;450,"soil limit likely to be exceeded in 10yrs",
  IF(50*BP115*1000/3000+BQ115&gt;450,"soil limit likely to be exceeded in 50yrs","ok")))))
))))))))</f>
        <v/>
      </c>
    </row>
    <row r="116" spans="2:71" ht="15" x14ac:dyDescent="0.25">
      <c r="B116" s="236" t="str">
        <f ca="1">'Soil results'!B119</f>
        <v/>
      </c>
      <c r="C116" s="91" t="str">
        <f ca="1">IF(B116="","",
IF(AND('Field information 2'!$O$5="", 'Field information 2'!$Q$5=""),
   IF('Waste results'!$S$12&lt;&gt;"data missing", Calc!BC114*'Waste results'!$S$12, "data missing"),
IF('Field information 2'!$Q$5="",
   IF(Calc!BD114=0,
     IF('Waste results'!$S$12&lt;&gt;"data missing", Calc!BC114*'Waste results'!$S$12, "data missing"),
   IF(Calc!BC114=0,
     IF('Waste results'!$S$48&lt;&gt;"data missing", Calc!BD114*'Waste results'!$S$48, "data missing"),
   IF(OR('Waste results'!$S$12&lt;&gt;"data missing", 'Waste results'!$S$48&lt;&gt;"data missing"), Calc!BC114*'Waste results'!$S$12+ Calc!BD114*'Waste results'!$S$48, "data missing"))),
IF(AND('Field information 2'!$M$5&lt;&gt;"", 'Field information 2'!$O$5&lt;&gt;"", 'Field information 2'!$Q$5&lt;&gt;""),
   IF(AND(Calc!BD114=0,Calc!BE114=0),
     IF('Waste results'!$S$12&lt;&gt;"data missing", Calc!BC114*'Waste results'!$S$12, "data missing"),
   IF(AND(Calc!BC114=0,Calc!BE114=0),
     IF('Waste results'!$S$48&lt;&gt;"data missing", Calc!BD114*'Waste results'!$S$48, "data missing"),
   IF(AND(Calc!BC114=0,Calc!BD114=0),
     IF('Waste results'!$S$84&lt;&gt;"data missing", Calc!BE114*'Waste results'!$S$84, "data missing"),
   IF(Calc!BE114=0,
     IF(OR('Waste results'!$S$12&lt;&gt;"data missing", 'Waste results'!$S$48&lt;&gt;"data missing"), Calc!BC114*'Waste results'!$S$12+ Calc!BD114*'Waste results'!$S$48, "data missing"),
   IF(Calc!BD114=0,
     IF(OR('Waste results'!$S$12&lt;&gt;"data missing", 'Waste results'!$S$84&lt;&gt;"data missing"), Calc!BC114*'Waste results'!$S$12+ Calc!BE114*'Waste results'!$S$84, "data missing"),
   IF(Calc!BC114=0,
     IF(OR('Waste results'!$S$48&lt;&gt;"data missing", 'Waste results'!$S$84&lt;&gt;"data missing"), Calc!BD114*'Waste results'!$S$48+Calc!BE114*'Waste results'!$S$84, "data missing"),
   IF(OR('Waste results'!$S$12&lt;&gt;"data missing", 'Waste results'!$S$48&lt;&gt;"data missing", 'Waste results'!$S$84&lt;&gt;"data missing"), Calc!BC114*'Waste results'!$S$12+Calc!BD114*'Waste results'!$S$48+ Calc!BE114*'Waste results'!$S$84, "data missing")))))))))))</f>
        <v/>
      </c>
      <c r="D116" s="161" t="str">
        <f ca="1">IF(B116="","",
IF(Calc!BG114="","soil texture missing",
IF(OR(Calc!BG114="SL; SZL; ZL",Calc!BG114="SCL; CL; ZCL; SC; ZC; C"),VLOOKUP(Calc!BI114,'Fertiliser recommendations'!$A$4:$C$63,3,FALSE),
IF(Calc!BG114="S; LS",VLOOKUP(Calc!BI114,'Fertiliser recommendations'!$A$4:$C$63,3,FALSE)+VLOOKUP(Calc!BI114,'Fertiliser recommendations'!$A$4:$D$63,4,FALSE),
IF(Calc!BG114="10-25% OM",VLOOKUP(Calc!BI114,'Fertiliser recommendations'!$A$4:$C$63,3,FALSE)+VLOOKUP(Calc!BI114,'Fertiliser recommendations'!$A$4:$E$63,5,FALSE),
IF(Calc!BG114="&gt;25% OM",VLOOKUP(Calc!BI114,'Fertiliser recommendations'!$A$4:$C$63,3,FALSE)+VLOOKUP(Calc!BI114,'Fertiliser recommendations'!$A$4:$F$63,6,FALSE),
""))))))</f>
        <v/>
      </c>
      <c r="E116" s="91" t="str">
        <f t="shared" ca="1" si="34"/>
        <v/>
      </c>
      <c r="F116" s="9" t="str">
        <f ca="1">IF(B116="","",
IF(OR(C116="data missing",D116="soil texture missing"),"data missing",
IF(Calc!BF114=0,"n/a",
IF(C116&lt;0.1*D116,"no benefit",
IF(C116&lt;0.3*D116,"limited benefit",
IF(C116&gt;250,"exceeds limit",
IF(OR(AND(D116=0,C116&gt;75),C116&gt;1.25*D116),"excessive",
IF(D116=0, "no requirement",
"benefit"))))))))</f>
        <v/>
      </c>
      <c r="G116" s="9"/>
      <c r="H116" s="91" t="str">
        <f ca="1">IF(B116="","",
IF(AND('Field information 2'!$O$5="", 'Field information 2'!$Q$5=""),
   IF('Waste results'!$S$17&lt;&gt;"data missing", Calc!BC114*'Waste results'!$S$17, "data missing"),
IF('Field information 2'!$Q$5="",
   IF(Calc!BD114=0,
     IF('Waste results'!$S$17&lt;&gt;"data missing", Calc!BC114*'Waste results'!$S$17, "data missing"),
   IF(Calc!BC114=0,
     IF('Waste results'!$S$53&lt;&gt;"data missing", Calc!BD114*'Waste results'!$S$53, "data missing"),
   IF(OR('Waste results'!$S$17&lt;&gt;"data missing", 'Waste results'!$S$53&lt;&gt;"data missing"), Calc!BC114*'Waste results'!$S$17+ Calc!BD114*'Waste results'!$S$53, "data missing"))),
IF(AND('Field information 2'!$M$5&lt;&gt;"", 'Field information 2'!$O$5&lt;&gt;"", 'Field information 2'!$Q$5&lt;&gt;""),
   IF(AND(Calc!BD114=0,Calc!BE114=0),
     IF('Waste results'!$S$17&lt;&gt;"data missing", Calc!BC114*'Waste results'!$S$17, "data missing"),
   IF(AND(Calc!BC114=0,Calc!BE114=0),
     IF('Waste results'!$S$53&lt;&gt;"data missing", Calc!BD114*'Waste results'!$S$53, "data missing"),
   IF(AND(Calc!BC114=0,Calc!BD114=0),
     IF('Waste results'!$S$89&lt;&gt;"data missing", Calc!BE114*'Waste results'!$S$89, "data missing"),
   IF(Calc!BE114=0,
     IF(OR('Waste results'!$S$17&lt;&gt;"data missing", 'Waste results'!$S$53&lt;&gt;"data missing"), Calc!BC114*'Waste results'!$S$17+ Calc!BD114*'Waste results'!$S$53, "data missing"),
   IF(Calc!BD114=0,
     IF(OR('Waste results'!$S$17&lt;&gt;"data missing", 'Waste results'!$S$89&lt;&gt;"data missing"), Calc!BC114*'Waste results'!$S$17+ Calc!BE114*'Waste results'!$S$89, "data missing"),
   IF(Calc!BC114=0,
     IF(OR('Waste results'!$S$53&lt;&gt;"data missing", 'Waste results'!$S$89&lt;&gt;"data missing"), Calc!BD114*'Waste results'!$S$53+Calc!BE114*'Waste results'!$S$89, "data missing"),
   IF(OR('Waste results'!$S$17&lt;&gt;"data missing", 'Waste results'!$S$53&lt;&gt;"data missing", 'Waste results'!$S$89&lt;&gt;"data missing"), Calc!BC114*'Waste results'!$S$17+Calc!BD114*'Waste results'!$S$53+ Calc!BE114*'Waste results'!$S$89, "data missing")))))))))))</f>
        <v/>
      </c>
      <c r="I116" s="195" t="str">
        <f ca="1">IF(B116="","",
IF(OR(ISBLANK('Soil results'!G119), ISBLANK('Soil results'!G$7)),"data missing",
IF(OR(AND('Soil results'!G$7="Olsen (ADAS)",'Soil results'!G119&lt;16),AND('Soil results'!G$7="modified Morgan (SAC)",'Soil results'!G119&lt;4.5)),50,100)))</f>
        <v/>
      </c>
      <c r="J116" s="49" t="str">
        <f ca="1">IF(B116="","",
IF(OR(ISBLANK('Soil results'!G$7),ISBLANK('Soil results'!G119)),"data missing",
IF(OR(AND('Soil results'!G$7="Olsen (ADAS)",'Soil results'!G119&gt;45),AND('Soil results'!G$7="modified Morgan (SAC)",'Soil results'!G119&gt;30)),0,
IF(OR(AND('Soil results'!G$7="Olsen (ADAS)",'Soil results'!G119&gt;=16,'Soil results'!G119&lt;=20),AND('Soil results'!G$7="modified Morgan (SAC)",'Soil results'!G119&gt;=4.5,'Soil results'!G119&lt;=9.4)),VLOOKUP(Calc!BI114,'Fertiliser recommendations'!$A$4:$I$63,9,FALSE),
IF(OR(AND('Soil results'!G$7="Olsen (ADAS)",'Soil results'!G119&lt;10),AND('Soil results'!G$7="modified Morgan (SAC)",'Soil results'!G119&lt;1.8)),VLOOKUP(Calc!BI114,'Fertiliser recommendations'!$A$4:$I$63,9,FALSE)+VLOOKUP(Calc!BI114,'Fertiliser recommendations'!$A$4:$J$63,10,FALSE),
IF(OR(AND('Soil results'!G$7="Olsen (ADAS)",'Soil results'!G119&lt;16),AND('Soil results'!G$7="modified Morgan (SAC)",'Soil results'!G119&lt;4.5)),VLOOKUP(Calc!BI114,'Fertiliser recommendations'!$A$4:$I$63,9,FALSE)+VLOOKUP(Calc!BI114,'Fertiliser recommendations'!$A$4:$K$63,11,FALSE),
IF(OR(AND('Soil results'!G$7="Olsen (ADAS)",'Soil results'!G119&lt;26),AND('Soil results'!G$7="modified Morgan (SAC)",'Soil results'!G119&lt;13.5)),VLOOKUP(Calc!BI114,'Fertiliser recommendations'!$A$4:$I$63,9,FALSE)+VLOOKUP(Calc!BI114,'Fertiliser recommendations'!$A$4:$L$63,12,FALSE),
IF(OR(AND('Soil results'!G$7="Olsen (ADAS)",'Soil results'!G119&lt;=45),AND('Soil results'!G$7="modified Morgan (SAC)",'Soil results'!G119&lt;=30)),VLOOKUP(Calc!BI114,'Fertiliser recommendations'!$A$4:$I$63,9,FALSE)+VLOOKUP(Calc!BI114,'Fertiliser recommendations'!$A$4:$M$63,13,FALSE),
""))))))))</f>
        <v/>
      </c>
      <c r="K116" s="161" t="str">
        <f t="shared" ca="1" si="35"/>
        <v/>
      </c>
      <c r="L116" s="47" t="str">
        <f ca="1">IF(OR(ISBLANK('Soil results'!G$7),ISBLANK('Soil results'!G119),B116="", H116="data missing"),"",
IF('Soil results'!G$7="Olsen (ADAS)",
IF(((H116*Calc!BM114/2.291-(VLOOKUP(Calc!BI114,'Fertiliser recommendations'!$A$4:$I$63,9,FALSE))/2.291)*10/(400/2.291)+'Soil results'!G119)&lt;10,"0 (VL)",
IF(((H116*Calc!BM114/2.291-(VLOOKUP(Calc!BI114,'Fertiliser recommendations'!$A$4:$I$63,9,FALSE))/2.291)*10/(400/2.291)+'Soil results'!G119)&lt;16,"1 (L)",
IF(((H116*Calc!BM114/2.291-(VLOOKUP(Calc!BI114,'Fertiliser recommendations'!$A$4:$I$63,9,FALSE))/2.291)*10/(400/2.291)+'Soil results'!G119)&lt;21,"2 (M-)",
IF(((H116*Calc!BM114/2.291-(VLOOKUP(Calc!BI114,'Fertiliser recommendations'!$A$4:$I$63,9,FALSE))/2.291)*10/(400/2.291)+'Soil results'!G119)&lt;26,"2 (M+)",
IF(((H116*Calc!BM114/2.291-(VLOOKUP(Calc!BI114,'Fertiliser recommendations'!$A$4:$I$63,9,FALSE))/2.291)*10/(400/2.291)+'Soil results'!G119)&lt;45,"3 (H)","&gt;3 (VH)"))))),
IF('Soil results'!G$7="modified Morgan (SAC)",
IF('Soil results'!G119&gt;=6,
IF(((H116*Calc!BM114/2.291-(VLOOKUP(Calc!BI114,'Fertiliser recommendations'!$A$4:$I$63,9,FALSE))/2.291)*5/(147/2.291)+'Soil results'!G119)&lt;9.5,"2 (M-)",
IF(((H116*Calc!BM114/2.291-(VLOOKUP(Calc!BI114,'Fertiliser recommendations'!$A$4:$I$63,9,FALSE))/2.291)*5/(147/2.291)+'Soil results'!G119)&lt;13.5,"2 (M+)",
IF(((H116*Calc!BM114/2.291-(VLOOKUP(Calc!BI114,'Fertiliser recommendations'!$A$4:$I$63,9,FALSE))/2.291)*5/(147/2.291)+'Soil results'!G119)&lt;30,"3 (H)","4 (VH)"))),
IF(((H116*Calc!BM114/2.291-(VLOOKUP(Calc!BI114,'Fertiliser recommendations'!$A$4:$I$63,9,FALSE))/2.291)*5/(346/2.291)+'Soil results'!G119)&lt;1.8,"0 (VL)",
IF(((H116*Calc!BM114/2.291-(VLOOKUP(Calc!BI114,'Fertiliser recommendations'!$A$4:$I$63,9,FALSE))/2.291)*5/(147/2.291)+'Soil results'!G119)&lt;4.5,"1 (L)","2 (M-)"))))))</f>
        <v/>
      </c>
      <c r="M116" s="9" t="str">
        <f ca="1">IF(B116="","",
IF(OR(H116="data missing",I116="data missing",J116="data missing"),"data missing",
IF(Calc!BF114=0,"n/a",
IF(OR(AND('Soil results'!G$7="Olsen (ADAS)",'Soil results'!G119&gt;45),AND('Soil results'!G$7="modified Morgan (SAC)",'Soil results'!G119&gt;30)),
IF(H116&gt;2,"too high, not acceptable","no requirement"),IF(OR(AND('Soil results'!G$7="Olsen (ADAS)",'Soil results'!G119&gt;25),AND('Soil results'!G$7="modified Morgan (SAC)",'Soil results'!G119&gt;13.4)),
IF(H116*(I116/100)&lt;0.1*J116,"no benefit",
IF(H116*(I116/100)&lt;0.3*J116,"limited benefit",
IF(H116*(I116/100)&lt;1.1*J116,"benefit",
IF(H116*(I116/100)&lt;0.7*VLOOKUP(Calc!BI114,'Fertiliser recommendations'!$A$4:$I$63,9,FALSE),"excessive","too high, not acceptable")))),
IF(OR(AND('Soil results'!G$7="Olsen (ADAS)",'Soil results'!G119&gt;20),AND('Soil results'!G$7="modified Morgan (SAC)",'Soil results'!G119&gt;9.4)),
IF(H116*Calc!BM114*(I116/100)&lt;0.1*J116,"no benefit",
IF(H116*Calc!BM114*(I116/100)&lt;0.3*J116,"limited benefit",
IF(H116*Calc!BM114*(I116/100)&lt;1.1*J116,"benefit",
IF(L116="3 (H)","too high, not acceptable","excessive")))),
IF(OR(AND('Soil results'!G$7="Olsen (ADAS)",'Soil results'!G119&gt;15),AND('Soil results'!G$7="modified Morgan (SAC)",'Soil results'!G119&gt;4.4)),
IF(H116*Calc!BM114*(I116/100)&lt;0.1*VLOOKUP(Calc!BI114,'Fertiliser recommendations'!$A$4:$I$63,9,FALSE),"no benefit",
IF(H116*Calc!BM114*(I116/100)&lt;0.3*VLOOKUP(Calc!BI114,'Fertiliser recommendations'!$A$4:$I$63,9,FALSE),"limited benefit",
IF(H116*Calc!BM114*(I116/100)&lt;1.1*VLOOKUP(Calc!BI114,'Fertiliser recommendations'!$A$4:$I$63,9,FALSE),"benefit",
IF(L116="3 (H)", "too high, not acceptable", "excessive")))),
IF(OR(AND('Soil results'!G$7="Olsen (ADAS)",'Soil results'!G119&lt;=15),AND('Soil results'!G$7="modified Morgan (SAC)",'Soil results'!G119&lt;=4.4)),
IF(H116*Calc!BM114*(I116/100)&lt;0.1*VLOOKUP(Calc!BI114,'Fertiliser recommendations'!$A$4:$I$63,9,FALSE),"no benefit",
IF(H116*Calc!BM114*(I116/100)&lt;0.3*VLOOKUP(Calc!BI114,'Fertiliser recommendations'!$A$4:$I$63,9,FALSE),"limited benefit",
IF(H116*Calc!BM114*(I116/100)&lt;1.1*J116,"benefit","excessive")))))))))))</f>
        <v/>
      </c>
      <c r="N116" s="9"/>
      <c r="O116" s="91" t="str">
        <f ca="1">IF(B116="","",
IF(AND('Field information 2'!$O$5="", 'Field information 2'!$Q$5=""),
   IF('Waste results'!$S$19&lt;&gt;"data missing", Calc!BC114*'Waste results'!$S$19, "data missing"),
IF('Field information 2'!$Q$5="",
   IF(Calc!BD114=0,
     IF('Waste results'!$S$19&lt;&gt;"data missing", Calc!BC114*'Waste results'!$S$19, "data missing"),
   IF(Calc!BC114=0,
     IF('Waste results'!$S$55&lt;&gt;"data missing", Calc!BD114*'Waste results'!$S$55, "data missing"),
   IF(OR('Waste results'!$S$19&lt;&gt;"data missing", 'Waste results'!$S$55&lt;&gt;"data missing"), Calc!BC114*'Waste results'!$S$19+ Calc!BD114*'Waste results'!$S$55, "data missing"))),
IF(AND('Field information 2'!$M$5&lt;&gt;"", 'Field information 2'!$O$5&lt;&gt;"", 'Field information 2'!$Q$5&lt;&gt;""),
   IF(AND(Calc!BD114=0,Calc!BE114=0),
     IF('Waste results'!$S$19&lt;&gt;"data missing", Calc!BC114*'Waste results'!$S$19, "data missing"),
   IF(AND(Calc!BC114=0,Calc!BE114=0),
     IF('Waste results'!$S$55&lt;&gt;"data missing", Calc!BD114*'Waste results'!$S$55, "data missing"),
   IF(AND(Calc!BC114=0,Calc!BD114=0),
     IF('Waste results'!$S$91&lt;&gt;"data missing", Calc!BE114*'Waste results'!$S$91, "data missing"),
   IF(Calc!BE114=0,
     IF(OR('Waste results'!$S$19&lt;&gt;"data missing", 'Waste results'!$S$55&lt;&gt;"data missing"), Calc!BC114*'Waste results'!$S$19+ Calc!BD114*'Waste results'!$S$55, "data missing"),
   IF(Calc!BD114=0,
     IF(OR('Waste results'!$S$19&lt;&gt;"data missing", 'Waste results'!$S$91&lt;&gt;"data missing"), Calc!BC114*'Waste results'!$S$19+ Calc!BE114*'Waste results'!$S$91, "data missing"),
   IF(Calc!BC114=0,
     IF(OR('Waste results'!$S$55&lt;&gt;"data missing", 'Waste results'!$S$91&lt;&gt;"data missing"), Calc!BD114*'Waste results'!$S$55+Calc!BE114*'Waste results'!$S$91, "data missing"),
   IF(OR('Waste results'!$S$19&lt;&gt;"data missing", 'Waste results'!$S$55&lt;&gt;"data missing", 'Waste results'!$S$91&lt;&gt;"data missing"), Calc!BC114*'Waste results'!$S$19+Calc!BD114*'Waste results'!$S$55+ Calc!BE114*'Waste results'!$S$91, "data missing")))))))))))</f>
        <v/>
      </c>
      <c r="P116" s="91" t="str">
        <f ca="1">IF(B116="","",
IF(OR(ISBLANK('Soil results'!H$7),ISBLANK('Soil results'!H119)),"data missing",
IF(OR(AND('Soil results'!H$7="ammonium nitrate (ADAS)",'Soil results'!H119&gt;400),AND('Soil results'!H$7="modified Morgan (SAC)",'Soil results'!H119&gt;400)),0,
IF(OR(AND('Soil results'!H$7="ammonium nitrate (ADAS)",'Soil results'!H119&gt;=121,'Soil results'!H119&lt;=180),AND('Soil results'!H$7="modified Morgan (SAC)",'Soil results'!H119&gt;=76,'Soil results'!H119&lt;=140)),VLOOKUP(Calc!BI114,'Fertiliser recommendations'!$A$4:$Z$63,26,FALSE),
IF(OR(AND('Soil results'!H$7="ammonium nitrate (ADAS)",'Soil results'!H119&lt;61),AND('Soil results'!H$7="modified Morgan (SAC)",'Soil results'!H119&lt;40)),VLOOKUP(Calc!BI114,'Fertiliser recommendations'!$A$4:$Z$63,26,FALSE)+VLOOKUP(Calc!BI114,'Fertiliser recommendations'!$A$4:$AA$63,27,FALSE),
IF(OR(AND('Soil results'!H$7="ammonium nitrate (ADAS)",'Soil results'!H119&lt;121),AND('Soil results'!H$7="modified Morgan (SAC)",'Soil results'!H119&lt;76)),VLOOKUP(Calc!BI114,'Fertiliser recommendations'!$A$4:$Z$63,26,FALSE)+VLOOKUP(Calc!BI114,'Fertiliser recommendations'!$A$4:$AB$63,28,FALSE),
IF(OR(AND('Soil results'!H$7="ammonium nitrate (ADAS)",'Soil results'!H119&lt;241),AND('Soil results'!H$7="modified Morgan (SAC)",'Soil results'!H119&lt;201)),VLOOKUP(Calc!BI114,'Fertiliser recommendations'!$A$4:$Z$63,26,FALSE)+VLOOKUP(Calc!BI114,'Fertiliser recommendations'!$A$4:$AC$63,29,FALSE),
IF(OR(AND('Soil results'!H$7="ammonium nitrate (ADAS)",'Soil results'!H119&lt;=400),AND('Soil results'!H$7="modified Morgan (SAC)",'Soil results'!H119&lt;=400)),VLOOKUP(Calc!BI114,'Fertiliser recommendations'!$A$4:$Z$63,26,FALSE)+VLOOKUP(Calc!BI114,'Fertiliser recommendations'!$A$4:$AD$63,30,FALSE),
"??"))))))))</f>
        <v/>
      </c>
      <c r="Q116" s="91" t="str">
        <f t="shared" ca="1" si="36"/>
        <v/>
      </c>
      <c r="R116" s="9" t="str">
        <f ca="1">IF(B116="","",
IF(OR(O116="data missing",P116="data missing"),"data missing",
IF(Calc!BF114=0,"n/a",
IF(P116=0, "no requirement",
IF(O116&lt;0.1*P116,"no benefit",
IF(O116&lt;0.3*P116,"limited benefit",
IF(O116&gt;1.25*P116,"excessive",
"benefit")))))))</f>
        <v/>
      </c>
      <c r="S116" s="9"/>
      <c r="T116" s="91" t="str">
        <f ca="1">IF(B116="","",
IF(AND('Field information 2'!$O$5="", 'Field information 2'!$Q$5=""),
   IF('Waste results'!$S$21&lt;&gt;"data missing", Calc!BC114*'Waste results'!$S$21, "data missing"),
IF('Field information 2'!$Q$5="",
   IF(Calc!BD114=0,
     IF('Waste results'!$S$21&lt;&gt;"data missing", Calc!BC114*'Waste results'!$S$21, "data missing"),
   IF(Calc!BC114=0,
     IF('Waste results'!$S$57&lt;&gt;"data missing", Calc!BD114*'Waste results'!$S$57, "data missing"),
   IF(OR('Waste results'!$S$21&lt;&gt;"data missing", 'Waste results'!$S$57&lt;&gt;"data missing"), Calc!BC114*'Waste results'!$S$21+ Calc!BD114*'Waste results'!$S$57, "data missing"))),
IF(AND('Field information 2'!$M$5&lt;&gt;"", 'Field information 2'!$O$5&lt;&gt;"", 'Field information 2'!$Q$5&lt;&gt;""),
   IF(AND(Calc!BD114=0,Calc!BE114=0),
     IF('Waste results'!$S$21&lt;&gt;"data missing", Calc!BC114*'Waste results'!$S$21, "data missing"),
   IF(AND(Calc!BC114=0,Calc!BE114=0),
     IF('Waste results'!$S$57&lt;&gt;"data missing", Calc!BD114*'Waste results'!$S$57, "data missing"),
   IF(AND(Calc!BC114=0,Calc!BD114=0),
     IF('Waste results'!$S$93&lt;&gt;"data missing", Calc!BE114*'Waste results'!$S$93, "data missing"),
   IF(Calc!BE114=0,
     IF(OR('Waste results'!$S$21&lt;&gt;"data missing", 'Waste results'!$S$57&lt;&gt;"data missing"), Calc!BC114*'Waste results'!$S$21+ Calc!BD114*'Waste results'!$S$57, "data missing"),
   IF(Calc!BD114=0,
     IF(OR('Waste results'!$S$21&lt;&gt;"data missing", 'Waste results'!$S$93&lt;&gt;"data missing"), Calc!BC114*'Waste results'!$S$21+ Calc!BE114*'Waste results'!$S$93, "data missing"),
   IF(Calc!BC114=0,
     IF(OR('Waste results'!$S$57&lt;&gt;"data missing", 'Waste results'!$S$93&lt;&gt;"data missing"), Calc!BD114*'Waste results'!$S$57+Calc!BE114*'Waste results'!$S$93, "data missing"),
   IF(OR('Waste results'!$S$21&lt;&gt;"data missing", 'Waste results'!$S$57&lt;&gt;"data missing", 'Waste results'!$S$93&lt;&gt;"data missing"), Calc!BC114*'Waste results'!$S$21+Calc!BD114*'Waste results'!$S$57+ Calc!BE114*'Waste results'!$S$93, "data missing")))))))))))</f>
        <v/>
      </c>
      <c r="U116" s="7" t="str">
        <f ca="1">IF(B116="","",
IF(OR(ISBLANK('Soil results'!I$7),ISBLANK('Soil results'!I119)),"data missing",
IF(OR(AND('Soil results'!I$7="ammonium nitrate (ADAS)",'Soil results'!I119&gt;51),AND('Soil results'!I$7="modified Morgan (SAC)",'Soil results'!I119&gt;61)),0,
IF(OR(AND('Soil results'!I$7="ammonium nitrate (ADAS)",'Soil results'!I119&lt;25),AND('Soil results'!I$7="modified Morgan (SAC)",'Soil results'!I119&lt;19)),VLOOKUP(Calc!BI114,'Fertiliser recommendations'!$A$4:$AH$63,34,FALSE),
IF(OR(AND('Soil results'!I$7="ammonium nitrate (ADAS)",'Soil results'!I119&lt;=51),AND('Soil results'!I$7="modified Morgan (SAC)",'Soil results'!I119&lt;=61)),VLOOKUP(Calc!BI114,'Fertiliser recommendations'!$A$4:$AI$63,35,FALSE),
"")))))</f>
        <v/>
      </c>
      <c r="V116" s="91" t="str">
        <f t="shared" ca="1" si="37"/>
        <v/>
      </c>
      <c r="W116" s="9" t="str">
        <f ca="1">IF(B116="","",
IF(OR(T116="data missing",U116="data missing"),"data missing",
IF(Calc!BF114=0,"n/a",
IF(U116=0,"no requirement",
IF(T116&lt;0.1*U116,"no benefit",
IF(T116&lt;0.3*U116,"limited benefit",
IF(OR(T116&gt;1.5*U116,AND(Calc!BJ114="g",T116&gt;100)),"excessive",
"benefit")))))))</f>
        <v/>
      </c>
      <c r="X116" s="9"/>
      <c r="Y116" s="91" t="str">
        <f ca="1">IF(B116="","",
IF(AND('Field information 2'!$O$5="", 'Field information 2'!$Q$5=""),
   IF('Waste results'!$P$23&lt;&gt;"", Calc!BC114*'Waste results'!$P$23, "no data"),
IF('Field information 2'!$Q$5="",
   IF(Calc!BD114=0,
     IF('Waste results'!$P$23&lt;&gt;"", Calc!BC114*'Waste results'!$P$23, "no data"),
   IF(Calc!BC114=0,
     IF('Waste results'!$P$59&lt;&gt;"", Calc!BD114*'Waste results'!$P$59, "no data"),
   IF(OR('Waste results'!$P$23&lt;&gt;"", 'Waste results'!$P$59&lt;&gt;""), Calc!BC114*'Waste results'!$P$23+ Calc!BD114*'Waste results'!$P$59, "no data"))),
IF(AND('Field information 2'!$M$5&lt;&gt;"", 'Field information 2'!$O$5&lt;&gt;"", 'Field information 2'!$Q$5&lt;&gt;""),
   IF(AND(Calc!BD114=0,Calc!BE114=0),
     IF('Waste results'!$P$23&lt;&gt;"", Calc!BC114*'Waste results'!$P$23, "no data"),
   IF(AND(Calc!BC114=0,Calc!BE114=0),
     IF('Waste results'!$P$59&lt;&gt;"", Calc!BD114*'Waste results'!$P$59, "no data"),
   IF(AND(Calc!BC114=0,Calc!BD114=0),
     IF('Waste results'!$P$95&lt;&gt;"", Calc!BE114*'Waste results'!$P$95, "no data"),
   IF(Calc!BE114=0,
     IF(OR('Waste results'!$P$23&lt;&gt;"", 'Waste results'!$P$59&lt;&gt;""), Calc!BC114*'Waste results'!$P$23+ Calc!BD114*'Waste results'!$P$59, "no data"),
   IF(Calc!BD114=0,
     IF(OR('Waste results'!$P$23&lt;&gt;"", 'Waste results'!$P$95&lt;&gt;""), Calc!BC114*'Waste results'!$P$23+ Calc!BE114*'Waste results'!$P$95, "no data"),
   IF(Calc!BC114=0,
     IF(OR('Waste results'!$P$59&lt;&gt;"", 'Waste results'!$P$95&lt;&gt;""), Calc!BD114*'Waste results'!$P$59+Calc!BE114*'Waste results'!$P$95, "no data"),
   IF(OR('Waste results'!$P$23&lt;&gt;"", 'Waste results'!$P$59&lt;&gt;"", 'Waste results'!$P$95&lt;&gt;""), Calc!BC114*'Waste results'!$P$23+Calc!BD114*'Waste results'!$P$59+ Calc!BE114*'Waste results'!$P$95, "no data")))))))))))</f>
        <v/>
      </c>
      <c r="Z116" s="7" t="str">
        <f ca="1">IF(OR(ISBLANK('Soil results'!I$7),ISBLANK('Soil results'!I119),'Soil results'!B119=""),"",
VLOOKUP(Calc!BI114,'Fertiliser recommendations'!$A$4:$AM$63,39,FALSE))</f>
        <v/>
      </c>
      <c r="AA116" s="91" t="str">
        <f t="shared" ca="1" si="38"/>
        <v/>
      </c>
      <c r="AB116" s="9" t="str">
        <f t="shared" ca="1" si="39"/>
        <v/>
      </c>
      <c r="AC116" s="9"/>
      <c r="AD116" s="48" t="str">
        <f>IF(ISBLANK('Soil results'!F119),"",'Soil results'!F119)</f>
        <v/>
      </c>
      <c r="AE116" s="49" t="str">
        <f ca="1">IF(B116="","",
IF(AND(Calc!BJ114="g", VLOOKUP(LEFT($B116,LEN($B116)-2),'Field information 2'!$B$12:$P$111,9,FALSE)&lt;&gt;"yes"),
 IF(Calc!BG114="10-25% OM", 5.9, IF(Calc!BG114="&gt;25% OM", 5.5, 6.2)),
IF(OR(Calc!BJ114="a", VLOOKUP(LEFT($B116,LEN($B116)-2),'Field information 2'!$B$12:$P$111,9,FALSE)="yes"),
 IF(Calc!BG114="10-25% OM", 6.4, IF(Calc!BG114="&gt;25% OM", 6, 6.7)), "")))</f>
        <v/>
      </c>
      <c r="AF116" s="91" t="str">
        <f ca="1">IF(B116="","",
IF('Waste results'!$Q$33="","no (significant) liming properties",
IF('Waste results'!Q$33&gt;100,"no (significant) liming properties",
IF(AD116="","",
IF(AD116&gt;=AE116,0,ROUNDDOWN((AE116-AD116)*Calc!BK114*'Waste results'!$Q$33+0.2,0))))))</f>
        <v/>
      </c>
      <c r="AG116" s="9" t="str">
        <f ca="1">IF(B116="","",
IF(T116=0,"n/a",
IF(AD116="","data missing",
IF(AND(AD116&lt;5,AF116="no (significant) liming properties"),"no waste application - pH too low",
IF(AND(AD116&gt;5.1,AF116="no (significant) liming properties",Calc!BH114&gt;25, LEFT(Calc!BI114,4)="graz"),"ok",
IF(AND(AD116&lt;=5.2,AF116="no (significant) liming properties"),"liming highly recommended",
IF(AF116=0,"no waste application - liming not required",
IF(AF116&lt;Calc!BC114,"application rate too high - exceeds liming requirement",
"ok"))))))))</f>
        <v/>
      </c>
      <c r="AH116" s="9"/>
      <c r="AI116" s="91" t="str">
        <f ca="1">IF(B116="","",
IF(AND('Field information 2'!$O$5="", 'Field information 2'!$Q$5=""),
   IF('Waste results'!$P$10&lt;&gt;"data missing", Calc!BC114*'Waste results'!$P$10, "data missing"),
IF('Field information 2'!$Q$5="",
   IF(Calc!BD114=0,
     IF('Waste results'!$P$10&lt;&gt;"data missing", Calc!BC114*'Waste results'!$P$10, "data missing"),
   IF(Calc!BC114=0,
     IF('Waste results'!$P$45&lt;&gt;"data missing", Calc!BD114*'Waste results'!$P$45, "data missing"),
   IF(OR('Waste results'!$P$10&lt;&gt;"data missing", 'Waste results'!$P$45&lt;&gt;"data missing"), Calc!BC114*'Waste results'!$P$10+ Calc!BD114*'Waste results'!$P$45, "data missing"))),
IF(AND('Field information 2'!$M$5&lt;&gt;"", 'Field information 2'!$O$5&lt;&gt;"", 'Field information 2'!$Q$5&lt;&gt;""),
   IF(AND(Calc!BD114=0,Calc!BE114=0),
     IF('Waste results'!$P$10&lt;&gt;"data missing", Calc!BC114*'Waste results'!$P$10, "data missing"),
   IF(AND(Calc!BC114=0,Calc!BE114=0),
     IF('Waste results'!$P$45&lt;&gt;"data missing", Calc!BD114*'Waste results'!$P$45, "data missing"),
   IF(AND(Calc!BC114=0,Calc!BD114=0),
     IF('Waste results'!$P$82&lt;&gt;"data missing", Calc!BE114*'Waste results'!$P$82, "data missing"),
   IF(Calc!BE114=0,
     IF(OR('Waste results'!$P$10&lt;&gt;"data missing", 'Waste results'!$P$45&lt;&gt;"data missing"), Calc!BC114*'Waste results'!$P$10+ Calc!BD114*'Waste results'!$P$45, "data missing"),
   IF(Calc!BD114=0,
     IF(OR('Waste results'!$P$10&lt;&gt;"data missing", 'Waste results'!$P$82&lt;&gt;"data missing"), Calc!BC114*'Waste results'!$P$10+ Calc!BE114*'Waste results'!$P$82, "data missing"),
   IF(Calc!BC114=0,
     IF(OR('Waste results'!$P$45&lt;&gt;"data missing", 'Waste results'!$P$82&lt;&gt;"data missing"), Calc!BD114*'Waste results'!$P$45+Calc!BE114*'Waste results'!$P$82, "data missing"),
   IF(OR('Waste results'!$P$10&lt;&gt;"data missing", 'Waste results'!$P$45&lt;&gt;"data missing", 'Waste results'!$P$82&lt;&gt;"data missing"), Calc!BC114*'Waste results'!$P$10+Calc!BD114*'Waste results'!$P$45+ Calc!BE114*'Waste results'!$P$82, "data missing")))))))))))</f>
        <v/>
      </c>
      <c r="AJ116" s="237" t="str">
        <f ca="1">IF(B116="","",
IF(AI116="data missing","data missing",
IF(Calc!BF114=0,"n/a",
IF(AND(Calc!BH114&gt;=8,AI116&lt;500),"no benefit",
IF(OR(AND(Calc!BH114&lt;=4,AI116&gt;=500),AND(Calc!BH114&lt;8,AI116&gt;5000)),"benefit",
"limited benefit")))))</f>
        <v/>
      </c>
      <c r="AK116" s="9"/>
      <c r="AL116" s="238" t="str">
        <f ca="1">IF(B116="","",
IF(AND('Field information 2'!$O$5="", 'Field information 2'!$Q$5=""),
   IF('Waste results'!$S$25&lt;&gt;"data missing", Calc!BC114*'Waste results'!$S$25, "data missing"),
IF('Field information 2'!$Q$5="",
   IF(Calc!BD114=0,
     IF('Waste results'!$S$25&lt;&gt;"data missing", Calc!BC114*'Waste results'!$S$25, "data missing"),
   IF(Calc!BC114=0,
     IF('Waste results'!$S$61&lt;&gt;"data missing", Calc!BD114*'Waste results'!$S$61, "data missing"),
   IF(OR('Waste results'!$S$25&lt;&gt;"data missing", 'Waste results'!$S$61&lt;&gt;"data missing"), Calc!BC114*'Waste results'!$S$25+ Calc!BD114*'Waste results'!$S$61, "data missing"))),
IF(AND('Field information 2'!$M$5&lt;&gt;"", 'Field information 2'!$O$5&lt;&gt;"", 'Field information 2'!$Q$5&lt;&gt;""),
   IF(AND(Calc!BD114=0,Calc!BE114=0),
     IF('Waste results'!$S$25&lt;&gt;"data missing", Calc!BC114*'Waste results'!$S$25, "data missing"),
   IF(AND(Calc!BC114=0,Calc!BE114=0),
     IF('Waste results'!$S$61&lt;&gt;"data missing", Calc!BD114*'Waste results'!$S$61, "data missing"),
   IF(AND(Calc!BC114=0,Calc!BD114=0),
     IF('Waste results'!$S$97&lt;&gt;"data missing", Calc!BE114*'Waste results'!$S$97, "data missing"),
   IF(Calc!BE114=0,
     IF(OR('Waste results'!$S$25&lt;&gt;"data missing", 'Waste results'!$S$61&lt;&gt;"data missing"), Calc!BC114*'Waste results'!$S$25+ Calc!BD114*'Waste results'!$S$61, "data missing"),
   IF(Calc!BD114=0,
     IF(OR('Waste results'!$S$25&lt;&gt;"data missing", 'Waste results'!$S$97&lt;&gt;"data missing"), Calc!BC114*'Waste results'!$S$25+ Calc!BE114*'Waste results'!$S$97, "data missing"),
   IF(Calc!BC114=0,
     IF(OR('Waste results'!$S$61&lt;&gt;"data missing", 'Waste results'!$S$97&lt;&gt;"data missing"), Calc!BD114*'Waste results'!$S$61+Calc!BE114*'Waste results'!$S$97, "data missing"),
   IF(OR('Waste results'!$S$25&lt;&gt;"data missing", 'Waste results'!$S$61&lt;&gt;"data missing", 'Waste results'!$S$97&lt;&gt;"data missing"), Calc!BC114*'Waste results'!$S$25+Calc!BD114*'Waste results'!$S$61+ Calc!BE114*'Waste results'!$S$97, "data missing")))))))))))</f>
        <v/>
      </c>
      <c r="AM116" s="239" t="str">
        <f ca="1">IF($B116="","",
IF(ISBLANK('Soil results'!K119),"data missing",'Soil results'!K119))</f>
        <v/>
      </c>
      <c r="AN116" s="239" t="str">
        <f t="shared" ca="1" si="40"/>
        <v/>
      </c>
      <c r="AO116" s="9" t="str">
        <f t="shared" ca="1" si="41"/>
        <v/>
      </c>
      <c r="AP116" s="9"/>
      <c r="AQ116" s="240" t="str">
        <f ca="1">IF(B116="","",
IF(AND('Field information 2'!$O$5="", 'Field information 2'!$Q$5=""),
   IF('Waste results'!$S$26&lt;&gt;"data missing", Calc!BC114*'Waste results'!$S$26, "data missing"),
IF('Field information 2'!$Q$5="",
   IF(Calc!BD114=0,
     IF('Waste results'!$S$26&lt;&gt;"data missing", Calc!BC114*'Waste results'!$S$26, "data missing"),
   IF(Calc!BC114=0,
     IF('Waste results'!$S$62&lt;&gt;"data missing", Calc!BD114*'Waste results'!$S$62, "data missing"),
   IF(OR('Waste results'!$S$26&lt;&gt;"data missing", 'Waste results'!$S$62&lt;&gt;"data missing"), Calc!BC114*'Waste results'!$S$26+ Calc!BD114*'Waste results'!$S$62, "data missing"))),
IF(AND('Field information 2'!$M$5&lt;&gt;"", 'Field information 2'!$O$5&lt;&gt;"", 'Field information 2'!$Q$5&lt;&gt;""),
   IF(AND(Calc!BD114=0,Calc!BE114=0),
     IF('Waste results'!$S$26&lt;&gt;"data missing", Calc!BC114*'Waste results'!$S$26, "data missing"),
   IF(AND(Calc!BC114=0,Calc!BE114=0),
     IF('Waste results'!$S$62&lt;&gt;"data missing", Calc!BD114*'Waste results'!$S$62, "data missing"),
   IF(AND(Calc!BC114=0,Calc!BD114=0),
     IF('Waste results'!$S$98&lt;&gt;"data missing", Calc!BE114*'Waste results'!$S$98, "data missing"),
   IF(Calc!BE114=0,
     IF(OR('Waste results'!$S$26&lt;&gt;"data missing", 'Waste results'!$S$62&lt;&gt;"data missing"), Calc!BC114*'Waste results'!$S$26+ Calc!BD114*'Waste results'!$S$62, "data missing"),
   IF(Calc!BD114=0,
     IF(OR('Waste results'!$S$26&lt;&gt;"data missing", 'Waste results'!$S$98&lt;&gt;"data missing"), Calc!BC114*'Waste results'!$S$26+ Calc!BE114*'Waste results'!$S$98, "data missing"),
   IF(Calc!BC114=0,
     IF(OR('Waste results'!$S$62&lt;&gt;"data missing", 'Waste results'!$S$98&lt;&gt;"data missing"), Calc!BD114*'Waste results'!$S$62+Calc!BE114*'Waste results'!$S$98, "data missing"),
   IF(OR('Waste results'!$S$26&lt;&gt;"data missing", 'Waste results'!$S$62&lt;&gt;"data missing", 'Waste results'!$S$98&lt;&gt;"data missing"), Calc!BC114*'Waste results'!$S$26+Calc!BD114*'Waste results'!$S$62+ Calc!BE114*'Waste results'!$S$98, "data missing")))))))))))</f>
        <v/>
      </c>
      <c r="AR116" s="241" t="str">
        <f ca="1">IF($B116="","",
IF(ISBLANK('Soil results'!L119),"data missing",'Soil results'!L119))</f>
        <v/>
      </c>
      <c r="AS116" s="241" t="str">
        <f t="shared" ca="1" si="42"/>
        <v/>
      </c>
      <c r="AT116" s="66" t="str">
        <f t="shared" ca="1" si="43"/>
        <v/>
      </c>
      <c r="AU116" s="9"/>
      <c r="AV116" s="238" t="str">
        <f ca="1">IF(B116="","",
IF(AND('Field information 2'!$O$5="", 'Field information 2'!$Q$5=""),
   IF('Waste results'!$S$27&lt;&gt;"data missing", Calc!BC114*'Waste results'!$S$27, "data missing"),
IF('Field information 2'!$Q$5="",
   IF(Calc!BD114=0,
     IF('Waste results'!$S$27&lt;&gt;"data missing", Calc!BC114*'Waste results'!$S$27, "data missing"),
   IF(Calc!BC114=0,
     IF('Waste results'!$S$63&lt;&gt;"data missing", Calc!BD114*'Waste results'!$S$63, "data missing"),
   IF(OR('Waste results'!$S$27&lt;&gt;"data missing", 'Waste results'!$S$63&lt;&gt;"data missing"), Calc!BC114*'Waste results'!$S$27+ Calc!BD114*'Waste results'!$S$63, "data missing"))),
IF(AND('Field information 2'!$M$5&lt;&gt;"", 'Field information 2'!$O$5&lt;&gt;"", 'Field information 2'!$Q$5&lt;&gt;""),
   IF(AND(Calc!BD114=0,Calc!BE114=0),
     IF('Waste results'!$S$27&lt;&gt;"data missing", Calc!BC114*'Waste results'!$S$27, "data missing"),
   IF(AND(Calc!BC114=0,Calc!BE114=0),
     IF('Waste results'!$S$63&lt;&gt;"data missing", Calc!BD114*'Waste results'!$S$63, "data missing"),
   IF(AND(Calc!BC114=0,Calc!BD114=0),
     IF('Waste results'!$S$99&lt;&gt;"data missing", Calc!BE114*'Waste results'!$S$99, "data missing"),
   IF(Calc!BE114=0,
     IF(OR('Waste results'!$S$27&lt;&gt;"data missing", 'Waste results'!$S$63&lt;&gt;"data missing"), Calc!BC114*'Waste results'!$S$27+ Calc!BD114*'Waste results'!$S$63, "data missing"),
   IF(Calc!BD114=0,
     IF(OR('Waste results'!$S$27&lt;&gt;"data missing", 'Waste results'!$S$99&lt;&gt;"data missing"), Calc!BC114*'Waste results'!$S$27+ Calc!BE114*'Waste results'!$S$99, "data missing"),
   IF(Calc!BC114=0,
     IF(OR('Waste results'!$S$63&lt;&gt;"data missing", 'Waste results'!$S$99&lt;&gt;"data missing"), Calc!BD114*'Waste results'!$S$63+Calc!BE114*'Waste results'!$S$99, "data missing"),
   IF(OR('Waste results'!$S$27&lt;&gt;"data missing", 'Waste results'!$S$63&lt;&gt;"data missing", 'Waste results'!$S$99&lt;&gt;"data missing"), Calc!BC114*'Waste results'!$S$27+Calc!BD114*'Waste results'!$S$63+ Calc!BE114*'Waste results'!$S$99, "data missing")))))))))))</f>
        <v/>
      </c>
      <c r="AW116" s="239" t="str">
        <f ca="1">IF($B116="","",
IF(ISBLANK('Soil results'!M119),"data missing",'Soil results'!M119))</f>
        <v/>
      </c>
      <c r="AX116" s="239" t="str">
        <f t="shared" ca="1" si="44"/>
        <v/>
      </c>
      <c r="AY116" s="9" t="str">
        <f ca="1">IF(B116="","",
IF(AV116=0,"n/a",
IF(OR(AV116="data missing",AW116="data missing"),"data missing",
IF(AV116&gt;7.5,"application rate too high - permissible rate exceeds limit",
IF('Soil results'!$F119&lt;=5.5,
  IF(AW116&gt;80,"no application - soil conc. already above limit",
  IF(AX116&gt;80,"application rate too high - soil conc. will exceed limit",
  IF(AW116&gt;80*0.9,"soil conc. is at or above 90% of the limit",
  IF(10*AV116*1000/3000+AW116&gt;80,"soil limit likely to be exceeded in 10yrs",
  IF(50*AV116*1000/3000+AW116&gt;80,"soil limit likely to be exceeded in 50yrs","ok"))))),
IF('Soil results'!$F119&lt;=6,
  IF(AW116&gt;100,"no application - soil conc. already above limit",
  IF(AX116&gt;100,"application rate too high - soil conc. will exceed limit",
  IF(AW116&gt;100*0.9,"soil conc. is at or above 90% of the limit",
  IF(10*AV116*1000/3000+AW116&gt;100,"soil limit likely to be exceeded in 10yrs",
  IF(50*AV116*1000/3000+AW116&gt;100,"soil limit likely to be exceeded in 50yrs","ok"))))),
IF('Soil results'!$F119&lt;=7,
  IF(AW116&gt;135,"no application - soil conc. already above limit",
  IF(AX116&gt;135,"application rate too high - soil conc. will exceed limit",
  IF(AW116&gt;135*0.9,"soil conc. is at or above 90% of the limit",
  IF(10*AV116*1000/3000+AW116&gt;135,"soil limit likely to be exceeded in 10yrs",
  IF(50*AV116*1000/3000+AW116&gt;135,"soil limit likely to be exceeded in 50yrs","ok"))))),
IF('Soil results'!$F119&gt;7,
  IF(AW116&gt;200,"no application - soil conc. already above limit",
  IF(AX116&gt;200,"application too high - soil conc. will exceed limit",
  IF(AW116&gt;200*0.9,"soil conc. is at or above 90% of the limit",
  IF(10*AV116*1000/3000+AW116&gt;200,"soil limit likely to be exceeded in 10yrs",
  IF(50*AV116*1000/3000+AW116&gt;200,"soil limit likely to be exceeded in 50yrs","ok")))))
))))))))</f>
        <v/>
      </c>
      <c r="AZ116" s="9"/>
      <c r="BA116" s="238" t="str">
        <f ca="1">IF(B116="","",
IF(AND('Field information 2'!$O$5="", 'Field information 2'!$Q$5=""),
   IF('Waste results'!$S$28&lt;&gt;"data missing", Calc!BC114*'Waste results'!$S$28, "data missing"),
IF('Field information 2'!$Q$5="",
   IF(Calc!BD114=0,
     IF('Waste results'!$S$28&lt;&gt;"data missing", Calc!BC114*'Waste results'!$S$28, "data missing"),
   IF(Calc!BC114=0,
     IF('Waste results'!$S$64&lt;&gt;"data missing", Calc!BD114*'Waste results'!$S$64, "data missing"),
   IF(OR('Waste results'!$S$28&lt;&gt;"data missing", 'Waste results'!$S$64&lt;&gt;"data missing"), Calc!BC114*'Waste results'!$S$28+ Calc!BD114*'Waste results'!$S$64, "data missing"))),
IF(AND('Field information 2'!$M$5&lt;&gt;"", 'Field information 2'!$O$5&lt;&gt;"", 'Field information 2'!$Q$5&lt;&gt;""),
   IF(AND(Calc!BD114=0,Calc!BE114=0),
     IF('Waste results'!$S$28&lt;&gt;"data missing", Calc!BC114*'Waste results'!$S$28, "data missing"),
   IF(AND(Calc!BC114=0,Calc!BE114=0),
     IF('Waste results'!$S$64&lt;&gt;"data missing", Calc!BD114*'Waste results'!$S$64, "data missing"),
   IF(AND(Calc!BC114=0,Calc!BD114=0),
     IF('Waste results'!$S$100&lt;&gt;"data missing", Calc!BE114*'Waste results'!$S$100, "data missing"),
   IF(Calc!BE114=0,
     IF(OR('Waste results'!$S$28&lt;&gt;"data missing", 'Waste results'!$S$64&lt;&gt;"data missing"), Calc!BC114*'Waste results'!$S$28+ Calc!BD114*'Waste results'!$S$64, "data missing"),
   IF(Calc!BD114=0,
     IF(OR('Waste results'!$S$28&lt;&gt;"data missing", 'Waste results'!$S$100&lt;&gt;"data missing"), Calc!BC114*'Waste results'!$S$28+ Calc!BE114*'Waste results'!$S$100, "data missing"),
   IF(Calc!BC114=0,
     IF(OR('Waste results'!$S$64&lt;&gt;"data missing", 'Waste results'!$S$100&lt;&gt;"data missing"), Calc!BD114*'Waste results'!$S$64+Calc!BE114*'Waste results'!$S$100, "data missing"),
   IF(OR('Waste results'!$S$28&lt;&gt;"data missing", 'Waste results'!$S$64&lt;&gt;"data missing", 'Waste results'!$S$100&lt;&gt;"data missing"), Calc!BC114*'Waste results'!$S$28+Calc!BD114*'Waste results'!$S$64+ Calc!BE114*'Waste results'!$S$100, "data missing")))))))))))</f>
        <v/>
      </c>
      <c r="BB116" s="239" t="str">
        <f ca="1">IF($B116="","",
IF(ISBLANK('Soil results'!N119),"data missing",'Soil results'!N119))</f>
        <v/>
      </c>
      <c r="BC116" s="239" t="str">
        <f t="shared" ca="1" si="45"/>
        <v/>
      </c>
      <c r="BD116" s="9" t="str">
        <f t="shared" ca="1" si="46"/>
        <v/>
      </c>
      <c r="BE116" s="9"/>
      <c r="BF116" s="238" t="str">
        <f ca="1">IF(B116="","",
IF(AND('Field information 2'!$O$5="", 'Field information 2'!$Q$5=""),
   IF('Waste results'!$S$29&lt;&gt;"data missing", Calc!BC114*'Waste results'!$S$29, "data missing"),
IF('Field information 2'!$Q$5="",
   IF(Calc!BD114=0,
     IF('Waste results'!$S$29&lt;&gt;"data missing", Calc!BC114*'Waste results'!$S$29, "data missing"),
   IF(Calc!BC114=0,
     IF('Waste results'!$S$65&lt;&gt;"data missing", Calc!BD114*'Waste results'!$S$65, "data missing"),
   IF(OR('Waste results'!$S$29&lt;&gt;"data missing", 'Waste results'!$S$65&lt;&gt;"data missing"), Calc!BC114*'Waste results'!$S$29+ Calc!BD114*'Waste results'!$S$65, "data missing"))),
IF(AND('Field information 2'!$M$5&lt;&gt;"", 'Field information 2'!$O$5&lt;&gt;"", 'Field information 2'!$Q$5&lt;&gt;""),
   IF(AND(Calc!BD114=0,Calc!BE114=0),
     IF('Waste results'!$S$29&lt;&gt;"data missing", Calc!BC114*'Waste results'!$S$29, "data missing"),
   IF(AND(Calc!BC114=0,Calc!BE114=0),
     IF('Waste results'!$S$65&lt;&gt;"data missing", Calc!BD114*'Waste results'!$S$65, "data missing"),
   IF(AND(Calc!BC114=0,Calc!BD114=0),
     IF('Waste results'!$S$101&lt;&gt;"data missing", Calc!BE114*'Waste results'!$S$101, "data missing"),
   IF(Calc!BE114=0,
     IF(OR('Waste results'!$S$29&lt;&gt;"data missing", 'Waste results'!$S$65&lt;&gt;"data missing"), Calc!BC114*'Waste results'!$S$29+ Calc!BD114*'Waste results'!$S$65, "data missing"),
   IF(Calc!BD114=0,
     IF(OR('Waste results'!$S$29&lt;&gt;"data missing", 'Waste results'!$S$101&lt;&gt;"data missing"), Calc!BC114*'Waste results'!$S$29+ Calc!BE114*'Waste results'!$S$101, "data missing"),
   IF(Calc!BC114=0,
     IF(OR('Waste results'!$S$65&lt;&gt;"data missing", 'Waste results'!$S$101&lt;&gt;"data missing"), Calc!BD114*'Waste results'!$S$65+Calc!BE114*'Waste results'!$S$101, "data missing"),
   IF(OR('Waste results'!$S$29&lt;&gt;"data missing", 'Waste results'!$S$65&lt;&gt;"data missing", 'Waste results'!$S$101&lt;&gt;"data missing"), Calc!BC114*'Waste results'!$S$29+Calc!BD114*'Waste results'!$S$65+ Calc!BE114*'Waste results'!$S$101, "data missing")))))))))))</f>
        <v/>
      </c>
      <c r="BG116" s="239" t="str">
        <f ca="1">IF($B116="","",
IF(ISBLANK('Soil results'!O119),"data missing",'Soil results'!O119))</f>
        <v/>
      </c>
      <c r="BH116" s="239" t="str">
        <f t="shared" ca="1" si="47"/>
        <v/>
      </c>
      <c r="BI116" s="9" t="str">
        <f ca="1">IF(B116="","",
IF(BF116=0,"n/a",
IF(OR(BF116="data missing",BG116="data missing"),"data missing",
IF(BF116&gt;3,"application rate too high - permissible rate exceeds limit",
IF('Soil results'!F119&lt;=5.5,
  IF(BG116&gt;50,"no application - soil conc. already above limit",
  IF(BH116&gt;50,"application rate too high - soil conc. will exceed limit",
  IF(BG116&gt;50*0.9,"soil conc. is at or above 90% of the limit",
  IF(10*BF116*1000/3000+BG116&gt;50,"soil limit likely to be exceeded in 10yrs",
  IF(50*BF116*1000/3000+BG116&gt;50,"soil limit likely to be exceeded in 50yrs","ok"))))),
IF('Soil results'!F119&lt;=6,
  IF(BG116&gt;60,"no application - soil conc. already above limit",
  IF(BH116&gt;60,"application rate too high - soil conc. will exceed limit",
  IF(BG116&gt;60*0.9,"soil conc. is at or above 90% of the limit",
  IF(10*BF116*1000/3000+BG116&gt;60,"soil limit likely to be exceeded in 10yrs",
  IF(50*BF116*1000/3000+BG116&gt;60,"soil limit likely to be exceeded in 50yrs","ok"))))),
IF('Soil results'!F119&lt;=7,
  IF(BG116&gt;75,"no application - soil conc. already above limit",
  IF(BH116&gt;75,"application rate too high - soil conc. will exceed limit",
  IF(BG116&gt;75*0.9,"soil conc. is at or above 90% of the limit",
  IF(10*BF116*1000/3000+BG116&gt;75,"soil limit likely to be exceeded in 10yrs",
  IF(50*BF116*1000/3000+BG116&gt;75,"soil limit likely to be exceeded in 50yrs","ok"))))),
IF('Soil results'!F119&gt;7,
  IF(BG116&gt;100,"no application - soil conc. already above limit",
  IF(BH116&gt;100,"application rate too high - soil conc. will exceed limit",
  IF(BG116&gt;100*0.9,"soil conc. is at or above 90% of the limit",
  IF(10*BF116*1000/3000+BG116&gt;100,"soil limit likely to be exceeded in 10yrs",
  IF(50*BF116*1000/3000+BG116&gt;100,"soil limit likely to beexceeded in 50yrs","ok")))))
))))))))</f>
        <v/>
      </c>
      <c r="BJ116" s="9"/>
      <c r="BK116" s="240" t="str">
        <f ca="1">IF(B116="","",
IF(AND('Field information 2'!$O$5="", 'Field information 2'!$Q$5=""),
   IF('Waste results'!$S$30&lt;&gt;"data missing", Calc!BC114*'Waste results'!$S$30, "data missing"),
IF('Field information 2'!$Q$5="",
   IF(Calc!BD114=0,
     IF('Waste results'!$S$30&lt;&gt;"data missing", Calc!BC114*'Waste results'!$S$30, "data missing"),
   IF(Calc!BC114=0,
     IF('Waste results'!$S$66&lt;&gt;"data missing", Calc!BD114*'Waste results'!$S$66, "data missing"),
   IF(OR('Waste results'!$S$30&lt;&gt;"data missing", 'Waste results'!$S$66&lt;&gt;"data missing"), Calc!BC114*'Waste results'!$S$30+ Calc!BD114*'Waste results'!$S$66, "data missing"))),
IF(AND('Field information 2'!$M$5&lt;&gt;"", 'Field information 2'!$O$5&lt;&gt;"", 'Field information 2'!$Q$5&lt;&gt;""),
   IF(AND(Calc!BD114=0,Calc!BE114=0),
     IF('Waste results'!$S$30&lt;&gt;"data missing", Calc!BC114*'Waste results'!$S$30, "data missing"),
   IF(AND(Calc!BC114=0,Calc!BE114=0),
     IF('Waste results'!$S$66&lt;&gt;"data missing", Calc!BD114*'Waste results'!$S$66, "data missing"),
   IF(AND(Calc!BC114=0,Calc!BD114=0),
     IF('Waste results'!$S$102&lt;&gt;"data missing", Calc!BE114*'Waste results'!$S$102, "data missing"),
   IF(Calc!BE114=0,
     IF(OR('Waste results'!$S$30&lt;&gt;"data missing", 'Waste results'!$S$66&lt;&gt;"data missing"), Calc!BC114*'Waste results'!$S$30+ Calc!BD114*'Waste results'!$S$66, "data missing"),
   IF(Calc!BD114=0,
     IF(OR('Waste results'!$S$30&lt;&gt;"data missing", 'Waste results'!$S$102&lt;&gt;"data missing"), Calc!BC114*'Waste results'!$S$30+ Calc!BE114*'Waste results'!$S$102, "data missing"),
   IF(Calc!BC114=0,
     IF(OR('Waste results'!$S$66&lt;&gt;"data missing", 'Waste results'!$S$102&lt;&gt;"data missing"), Calc!BD114*'Waste results'!$S$66+Calc!BE114*'Waste results'!$S$102, "data missing"),
   IF(OR('Waste results'!$S$30&lt;&gt;"data missing", 'Waste results'!$S$66&lt;&gt;"data missing", 'Waste results'!$S$102&lt;&gt;"data missing"), Calc!BC114*'Waste results'!$S$30+Calc!BD114*'Waste results'!$S$66+ Calc!BE114*'Waste results'!$S$102, "data missing")))))))))))</f>
        <v/>
      </c>
      <c r="BL116" s="241" t="str">
        <f ca="1">IF($B116="","",
IF(ISBLANK('Soil results'!P119),"data missing",'Soil results'!P119))</f>
        <v/>
      </c>
      <c r="BM116" s="241" t="str">
        <f t="shared" ca="1" si="48"/>
        <v/>
      </c>
      <c r="BN116" s="66" t="str">
        <f t="shared" ca="1" si="49"/>
        <v/>
      </c>
      <c r="BO116" s="9"/>
      <c r="BP116" s="238" t="str">
        <f ca="1">IF(B116="","",
IF(AND('Field information 2'!$O$5="", 'Field information 2'!$Q$5=""),
   IF('Waste results'!$S$31&lt;&gt;"data missing", Calc!BC114*'Waste results'!$S$31, "data missing"),
IF('Field information 2'!$Q$5="",
   IF(Calc!BD114=0,
     IF('Waste results'!$S$31&lt;&gt;"data missing", Calc!BC114*'Waste results'!$S$31, "data missing"),
   IF(Calc!BC114=0,
     IF('Waste results'!$S$67&lt;&gt;"data missing", Calc!BD114*'Waste results'!$S$67, "data missing"),
   IF(OR('Waste results'!$S$31&lt;&gt;"data missing", 'Waste results'!$S$67&lt;&gt;"data missing"), Calc!BC114*'Waste results'!$S$31+ Calc!BD114*'Waste results'!$S$67, "data missing"))),
IF(AND('Field information 2'!$M$5&lt;&gt;"", 'Field information 2'!$O$5&lt;&gt;"", 'Field information 2'!$Q$5&lt;&gt;""),
   IF(AND(Calc!BD114=0,Calc!BE114=0),
     IF('Waste results'!$S$31&lt;&gt;"data missing", Calc!BC114*'Waste results'!$S$31, "data missing"),
   IF(AND(Calc!BC114=0,Calc!BE114=0),
     IF('Waste results'!$S$67&lt;&gt;"data missing", Calc!BD114*'Waste results'!$S$67, "data missing"),
   IF(AND(Calc!BC114=0,Calc!BD114=0),
     IF('Waste results'!$S$103&lt;&gt;"data missing", Calc!BE114*'Waste results'!$S$103, "data missing"),
   IF(Calc!BE114=0,
     IF(OR('Waste results'!$S$31&lt;&gt;"data missing", 'Waste results'!$S$67&lt;&gt;"data missing"), Calc!BC114*'Waste results'!$S$31+ Calc!BD114*'Waste results'!$S$67, "data missing"),
   IF(Calc!BD114=0,
     IF(OR('Waste results'!$S$31&lt;&gt;"data missing", 'Waste results'!$S$103&lt;&gt;"data missing"), Calc!BC114*'Waste results'!$S$31+ Calc!BE114*'Waste results'!$S$103, "data missing"),
   IF(Calc!BC114=0,
     IF(OR('Waste results'!$S$67&lt;&gt;"data missing", 'Waste results'!$S$103&lt;&gt;"data missing"), Calc!BD114*'Waste results'!$S$67+Calc!BE114*'Waste results'!$S$103, "data missing"),
   IF(OR('Waste results'!$S$31&lt;&gt;"data missing", 'Waste results'!$S$67&lt;&gt;"data missing", 'Waste results'!$S$103&lt;&gt;"data missing"), Calc!BC114*'Waste results'!$S$31+Calc!BD114*'Waste results'!$S$67+ Calc!BE114*'Waste results'!$S$103, "data missing")))))))))))</f>
        <v/>
      </c>
      <c r="BQ116" s="239" t="str">
        <f ca="1">IF($B116="","",
IF(ISBLANK('Soil results'!Q119),"data missing",'Soil results'!Q119))</f>
        <v/>
      </c>
      <c r="BR116" s="239" t="str">
        <f t="shared" ca="1" si="50"/>
        <v/>
      </c>
      <c r="BS116" s="9" t="str">
        <f ca="1">IF(B116="","",
IF(BP116=0,"n/a",
IF(OR(BP116="data missing",BQ116=""),"data missing",
IF(BP116&gt;15,"application rate too high - permissible rate exceeds limit",
IF('Soil results'!F119&lt;=5.5,
  IF(BQ116&gt;200,"no application - soil conc. already above limit",
  IF(BR116&gt;200,"application rate too high - soil conc. will exceed limit",
  IF(BQ116&gt;200*0.9,"soil conc. is at or above 90% of the limit",
  IF(10*BP116*1000/3000+BQ116&gt;200,"soil limit likely to be exceeded in 10yrs",
  IF(50*BP116*1000/3000+BQ116&gt;200,"soil limit likely to be exceeded in 50yrs","ok"))))),
IF('Soil results'!F119&lt;=6,
  IF(BQ116&gt;250,"no application - soil conc. already above limit",
  IF(BR116&gt;250,"application rate too high - soil conc. will exceed limit",
  IF(BQ116&gt;250*0.9,"soil conc. is at or above 90% of the limit",
  IF(10*BP116*1000/3000+BQ116&gt;250,"soil limit likely to be exceeded in 10yrs",
  IF(50*BP116*1000/3000+BQ116&gt;250,"soil limit likely to be exceeded in 50yrs","ok"))))),
IF('Soil results'!F119&lt;=7,
  IF(BQ116&gt;300,"no application - soil conc. already above limit",
  IF(BR116&gt;300,"application rate too high - soil conc. will exceed limit",
  IF(BQ116&gt;300*0.9,"soil conc. is at or above 90% of the limit",
  IF(10*BP116*1000/3000+BQ116&gt;300,"soil limit likey to be exceeded in 10yrs",
  IF(50*BP116*1000/3000+BQ116&gt;300,"soil limit likely to be exceeded in 50yrs","ok"))))),
IF('Soil results'!F119&gt;7,
  IF(BQ116&gt;450,"no application - soil conc. already above limit",
  IF(BR116&gt;450,"application rate too high - soil conc. will exceed limit",
  IF(AW116&gt;450*0.9,"soil conc. is at or above 90% of the limit",
  IF(10*BP116*1000/3000+BQ116&gt;450,"soil limit likely to be exceeded in 10yrs",
  IF(50*BP116*1000/3000+BQ116&gt;450,"soil limit likely to be exceeded in 50yrs","ok")))))
))))))))</f>
        <v/>
      </c>
    </row>
    <row r="117" spans="2:71" ht="15" x14ac:dyDescent="0.25">
      <c r="B117" s="236" t="str">
        <f ca="1">'Soil results'!B120</f>
        <v/>
      </c>
      <c r="C117" s="91" t="str">
        <f ca="1">IF(B117="","",
IF(AND('Field information 2'!$O$5="", 'Field information 2'!$Q$5=""),
   IF('Waste results'!$S$12&lt;&gt;"data missing", Calc!BC115*'Waste results'!$S$12, "data missing"),
IF('Field information 2'!$Q$5="",
   IF(Calc!BD115=0,
     IF('Waste results'!$S$12&lt;&gt;"data missing", Calc!BC115*'Waste results'!$S$12, "data missing"),
   IF(Calc!BC115=0,
     IF('Waste results'!$S$48&lt;&gt;"data missing", Calc!BD115*'Waste results'!$S$48, "data missing"),
   IF(OR('Waste results'!$S$12&lt;&gt;"data missing", 'Waste results'!$S$48&lt;&gt;"data missing"), Calc!BC115*'Waste results'!$S$12+ Calc!BD115*'Waste results'!$S$48, "data missing"))),
IF(AND('Field information 2'!$M$5&lt;&gt;"", 'Field information 2'!$O$5&lt;&gt;"", 'Field information 2'!$Q$5&lt;&gt;""),
   IF(AND(Calc!BD115=0,Calc!BE115=0),
     IF('Waste results'!$S$12&lt;&gt;"data missing", Calc!BC115*'Waste results'!$S$12, "data missing"),
   IF(AND(Calc!BC115=0,Calc!BE115=0),
     IF('Waste results'!$S$48&lt;&gt;"data missing", Calc!BD115*'Waste results'!$S$48, "data missing"),
   IF(AND(Calc!BC115=0,Calc!BD115=0),
     IF('Waste results'!$S$84&lt;&gt;"data missing", Calc!BE115*'Waste results'!$S$84, "data missing"),
   IF(Calc!BE115=0,
     IF(OR('Waste results'!$S$12&lt;&gt;"data missing", 'Waste results'!$S$48&lt;&gt;"data missing"), Calc!BC115*'Waste results'!$S$12+ Calc!BD115*'Waste results'!$S$48, "data missing"),
   IF(Calc!BD115=0,
     IF(OR('Waste results'!$S$12&lt;&gt;"data missing", 'Waste results'!$S$84&lt;&gt;"data missing"), Calc!BC115*'Waste results'!$S$12+ Calc!BE115*'Waste results'!$S$84, "data missing"),
   IF(Calc!BC115=0,
     IF(OR('Waste results'!$S$48&lt;&gt;"data missing", 'Waste results'!$S$84&lt;&gt;"data missing"), Calc!BD115*'Waste results'!$S$48+Calc!BE115*'Waste results'!$S$84, "data missing"),
   IF(OR('Waste results'!$S$12&lt;&gt;"data missing", 'Waste results'!$S$48&lt;&gt;"data missing", 'Waste results'!$S$84&lt;&gt;"data missing"), Calc!BC115*'Waste results'!$S$12+Calc!BD115*'Waste results'!$S$48+ Calc!BE115*'Waste results'!$S$84, "data missing")))))))))))</f>
        <v/>
      </c>
      <c r="D117" s="161" t="str">
        <f ca="1">IF(B117="","",
IF(Calc!BG115="","soil texture missing",
IF(OR(Calc!BG115="SL; SZL; ZL",Calc!BG115="SCL; CL; ZCL; SC; ZC; C"),VLOOKUP(Calc!BI115,'Fertiliser recommendations'!$A$4:$C$63,3,FALSE),
IF(Calc!BG115="S; LS",VLOOKUP(Calc!BI115,'Fertiliser recommendations'!$A$4:$C$63,3,FALSE)+VLOOKUP(Calc!BI115,'Fertiliser recommendations'!$A$4:$D$63,4,FALSE),
IF(Calc!BG115="10-25% OM",VLOOKUP(Calc!BI115,'Fertiliser recommendations'!$A$4:$C$63,3,FALSE)+VLOOKUP(Calc!BI115,'Fertiliser recommendations'!$A$4:$E$63,5,FALSE),
IF(Calc!BG115="&gt;25% OM",VLOOKUP(Calc!BI115,'Fertiliser recommendations'!$A$4:$C$63,3,FALSE)+VLOOKUP(Calc!BI115,'Fertiliser recommendations'!$A$4:$F$63,6,FALSE),
""))))))</f>
        <v/>
      </c>
      <c r="E117" s="91" t="str">
        <f t="shared" ca="1" si="34"/>
        <v/>
      </c>
      <c r="F117" s="9" t="str">
        <f ca="1">IF(B117="","",
IF(OR(C117="data missing",D117="soil texture missing"),"data missing",
IF(Calc!BF115=0,"n/a",
IF(C117&lt;0.1*D117,"no benefit",
IF(C117&lt;0.3*D117,"limited benefit",
IF(C117&gt;250,"exceeds limit",
IF(OR(AND(D117=0,C117&gt;75),C117&gt;1.25*D117),"excessive",
IF(D117=0, "no requirement",
"benefit"))))))))</f>
        <v/>
      </c>
      <c r="G117" s="9"/>
      <c r="H117" s="91" t="str">
        <f ca="1">IF(B117="","",
IF(AND('Field information 2'!$O$5="", 'Field information 2'!$Q$5=""),
   IF('Waste results'!$S$17&lt;&gt;"data missing", Calc!BC115*'Waste results'!$S$17, "data missing"),
IF('Field information 2'!$Q$5="",
   IF(Calc!BD115=0,
     IF('Waste results'!$S$17&lt;&gt;"data missing", Calc!BC115*'Waste results'!$S$17, "data missing"),
   IF(Calc!BC115=0,
     IF('Waste results'!$S$53&lt;&gt;"data missing", Calc!BD115*'Waste results'!$S$53, "data missing"),
   IF(OR('Waste results'!$S$17&lt;&gt;"data missing", 'Waste results'!$S$53&lt;&gt;"data missing"), Calc!BC115*'Waste results'!$S$17+ Calc!BD115*'Waste results'!$S$53, "data missing"))),
IF(AND('Field information 2'!$M$5&lt;&gt;"", 'Field information 2'!$O$5&lt;&gt;"", 'Field information 2'!$Q$5&lt;&gt;""),
   IF(AND(Calc!BD115=0,Calc!BE115=0),
     IF('Waste results'!$S$17&lt;&gt;"data missing", Calc!BC115*'Waste results'!$S$17, "data missing"),
   IF(AND(Calc!BC115=0,Calc!BE115=0),
     IF('Waste results'!$S$53&lt;&gt;"data missing", Calc!BD115*'Waste results'!$S$53, "data missing"),
   IF(AND(Calc!BC115=0,Calc!BD115=0),
     IF('Waste results'!$S$89&lt;&gt;"data missing", Calc!BE115*'Waste results'!$S$89, "data missing"),
   IF(Calc!BE115=0,
     IF(OR('Waste results'!$S$17&lt;&gt;"data missing", 'Waste results'!$S$53&lt;&gt;"data missing"), Calc!BC115*'Waste results'!$S$17+ Calc!BD115*'Waste results'!$S$53, "data missing"),
   IF(Calc!BD115=0,
     IF(OR('Waste results'!$S$17&lt;&gt;"data missing", 'Waste results'!$S$89&lt;&gt;"data missing"), Calc!BC115*'Waste results'!$S$17+ Calc!BE115*'Waste results'!$S$89, "data missing"),
   IF(Calc!BC115=0,
     IF(OR('Waste results'!$S$53&lt;&gt;"data missing", 'Waste results'!$S$89&lt;&gt;"data missing"), Calc!BD115*'Waste results'!$S$53+Calc!BE115*'Waste results'!$S$89, "data missing"),
   IF(OR('Waste results'!$S$17&lt;&gt;"data missing", 'Waste results'!$S$53&lt;&gt;"data missing", 'Waste results'!$S$89&lt;&gt;"data missing"), Calc!BC115*'Waste results'!$S$17+Calc!BD115*'Waste results'!$S$53+ Calc!BE115*'Waste results'!$S$89, "data missing")))))))))))</f>
        <v/>
      </c>
      <c r="I117" s="195" t="str">
        <f ca="1">IF(B117="","",
IF(OR(ISBLANK('Soil results'!G120), ISBLANK('Soil results'!G$7)),"data missing",
IF(OR(AND('Soil results'!G$7="Olsen (ADAS)",'Soil results'!G120&lt;16),AND('Soil results'!G$7="modified Morgan (SAC)",'Soil results'!G120&lt;4.5)),50,100)))</f>
        <v/>
      </c>
      <c r="J117" s="49" t="str">
        <f ca="1">IF(B117="","",
IF(OR(ISBLANK('Soil results'!G$7),ISBLANK('Soil results'!G120)),"data missing",
IF(OR(AND('Soil results'!G$7="Olsen (ADAS)",'Soil results'!G120&gt;45),AND('Soil results'!G$7="modified Morgan (SAC)",'Soil results'!G120&gt;30)),0,
IF(OR(AND('Soil results'!G$7="Olsen (ADAS)",'Soil results'!G120&gt;=16,'Soil results'!G120&lt;=20),AND('Soil results'!G$7="modified Morgan (SAC)",'Soil results'!G120&gt;=4.5,'Soil results'!G120&lt;=9.4)),VLOOKUP(Calc!BI115,'Fertiliser recommendations'!$A$4:$I$63,9,FALSE),
IF(OR(AND('Soil results'!G$7="Olsen (ADAS)",'Soil results'!G120&lt;10),AND('Soil results'!G$7="modified Morgan (SAC)",'Soil results'!G120&lt;1.8)),VLOOKUP(Calc!BI115,'Fertiliser recommendations'!$A$4:$I$63,9,FALSE)+VLOOKUP(Calc!BI115,'Fertiliser recommendations'!$A$4:$J$63,10,FALSE),
IF(OR(AND('Soil results'!G$7="Olsen (ADAS)",'Soil results'!G120&lt;16),AND('Soil results'!G$7="modified Morgan (SAC)",'Soil results'!G120&lt;4.5)),VLOOKUP(Calc!BI115,'Fertiliser recommendations'!$A$4:$I$63,9,FALSE)+VLOOKUP(Calc!BI115,'Fertiliser recommendations'!$A$4:$K$63,11,FALSE),
IF(OR(AND('Soil results'!G$7="Olsen (ADAS)",'Soil results'!G120&lt;26),AND('Soil results'!G$7="modified Morgan (SAC)",'Soil results'!G120&lt;13.5)),VLOOKUP(Calc!BI115,'Fertiliser recommendations'!$A$4:$I$63,9,FALSE)+VLOOKUP(Calc!BI115,'Fertiliser recommendations'!$A$4:$L$63,12,FALSE),
IF(OR(AND('Soil results'!G$7="Olsen (ADAS)",'Soil results'!G120&lt;=45),AND('Soil results'!G$7="modified Morgan (SAC)",'Soil results'!G120&lt;=30)),VLOOKUP(Calc!BI115,'Fertiliser recommendations'!$A$4:$I$63,9,FALSE)+VLOOKUP(Calc!BI115,'Fertiliser recommendations'!$A$4:$M$63,13,FALSE),
""))))))))</f>
        <v/>
      </c>
      <c r="K117" s="161" t="str">
        <f t="shared" ca="1" si="35"/>
        <v/>
      </c>
      <c r="L117" s="47" t="str">
        <f ca="1">IF(OR(ISBLANK('Soil results'!G$7),ISBLANK('Soil results'!G120),B117="", H117="data missing"),"",
IF('Soil results'!G$7="Olsen (ADAS)",
IF(((H117*Calc!BM115/2.291-(VLOOKUP(Calc!BI115,'Fertiliser recommendations'!$A$4:$I$63,9,FALSE))/2.291)*10/(400/2.291)+'Soil results'!G120)&lt;10,"0 (VL)",
IF(((H117*Calc!BM115/2.291-(VLOOKUP(Calc!BI115,'Fertiliser recommendations'!$A$4:$I$63,9,FALSE))/2.291)*10/(400/2.291)+'Soil results'!G120)&lt;16,"1 (L)",
IF(((H117*Calc!BM115/2.291-(VLOOKUP(Calc!BI115,'Fertiliser recommendations'!$A$4:$I$63,9,FALSE))/2.291)*10/(400/2.291)+'Soil results'!G120)&lt;21,"2 (M-)",
IF(((H117*Calc!BM115/2.291-(VLOOKUP(Calc!BI115,'Fertiliser recommendations'!$A$4:$I$63,9,FALSE))/2.291)*10/(400/2.291)+'Soil results'!G120)&lt;26,"2 (M+)",
IF(((H117*Calc!BM115/2.291-(VLOOKUP(Calc!BI115,'Fertiliser recommendations'!$A$4:$I$63,9,FALSE))/2.291)*10/(400/2.291)+'Soil results'!G120)&lt;45,"3 (H)","&gt;3 (VH)"))))),
IF('Soil results'!G$7="modified Morgan (SAC)",
IF('Soil results'!G120&gt;=6,
IF(((H117*Calc!BM115/2.291-(VLOOKUP(Calc!BI115,'Fertiliser recommendations'!$A$4:$I$63,9,FALSE))/2.291)*5/(147/2.291)+'Soil results'!G120)&lt;9.5,"2 (M-)",
IF(((H117*Calc!BM115/2.291-(VLOOKUP(Calc!BI115,'Fertiliser recommendations'!$A$4:$I$63,9,FALSE))/2.291)*5/(147/2.291)+'Soil results'!G120)&lt;13.5,"2 (M+)",
IF(((H117*Calc!BM115/2.291-(VLOOKUP(Calc!BI115,'Fertiliser recommendations'!$A$4:$I$63,9,FALSE))/2.291)*5/(147/2.291)+'Soil results'!G120)&lt;30,"3 (H)","4 (VH)"))),
IF(((H117*Calc!BM115/2.291-(VLOOKUP(Calc!BI115,'Fertiliser recommendations'!$A$4:$I$63,9,FALSE))/2.291)*5/(346/2.291)+'Soil results'!G120)&lt;1.8,"0 (VL)",
IF(((H117*Calc!BM115/2.291-(VLOOKUP(Calc!BI115,'Fertiliser recommendations'!$A$4:$I$63,9,FALSE))/2.291)*5/(147/2.291)+'Soil results'!G120)&lt;4.5,"1 (L)","2 (M-)"))))))</f>
        <v/>
      </c>
      <c r="M117" s="9" t="str">
        <f ca="1">IF(B117="","",
IF(OR(H117="data missing",I117="data missing",J117="data missing"),"data missing",
IF(Calc!BF115=0,"n/a",
IF(OR(AND('Soil results'!G$7="Olsen (ADAS)",'Soil results'!G120&gt;45),AND('Soil results'!G$7="modified Morgan (SAC)",'Soil results'!G120&gt;30)),
IF(H117&gt;2,"too high, not acceptable","no requirement"),IF(OR(AND('Soil results'!G$7="Olsen (ADAS)",'Soil results'!G120&gt;25),AND('Soil results'!G$7="modified Morgan (SAC)",'Soil results'!G120&gt;13.4)),
IF(H117*(I117/100)&lt;0.1*J117,"no benefit",
IF(H117*(I117/100)&lt;0.3*J117,"limited benefit",
IF(H117*(I117/100)&lt;1.1*J117,"benefit",
IF(H117*(I117/100)&lt;0.7*VLOOKUP(Calc!BI115,'Fertiliser recommendations'!$A$4:$I$63,9,FALSE),"excessive","too high, not acceptable")))),
IF(OR(AND('Soil results'!G$7="Olsen (ADAS)",'Soil results'!G120&gt;20),AND('Soil results'!G$7="modified Morgan (SAC)",'Soil results'!G120&gt;9.4)),
IF(H117*Calc!BM115*(I117/100)&lt;0.1*J117,"no benefit",
IF(H117*Calc!BM115*(I117/100)&lt;0.3*J117,"limited benefit",
IF(H117*Calc!BM115*(I117/100)&lt;1.1*J117,"benefit",
IF(L117="3 (H)","too high, not acceptable","excessive")))),
IF(OR(AND('Soil results'!G$7="Olsen (ADAS)",'Soil results'!G120&gt;15),AND('Soil results'!G$7="modified Morgan (SAC)",'Soil results'!G120&gt;4.4)),
IF(H117*Calc!BM115*(I117/100)&lt;0.1*VLOOKUP(Calc!BI115,'Fertiliser recommendations'!$A$4:$I$63,9,FALSE),"no benefit",
IF(H117*Calc!BM115*(I117/100)&lt;0.3*VLOOKUP(Calc!BI115,'Fertiliser recommendations'!$A$4:$I$63,9,FALSE),"limited benefit",
IF(H117*Calc!BM115*(I117/100)&lt;1.1*VLOOKUP(Calc!BI115,'Fertiliser recommendations'!$A$4:$I$63,9,FALSE),"benefit",
IF(L117="3 (H)", "too high, not acceptable", "excessive")))),
IF(OR(AND('Soil results'!G$7="Olsen (ADAS)",'Soil results'!G120&lt;=15),AND('Soil results'!G$7="modified Morgan (SAC)",'Soil results'!G120&lt;=4.4)),
IF(H117*Calc!BM115*(I117/100)&lt;0.1*VLOOKUP(Calc!BI115,'Fertiliser recommendations'!$A$4:$I$63,9,FALSE),"no benefit",
IF(H117*Calc!BM115*(I117/100)&lt;0.3*VLOOKUP(Calc!BI115,'Fertiliser recommendations'!$A$4:$I$63,9,FALSE),"limited benefit",
IF(H117*Calc!BM115*(I117/100)&lt;1.1*J117,"benefit","excessive")))))))))))</f>
        <v/>
      </c>
      <c r="N117" s="9"/>
      <c r="O117" s="91" t="str">
        <f ca="1">IF(B117="","",
IF(AND('Field information 2'!$O$5="", 'Field information 2'!$Q$5=""),
   IF('Waste results'!$S$19&lt;&gt;"data missing", Calc!BC115*'Waste results'!$S$19, "data missing"),
IF('Field information 2'!$Q$5="",
   IF(Calc!BD115=0,
     IF('Waste results'!$S$19&lt;&gt;"data missing", Calc!BC115*'Waste results'!$S$19, "data missing"),
   IF(Calc!BC115=0,
     IF('Waste results'!$S$55&lt;&gt;"data missing", Calc!BD115*'Waste results'!$S$55, "data missing"),
   IF(OR('Waste results'!$S$19&lt;&gt;"data missing", 'Waste results'!$S$55&lt;&gt;"data missing"), Calc!BC115*'Waste results'!$S$19+ Calc!BD115*'Waste results'!$S$55, "data missing"))),
IF(AND('Field information 2'!$M$5&lt;&gt;"", 'Field information 2'!$O$5&lt;&gt;"", 'Field information 2'!$Q$5&lt;&gt;""),
   IF(AND(Calc!BD115=0,Calc!BE115=0),
     IF('Waste results'!$S$19&lt;&gt;"data missing", Calc!BC115*'Waste results'!$S$19, "data missing"),
   IF(AND(Calc!BC115=0,Calc!BE115=0),
     IF('Waste results'!$S$55&lt;&gt;"data missing", Calc!BD115*'Waste results'!$S$55, "data missing"),
   IF(AND(Calc!BC115=0,Calc!BD115=0),
     IF('Waste results'!$S$91&lt;&gt;"data missing", Calc!BE115*'Waste results'!$S$91, "data missing"),
   IF(Calc!BE115=0,
     IF(OR('Waste results'!$S$19&lt;&gt;"data missing", 'Waste results'!$S$55&lt;&gt;"data missing"), Calc!BC115*'Waste results'!$S$19+ Calc!BD115*'Waste results'!$S$55, "data missing"),
   IF(Calc!BD115=0,
     IF(OR('Waste results'!$S$19&lt;&gt;"data missing", 'Waste results'!$S$91&lt;&gt;"data missing"), Calc!BC115*'Waste results'!$S$19+ Calc!BE115*'Waste results'!$S$91, "data missing"),
   IF(Calc!BC115=0,
     IF(OR('Waste results'!$S$55&lt;&gt;"data missing", 'Waste results'!$S$91&lt;&gt;"data missing"), Calc!BD115*'Waste results'!$S$55+Calc!BE115*'Waste results'!$S$91, "data missing"),
   IF(OR('Waste results'!$S$19&lt;&gt;"data missing", 'Waste results'!$S$55&lt;&gt;"data missing", 'Waste results'!$S$91&lt;&gt;"data missing"), Calc!BC115*'Waste results'!$S$19+Calc!BD115*'Waste results'!$S$55+ Calc!BE115*'Waste results'!$S$91, "data missing")))))))))))</f>
        <v/>
      </c>
      <c r="P117" s="91" t="str">
        <f ca="1">IF(B117="","",
IF(OR(ISBLANK('Soil results'!H$7),ISBLANK('Soil results'!H120)),"data missing",
IF(OR(AND('Soil results'!H$7="ammonium nitrate (ADAS)",'Soil results'!H120&gt;400),AND('Soil results'!H$7="modified Morgan (SAC)",'Soil results'!H120&gt;400)),0,
IF(OR(AND('Soil results'!H$7="ammonium nitrate (ADAS)",'Soil results'!H120&gt;=121,'Soil results'!H120&lt;=180),AND('Soil results'!H$7="modified Morgan (SAC)",'Soil results'!H120&gt;=76,'Soil results'!H120&lt;=140)),VLOOKUP(Calc!BI115,'Fertiliser recommendations'!$A$4:$Z$63,26,FALSE),
IF(OR(AND('Soil results'!H$7="ammonium nitrate (ADAS)",'Soil results'!H120&lt;61),AND('Soil results'!H$7="modified Morgan (SAC)",'Soil results'!H120&lt;40)),VLOOKUP(Calc!BI115,'Fertiliser recommendations'!$A$4:$Z$63,26,FALSE)+VLOOKUP(Calc!BI115,'Fertiliser recommendations'!$A$4:$AA$63,27,FALSE),
IF(OR(AND('Soil results'!H$7="ammonium nitrate (ADAS)",'Soil results'!H120&lt;121),AND('Soil results'!H$7="modified Morgan (SAC)",'Soil results'!H120&lt;76)),VLOOKUP(Calc!BI115,'Fertiliser recommendations'!$A$4:$Z$63,26,FALSE)+VLOOKUP(Calc!BI115,'Fertiliser recommendations'!$A$4:$AB$63,28,FALSE),
IF(OR(AND('Soil results'!H$7="ammonium nitrate (ADAS)",'Soil results'!H120&lt;241),AND('Soil results'!H$7="modified Morgan (SAC)",'Soil results'!H120&lt;201)),VLOOKUP(Calc!BI115,'Fertiliser recommendations'!$A$4:$Z$63,26,FALSE)+VLOOKUP(Calc!BI115,'Fertiliser recommendations'!$A$4:$AC$63,29,FALSE),
IF(OR(AND('Soil results'!H$7="ammonium nitrate (ADAS)",'Soil results'!H120&lt;=400),AND('Soil results'!H$7="modified Morgan (SAC)",'Soil results'!H120&lt;=400)),VLOOKUP(Calc!BI115,'Fertiliser recommendations'!$A$4:$Z$63,26,FALSE)+VLOOKUP(Calc!BI115,'Fertiliser recommendations'!$A$4:$AD$63,30,FALSE),
"??"))))))))</f>
        <v/>
      </c>
      <c r="Q117" s="91" t="str">
        <f t="shared" ca="1" si="36"/>
        <v/>
      </c>
      <c r="R117" s="9" t="str">
        <f ca="1">IF(B117="","",
IF(OR(O117="data missing",P117="data missing"),"data missing",
IF(Calc!BF115=0,"n/a",
IF(P117=0, "no requirement",
IF(O117&lt;0.1*P117,"no benefit",
IF(O117&lt;0.3*P117,"limited benefit",
IF(O117&gt;1.25*P117,"excessive",
"benefit")))))))</f>
        <v/>
      </c>
      <c r="S117" s="9"/>
      <c r="T117" s="91" t="str">
        <f ca="1">IF(B117="","",
IF(AND('Field information 2'!$O$5="", 'Field information 2'!$Q$5=""),
   IF('Waste results'!$S$21&lt;&gt;"data missing", Calc!BC115*'Waste results'!$S$21, "data missing"),
IF('Field information 2'!$Q$5="",
   IF(Calc!BD115=0,
     IF('Waste results'!$S$21&lt;&gt;"data missing", Calc!BC115*'Waste results'!$S$21, "data missing"),
   IF(Calc!BC115=0,
     IF('Waste results'!$S$57&lt;&gt;"data missing", Calc!BD115*'Waste results'!$S$57, "data missing"),
   IF(OR('Waste results'!$S$21&lt;&gt;"data missing", 'Waste results'!$S$57&lt;&gt;"data missing"), Calc!BC115*'Waste results'!$S$21+ Calc!BD115*'Waste results'!$S$57, "data missing"))),
IF(AND('Field information 2'!$M$5&lt;&gt;"", 'Field information 2'!$O$5&lt;&gt;"", 'Field information 2'!$Q$5&lt;&gt;""),
   IF(AND(Calc!BD115=0,Calc!BE115=0),
     IF('Waste results'!$S$21&lt;&gt;"data missing", Calc!BC115*'Waste results'!$S$21, "data missing"),
   IF(AND(Calc!BC115=0,Calc!BE115=0),
     IF('Waste results'!$S$57&lt;&gt;"data missing", Calc!BD115*'Waste results'!$S$57, "data missing"),
   IF(AND(Calc!BC115=0,Calc!BD115=0),
     IF('Waste results'!$S$93&lt;&gt;"data missing", Calc!BE115*'Waste results'!$S$93, "data missing"),
   IF(Calc!BE115=0,
     IF(OR('Waste results'!$S$21&lt;&gt;"data missing", 'Waste results'!$S$57&lt;&gt;"data missing"), Calc!BC115*'Waste results'!$S$21+ Calc!BD115*'Waste results'!$S$57, "data missing"),
   IF(Calc!BD115=0,
     IF(OR('Waste results'!$S$21&lt;&gt;"data missing", 'Waste results'!$S$93&lt;&gt;"data missing"), Calc!BC115*'Waste results'!$S$21+ Calc!BE115*'Waste results'!$S$93, "data missing"),
   IF(Calc!BC115=0,
     IF(OR('Waste results'!$S$57&lt;&gt;"data missing", 'Waste results'!$S$93&lt;&gt;"data missing"), Calc!BD115*'Waste results'!$S$57+Calc!BE115*'Waste results'!$S$93, "data missing"),
   IF(OR('Waste results'!$S$21&lt;&gt;"data missing", 'Waste results'!$S$57&lt;&gt;"data missing", 'Waste results'!$S$93&lt;&gt;"data missing"), Calc!BC115*'Waste results'!$S$21+Calc!BD115*'Waste results'!$S$57+ Calc!BE115*'Waste results'!$S$93, "data missing")))))))))))</f>
        <v/>
      </c>
      <c r="U117" s="7" t="str">
        <f ca="1">IF(B117="","",
IF(OR(ISBLANK('Soil results'!I$7),ISBLANK('Soil results'!I120)),"data missing",
IF(OR(AND('Soil results'!I$7="ammonium nitrate (ADAS)",'Soil results'!I120&gt;51),AND('Soil results'!I$7="modified Morgan (SAC)",'Soil results'!I120&gt;61)),0,
IF(OR(AND('Soil results'!I$7="ammonium nitrate (ADAS)",'Soil results'!I120&lt;25),AND('Soil results'!I$7="modified Morgan (SAC)",'Soil results'!I120&lt;19)),VLOOKUP(Calc!BI115,'Fertiliser recommendations'!$A$4:$AH$63,34,FALSE),
IF(OR(AND('Soil results'!I$7="ammonium nitrate (ADAS)",'Soil results'!I120&lt;=51),AND('Soil results'!I$7="modified Morgan (SAC)",'Soil results'!I120&lt;=61)),VLOOKUP(Calc!BI115,'Fertiliser recommendations'!$A$4:$AI$63,35,FALSE),
"")))))</f>
        <v/>
      </c>
      <c r="V117" s="91" t="str">
        <f t="shared" ca="1" si="37"/>
        <v/>
      </c>
      <c r="W117" s="9" t="str">
        <f ca="1">IF(B117="","",
IF(OR(T117="data missing",U117="data missing"),"data missing",
IF(Calc!BF115=0,"n/a",
IF(U117=0,"no requirement",
IF(T117&lt;0.1*U117,"no benefit",
IF(T117&lt;0.3*U117,"limited benefit",
IF(OR(T117&gt;1.5*U117,AND(Calc!BJ115="g",T117&gt;100)),"excessive",
"benefit")))))))</f>
        <v/>
      </c>
      <c r="X117" s="9"/>
      <c r="Y117" s="91" t="str">
        <f ca="1">IF(B117="","",
IF(AND('Field information 2'!$O$5="", 'Field information 2'!$Q$5=""),
   IF('Waste results'!$P$23&lt;&gt;"", Calc!BC115*'Waste results'!$P$23, "no data"),
IF('Field information 2'!$Q$5="",
   IF(Calc!BD115=0,
     IF('Waste results'!$P$23&lt;&gt;"", Calc!BC115*'Waste results'!$P$23, "no data"),
   IF(Calc!BC115=0,
     IF('Waste results'!$P$59&lt;&gt;"", Calc!BD115*'Waste results'!$P$59, "no data"),
   IF(OR('Waste results'!$P$23&lt;&gt;"", 'Waste results'!$P$59&lt;&gt;""), Calc!BC115*'Waste results'!$P$23+ Calc!BD115*'Waste results'!$P$59, "no data"))),
IF(AND('Field information 2'!$M$5&lt;&gt;"", 'Field information 2'!$O$5&lt;&gt;"", 'Field information 2'!$Q$5&lt;&gt;""),
   IF(AND(Calc!BD115=0,Calc!BE115=0),
     IF('Waste results'!$P$23&lt;&gt;"", Calc!BC115*'Waste results'!$P$23, "no data"),
   IF(AND(Calc!BC115=0,Calc!BE115=0),
     IF('Waste results'!$P$59&lt;&gt;"", Calc!BD115*'Waste results'!$P$59, "no data"),
   IF(AND(Calc!BC115=0,Calc!BD115=0),
     IF('Waste results'!$P$95&lt;&gt;"", Calc!BE115*'Waste results'!$P$95, "no data"),
   IF(Calc!BE115=0,
     IF(OR('Waste results'!$P$23&lt;&gt;"", 'Waste results'!$P$59&lt;&gt;""), Calc!BC115*'Waste results'!$P$23+ Calc!BD115*'Waste results'!$P$59, "no data"),
   IF(Calc!BD115=0,
     IF(OR('Waste results'!$P$23&lt;&gt;"", 'Waste results'!$P$95&lt;&gt;""), Calc!BC115*'Waste results'!$P$23+ Calc!BE115*'Waste results'!$P$95, "no data"),
   IF(Calc!BC115=0,
     IF(OR('Waste results'!$P$59&lt;&gt;"", 'Waste results'!$P$95&lt;&gt;""), Calc!BD115*'Waste results'!$P$59+Calc!BE115*'Waste results'!$P$95, "no data"),
   IF(OR('Waste results'!$P$23&lt;&gt;"", 'Waste results'!$P$59&lt;&gt;"", 'Waste results'!$P$95&lt;&gt;""), Calc!BC115*'Waste results'!$P$23+Calc!BD115*'Waste results'!$P$59+ Calc!BE115*'Waste results'!$P$95, "no data")))))))))))</f>
        <v/>
      </c>
      <c r="Z117" s="7" t="str">
        <f ca="1">IF(OR(ISBLANK('Soil results'!I$7),ISBLANK('Soil results'!I120),'Soil results'!B120=""),"",
VLOOKUP(Calc!BI115,'Fertiliser recommendations'!$A$4:$AM$63,39,FALSE))</f>
        <v/>
      </c>
      <c r="AA117" s="91" t="str">
        <f t="shared" ca="1" si="38"/>
        <v/>
      </c>
      <c r="AB117" s="9" t="str">
        <f t="shared" ca="1" si="39"/>
        <v/>
      </c>
      <c r="AC117" s="9"/>
      <c r="AD117" s="48" t="str">
        <f>IF(ISBLANK('Soil results'!F120),"",'Soil results'!F120)</f>
        <v/>
      </c>
      <c r="AE117" s="49" t="str">
        <f ca="1">IF(B117="","",
IF(AND(Calc!BJ115="g", VLOOKUP(LEFT($B117,LEN($B117)-2),'Field information 2'!$B$12:$P$111,9,FALSE)&lt;&gt;"yes"),
 IF(Calc!BG115="10-25% OM", 5.9, IF(Calc!BG115="&gt;25% OM", 5.5, 6.2)),
IF(OR(Calc!BJ115="a", VLOOKUP(LEFT($B117,LEN($B117)-2),'Field information 2'!$B$12:$P$111,9,FALSE)="yes"),
 IF(Calc!BG115="10-25% OM", 6.4, IF(Calc!BG115="&gt;25% OM", 6, 6.7)), "")))</f>
        <v/>
      </c>
      <c r="AF117" s="91" t="str">
        <f ca="1">IF(B117="","",
IF('Waste results'!$Q$33="","no (significant) liming properties",
IF('Waste results'!Q$33&gt;100,"no (significant) liming properties",
IF(AD117="","",
IF(AD117&gt;=AE117,0,ROUNDDOWN((AE117-AD117)*Calc!BK115*'Waste results'!$Q$33+0.2,0))))))</f>
        <v/>
      </c>
      <c r="AG117" s="9" t="str">
        <f ca="1">IF(B117="","",
IF(T117=0,"n/a",
IF(AD117="","data missing",
IF(AND(AD117&lt;5,AF117="no (significant) liming properties"),"no waste application - pH too low",
IF(AND(AD117&gt;5.1,AF117="no (significant) liming properties",Calc!BH115&gt;25, LEFT(Calc!BI115,4)="graz"),"ok",
IF(AND(AD117&lt;=5.2,AF117="no (significant) liming properties"),"liming highly recommended",
IF(AF117=0,"no waste application - liming not required",
IF(AF117&lt;Calc!BC115,"application rate too high - exceeds liming requirement",
"ok"))))))))</f>
        <v/>
      </c>
      <c r="AH117" s="9"/>
      <c r="AI117" s="91" t="str">
        <f ca="1">IF(B117="","",
IF(AND('Field information 2'!$O$5="", 'Field information 2'!$Q$5=""),
   IF('Waste results'!$P$10&lt;&gt;"data missing", Calc!BC115*'Waste results'!$P$10, "data missing"),
IF('Field information 2'!$Q$5="",
   IF(Calc!BD115=0,
     IF('Waste results'!$P$10&lt;&gt;"data missing", Calc!BC115*'Waste results'!$P$10, "data missing"),
   IF(Calc!BC115=0,
     IF('Waste results'!$P$45&lt;&gt;"data missing", Calc!BD115*'Waste results'!$P$45, "data missing"),
   IF(OR('Waste results'!$P$10&lt;&gt;"data missing", 'Waste results'!$P$45&lt;&gt;"data missing"), Calc!BC115*'Waste results'!$P$10+ Calc!BD115*'Waste results'!$P$45, "data missing"))),
IF(AND('Field information 2'!$M$5&lt;&gt;"", 'Field information 2'!$O$5&lt;&gt;"", 'Field information 2'!$Q$5&lt;&gt;""),
   IF(AND(Calc!BD115=0,Calc!BE115=0),
     IF('Waste results'!$P$10&lt;&gt;"data missing", Calc!BC115*'Waste results'!$P$10, "data missing"),
   IF(AND(Calc!BC115=0,Calc!BE115=0),
     IF('Waste results'!$P$45&lt;&gt;"data missing", Calc!BD115*'Waste results'!$P$45, "data missing"),
   IF(AND(Calc!BC115=0,Calc!BD115=0),
     IF('Waste results'!$P$82&lt;&gt;"data missing", Calc!BE115*'Waste results'!$P$82, "data missing"),
   IF(Calc!BE115=0,
     IF(OR('Waste results'!$P$10&lt;&gt;"data missing", 'Waste results'!$P$45&lt;&gt;"data missing"), Calc!BC115*'Waste results'!$P$10+ Calc!BD115*'Waste results'!$P$45, "data missing"),
   IF(Calc!BD115=0,
     IF(OR('Waste results'!$P$10&lt;&gt;"data missing", 'Waste results'!$P$82&lt;&gt;"data missing"), Calc!BC115*'Waste results'!$P$10+ Calc!BE115*'Waste results'!$P$82, "data missing"),
   IF(Calc!BC115=0,
     IF(OR('Waste results'!$P$45&lt;&gt;"data missing", 'Waste results'!$P$82&lt;&gt;"data missing"), Calc!BD115*'Waste results'!$P$45+Calc!BE115*'Waste results'!$P$82, "data missing"),
   IF(OR('Waste results'!$P$10&lt;&gt;"data missing", 'Waste results'!$P$45&lt;&gt;"data missing", 'Waste results'!$P$82&lt;&gt;"data missing"), Calc!BC115*'Waste results'!$P$10+Calc!BD115*'Waste results'!$P$45+ Calc!BE115*'Waste results'!$P$82, "data missing")))))))))))</f>
        <v/>
      </c>
      <c r="AJ117" s="237" t="str">
        <f ca="1">IF(B117="","",
IF(AI117="data missing","data missing",
IF(Calc!BF115=0,"n/a",
IF(AND(Calc!BH115&gt;=8,AI117&lt;500),"no benefit",
IF(OR(AND(Calc!BH115&lt;=4,AI117&gt;=500),AND(Calc!BH115&lt;8,AI117&gt;5000)),"benefit",
"limited benefit")))))</f>
        <v/>
      </c>
      <c r="AK117" s="9"/>
      <c r="AL117" s="238" t="str">
        <f ca="1">IF(B117="","",
IF(AND('Field information 2'!$O$5="", 'Field information 2'!$Q$5=""),
   IF('Waste results'!$S$25&lt;&gt;"data missing", Calc!BC115*'Waste results'!$S$25, "data missing"),
IF('Field information 2'!$Q$5="",
   IF(Calc!BD115=0,
     IF('Waste results'!$S$25&lt;&gt;"data missing", Calc!BC115*'Waste results'!$S$25, "data missing"),
   IF(Calc!BC115=0,
     IF('Waste results'!$S$61&lt;&gt;"data missing", Calc!BD115*'Waste results'!$S$61, "data missing"),
   IF(OR('Waste results'!$S$25&lt;&gt;"data missing", 'Waste results'!$S$61&lt;&gt;"data missing"), Calc!BC115*'Waste results'!$S$25+ Calc!BD115*'Waste results'!$S$61, "data missing"))),
IF(AND('Field information 2'!$M$5&lt;&gt;"", 'Field information 2'!$O$5&lt;&gt;"", 'Field information 2'!$Q$5&lt;&gt;""),
   IF(AND(Calc!BD115=0,Calc!BE115=0),
     IF('Waste results'!$S$25&lt;&gt;"data missing", Calc!BC115*'Waste results'!$S$25, "data missing"),
   IF(AND(Calc!BC115=0,Calc!BE115=0),
     IF('Waste results'!$S$61&lt;&gt;"data missing", Calc!BD115*'Waste results'!$S$61, "data missing"),
   IF(AND(Calc!BC115=0,Calc!BD115=0),
     IF('Waste results'!$S$97&lt;&gt;"data missing", Calc!BE115*'Waste results'!$S$97, "data missing"),
   IF(Calc!BE115=0,
     IF(OR('Waste results'!$S$25&lt;&gt;"data missing", 'Waste results'!$S$61&lt;&gt;"data missing"), Calc!BC115*'Waste results'!$S$25+ Calc!BD115*'Waste results'!$S$61, "data missing"),
   IF(Calc!BD115=0,
     IF(OR('Waste results'!$S$25&lt;&gt;"data missing", 'Waste results'!$S$97&lt;&gt;"data missing"), Calc!BC115*'Waste results'!$S$25+ Calc!BE115*'Waste results'!$S$97, "data missing"),
   IF(Calc!BC115=0,
     IF(OR('Waste results'!$S$61&lt;&gt;"data missing", 'Waste results'!$S$97&lt;&gt;"data missing"), Calc!BD115*'Waste results'!$S$61+Calc!BE115*'Waste results'!$S$97, "data missing"),
   IF(OR('Waste results'!$S$25&lt;&gt;"data missing", 'Waste results'!$S$61&lt;&gt;"data missing", 'Waste results'!$S$97&lt;&gt;"data missing"), Calc!BC115*'Waste results'!$S$25+Calc!BD115*'Waste results'!$S$61+ Calc!BE115*'Waste results'!$S$97, "data missing")))))))))))</f>
        <v/>
      </c>
      <c r="AM117" s="239" t="str">
        <f ca="1">IF($B117="","",
IF(ISBLANK('Soil results'!K120),"data missing",'Soil results'!K120))</f>
        <v/>
      </c>
      <c r="AN117" s="239" t="str">
        <f t="shared" ca="1" si="40"/>
        <v/>
      </c>
      <c r="AO117" s="9" t="str">
        <f t="shared" ca="1" si="41"/>
        <v/>
      </c>
      <c r="AP117" s="9"/>
      <c r="AQ117" s="240" t="str">
        <f ca="1">IF(B117="","",
IF(AND('Field information 2'!$O$5="", 'Field information 2'!$Q$5=""),
   IF('Waste results'!$S$26&lt;&gt;"data missing", Calc!BC115*'Waste results'!$S$26, "data missing"),
IF('Field information 2'!$Q$5="",
   IF(Calc!BD115=0,
     IF('Waste results'!$S$26&lt;&gt;"data missing", Calc!BC115*'Waste results'!$S$26, "data missing"),
   IF(Calc!BC115=0,
     IF('Waste results'!$S$62&lt;&gt;"data missing", Calc!BD115*'Waste results'!$S$62, "data missing"),
   IF(OR('Waste results'!$S$26&lt;&gt;"data missing", 'Waste results'!$S$62&lt;&gt;"data missing"), Calc!BC115*'Waste results'!$S$26+ Calc!BD115*'Waste results'!$S$62, "data missing"))),
IF(AND('Field information 2'!$M$5&lt;&gt;"", 'Field information 2'!$O$5&lt;&gt;"", 'Field information 2'!$Q$5&lt;&gt;""),
   IF(AND(Calc!BD115=0,Calc!BE115=0),
     IF('Waste results'!$S$26&lt;&gt;"data missing", Calc!BC115*'Waste results'!$S$26, "data missing"),
   IF(AND(Calc!BC115=0,Calc!BE115=0),
     IF('Waste results'!$S$62&lt;&gt;"data missing", Calc!BD115*'Waste results'!$S$62, "data missing"),
   IF(AND(Calc!BC115=0,Calc!BD115=0),
     IF('Waste results'!$S$98&lt;&gt;"data missing", Calc!BE115*'Waste results'!$S$98, "data missing"),
   IF(Calc!BE115=0,
     IF(OR('Waste results'!$S$26&lt;&gt;"data missing", 'Waste results'!$S$62&lt;&gt;"data missing"), Calc!BC115*'Waste results'!$S$26+ Calc!BD115*'Waste results'!$S$62, "data missing"),
   IF(Calc!BD115=0,
     IF(OR('Waste results'!$S$26&lt;&gt;"data missing", 'Waste results'!$S$98&lt;&gt;"data missing"), Calc!BC115*'Waste results'!$S$26+ Calc!BE115*'Waste results'!$S$98, "data missing"),
   IF(Calc!BC115=0,
     IF(OR('Waste results'!$S$62&lt;&gt;"data missing", 'Waste results'!$S$98&lt;&gt;"data missing"), Calc!BD115*'Waste results'!$S$62+Calc!BE115*'Waste results'!$S$98, "data missing"),
   IF(OR('Waste results'!$S$26&lt;&gt;"data missing", 'Waste results'!$S$62&lt;&gt;"data missing", 'Waste results'!$S$98&lt;&gt;"data missing"), Calc!BC115*'Waste results'!$S$26+Calc!BD115*'Waste results'!$S$62+ Calc!BE115*'Waste results'!$S$98, "data missing")))))))))))</f>
        <v/>
      </c>
      <c r="AR117" s="241" t="str">
        <f ca="1">IF($B117="","",
IF(ISBLANK('Soil results'!L120),"data missing",'Soil results'!L120))</f>
        <v/>
      </c>
      <c r="AS117" s="241" t="str">
        <f t="shared" ca="1" si="42"/>
        <v/>
      </c>
      <c r="AT117" s="66" t="str">
        <f t="shared" ca="1" si="43"/>
        <v/>
      </c>
      <c r="AU117" s="9"/>
      <c r="AV117" s="238" t="str">
        <f ca="1">IF(B117="","",
IF(AND('Field information 2'!$O$5="", 'Field information 2'!$Q$5=""),
   IF('Waste results'!$S$27&lt;&gt;"data missing", Calc!BC115*'Waste results'!$S$27, "data missing"),
IF('Field information 2'!$Q$5="",
   IF(Calc!BD115=0,
     IF('Waste results'!$S$27&lt;&gt;"data missing", Calc!BC115*'Waste results'!$S$27, "data missing"),
   IF(Calc!BC115=0,
     IF('Waste results'!$S$63&lt;&gt;"data missing", Calc!BD115*'Waste results'!$S$63, "data missing"),
   IF(OR('Waste results'!$S$27&lt;&gt;"data missing", 'Waste results'!$S$63&lt;&gt;"data missing"), Calc!BC115*'Waste results'!$S$27+ Calc!BD115*'Waste results'!$S$63, "data missing"))),
IF(AND('Field information 2'!$M$5&lt;&gt;"", 'Field information 2'!$O$5&lt;&gt;"", 'Field information 2'!$Q$5&lt;&gt;""),
   IF(AND(Calc!BD115=0,Calc!BE115=0),
     IF('Waste results'!$S$27&lt;&gt;"data missing", Calc!BC115*'Waste results'!$S$27, "data missing"),
   IF(AND(Calc!BC115=0,Calc!BE115=0),
     IF('Waste results'!$S$63&lt;&gt;"data missing", Calc!BD115*'Waste results'!$S$63, "data missing"),
   IF(AND(Calc!BC115=0,Calc!BD115=0),
     IF('Waste results'!$S$99&lt;&gt;"data missing", Calc!BE115*'Waste results'!$S$99, "data missing"),
   IF(Calc!BE115=0,
     IF(OR('Waste results'!$S$27&lt;&gt;"data missing", 'Waste results'!$S$63&lt;&gt;"data missing"), Calc!BC115*'Waste results'!$S$27+ Calc!BD115*'Waste results'!$S$63, "data missing"),
   IF(Calc!BD115=0,
     IF(OR('Waste results'!$S$27&lt;&gt;"data missing", 'Waste results'!$S$99&lt;&gt;"data missing"), Calc!BC115*'Waste results'!$S$27+ Calc!BE115*'Waste results'!$S$99, "data missing"),
   IF(Calc!BC115=0,
     IF(OR('Waste results'!$S$63&lt;&gt;"data missing", 'Waste results'!$S$99&lt;&gt;"data missing"), Calc!BD115*'Waste results'!$S$63+Calc!BE115*'Waste results'!$S$99, "data missing"),
   IF(OR('Waste results'!$S$27&lt;&gt;"data missing", 'Waste results'!$S$63&lt;&gt;"data missing", 'Waste results'!$S$99&lt;&gt;"data missing"), Calc!BC115*'Waste results'!$S$27+Calc!BD115*'Waste results'!$S$63+ Calc!BE115*'Waste results'!$S$99, "data missing")))))))))))</f>
        <v/>
      </c>
      <c r="AW117" s="239" t="str">
        <f ca="1">IF($B117="","",
IF(ISBLANK('Soil results'!M120),"data missing",'Soil results'!M120))</f>
        <v/>
      </c>
      <c r="AX117" s="239" t="str">
        <f t="shared" ca="1" si="44"/>
        <v/>
      </c>
      <c r="AY117" s="9" t="str">
        <f ca="1">IF(B117="","",
IF(AV117=0,"n/a",
IF(OR(AV117="data missing",AW117="data missing"),"data missing",
IF(AV117&gt;7.5,"application rate too high - permissible rate exceeds limit",
IF('Soil results'!$F120&lt;=5.5,
  IF(AW117&gt;80,"no application - soil conc. already above limit",
  IF(AX117&gt;80,"application rate too high - soil conc. will exceed limit",
  IF(AW117&gt;80*0.9,"soil conc. is at or above 90% of the limit",
  IF(10*AV117*1000/3000+AW117&gt;80,"soil limit likely to be exceeded in 10yrs",
  IF(50*AV117*1000/3000+AW117&gt;80,"soil limit likely to be exceeded in 50yrs","ok"))))),
IF('Soil results'!$F120&lt;=6,
  IF(AW117&gt;100,"no application - soil conc. already above limit",
  IF(AX117&gt;100,"application rate too high - soil conc. will exceed limit",
  IF(AW117&gt;100*0.9,"soil conc. is at or above 90% of the limit",
  IF(10*AV117*1000/3000+AW117&gt;100,"soil limit likely to be exceeded in 10yrs",
  IF(50*AV117*1000/3000+AW117&gt;100,"soil limit likely to be exceeded in 50yrs","ok"))))),
IF('Soil results'!$F120&lt;=7,
  IF(AW117&gt;135,"no application - soil conc. already above limit",
  IF(AX117&gt;135,"application rate too high - soil conc. will exceed limit",
  IF(AW117&gt;135*0.9,"soil conc. is at or above 90% of the limit",
  IF(10*AV117*1000/3000+AW117&gt;135,"soil limit likely to be exceeded in 10yrs",
  IF(50*AV117*1000/3000+AW117&gt;135,"soil limit likely to be exceeded in 50yrs","ok"))))),
IF('Soil results'!$F120&gt;7,
  IF(AW117&gt;200,"no application - soil conc. already above limit",
  IF(AX117&gt;200,"application too high - soil conc. will exceed limit",
  IF(AW117&gt;200*0.9,"soil conc. is at or above 90% of the limit",
  IF(10*AV117*1000/3000+AW117&gt;200,"soil limit likely to be exceeded in 10yrs",
  IF(50*AV117*1000/3000+AW117&gt;200,"soil limit likely to be exceeded in 50yrs","ok")))))
))))))))</f>
        <v/>
      </c>
      <c r="AZ117" s="9"/>
      <c r="BA117" s="238" t="str">
        <f ca="1">IF(B117="","",
IF(AND('Field information 2'!$O$5="", 'Field information 2'!$Q$5=""),
   IF('Waste results'!$S$28&lt;&gt;"data missing", Calc!BC115*'Waste results'!$S$28, "data missing"),
IF('Field information 2'!$Q$5="",
   IF(Calc!BD115=0,
     IF('Waste results'!$S$28&lt;&gt;"data missing", Calc!BC115*'Waste results'!$S$28, "data missing"),
   IF(Calc!BC115=0,
     IF('Waste results'!$S$64&lt;&gt;"data missing", Calc!BD115*'Waste results'!$S$64, "data missing"),
   IF(OR('Waste results'!$S$28&lt;&gt;"data missing", 'Waste results'!$S$64&lt;&gt;"data missing"), Calc!BC115*'Waste results'!$S$28+ Calc!BD115*'Waste results'!$S$64, "data missing"))),
IF(AND('Field information 2'!$M$5&lt;&gt;"", 'Field information 2'!$O$5&lt;&gt;"", 'Field information 2'!$Q$5&lt;&gt;""),
   IF(AND(Calc!BD115=0,Calc!BE115=0),
     IF('Waste results'!$S$28&lt;&gt;"data missing", Calc!BC115*'Waste results'!$S$28, "data missing"),
   IF(AND(Calc!BC115=0,Calc!BE115=0),
     IF('Waste results'!$S$64&lt;&gt;"data missing", Calc!BD115*'Waste results'!$S$64, "data missing"),
   IF(AND(Calc!BC115=0,Calc!BD115=0),
     IF('Waste results'!$S$100&lt;&gt;"data missing", Calc!BE115*'Waste results'!$S$100, "data missing"),
   IF(Calc!BE115=0,
     IF(OR('Waste results'!$S$28&lt;&gt;"data missing", 'Waste results'!$S$64&lt;&gt;"data missing"), Calc!BC115*'Waste results'!$S$28+ Calc!BD115*'Waste results'!$S$64, "data missing"),
   IF(Calc!BD115=0,
     IF(OR('Waste results'!$S$28&lt;&gt;"data missing", 'Waste results'!$S$100&lt;&gt;"data missing"), Calc!BC115*'Waste results'!$S$28+ Calc!BE115*'Waste results'!$S$100, "data missing"),
   IF(Calc!BC115=0,
     IF(OR('Waste results'!$S$64&lt;&gt;"data missing", 'Waste results'!$S$100&lt;&gt;"data missing"), Calc!BD115*'Waste results'!$S$64+Calc!BE115*'Waste results'!$S$100, "data missing"),
   IF(OR('Waste results'!$S$28&lt;&gt;"data missing", 'Waste results'!$S$64&lt;&gt;"data missing", 'Waste results'!$S$100&lt;&gt;"data missing"), Calc!BC115*'Waste results'!$S$28+Calc!BD115*'Waste results'!$S$64+ Calc!BE115*'Waste results'!$S$100, "data missing")))))))))))</f>
        <v/>
      </c>
      <c r="BB117" s="239" t="str">
        <f ca="1">IF($B117="","",
IF(ISBLANK('Soil results'!N120),"data missing",'Soil results'!N120))</f>
        <v/>
      </c>
      <c r="BC117" s="239" t="str">
        <f t="shared" ca="1" si="45"/>
        <v/>
      </c>
      <c r="BD117" s="9" t="str">
        <f t="shared" ca="1" si="46"/>
        <v/>
      </c>
      <c r="BE117" s="9"/>
      <c r="BF117" s="238" t="str">
        <f ca="1">IF(B117="","",
IF(AND('Field information 2'!$O$5="", 'Field information 2'!$Q$5=""),
   IF('Waste results'!$S$29&lt;&gt;"data missing", Calc!BC115*'Waste results'!$S$29, "data missing"),
IF('Field information 2'!$Q$5="",
   IF(Calc!BD115=0,
     IF('Waste results'!$S$29&lt;&gt;"data missing", Calc!BC115*'Waste results'!$S$29, "data missing"),
   IF(Calc!BC115=0,
     IF('Waste results'!$S$65&lt;&gt;"data missing", Calc!BD115*'Waste results'!$S$65, "data missing"),
   IF(OR('Waste results'!$S$29&lt;&gt;"data missing", 'Waste results'!$S$65&lt;&gt;"data missing"), Calc!BC115*'Waste results'!$S$29+ Calc!BD115*'Waste results'!$S$65, "data missing"))),
IF(AND('Field information 2'!$M$5&lt;&gt;"", 'Field information 2'!$O$5&lt;&gt;"", 'Field information 2'!$Q$5&lt;&gt;""),
   IF(AND(Calc!BD115=0,Calc!BE115=0),
     IF('Waste results'!$S$29&lt;&gt;"data missing", Calc!BC115*'Waste results'!$S$29, "data missing"),
   IF(AND(Calc!BC115=0,Calc!BE115=0),
     IF('Waste results'!$S$65&lt;&gt;"data missing", Calc!BD115*'Waste results'!$S$65, "data missing"),
   IF(AND(Calc!BC115=0,Calc!BD115=0),
     IF('Waste results'!$S$101&lt;&gt;"data missing", Calc!BE115*'Waste results'!$S$101, "data missing"),
   IF(Calc!BE115=0,
     IF(OR('Waste results'!$S$29&lt;&gt;"data missing", 'Waste results'!$S$65&lt;&gt;"data missing"), Calc!BC115*'Waste results'!$S$29+ Calc!BD115*'Waste results'!$S$65, "data missing"),
   IF(Calc!BD115=0,
     IF(OR('Waste results'!$S$29&lt;&gt;"data missing", 'Waste results'!$S$101&lt;&gt;"data missing"), Calc!BC115*'Waste results'!$S$29+ Calc!BE115*'Waste results'!$S$101, "data missing"),
   IF(Calc!BC115=0,
     IF(OR('Waste results'!$S$65&lt;&gt;"data missing", 'Waste results'!$S$101&lt;&gt;"data missing"), Calc!BD115*'Waste results'!$S$65+Calc!BE115*'Waste results'!$S$101, "data missing"),
   IF(OR('Waste results'!$S$29&lt;&gt;"data missing", 'Waste results'!$S$65&lt;&gt;"data missing", 'Waste results'!$S$101&lt;&gt;"data missing"), Calc!BC115*'Waste results'!$S$29+Calc!BD115*'Waste results'!$S$65+ Calc!BE115*'Waste results'!$S$101, "data missing")))))))))))</f>
        <v/>
      </c>
      <c r="BG117" s="239" t="str">
        <f ca="1">IF($B117="","",
IF(ISBLANK('Soil results'!O120),"data missing",'Soil results'!O120))</f>
        <v/>
      </c>
      <c r="BH117" s="239" t="str">
        <f t="shared" ca="1" si="47"/>
        <v/>
      </c>
      <c r="BI117" s="9" t="str">
        <f ca="1">IF(B117="","",
IF(BF117=0,"n/a",
IF(OR(BF117="data missing",BG117="data missing"),"data missing",
IF(BF117&gt;3,"application rate too high - permissible rate exceeds limit",
IF('Soil results'!F120&lt;=5.5,
  IF(BG117&gt;50,"no application - soil conc. already above limit",
  IF(BH117&gt;50,"application rate too high - soil conc. will exceed limit",
  IF(BG117&gt;50*0.9,"soil conc. is at or above 90% of the limit",
  IF(10*BF117*1000/3000+BG117&gt;50,"soil limit likely to be exceeded in 10yrs",
  IF(50*BF117*1000/3000+BG117&gt;50,"soil limit likely to be exceeded in 50yrs","ok"))))),
IF('Soil results'!F120&lt;=6,
  IF(BG117&gt;60,"no application - soil conc. already above limit",
  IF(BH117&gt;60,"application rate too high - soil conc. will exceed limit",
  IF(BG117&gt;60*0.9,"soil conc. is at or above 90% of the limit",
  IF(10*BF117*1000/3000+BG117&gt;60,"soil limit likely to be exceeded in 10yrs",
  IF(50*BF117*1000/3000+BG117&gt;60,"soil limit likely to be exceeded in 50yrs","ok"))))),
IF('Soil results'!F120&lt;=7,
  IF(BG117&gt;75,"no application - soil conc. already above limit",
  IF(BH117&gt;75,"application rate too high - soil conc. will exceed limit",
  IF(BG117&gt;75*0.9,"soil conc. is at or above 90% of the limit",
  IF(10*BF117*1000/3000+BG117&gt;75,"soil limit likely to be exceeded in 10yrs",
  IF(50*BF117*1000/3000+BG117&gt;75,"soil limit likely to be exceeded in 50yrs","ok"))))),
IF('Soil results'!F120&gt;7,
  IF(BG117&gt;100,"no application - soil conc. already above limit",
  IF(BH117&gt;100,"application rate too high - soil conc. will exceed limit",
  IF(BG117&gt;100*0.9,"soil conc. is at or above 90% of the limit",
  IF(10*BF117*1000/3000+BG117&gt;100,"soil limit likely to be exceeded in 10yrs",
  IF(50*BF117*1000/3000+BG117&gt;100,"soil limit likely to beexceeded in 50yrs","ok")))))
))))))))</f>
        <v/>
      </c>
      <c r="BJ117" s="9"/>
      <c r="BK117" s="240" t="str">
        <f ca="1">IF(B117="","",
IF(AND('Field information 2'!$O$5="", 'Field information 2'!$Q$5=""),
   IF('Waste results'!$S$30&lt;&gt;"data missing", Calc!BC115*'Waste results'!$S$30, "data missing"),
IF('Field information 2'!$Q$5="",
   IF(Calc!BD115=0,
     IF('Waste results'!$S$30&lt;&gt;"data missing", Calc!BC115*'Waste results'!$S$30, "data missing"),
   IF(Calc!BC115=0,
     IF('Waste results'!$S$66&lt;&gt;"data missing", Calc!BD115*'Waste results'!$S$66, "data missing"),
   IF(OR('Waste results'!$S$30&lt;&gt;"data missing", 'Waste results'!$S$66&lt;&gt;"data missing"), Calc!BC115*'Waste results'!$S$30+ Calc!BD115*'Waste results'!$S$66, "data missing"))),
IF(AND('Field information 2'!$M$5&lt;&gt;"", 'Field information 2'!$O$5&lt;&gt;"", 'Field information 2'!$Q$5&lt;&gt;""),
   IF(AND(Calc!BD115=0,Calc!BE115=0),
     IF('Waste results'!$S$30&lt;&gt;"data missing", Calc!BC115*'Waste results'!$S$30, "data missing"),
   IF(AND(Calc!BC115=0,Calc!BE115=0),
     IF('Waste results'!$S$66&lt;&gt;"data missing", Calc!BD115*'Waste results'!$S$66, "data missing"),
   IF(AND(Calc!BC115=0,Calc!BD115=0),
     IF('Waste results'!$S$102&lt;&gt;"data missing", Calc!BE115*'Waste results'!$S$102, "data missing"),
   IF(Calc!BE115=0,
     IF(OR('Waste results'!$S$30&lt;&gt;"data missing", 'Waste results'!$S$66&lt;&gt;"data missing"), Calc!BC115*'Waste results'!$S$30+ Calc!BD115*'Waste results'!$S$66, "data missing"),
   IF(Calc!BD115=0,
     IF(OR('Waste results'!$S$30&lt;&gt;"data missing", 'Waste results'!$S$102&lt;&gt;"data missing"), Calc!BC115*'Waste results'!$S$30+ Calc!BE115*'Waste results'!$S$102, "data missing"),
   IF(Calc!BC115=0,
     IF(OR('Waste results'!$S$66&lt;&gt;"data missing", 'Waste results'!$S$102&lt;&gt;"data missing"), Calc!BD115*'Waste results'!$S$66+Calc!BE115*'Waste results'!$S$102, "data missing"),
   IF(OR('Waste results'!$S$30&lt;&gt;"data missing", 'Waste results'!$S$66&lt;&gt;"data missing", 'Waste results'!$S$102&lt;&gt;"data missing"), Calc!BC115*'Waste results'!$S$30+Calc!BD115*'Waste results'!$S$66+ Calc!BE115*'Waste results'!$S$102, "data missing")))))))))))</f>
        <v/>
      </c>
      <c r="BL117" s="241" t="str">
        <f ca="1">IF($B117="","",
IF(ISBLANK('Soil results'!P120),"data missing",'Soil results'!P120))</f>
        <v/>
      </c>
      <c r="BM117" s="241" t="str">
        <f t="shared" ca="1" si="48"/>
        <v/>
      </c>
      <c r="BN117" s="66" t="str">
        <f t="shared" ca="1" si="49"/>
        <v/>
      </c>
      <c r="BO117" s="9"/>
      <c r="BP117" s="238" t="str">
        <f ca="1">IF(B117="","",
IF(AND('Field information 2'!$O$5="", 'Field information 2'!$Q$5=""),
   IF('Waste results'!$S$31&lt;&gt;"data missing", Calc!BC115*'Waste results'!$S$31, "data missing"),
IF('Field information 2'!$Q$5="",
   IF(Calc!BD115=0,
     IF('Waste results'!$S$31&lt;&gt;"data missing", Calc!BC115*'Waste results'!$S$31, "data missing"),
   IF(Calc!BC115=0,
     IF('Waste results'!$S$67&lt;&gt;"data missing", Calc!BD115*'Waste results'!$S$67, "data missing"),
   IF(OR('Waste results'!$S$31&lt;&gt;"data missing", 'Waste results'!$S$67&lt;&gt;"data missing"), Calc!BC115*'Waste results'!$S$31+ Calc!BD115*'Waste results'!$S$67, "data missing"))),
IF(AND('Field information 2'!$M$5&lt;&gt;"", 'Field information 2'!$O$5&lt;&gt;"", 'Field information 2'!$Q$5&lt;&gt;""),
   IF(AND(Calc!BD115=0,Calc!BE115=0),
     IF('Waste results'!$S$31&lt;&gt;"data missing", Calc!BC115*'Waste results'!$S$31, "data missing"),
   IF(AND(Calc!BC115=0,Calc!BE115=0),
     IF('Waste results'!$S$67&lt;&gt;"data missing", Calc!BD115*'Waste results'!$S$67, "data missing"),
   IF(AND(Calc!BC115=0,Calc!BD115=0),
     IF('Waste results'!$S$103&lt;&gt;"data missing", Calc!BE115*'Waste results'!$S$103, "data missing"),
   IF(Calc!BE115=0,
     IF(OR('Waste results'!$S$31&lt;&gt;"data missing", 'Waste results'!$S$67&lt;&gt;"data missing"), Calc!BC115*'Waste results'!$S$31+ Calc!BD115*'Waste results'!$S$67, "data missing"),
   IF(Calc!BD115=0,
     IF(OR('Waste results'!$S$31&lt;&gt;"data missing", 'Waste results'!$S$103&lt;&gt;"data missing"), Calc!BC115*'Waste results'!$S$31+ Calc!BE115*'Waste results'!$S$103, "data missing"),
   IF(Calc!BC115=0,
     IF(OR('Waste results'!$S$67&lt;&gt;"data missing", 'Waste results'!$S$103&lt;&gt;"data missing"), Calc!BD115*'Waste results'!$S$67+Calc!BE115*'Waste results'!$S$103, "data missing"),
   IF(OR('Waste results'!$S$31&lt;&gt;"data missing", 'Waste results'!$S$67&lt;&gt;"data missing", 'Waste results'!$S$103&lt;&gt;"data missing"), Calc!BC115*'Waste results'!$S$31+Calc!BD115*'Waste results'!$S$67+ Calc!BE115*'Waste results'!$S$103, "data missing")))))))))))</f>
        <v/>
      </c>
      <c r="BQ117" s="239" t="str">
        <f ca="1">IF($B117="","",
IF(ISBLANK('Soil results'!Q120),"data missing",'Soil results'!Q120))</f>
        <v/>
      </c>
      <c r="BR117" s="239" t="str">
        <f t="shared" ca="1" si="50"/>
        <v/>
      </c>
      <c r="BS117" s="9" t="str">
        <f ca="1">IF(B117="","",
IF(BP117=0,"n/a",
IF(OR(BP117="data missing",BQ117=""),"data missing",
IF(BP117&gt;15,"application rate too high - permissible rate exceeds limit",
IF('Soil results'!F120&lt;=5.5,
  IF(BQ117&gt;200,"no application - soil conc. already above limit",
  IF(BR117&gt;200,"application rate too high - soil conc. will exceed limit",
  IF(BQ117&gt;200*0.9,"soil conc. is at or above 90% of the limit",
  IF(10*BP117*1000/3000+BQ117&gt;200,"soil limit likely to be exceeded in 10yrs",
  IF(50*BP117*1000/3000+BQ117&gt;200,"soil limit likely to be exceeded in 50yrs","ok"))))),
IF('Soil results'!F120&lt;=6,
  IF(BQ117&gt;250,"no application - soil conc. already above limit",
  IF(BR117&gt;250,"application rate too high - soil conc. will exceed limit",
  IF(BQ117&gt;250*0.9,"soil conc. is at or above 90% of the limit",
  IF(10*BP117*1000/3000+BQ117&gt;250,"soil limit likely to be exceeded in 10yrs",
  IF(50*BP117*1000/3000+BQ117&gt;250,"soil limit likely to be exceeded in 50yrs","ok"))))),
IF('Soil results'!F120&lt;=7,
  IF(BQ117&gt;300,"no application - soil conc. already above limit",
  IF(BR117&gt;300,"application rate too high - soil conc. will exceed limit",
  IF(BQ117&gt;300*0.9,"soil conc. is at or above 90% of the limit",
  IF(10*BP117*1000/3000+BQ117&gt;300,"soil limit likey to be exceeded in 10yrs",
  IF(50*BP117*1000/3000+BQ117&gt;300,"soil limit likely to be exceeded in 50yrs","ok"))))),
IF('Soil results'!F120&gt;7,
  IF(BQ117&gt;450,"no application - soil conc. already above limit",
  IF(BR117&gt;450,"application rate too high - soil conc. will exceed limit",
  IF(AW117&gt;450*0.9,"soil conc. is at or above 90% of the limit",
  IF(10*BP117*1000/3000+BQ117&gt;450,"soil limit likely to be exceeded in 10yrs",
  IF(50*BP117*1000/3000+BQ117&gt;450,"soil limit likely to be exceeded in 50yrs","ok")))))
))))))))</f>
        <v/>
      </c>
    </row>
    <row r="118" spans="2:71" ht="15" x14ac:dyDescent="0.25">
      <c r="B118" s="236" t="str">
        <f ca="1">'Soil results'!B121</f>
        <v/>
      </c>
      <c r="C118" s="91" t="str">
        <f ca="1">IF(B118="","",
IF(AND('Field information 2'!$O$5="", 'Field information 2'!$Q$5=""),
   IF('Waste results'!$S$12&lt;&gt;"data missing", Calc!BC116*'Waste results'!$S$12, "data missing"),
IF('Field information 2'!$Q$5="",
   IF(Calc!BD116=0,
     IF('Waste results'!$S$12&lt;&gt;"data missing", Calc!BC116*'Waste results'!$S$12, "data missing"),
   IF(Calc!BC116=0,
     IF('Waste results'!$S$48&lt;&gt;"data missing", Calc!BD116*'Waste results'!$S$48, "data missing"),
   IF(OR('Waste results'!$S$12&lt;&gt;"data missing", 'Waste results'!$S$48&lt;&gt;"data missing"), Calc!BC116*'Waste results'!$S$12+ Calc!BD116*'Waste results'!$S$48, "data missing"))),
IF(AND('Field information 2'!$M$5&lt;&gt;"", 'Field information 2'!$O$5&lt;&gt;"", 'Field information 2'!$Q$5&lt;&gt;""),
   IF(AND(Calc!BD116=0,Calc!BE116=0),
     IF('Waste results'!$S$12&lt;&gt;"data missing", Calc!BC116*'Waste results'!$S$12, "data missing"),
   IF(AND(Calc!BC116=0,Calc!BE116=0),
     IF('Waste results'!$S$48&lt;&gt;"data missing", Calc!BD116*'Waste results'!$S$48, "data missing"),
   IF(AND(Calc!BC116=0,Calc!BD116=0),
     IF('Waste results'!$S$84&lt;&gt;"data missing", Calc!BE116*'Waste results'!$S$84, "data missing"),
   IF(Calc!BE116=0,
     IF(OR('Waste results'!$S$12&lt;&gt;"data missing", 'Waste results'!$S$48&lt;&gt;"data missing"), Calc!BC116*'Waste results'!$S$12+ Calc!BD116*'Waste results'!$S$48, "data missing"),
   IF(Calc!BD116=0,
     IF(OR('Waste results'!$S$12&lt;&gt;"data missing", 'Waste results'!$S$84&lt;&gt;"data missing"), Calc!BC116*'Waste results'!$S$12+ Calc!BE116*'Waste results'!$S$84, "data missing"),
   IF(Calc!BC116=0,
     IF(OR('Waste results'!$S$48&lt;&gt;"data missing", 'Waste results'!$S$84&lt;&gt;"data missing"), Calc!BD116*'Waste results'!$S$48+Calc!BE116*'Waste results'!$S$84, "data missing"),
   IF(OR('Waste results'!$S$12&lt;&gt;"data missing", 'Waste results'!$S$48&lt;&gt;"data missing", 'Waste results'!$S$84&lt;&gt;"data missing"), Calc!BC116*'Waste results'!$S$12+Calc!BD116*'Waste results'!$S$48+ Calc!BE116*'Waste results'!$S$84, "data missing")))))))))))</f>
        <v/>
      </c>
      <c r="D118" s="161" t="str">
        <f ca="1">IF(B118="","",
IF(Calc!BG116="","soil texture missing",
IF(OR(Calc!BG116="SL; SZL; ZL",Calc!BG116="SCL; CL; ZCL; SC; ZC; C"),VLOOKUP(Calc!BI116,'Fertiliser recommendations'!$A$4:$C$63,3,FALSE),
IF(Calc!BG116="S; LS",VLOOKUP(Calc!BI116,'Fertiliser recommendations'!$A$4:$C$63,3,FALSE)+VLOOKUP(Calc!BI116,'Fertiliser recommendations'!$A$4:$D$63,4,FALSE),
IF(Calc!BG116="10-25% OM",VLOOKUP(Calc!BI116,'Fertiliser recommendations'!$A$4:$C$63,3,FALSE)+VLOOKUP(Calc!BI116,'Fertiliser recommendations'!$A$4:$E$63,5,FALSE),
IF(Calc!BG116="&gt;25% OM",VLOOKUP(Calc!BI116,'Fertiliser recommendations'!$A$4:$C$63,3,FALSE)+VLOOKUP(Calc!BI116,'Fertiliser recommendations'!$A$4:$F$63,6,FALSE),
""))))))</f>
        <v/>
      </c>
      <c r="E118" s="91" t="str">
        <f t="shared" ca="1" si="34"/>
        <v/>
      </c>
      <c r="F118" s="9" t="str">
        <f ca="1">IF(B118="","",
IF(OR(C118="data missing",D118="soil texture missing"),"data missing",
IF(Calc!BF116=0,"n/a",
IF(C118&lt;0.1*D118,"no benefit",
IF(C118&lt;0.3*D118,"limited benefit",
IF(C118&gt;250,"exceeds limit",
IF(OR(AND(D118=0,C118&gt;75),C118&gt;1.25*D118),"excessive",
IF(D118=0, "no requirement",
"benefit"))))))))</f>
        <v/>
      </c>
      <c r="G118" s="9"/>
      <c r="H118" s="91" t="str">
        <f ca="1">IF(B118="","",
IF(AND('Field information 2'!$O$5="", 'Field information 2'!$Q$5=""),
   IF('Waste results'!$S$17&lt;&gt;"data missing", Calc!BC116*'Waste results'!$S$17, "data missing"),
IF('Field information 2'!$Q$5="",
   IF(Calc!BD116=0,
     IF('Waste results'!$S$17&lt;&gt;"data missing", Calc!BC116*'Waste results'!$S$17, "data missing"),
   IF(Calc!BC116=0,
     IF('Waste results'!$S$53&lt;&gt;"data missing", Calc!BD116*'Waste results'!$S$53, "data missing"),
   IF(OR('Waste results'!$S$17&lt;&gt;"data missing", 'Waste results'!$S$53&lt;&gt;"data missing"), Calc!BC116*'Waste results'!$S$17+ Calc!BD116*'Waste results'!$S$53, "data missing"))),
IF(AND('Field information 2'!$M$5&lt;&gt;"", 'Field information 2'!$O$5&lt;&gt;"", 'Field information 2'!$Q$5&lt;&gt;""),
   IF(AND(Calc!BD116=0,Calc!BE116=0),
     IF('Waste results'!$S$17&lt;&gt;"data missing", Calc!BC116*'Waste results'!$S$17, "data missing"),
   IF(AND(Calc!BC116=0,Calc!BE116=0),
     IF('Waste results'!$S$53&lt;&gt;"data missing", Calc!BD116*'Waste results'!$S$53, "data missing"),
   IF(AND(Calc!BC116=0,Calc!BD116=0),
     IF('Waste results'!$S$89&lt;&gt;"data missing", Calc!BE116*'Waste results'!$S$89, "data missing"),
   IF(Calc!BE116=0,
     IF(OR('Waste results'!$S$17&lt;&gt;"data missing", 'Waste results'!$S$53&lt;&gt;"data missing"), Calc!BC116*'Waste results'!$S$17+ Calc!BD116*'Waste results'!$S$53, "data missing"),
   IF(Calc!BD116=0,
     IF(OR('Waste results'!$S$17&lt;&gt;"data missing", 'Waste results'!$S$89&lt;&gt;"data missing"), Calc!BC116*'Waste results'!$S$17+ Calc!BE116*'Waste results'!$S$89, "data missing"),
   IF(Calc!BC116=0,
     IF(OR('Waste results'!$S$53&lt;&gt;"data missing", 'Waste results'!$S$89&lt;&gt;"data missing"), Calc!BD116*'Waste results'!$S$53+Calc!BE116*'Waste results'!$S$89, "data missing"),
   IF(OR('Waste results'!$S$17&lt;&gt;"data missing", 'Waste results'!$S$53&lt;&gt;"data missing", 'Waste results'!$S$89&lt;&gt;"data missing"), Calc!BC116*'Waste results'!$S$17+Calc!BD116*'Waste results'!$S$53+ Calc!BE116*'Waste results'!$S$89, "data missing")))))))))))</f>
        <v/>
      </c>
      <c r="I118" s="195" t="str">
        <f ca="1">IF(B118="","",
IF(OR(ISBLANK('Soil results'!G121), ISBLANK('Soil results'!G$7)),"data missing",
IF(OR(AND('Soil results'!G$7="Olsen (ADAS)",'Soil results'!G121&lt;16),AND('Soil results'!G$7="modified Morgan (SAC)",'Soil results'!G121&lt;4.5)),50,100)))</f>
        <v/>
      </c>
      <c r="J118" s="49" t="str">
        <f ca="1">IF(B118="","",
IF(OR(ISBLANK('Soil results'!G$7),ISBLANK('Soil results'!G121)),"data missing",
IF(OR(AND('Soil results'!G$7="Olsen (ADAS)",'Soil results'!G121&gt;45),AND('Soil results'!G$7="modified Morgan (SAC)",'Soil results'!G121&gt;30)),0,
IF(OR(AND('Soil results'!G$7="Olsen (ADAS)",'Soil results'!G121&gt;=16,'Soil results'!G121&lt;=20),AND('Soil results'!G$7="modified Morgan (SAC)",'Soil results'!G121&gt;=4.5,'Soil results'!G121&lt;=9.4)),VLOOKUP(Calc!BI116,'Fertiliser recommendations'!$A$4:$I$63,9,FALSE),
IF(OR(AND('Soil results'!G$7="Olsen (ADAS)",'Soil results'!G121&lt;10),AND('Soil results'!G$7="modified Morgan (SAC)",'Soil results'!G121&lt;1.8)),VLOOKUP(Calc!BI116,'Fertiliser recommendations'!$A$4:$I$63,9,FALSE)+VLOOKUP(Calc!BI116,'Fertiliser recommendations'!$A$4:$J$63,10,FALSE),
IF(OR(AND('Soil results'!G$7="Olsen (ADAS)",'Soil results'!G121&lt;16),AND('Soil results'!G$7="modified Morgan (SAC)",'Soil results'!G121&lt;4.5)),VLOOKUP(Calc!BI116,'Fertiliser recommendations'!$A$4:$I$63,9,FALSE)+VLOOKUP(Calc!BI116,'Fertiliser recommendations'!$A$4:$K$63,11,FALSE),
IF(OR(AND('Soil results'!G$7="Olsen (ADAS)",'Soil results'!G121&lt;26),AND('Soil results'!G$7="modified Morgan (SAC)",'Soil results'!G121&lt;13.5)),VLOOKUP(Calc!BI116,'Fertiliser recommendations'!$A$4:$I$63,9,FALSE)+VLOOKUP(Calc!BI116,'Fertiliser recommendations'!$A$4:$L$63,12,FALSE),
IF(OR(AND('Soil results'!G$7="Olsen (ADAS)",'Soil results'!G121&lt;=45),AND('Soil results'!G$7="modified Morgan (SAC)",'Soil results'!G121&lt;=30)),VLOOKUP(Calc!BI116,'Fertiliser recommendations'!$A$4:$I$63,9,FALSE)+VLOOKUP(Calc!BI116,'Fertiliser recommendations'!$A$4:$M$63,13,FALSE),
""))))))))</f>
        <v/>
      </c>
      <c r="K118" s="161" t="str">
        <f t="shared" ca="1" si="35"/>
        <v/>
      </c>
      <c r="L118" s="47" t="str">
        <f ca="1">IF(OR(ISBLANK('Soil results'!G$7),ISBLANK('Soil results'!G121),B118="", H118="data missing"),"",
IF('Soil results'!G$7="Olsen (ADAS)",
IF(((H118*Calc!BM116/2.291-(VLOOKUP(Calc!BI116,'Fertiliser recommendations'!$A$4:$I$63,9,FALSE))/2.291)*10/(400/2.291)+'Soil results'!G121)&lt;10,"0 (VL)",
IF(((H118*Calc!BM116/2.291-(VLOOKUP(Calc!BI116,'Fertiliser recommendations'!$A$4:$I$63,9,FALSE))/2.291)*10/(400/2.291)+'Soil results'!G121)&lt;16,"1 (L)",
IF(((H118*Calc!BM116/2.291-(VLOOKUP(Calc!BI116,'Fertiliser recommendations'!$A$4:$I$63,9,FALSE))/2.291)*10/(400/2.291)+'Soil results'!G121)&lt;21,"2 (M-)",
IF(((H118*Calc!BM116/2.291-(VLOOKUP(Calc!BI116,'Fertiliser recommendations'!$A$4:$I$63,9,FALSE))/2.291)*10/(400/2.291)+'Soil results'!G121)&lt;26,"2 (M+)",
IF(((H118*Calc!BM116/2.291-(VLOOKUP(Calc!BI116,'Fertiliser recommendations'!$A$4:$I$63,9,FALSE))/2.291)*10/(400/2.291)+'Soil results'!G121)&lt;45,"3 (H)","&gt;3 (VH)"))))),
IF('Soil results'!G$7="modified Morgan (SAC)",
IF('Soil results'!G121&gt;=6,
IF(((H118*Calc!BM116/2.291-(VLOOKUP(Calc!BI116,'Fertiliser recommendations'!$A$4:$I$63,9,FALSE))/2.291)*5/(147/2.291)+'Soil results'!G121)&lt;9.5,"2 (M-)",
IF(((H118*Calc!BM116/2.291-(VLOOKUP(Calc!BI116,'Fertiliser recommendations'!$A$4:$I$63,9,FALSE))/2.291)*5/(147/2.291)+'Soil results'!G121)&lt;13.5,"2 (M+)",
IF(((H118*Calc!BM116/2.291-(VLOOKUP(Calc!BI116,'Fertiliser recommendations'!$A$4:$I$63,9,FALSE))/2.291)*5/(147/2.291)+'Soil results'!G121)&lt;30,"3 (H)","4 (VH)"))),
IF(((H118*Calc!BM116/2.291-(VLOOKUP(Calc!BI116,'Fertiliser recommendations'!$A$4:$I$63,9,FALSE))/2.291)*5/(346/2.291)+'Soil results'!G121)&lt;1.8,"0 (VL)",
IF(((H118*Calc!BM116/2.291-(VLOOKUP(Calc!BI116,'Fertiliser recommendations'!$A$4:$I$63,9,FALSE))/2.291)*5/(147/2.291)+'Soil results'!G121)&lt;4.5,"1 (L)","2 (M-)"))))))</f>
        <v/>
      </c>
      <c r="M118" s="9" t="str">
        <f ca="1">IF(B118="","",
IF(OR(H118="data missing",I118="data missing",J118="data missing"),"data missing",
IF(Calc!BF116=0,"n/a",
IF(OR(AND('Soil results'!G$7="Olsen (ADAS)",'Soil results'!G121&gt;45),AND('Soil results'!G$7="modified Morgan (SAC)",'Soil results'!G121&gt;30)),
IF(H118&gt;2,"too high, not acceptable","no requirement"),IF(OR(AND('Soil results'!G$7="Olsen (ADAS)",'Soil results'!G121&gt;25),AND('Soil results'!G$7="modified Morgan (SAC)",'Soil results'!G121&gt;13.4)),
IF(H118*(I118/100)&lt;0.1*J118,"no benefit",
IF(H118*(I118/100)&lt;0.3*J118,"limited benefit",
IF(H118*(I118/100)&lt;1.1*J118,"benefit",
IF(H118*(I118/100)&lt;0.7*VLOOKUP(Calc!BI116,'Fertiliser recommendations'!$A$4:$I$63,9,FALSE),"excessive","too high, not acceptable")))),
IF(OR(AND('Soil results'!G$7="Olsen (ADAS)",'Soil results'!G121&gt;20),AND('Soil results'!G$7="modified Morgan (SAC)",'Soil results'!G121&gt;9.4)),
IF(H118*Calc!BM116*(I118/100)&lt;0.1*J118,"no benefit",
IF(H118*Calc!BM116*(I118/100)&lt;0.3*J118,"limited benefit",
IF(H118*Calc!BM116*(I118/100)&lt;1.1*J118,"benefit",
IF(L118="3 (H)","too high, not acceptable","excessive")))),
IF(OR(AND('Soil results'!G$7="Olsen (ADAS)",'Soil results'!G121&gt;15),AND('Soil results'!G$7="modified Morgan (SAC)",'Soil results'!G121&gt;4.4)),
IF(H118*Calc!BM116*(I118/100)&lt;0.1*VLOOKUP(Calc!BI116,'Fertiliser recommendations'!$A$4:$I$63,9,FALSE),"no benefit",
IF(H118*Calc!BM116*(I118/100)&lt;0.3*VLOOKUP(Calc!BI116,'Fertiliser recommendations'!$A$4:$I$63,9,FALSE),"limited benefit",
IF(H118*Calc!BM116*(I118/100)&lt;1.1*VLOOKUP(Calc!BI116,'Fertiliser recommendations'!$A$4:$I$63,9,FALSE),"benefit",
IF(L118="3 (H)", "too high, not acceptable", "excessive")))),
IF(OR(AND('Soil results'!G$7="Olsen (ADAS)",'Soil results'!G121&lt;=15),AND('Soil results'!G$7="modified Morgan (SAC)",'Soil results'!G121&lt;=4.4)),
IF(H118*Calc!BM116*(I118/100)&lt;0.1*VLOOKUP(Calc!BI116,'Fertiliser recommendations'!$A$4:$I$63,9,FALSE),"no benefit",
IF(H118*Calc!BM116*(I118/100)&lt;0.3*VLOOKUP(Calc!BI116,'Fertiliser recommendations'!$A$4:$I$63,9,FALSE),"limited benefit",
IF(H118*Calc!BM116*(I118/100)&lt;1.1*J118,"benefit","excessive")))))))))))</f>
        <v/>
      </c>
      <c r="N118" s="9"/>
      <c r="O118" s="91" t="str">
        <f ca="1">IF(B118="","",
IF(AND('Field information 2'!$O$5="", 'Field information 2'!$Q$5=""),
   IF('Waste results'!$S$19&lt;&gt;"data missing", Calc!BC116*'Waste results'!$S$19, "data missing"),
IF('Field information 2'!$Q$5="",
   IF(Calc!BD116=0,
     IF('Waste results'!$S$19&lt;&gt;"data missing", Calc!BC116*'Waste results'!$S$19, "data missing"),
   IF(Calc!BC116=0,
     IF('Waste results'!$S$55&lt;&gt;"data missing", Calc!BD116*'Waste results'!$S$55, "data missing"),
   IF(OR('Waste results'!$S$19&lt;&gt;"data missing", 'Waste results'!$S$55&lt;&gt;"data missing"), Calc!BC116*'Waste results'!$S$19+ Calc!BD116*'Waste results'!$S$55, "data missing"))),
IF(AND('Field information 2'!$M$5&lt;&gt;"", 'Field information 2'!$O$5&lt;&gt;"", 'Field information 2'!$Q$5&lt;&gt;""),
   IF(AND(Calc!BD116=0,Calc!BE116=0),
     IF('Waste results'!$S$19&lt;&gt;"data missing", Calc!BC116*'Waste results'!$S$19, "data missing"),
   IF(AND(Calc!BC116=0,Calc!BE116=0),
     IF('Waste results'!$S$55&lt;&gt;"data missing", Calc!BD116*'Waste results'!$S$55, "data missing"),
   IF(AND(Calc!BC116=0,Calc!BD116=0),
     IF('Waste results'!$S$91&lt;&gt;"data missing", Calc!BE116*'Waste results'!$S$91, "data missing"),
   IF(Calc!BE116=0,
     IF(OR('Waste results'!$S$19&lt;&gt;"data missing", 'Waste results'!$S$55&lt;&gt;"data missing"), Calc!BC116*'Waste results'!$S$19+ Calc!BD116*'Waste results'!$S$55, "data missing"),
   IF(Calc!BD116=0,
     IF(OR('Waste results'!$S$19&lt;&gt;"data missing", 'Waste results'!$S$91&lt;&gt;"data missing"), Calc!BC116*'Waste results'!$S$19+ Calc!BE116*'Waste results'!$S$91, "data missing"),
   IF(Calc!BC116=0,
     IF(OR('Waste results'!$S$55&lt;&gt;"data missing", 'Waste results'!$S$91&lt;&gt;"data missing"), Calc!BD116*'Waste results'!$S$55+Calc!BE116*'Waste results'!$S$91, "data missing"),
   IF(OR('Waste results'!$S$19&lt;&gt;"data missing", 'Waste results'!$S$55&lt;&gt;"data missing", 'Waste results'!$S$91&lt;&gt;"data missing"), Calc!BC116*'Waste results'!$S$19+Calc!BD116*'Waste results'!$S$55+ Calc!BE116*'Waste results'!$S$91, "data missing")))))))))))</f>
        <v/>
      </c>
      <c r="P118" s="91" t="str">
        <f ca="1">IF(B118="","",
IF(OR(ISBLANK('Soil results'!H$7),ISBLANK('Soil results'!H121)),"data missing",
IF(OR(AND('Soil results'!H$7="ammonium nitrate (ADAS)",'Soil results'!H121&gt;400),AND('Soil results'!H$7="modified Morgan (SAC)",'Soil results'!H121&gt;400)),0,
IF(OR(AND('Soil results'!H$7="ammonium nitrate (ADAS)",'Soil results'!H121&gt;=121,'Soil results'!H121&lt;=180),AND('Soil results'!H$7="modified Morgan (SAC)",'Soil results'!H121&gt;=76,'Soil results'!H121&lt;=140)),VLOOKUP(Calc!BI116,'Fertiliser recommendations'!$A$4:$Z$63,26,FALSE),
IF(OR(AND('Soil results'!H$7="ammonium nitrate (ADAS)",'Soil results'!H121&lt;61),AND('Soil results'!H$7="modified Morgan (SAC)",'Soil results'!H121&lt;40)),VLOOKUP(Calc!BI116,'Fertiliser recommendations'!$A$4:$Z$63,26,FALSE)+VLOOKUP(Calc!BI116,'Fertiliser recommendations'!$A$4:$AA$63,27,FALSE),
IF(OR(AND('Soil results'!H$7="ammonium nitrate (ADAS)",'Soil results'!H121&lt;121),AND('Soil results'!H$7="modified Morgan (SAC)",'Soil results'!H121&lt;76)),VLOOKUP(Calc!BI116,'Fertiliser recommendations'!$A$4:$Z$63,26,FALSE)+VLOOKUP(Calc!BI116,'Fertiliser recommendations'!$A$4:$AB$63,28,FALSE),
IF(OR(AND('Soil results'!H$7="ammonium nitrate (ADAS)",'Soil results'!H121&lt;241),AND('Soil results'!H$7="modified Morgan (SAC)",'Soil results'!H121&lt;201)),VLOOKUP(Calc!BI116,'Fertiliser recommendations'!$A$4:$Z$63,26,FALSE)+VLOOKUP(Calc!BI116,'Fertiliser recommendations'!$A$4:$AC$63,29,FALSE),
IF(OR(AND('Soil results'!H$7="ammonium nitrate (ADAS)",'Soil results'!H121&lt;=400),AND('Soil results'!H$7="modified Morgan (SAC)",'Soil results'!H121&lt;=400)),VLOOKUP(Calc!BI116,'Fertiliser recommendations'!$A$4:$Z$63,26,FALSE)+VLOOKUP(Calc!BI116,'Fertiliser recommendations'!$A$4:$AD$63,30,FALSE),
"??"))))))))</f>
        <v/>
      </c>
      <c r="Q118" s="91" t="str">
        <f t="shared" ca="1" si="36"/>
        <v/>
      </c>
      <c r="R118" s="9" t="str">
        <f ca="1">IF(B118="","",
IF(OR(O118="data missing",P118="data missing"),"data missing",
IF(Calc!BF116=0,"n/a",
IF(P118=0, "no requirement",
IF(O118&lt;0.1*P118,"no benefit",
IF(O118&lt;0.3*P118,"limited benefit",
IF(O118&gt;1.25*P118,"excessive",
"benefit")))))))</f>
        <v/>
      </c>
      <c r="S118" s="9"/>
      <c r="T118" s="91" t="str">
        <f ca="1">IF(B118="","",
IF(AND('Field information 2'!$O$5="", 'Field information 2'!$Q$5=""),
   IF('Waste results'!$S$21&lt;&gt;"data missing", Calc!BC116*'Waste results'!$S$21, "data missing"),
IF('Field information 2'!$Q$5="",
   IF(Calc!BD116=0,
     IF('Waste results'!$S$21&lt;&gt;"data missing", Calc!BC116*'Waste results'!$S$21, "data missing"),
   IF(Calc!BC116=0,
     IF('Waste results'!$S$57&lt;&gt;"data missing", Calc!BD116*'Waste results'!$S$57, "data missing"),
   IF(OR('Waste results'!$S$21&lt;&gt;"data missing", 'Waste results'!$S$57&lt;&gt;"data missing"), Calc!BC116*'Waste results'!$S$21+ Calc!BD116*'Waste results'!$S$57, "data missing"))),
IF(AND('Field information 2'!$M$5&lt;&gt;"", 'Field information 2'!$O$5&lt;&gt;"", 'Field information 2'!$Q$5&lt;&gt;""),
   IF(AND(Calc!BD116=0,Calc!BE116=0),
     IF('Waste results'!$S$21&lt;&gt;"data missing", Calc!BC116*'Waste results'!$S$21, "data missing"),
   IF(AND(Calc!BC116=0,Calc!BE116=0),
     IF('Waste results'!$S$57&lt;&gt;"data missing", Calc!BD116*'Waste results'!$S$57, "data missing"),
   IF(AND(Calc!BC116=0,Calc!BD116=0),
     IF('Waste results'!$S$93&lt;&gt;"data missing", Calc!BE116*'Waste results'!$S$93, "data missing"),
   IF(Calc!BE116=0,
     IF(OR('Waste results'!$S$21&lt;&gt;"data missing", 'Waste results'!$S$57&lt;&gt;"data missing"), Calc!BC116*'Waste results'!$S$21+ Calc!BD116*'Waste results'!$S$57, "data missing"),
   IF(Calc!BD116=0,
     IF(OR('Waste results'!$S$21&lt;&gt;"data missing", 'Waste results'!$S$93&lt;&gt;"data missing"), Calc!BC116*'Waste results'!$S$21+ Calc!BE116*'Waste results'!$S$93, "data missing"),
   IF(Calc!BC116=0,
     IF(OR('Waste results'!$S$57&lt;&gt;"data missing", 'Waste results'!$S$93&lt;&gt;"data missing"), Calc!BD116*'Waste results'!$S$57+Calc!BE116*'Waste results'!$S$93, "data missing"),
   IF(OR('Waste results'!$S$21&lt;&gt;"data missing", 'Waste results'!$S$57&lt;&gt;"data missing", 'Waste results'!$S$93&lt;&gt;"data missing"), Calc!BC116*'Waste results'!$S$21+Calc!BD116*'Waste results'!$S$57+ Calc!BE116*'Waste results'!$S$93, "data missing")))))))))))</f>
        <v/>
      </c>
      <c r="U118" s="7" t="str">
        <f ca="1">IF(B118="","",
IF(OR(ISBLANK('Soil results'!I$7),ISBLANK('Soil results'!I121)),"data missing",
IF(OR(AND('Soil results'!I$7="ammonium nitrate (ADAS)",'Soil results'!I121&gt;51),AND('Soil results'!I$7="modified Morgan (SAC)",'Soil results'!I121&gt;61)),0,
IF(OR(AND('Soil results'!I$7="ammonium nitrate (ADAS)",'Soil results'!I121&lt;25),AND('Soil results'!I$7="modified Morgan (SAC)",'Soil results'!I121&lt;19)),VLOOKUP(Calc!BI116,'Fertiliser recommendations'!$A$4:$AH$63,34,FALSE),
IF(OR(AND('Soil results'!I$7="ammonium nitrate (ADAS)",'Soil results'!I121&lt;=51),AND('Soil results'!I$7="modified Morgan (SAC)",'Soil results'!I121&lt;=61)),VLOOKUP(Calc!BI116,'Fertiliser recommendations'!$A$4:$AI$63,35,FALSE),
"")))))</f>
        <v/>
      </c>
      <c r="V118" s="91" t="str">
        <f t="shared" ca="1" si="37"/>
        <v/>
      </c>
      <c r="W118" s="9" t="str">
        <f ca="1">IF(B118="","",
IF(OR(T118="data missing",U118="data missing"),"data missing",
IF(Calc!BF116=0,"n/a",
IF(U118=0,"no requirement",
IF(T118&lt;0.1*U118,"no benefit",
IF(T118&lt;0.3*U118,"limited benefit",
IF(OR(T118&gt;1.5*U118,AND(Calc!BJ116="g",T118&gt;100)),"excessive",
"benefit")))))))</f>
        <v/>
      </c>
      <c r="X118" s="9"/>
      <c r="Y118" s="91" t="str">
        <f ca="1">IF(B118="","",
IF(AND('Field information 2'!$O$5="", 'Field information 2'!$Q$5=""),
   IF('Waste results'!$P$23&lt;&gt;"", Calc!BC116*'Waste results'!$P$23, "no data"),
IF('Field information 2'!$Q$5="",
   IF(Calc!BD116=0,
     IF('Waste results'!$P$23&lt;&gt;"", Calc!BC116*'Waste results'!$P$23, "no data"),
   IF(Calc!BC116=0,
     IF('Waste results'!$P$59&lt;&gt;"", Calc!BD116*'Waste results'!$P$59, "no data"),
   IF(OR('Waste results'!$P$23&lt;&gt;"", 'Waste results'!$P$59&lt;&gt;""), Calc!BC116*'Waste results'!$P$23+ Calc!BD116*'Waste results'!$P$59, "no data"))),
IF(AND('Field information 2'!$M$5&lt;&gt;"", 'Field information 2'!$O$5&lt;&gt;"", 'Field information 2'!$Q$5&lt;&gt;""),
   IF(AND(Calc!BD116=0,Calc!BE116=0),
     IF('Waste results'!$P$23&lt;&gt;"", Calc!BC116*'Waste results'!$P$23, "no data"),
   IF(AND(Calc!BC116=0,Calc!BE116=0),
     IF('Waste results'!$P$59&lt;&gt;"", Calc!BD116*'Waste results'!$P$59, "no data"),
   IF(AND(Calc!BC116=0,Calc!BD116=0),
     IF('Waste results'!$P$95&lt;&gt;"", Calc!BE116*'Waste results'!$P$95, "no data"),
   IF(Calc!BE116=0,
     IF(OR('Waste results'!$P$23&lt;&gt;"", 'Waste results'!$P$59&lt;&gt;""), Calc!BC116*'Waste results'!$P$23+ Calc!BD116*'Waste results'!$P$59, "no data"),
   IF(Calc!BD116=0,
     IF(OR('Waste results'!$P$23&lt;&gt;"", 'Waste results'!$P$95&lt;&gt;""), Calc!BC116*'Waste results'!$P$23+ Calc!BE116*'Waste results'!$P$95, "no data"),
   IF(Calc!BC116=0,
     IF(OR('Waste results'!$P$59&lt;&gt;"", 'Waste results'!$P$95&lt;&gt;""), Calc!BD116*'Waste results'!$P$59+Calc!BE116*'Waste results'!$P$95, "no data"),
   IF(OR('Waste results'!$P$23&lt;&gt;"", 'Waste results'!$P$59&lt;&gt;"", 'Waste results'!$P$95&lt;&gt;""), Calc!BC116*'Waste results'!$P$23+Calc!BD116*'Waste results'!$P$59+ Calc!BE116*'Waste results'!$P$95, "no data")))))))))))</f>
        <v/>
      </c>
      <c r="Z118" s="7" t="str">
        <f ca="1">IF(OR(ISBLANK('Soil results'!I$7),ISBLANK('Soil results'!I121),'Soil results'!B121=""),"",
VLOOKUP(Calc!BI116,'Fertiliser recommendations'!$A$4:$AM$63,39,FALSE))</f>
        <v/>
      </c>
      <c r="AA118" s="91" t="str">
        <f t="shared" ca="1" si="38"/>
        <v/>
      </c>
      <c r="AB118" s="9" t="str">
        <f t="shared" ca="1" si="39"/>
        <v/>
      </c>
      <c r="AC118" s="9"/>
      <c r="AD118" s="48" t="str">
        <f>IF(ISBLANK('Soil results'!F121),"",'Soil results'!F121)</f>
        <v/>
      </c>
      <c r="AE118" s="49" t="str">
        <f ca="1">IF(B118="","",
IF(AND(Calc!BJ116="g", VLOOKUP(LEFT($B118,LEN($B118)-2),'Field information 2'!$B$12:$P$111,9,FALSE)&lt;&gt;"yes"),
 IF(Calc!BG116="10-25% OM", 5.9, IF(Calc!BG116="&gt;25% OM", 5.5, 6.2)),
IF(OR(Calc!BJ116="a", VLOOKUP(LEFT($B118,LEN($B118)-2),'Field information 2'!$B$12:$P$111,9,FALSE)="yes"),
 IF(Calc!BG116="10-25% OM", 6.4, IF(Calc!BG116="&gt;25% OM", 6, 6.7)), "")))</f>
        <v/>
      </c>
      <c r="AF118" s="91" t="str">
        <f ca="1">IF(B118="","",
IF('Waste results'!$Q$33="","no (significant) liming properties",
IF('Waste results'!Q$33&gt;100,"no (significant) liming properties",
IF(AD118="","",
IF(AD118&gt;=AE118,0,ROUNDDOWN((AE118-AD118)*Calc!BK116*'Waste results'!$Q$33+0.2,0))))))</f>
        <v/>
      </c>
      <c r="AG118" s="9" t="str">
        <f ca="1">IF(B118="","",
IF(T118=0,"n/a",
IF(AD118="","data missing",
IF(AND(AD118&lt;5,AF118="no (significant) liming properties"),"no waste application - pH too low",
IF(AND(AD118&gt;5.1,AF118="no (significant) liming properties",Calc!BH116&gt;25, LEFT(Calc!BI116,4)="graz"),"ok",
IF(AND(AD118&lt;=5.2,AF118="no (significant) liming properties"),"liming highly recommended",
IF(AF118=0,"no waste application - liming not required",
IF(AF118&lt;Calc!BC116,"application rate too high - exceeds liming requirement",
"ok"))))))))</f>
        <v/>
      </c>
      <c r="AH118" s="9"/>
      <c r="AI118" s="91" t="str">
        <f ca="1">IF(B118="","",
IF(AND('Field information 2'!$O$5="", 'Field information 2'!$Q$5=""),
   IF('Waste results'!$P$10&lt;&gt;"data missing", Calc!BC116*'Waste results'!$P$10, "data missing"),
IF('Field information 2'!$Q$5="",
   IF(Calc!BD116=0,
     IF('Waste results'!$P$10&lt;&gt;"data missing", Calc!BC116*'Waste results'!$P$10, "data missing"),
   IF(Calc!BC116=0,
     IF('Waste results'!$P$45&lt;&gt;"data missing", Calc!BD116*'Waste results'!$P$45, "data missing"),
   IF(OR('Waste results'!$P$10&lt;&gt;"data missing", 'Waste results'!$P$45&lt;&gt;"data missing"), Calc!BC116*'Waste results'!$P$10+ Calc!BD116*'Waste results'!$P$45, "data missing"))),
IF(AND('Field information 2'!$M$5&lt;&gt;"", 'Field information 2'!$O$5&lt;&gt;"", 'Field information 2'!$Q$5&lt;&gt;""),
   IF(AND(Calc!BD116=0,Calc!BE116=0),
     IF('Waste results'!$P$10&lt;&gt;"data missing", Calc!BC116*'Waste results'!$P$10, "data missing"),
   IF(AND(Calc!BC116=0,Calc!BE116=0),
     IF('Waste results'!$P$45&lt;&gt;"data missing", Calc!BD116*'Waste results'!$P$45, "data missing"),
   IF(AND(Calc!BC116=0,Calc!BD116=0),
     IF('Waste results'!$P$82&lt;&gt;"data missing", Calc!BE116*'Waste results'!$P$82, "data missing"),
   IF(Calc!BE116=0,
     IF(OR('Waste results'!$P$10&lt;&gt;"data missing", 'Waste results'!$P$45&lt;&gt;"data missing"), Calc!BC116*'Waste results'!$P$10+ Calc!BD116*'Waste results'!$P$45, "data missing"),
   IF(Calc!BD116=0,
     IF(OR('Waste results'!$P$10&lt;&gt;"data missing", 'Waste results'!$P$82&lt;&gt;"data missing"), Calc!BC116*'Waste results'!$P$10+ Calc!BE116*'Waste results'!$P$82, "data missing"),
   IF(Calc!BC116=0,
     IF(OR('Waste results'!$P$45&lt;&gt;"data missing", 'Waste results'!$P$82&lt;&gt;"data missing"), Calc!BD116*'Waste results'!$P$45+Calc!BE116*'Waste results'!$P$82, "data missing"),
   IF(OR('Waste results'!$P$10&lt;&gt;"data missing", 'Waste results'!$P$45&lt;&gt;"data missing", 'Waste results'!$P$82&lt;&gt;"data missing"), Calc!BC116*'Waste results'!$P$10+Calc!BD116*'Waste results'!$P$45+ Calc!BE116*'Waste results'!$P$82, "data missing")))))))))))</f>
        <v/>
      </c>
      <c r="AJ118" s="237" t="str">
        <f ca="1">IF(B118="","",
IF(AI118="data missing","data missing",
IF(Calc!BF116=0,"n/a",
IF(AND(Calc!BH116&gt;=8,AI118&lt;500),"no benefit",
IF(OR(AND(Calc!BH116&lt;=4,AI118&gt;=500),AND(Calc!BH116&lt;8,AI118&gt;5000)),"benefit",
"limited benefit")))))</f>
        <v/>
      </c>
      <c r="AK118" s="9"/>
      <c r="AL118" s="238" t="str">
        <f ca="1">IF(B118="","",
IF(AND('Field information 2'!$O$5="", 'Field information 2'!$Q$5=""),
   IF('Waste results'!$S$25&lt;&gt;"data missing", Calc!BC116*'Waste results'!$S$25, "data missing"),
IF('Field information 2'!$Q$5="",
   IF(Calc!BD116=0,
     IF('Waste results'!$S$25&lt;&gt;"data missing", Calc!BC116*'Waste results'!$S$25, "data missing"),
   IF(Calc!BC116=0,
     IF('Waste results'!$S$61&lt;&gt;"data missing", Calc!BD116*'Waste results'!$S$61, "data missing"),
   IF(OR('Waste results'!$S$25&lt;&gt;"data missing", 'Waste results'!$S$61&lt;&gt;"data missing"), Calc!BC116*'Waste results'!$S$25+ Calc!BD116*'Waste results'!$S$61, "data missing"))),
IF(AND('Field information 2'!$M$5&lt;&gt;"", 'Field information 2'!$O$5&lt;&gt;"", 'Field information 2'!$Q$5&lt;&gt;""),
   IF(AND(Calc!BD116=0,Calc!BE116=0),
     IF('Waste results'!$S$25&lt;&gt;"data missing", Calc!BC116*'Waste results'!$S$25, "data missing"),
   IF(AND(Calc!BC116=0,Calc!BE116=0),
     IF('Waste results'!$S$61&lt;&gt;"data missing", Calc!BD116*'Waste results'!$S$61, "data missing"),
   IF(AND(Calc!BC116=0,Calc!BD116=0),
     IF('Waste results'!$S$97&lt;&gt;"data missing", Calc!BE116*'Waste results'!$S$97, "data missing"),
   IF(Calc!BE116=0,
     IF(OR('Waste results'!$S$25&lt;&gt;"data missing", 'Waste results'!$S$61&lt;&gt;"data missing"), Calc!BC116*'Waste results'!$S$25+ Calc!BD116*'Waste results'!$S$61, "data missing"),
   IF(Calc!BD116=0,
     IF(OR('Waste results'!$S$25&lt;&gt;"data missing", 'Waste results'!$S$97&lt;&gt;"data missing"), Calc!BC116*'Waste results'!$S$25+ Calc!BE116*'Waste results'!$S$97, "data missing"),
   IF(Calc!BC116=0,
     IF(OR('Waste results'!$S$61&lt;&gt;"data missing", 'Waste results'!$S$97&lt;&gt;"data missing"), Calc!BD116*'Waste results'!$S$61+Calc!BE116*'Waste results'!$S$97, "data missing"),
   IF(OR('Waste results'!$S$25&lt;&gt;"data missing", 'Waste results'!$S$61&lt;&gt;"data missing", 'Waste results'!$S$97&lt;&gt;"data missing"), Calc!BC116*'Waste results'!$S$25+Calc!BD116*'Waste results'!$S$61+ Calc!BE116*'Waste results'!$S$97, "data missing")))))))))))</f>
        <v/>
      </c>
      <c r="AM118" s="239" t="str">
        <f ca="1">IF($B118="","",
IF(ISBLANK('Soil results'!K121),"data missing",'Soil results'!K121))</f>
        <v/>
      </c>
      <c r="AN118" s="239" t="str">
        <f t="shared" ca="1" si="40"/>
        <v/>
      </c>
      <c r="AO118" s="9" t="str">
        <f t="shared" ca="1" si="41"/>
        <v/>
      </c>
      <c r="AP118" s="9"/>
      <c r="AQ118" s="240" t="str">
        <f ca="1">IF(B118="","",
IF(AND('Field information 2'!$O$5="", 'Field information 2'!$Q$5=""),
   IF('Waste results'!$S$26&lt;&gt;"data missing", Calc!BC116*'Waste results'!$S$26, "data missing"),
IF('Field information 2'!$Q$5="",
   IF(Calc!BD116=0,
     IF('Waste results'!$S$26&lt;&gt;"data missing", Calc!BC116*'Waste results'!$S$26, "data missing"),
   IF(Calc!BC116=0,
     IF('Waste results'!$S$62&lt;&gt;"data missing", Calc!BD116*'Waste results'!$S$62, "data missing"),
   IF(OR('Waste results'!$S$26&lt;&gt;"data missing", 'Waste results'!$S$62&lt;&gt;"data missing"), Calc!BC116*'Waste results'!$S$26+ Calc!BD116*'Waste results'!$S$62, "data missing"))),
IF(AND('Field information 2'!$M$5&lt;&gt;"", 'Field information 2'!$O$5&lt;&gt;"", 'Field information 2'!$Q$5&lt;&gt;""),
   IF(AND(Calc!BD116=0,Calc!BE116=0),
     IF('Waste results'!$S$26&lt;&gt;"data missing", Calc!BC116*'Waste results'!$S$26, "data missing"),
   IF(AND(Calc!BC116=0,Calc!BE116=0),
     IF('Waste results'!$S$62&lt;&gt;"data missing", Calc!BD116*'Waste results'!$S$62, "data missing"),
   IF(AND(Calc!BC116=0,Calc!BD116=0),
     IF('Waste results'!$S$98&lt;&gt;"data missing", Calc!BE116*'Waste results'!$S$98, "data missing"),
   IF(Calc!BE116=0,
     IF(OR('Waste results'!$S$26&lt;&gt;"data missing", 'Waste results'!$S$62&lt;&gt;"data missing"), Calc!BC116*'Waste results'!$S$26+ Calc!BD116*'Waste results'!$S$62, "data missing"),
   IF(Calc!BD116=0,
     IF(OR('Waste results'!$S$26&lt;&gt;"data missing", 'Waste results'!$S$98&lt;&gt;"data missing"), Calc!BC116*'Waste results'!$S$26+ Calc!BE116*'Waste results'!$S$98, "data missing"),
   IF(Calc!BC116=0,
     IF(OR('Waste results'!$S$62&lt;&gt;"data missing", 'Waste results'!$S$98&lt;&gt;"data missing"), Calc!BD116*'Waste results'!$S$62+Calc!BE116*'Waste results'!$S$98, "data missing"),
   IF(OR('Waste results'!$S$26&lt;&gt;"data missing", 'Waste results'!$S$62&lt;&gt;"data missing", 'Waste results'!$S$98&lt;&gt;"data missing"), Calc!BC116*'Waste results'!$S$26+Calc!BD116*'Waste results'!$S$62+ Calc!BE116*'Waste results'!$S$98, "data missing")))))))))))</f>
        <v/>
      </c>
      <c r="AR118" s="241" t="str">
        <f ca="1">IF($B118="","",
IF(ISBLANK('Soil results'!L121),"data missing",'Soil results'!L121))</f>
        <v/>
      </c>
      <c r="AS118" s="241" t="str">
        <f t="shared" ca="1" si="42"/>
        <v/>
      </c>
      <c r="AT118" s="66" t="str">
        <f t="shared" ca="1" si="43"/>
        <v/>
      </c>
      <c r="AU118" s="9"/>
      <c r="AV118" s="238" t="str">
        <f ca="1">IF(B118="","",
IF(AND('Field information 2'!$O$5="", 'Field information 2'!$Q$5=""),
   IF('Waste results'!$S$27&lt;&gt;"data missing", Calc!BC116*'Waste results'!$S$27, "data missing"),
IF('Field information 2'!$Q$5="",
   IF(Calc!BD116=0,
     IF('Waste results'!$S$27&lt;&gt;"data missing", Calc!BC116*'Waste results'!$S$27, "data missing"),
   IF(Calc!BC116=0,
     IF('Waste results'!$S$63&lt;&gt;"data missing", Calc!BD116*'Waste results'!$S$63, "data missing"),
   IF(OR('Waste results'!$S$27&lt;&gt;"data missing", 'Waste results'!$S$63&lt;&gt;"data missing"), Calc!BC116*'Waste results'!$S$27+ Calc!BD116*'Waste results'!$S$63, "data missing"))),
IF(AND('Field information 2'!$M$5&lt;&gt;"", 'Field information 2'!$O$5&lt;&gt;"", 'Field information 2'!$Q$5&lt;&gt;""),
   IF(AND(Calc!BD116=0,Calc!BE116=0),
     IF('Waste results'!$S$27&lt;&gt;"data missing", Calc!BC116*'Waste results'!$S$27, "data missing"),
   IF(AND(Calc!BC116=0,Calc!BE116=0),
     IF('Waste results'!$S$63&lt;&gt;"data missing", Calc!BD116*'Waste results'!$S$63, "data missing"),
   IF(AND(Calc!BC116=0,Calc!BD116=0),
     IF('Waste results'!$S$99&lt;&gt;"data missing", Calc!BE116*'Waste results'!$S$99, "data missing"),
   IF(Calc!BE116=0,
     IF(OR('Waste results'!$S$27&lt;&gt;"data missing", 'Waste results'!$S$63&lt;&gt;"data missing"), Calc!BC116*'Waste results'!$S$27+ Calc!BD116*'Waste results'!$S$63, "data missing"),
   IF(Calc!BD116=0,
     IF(OR('Waste results'!$S$27&lt;&gt;"data missing", 'Waste results'!$S$99&lt;&gt;"data missing"), Calc!BC116*'Waste results'!$S$27+ Calc!BE116*'Waste results'!$S$99, "data missing"),
   IF(Calc!BC116=0,
     IF(OR('Waste results'!$S$63&lt;&gt;"data missing", 'Waste results'!$S$99&lt;&gt;"data missing"), Calc!BD116*'Waste results'!$S$63+Calc!BE116*'Waste results'!$S$99, "data missing"),
   IF(OR('Waste results'!$S$27&lt;&gt;"data missing", 'Waste results'!$S$63&lt;&gt;"data missing", 'Waste results'!$S$99&lt;&gt;"data missing"), Calc!BC116*'Waste results'!$S$27+Calc!BD116*'Waste results'!$S$63+ Calc!BE116*'Waste results'!$S$99, "data missing")))))))))))</f>
        <v/>
      </c>
      <c r="AW118" s="239" t="str">
        <f ca="1">IF($B118="","",
IF(ISBLANK('Soil results'!M121),"data missing",'Soil results'!M121))</f>
        <v/>
      </c>
      <c r="AX118" s="239" t="str">
        <f t="shared" ca="1" si="44"/>
        <v/>
      </c>
      <c r="AY118" s="9" t="str">
        <f ca="1">IF(B118="","",
IF(AV118=0,"n/a",
IF(OR(AV118="data missing",AW118="data missing"),"data missing",
IF(AV118&gt;7.5,"application rate too high - permissible rate exceeds limit",
IF('Soil results'!$F121&lt;=5.5,
  IF(AW118&gt;80,"no application - soil conc. already above limit",
  IF(AX118&gt;80,"application rate too high - soil conc. will exceed limit",
  IF(AW118&gt;80*0.9,"soil conc. is at or above 90% of the limit",
  IF(10*AV118*1000/3000+AW118&gt;80,"soil limit likely to be exceeded in 10yrs",
  IF(50*AV118*1000/3000+AW118&gt;80,"soil limit likely to be exceeded in 50yrs","ok"))))),
IF('Soil results'!$F121&lt;=6,
  IF(AW118&gt;100,"no application - soil conc. already above limit",
  IF(AX118&gt;100,"application rate too high - soil conc. will exceed limit",
  IF(AW118&gt;100*0.9,"soil conc. is at or above 90% of the limit",
  IF(10*AV118*1000/3000+AW118&gt;100,"soil limit likely to be exceeded in 10yrs",
  IF(50*AV118*1000/3000+AW118&gt;100,"soil limit likely to be exceeded in 50yrs","ok"))))),
IF('Soil results'!$F121&lt;=7,
  IF(AW118&gt;135,"no application - soil conc. already above limit",
  IF(AX118&gt;135,"application rate too high - soil conc. will exceed limit",
  IF(AW118&gt;135*0.9,"soil conc. is at or above 90% of the limit",
  IF(10*AV118*1000/3000+AW118&gt;135,"soil limit likely to be exceeded in 10yrs",
  IF(50*AV118*1000/3000+AW118&gt;135,"soil limit likely to be exceeded in 50yrs","ok"))))),
IF('Soil results'!$F121&gt;7,
  IF(AW118&gt;200,"no application - soil conc. already above limit",
  IF(AX118&gt;200,"application too high - soil conc. will exceed limit",
  IF(AW118&gt;200*0.9,"soil conc. is at or above 90% of the limit",
  IF(10*AV118*1000/3000+AW118&gt;200,"soil limit likely to be exceeded in 10yrs",
  IF(50*AV118*1000/3000+AW118&gt;200,"soil limit likely to be exceeded in 50yrs","ok")))))
))))))))</f>
        <v/>
      </c>
      <c r="AZ118" s="9"/>
      <c r="BA118" s="238" t="str">
        <f ca="1">IF(B118="","",
IF(AND('Field information 2'!$O$5="", 'Field information 2'!$Q$5=""),
   IF('Waste results'!$S$28&lt;&gt;"data missing", Calc!BC116*'Waste results'!$S$28, "data missing"),
IF('Field information 2'!$Q$5="",
   IF(Calc!BD116=0,
     IF('Waste results'!$S$28&lt;&gt;"data missing", Calc!BC116*'Waste results'!$S$28, "data missing"),
   IF(Calc!BC116=0,
     IF('Waste results'!$S$64&lt;&gt;"data missing", Calc!BD116*'Waste results'!$S$64, "data missing"),
   IF(OR('Waste results'!$S$28&lt;&gt;"data missing", 'Waste results'!$S$64&lt;&gt;"data missing"), Calc!BC116*'Waste results'!$S$28+ Calc!BD116*'Waste results'!$S$64, "data missing"))),
IF(AND('Field information 2'!$M$5&lt;&gt;"", 'Field information 2'!$O$5&lt;&gt;"", 'Field information 2'!$Q$5&lt;&gt;""),
   IF(AND(Calc!BD116=0,Calc!BE116=0),
     IF('Waste results'!$S$28&lt;&gt;"data missing", Calc!BC116*'Waste results'!$S$28, "data missing"),
   IF(AND(Calc!BC116=0,Calc!BE116=0),
     IF('Waste results'!$S$64&lt;&gt;"data missing", Calc!BD116*'Waste results'!$S$64, "data missing"),
   IF(AND(Calc!BC116=0,Calc!BD116=0),
     IF('Waste results'!$S$100&lt;&gt;"data missing", Calc!BE116*'Waste results'!$S$100, "data missing"),
   IF(Calc!BE116=0,
     IF(OR('Waste results'!$S$28&lt;&gt;"data missing", 'Waste results'!$S$64&lt;&gt;"data missing"), Calc!BC116*'Waste results'!$S$28+ Calc!BD116*'Waste results'!$S$64, "data missing"),
   IF(Calc!BD116=0,
     IF(OR('Waste results'!$S$28&lt;&gt;"data missing", 'Waste results'!$S$100&lt;&gt;"data missing"), Calc!BC116*'Waste results'!$S$28+ Calc!BE116*'Waste results'!$S$100, "data missing"),
   IF(Calc!BC116=0,
     IF(OR('Waste results'!$S$64&lt;&gt;"data missing", 'Waste results'!$S$100&lt;&gt;"data missing"), Calc!BD116*'Waste results'!$S$64+Calc!BE116*'Waste results'!$S$100, "data missing"),
   IF(OR('Waste results'!$S$28&lt;&gt;"data missing", 'Waste results'!$S$64&lt;&gt;"data missing", 'Waste results'!$S$100&lt;&gt;"data missing"), Calc!BC116*'Waste results'!$S$28+Calc!BD116*'Waste results'!$S$64+ Calc!BE116*'Waste results'!$S$100, "data missing")))))))))))</f>
        <v/>
      </c>
      <c r="BB118" s="239" t="str">
        <f ca="1">IF($B118="","",
IF(ISBLANK('Soil results'!N121),"data missing",'Soil results'!N121))</f>
        <v/>
      </c>
      <c r="BC118" s="239" t="str">
        <f t="shared" ca="1" si="45"/>
        <v/>
      </c>
      <c r="BD118" s="9" t="str">
        <f t="shared" ca="1" si="46"/>
        <v/>
      </c>
      <c r="BE118" s="9"/>
      <c r="BF118" s="238" t="str">
        <f ca="1">IF(B118="","",
IF(AND('Field information 2'!$O$5="", 'Field information 2'!$Q$5=""),
   IF('Waste results'!$S$29&lt;&gt;"data missing", Calc!BC116*'Waste results'!$S$29, "data missing"),
IF('Field information 2'!$Q$5="",
   IF(Calc!BD116=0,
     IF('Waste results'!$S$29&lt;&gt;"data missing", Calc!BC116*'Waste results'!$S$29, "data missing"),
   IF(Calc!BC116=0,
     IF('Waste results'!$S$65&lt;&gt;"data missing", Calc!BD116*'Waste results'!$S$65, "data missing"),
   IF(OR('Waste results'!$S$29&lt;&gt;"data missing", 'Waste results'!$S$65&lt;&gt;"data missing"), Calc!BC116*'Waste results'!$S$29+ Calc!BD116*'Waste results'!$S$65, "data missing"))),
IF(AND('Field information 2'!$M$5&lt;&gt;"", 'Field information 2'!$O$5&lt;&gt;"", 'Field information 2'!$Q$5&lt;&gt;""),
   IF(AND(Calc!BD116=0,Calc!BE116=0),
     IF('Waste results'!$S$29&lt;&gt;"data missing", Calc!BC116*'Waste results'!$S$29, "data missing"),
   IF(AND(Calc!BC116=0,Calc!BE116=0),
     IF('Waste results'!$S$65&lt;&gt;"data missing", Calc!BD116*'Waste results'!$S$65, "data missing"),
   IF(AND(Calc!BC116=0,Calc!BD116=0),
     IF('Waste results'!$S$101&lt;&gt;"data missing", Calc!BE116*'Waste results'!$S$101, "data missing"),
   IF(Calc!BE116=0,
     IF(OR('Waste results'!$S$29&lt;&gt;"data missing", 'Waste results'!$S$65&lt;&gt;"data missing"), Calc!BC116*'Waste results'!$S$29+ Calc!BD116*'Waste results'!$S$65, "data missing"),
   IF(Calc!BD116=0,
     IF(OR('Waste results'!$S$29&lt;&gt;"data missing", 'Waste results'!$S$101&lt;&gt;"data missing"), Calc!BC116*'Waste results'!$S$29+ Calc!BE116*'Waste results'!$S$101, "data missing"),
   IF(Calc!BC116=0,
     IF(OR('Waste results'!$S$65&lt;&gt;"data missing", 'Waste results'!$S$101&lt;&gt;"data missing"), Calc!BD116*'Waste results'!$S$65+Calc!BE116*'Waste results'!$S$101, "data missing"),
   IF(OR('Waste results'!$S$29&lt;&gt;"data missing", 'Waste results'!$S$65&lt;&gt;"data missing", 'Waste results'!$S$101&lt;&gt;"data missing"), Calc!BC116*'Waste results'!$S$29+Calc!BD116*'Waste results'!$S$65+ Calc!BE116*'Waste results'!$S$101, "data missing")))))))))))</f>
        <v/>
      </c>
      <c r="BG118" s="239" t="str">
        <f ca="1">IF($B118="","",
IF(ISBLANK('Soil results'!O121),"data missing",'Soil results'!O121))</f>
        <v/>
      </c>
      <c r="BH118" s="239" t="str">
        <f t="shared" ca="1" si="47"/>
        <v/>
      </c>
      <c r="BI118" s="9" t="str">
        <f ca="1">IF(B118="","",
IF(BF118=0,"n/a",
IF(OR(BF118="data missing",BG118="data missing"),"data missing",
IF(BF118&gt;3,"application rate too high - permissible rate exceeds limit",
IF('Soil results'!F121&lt;=5.5,
  IF(BG118&gt;50,"no application - soil conc. already above limit",
  IF(BH118&gt;50,"application rate too high - soil conc. will exceed limit",
  IF(BG118&gt;50*0.9,"soil conc. is at or above 90% of the limit",
  IF(10*BF118*1000/3000+BG118&gt;50,"soil limit likely to be exceeded in 10yrs",
  IF(50*BF118*1000/3000+BG118&gt;50,"soil limit likely to be exceeded in 50yrs","ok"))))),
IF('Soil results'!F121&lt;=6,
  IF(BG118&gt;60,"no application - soil conc. already above limit",
  IF(BH118&gt;60,"application rate too high - soil conc. will exceed limit",
  IF(BG118&gt;60*0.9,"soil conc. is at or above 90% of the limit",
  IF(10*BF118*1000/3000+BG118&gt;60,"soil limit likely to be exceeded in 10yrs",
  IF(50*BF118*1000/3000+BG118&gt;60,"soil limit likely to be exceeded in 50yrs","ok"))))),
IF('Soil results'!F121&lt;=7,
  IF(BG118&gt;75,"no application - soil conc. already above limit",
  IF(BH118&gt;75,"application rate too high - soil conc. will exceed limit",
  IF(BG118&gt;75*0.9,"soil conc. is at or above 90% of the limit",
  IF(10*BF118*1000/3000+BG118&gt;75,"soil limit likely to be exceeded in 10yrs",
  IF(50*BF118*1000/3000+BG118&gt;75,"soil limit likely to be exceeded in 50yrs","ok"))))),
IF('Soil results'!F121&gt;7,
  IF(BG118&gt;100,"no application - soil conc. already above limit",
  IF(BH118&gt;100,"application rate too high - soil conc. will exceed limit",
  IF(BG118&gt;100*0.9,"soil conc. is at or above 90% of the limit",
  IF(10*BF118*1000/3000+BG118&gt;100,"soil limit likely to be exceeded in 10yrs",
  IF(50*BF118*1000/3000+BG118&gt;100,"soil limit likely to beexceeded in 50yrs","ok")))))
))))))))</f>
        <v/>
      </c>
      <c r="BJ118" s="9"/>
      <c r="BK118" s="240" t="str">
        <f ca="1">IF(B118="","",
IF(AND('Field information 2'!$O$5="", 'Field information 2'!$Q$5=""),
   IF('Waste results'!$S$30&lt;&gt;"data missing", Calc!BC116*'Waste results'!$S$30, "data missing"),
IF('Field information 2'!$Q$5="",
   IF(Calc!BD116=0,
     IF('Waste results'!$S$30&lt;&gt;"data missing", Calc!BC116*'Waste results'!$S$30, "data missing"),
   IF(Calc!BC116=0,
     IF('Waste results'!$S$66&lt;&gt;"data missing", Calc!BD116*'Waste results'!$S$66, "data missing"),
   IF(OR('Waste results'!$S$30&lt;&gt;"data missing", 'Waste results'!$S$66&lt;&gt;"data missing"), Calc!BC116*'Waste results'!$S$30+ Calc!BD116*'Waste results'!$S$66, "data missing"))),
IF(AND('Field information 2'!$M$5&lt;&gt;"", 'Field information 2'!$O$5&lt;&gt;"", 'Field information 2'!$Q$5&lt;&gt;""),
   IF(AND(Calc!BD116=0,Calc!BE116=0),
     IF('Waste results'!$S$30&lt;&gt;"data missing", Calc!BC116*'Waste results'!$S$30, "data missing"),
   IF(AND(Calc!BC116=0,Calc!BE116=0),
     IF('Waste results'!$S$66&lt;&gt;"data missing", Calc!BD116*'Waste results'!$S$66, "data missing"),
   IF(AND(Calc!BC116=0,Calc!BD116=0),
     IF('Waste results'!$S$102&lt;&gt;"data missing", Calc!BE116*'Waste results'!$S$102, "data missing"),
   IF(Calc!BE116=0,
     IF(OR('Waste results'!$S$30&lt;&gt;"data missing", 'Waste results'!$S$66&lt;&gt;"data missing"), Calc!BC116*'Waste results'!$S$30+ Calc!BD116*'Waste results'!$S$66, "data missing"),
   IF(Calc!BD116=0,
     IF(OR('Waste results'!$S$30&lt;&gt;"data missing", 'Waste results'!$S$102&lt;&gt;"data missing"), Calc!BC116*'Waste results'!$S$30+ Calc!BE116*'Waste results'!$S$102, "data missing"),
   IF(Calc!BC116=0,
     IF(OR('Waste results'!$S$66&lt;&gt;"data missing", 'Waste results'!$S$102&lt;&gt;"data missing"), Calc!BD116*'Waste results'!$S$66+Calc!BE116*'Waste results'!$S$102, "data missing"),
   IF(OR('Waste results'!$S$30&lt;&gt;"data missing", 'Waste results'!$S$66&lt;&gt;"data missing", 'Waste results'!$S$102&lt;&gt;"data missing"), Calc!BC116*'Waste results'!$S$30+Calc!BD116*'Waste results'!$S$66+ Calc!BE116*'Waste results'!$S$102, "data missing")))))))))))</f>
        <v/>
      </c>
      <c r="BL118" s="241" t="str">
        <f ca="1">IF($B118="","",
IF(ISBLANK('Soil results'!P121),"data missing",'Soil results'!P121))</f>
        <v/>
      </c>
      <c r="BM118" s="241" t="str">
        <f t="shared" ca="1" si="48"/>
        <v/>
      </c>
      <c r="BN118" s="66" t="str">
        <f t="shared" ca="1" si="49"/>
        <v/>
      </c>
      <c r="BO118" s="9"/>
      <c r="BP118" s="238" t="str">
        <f ca="1">IF(B118="","",
IF(AND('Field information 2'!$O$5="", 'Field information 2'!$Q$5=""),
   IF('Waste results'!$S$31&lt;&gt;"data missing", Calc!BC116*'Waste results'!$S$31, "data missing"),
IF('Field information 2'!$Q$5="",
   IF(Calc!BD116=0,
     IF('Waste results'!$S$31&lt;&gt;"data missing", Calc!BC116*'Waste results'!$S$31, "data missing"),
   IF(Calc!BC116=0,
     IF('Waste results'!$S$67&lt;&gt;"data missing", Calc!BD116*'Waste results'!$S$67, "data missing"),
   IF(OR('Waste results'!$S$31&lt;&gt;"data missing", 'Waste results'!$S$67&lt;&gt;"data missing"), Calc!BC116*'Waste results'!$S$31+ Calc!BD116*'Waste results'!$S$67, "data missing"))),
IF(AND('Field information 2'!$M$5&lt;&gt;"", 'Field information 2'!$O$5&lt;&gt;"", 'Field information 2'!$Q$5&lt;&gt;""),
   IF(AND(Calc!BD116=0,Calc!BE116=0),
     IF('Waste results'!$S$31&lt;&gt;"data missing", Calc!BC116*'Waste results'!$S$31, "data missing"),
   IF(AND(Calc!BC116=0,Calc!BE116=0),
     IF('Waste results'!$S$67&lt;&gt;"data missing", Calc!BD116*'Waste results'!$S$67, "data missing"),
   IF(AND(Calc!BC116=0,Calc!BD116=0),
     IF('Waste results'!$S$103&lt;&gt;"data missing", Calc!BE116*'Waste results'!$S$103, "data missing"),
   IF(Calc!BE116=0,
     IF(OR('Waste results'!$S$31&lt;&gt;"data missing", 'Waste results'!$S$67&lt;&gt;"data missing"), Calc!BC116*'Waste results'!$S$31+ Calc!BD116*'Waste results'!$S$67, "data missing"),
   IF(Calc!BD116=0,
     IF(OR('Waste results'!$S$31&lt;&gt;"data missing", 'Waste results'!$S$103&lt;&gt;"data missing"), Calc!BC116*'Waste results'!$S$31+ Calc!BE116*'Waste results'!$S$103, "data missing"),
   IF(Calc!BC116=0,
     IF(OR('Waste results'!$S$67&lt;&gt;"data missing", 'Waste results'!$S$103&lt;&gt;"data missing"), Calc!BD116*'Waste results'!$S$67+Calc!BE116*'Waste results'!$S$103, "data missing"),
   IF(OR('Waste results'!$S$31&lt;&gt;"data missing", 'Waste results'!$S$67&lt;&gt;"data missing", 'Waste results'!$S$103&lt;&gt;"data missing"), Calc!BC116*'Waste results'!$S$31+Calc!BD116*'Waste results'!$S$67+ Calc!BE116*'Waste results'!$S$103, "data missing")))))))))))</f>
        <v/>
      </c>
      <c r="BQ118" s="239" t="str">
        <f ca="1">IF($B118="","",
IF(ISBLANK('Soil results'!Q121),"data missing",'Soil results'!Q121))</f>
        <v/>
      </c>
      <c r="BR118" s="239" t="str">
        <f t="shared" ca="1" si="50"/>
        <v/>
      </c>
      <c r="BS118" s="9" t="str">
        <f ca="1">IF(B118="","",
IF(BP118=0,"n/a",
IF(OR(BP118="data missing",BQ118=""),"data missing",
IF(BP118&gt;15,"application rate too high - permissible rate exceeds limit",
IF('Soil results'!F121&lt;=5.5,
  IF(BQ118&gt;200,"no application - soil conc. already above limit",
  IF(BR118&gt;200,"application rate too high - soil conc. will exceed limit",
  IF(BQ118&gt;200*0.9,"soil conc. is at or above 90% of the limit",
  IF(10*BP118*1000/3000+BQ118&gt;200,"soil limit likely to be exceeded in 10yrs",
  IF(50*BP118*1000/3000+BQ118&gt;200,"soil limit likely to be exceeded in 50yrs","ok"))))),
IF('Soil results'!F121&lt;=6,
  IF(BQ118&gt;250,"no application - soil conc. already above limit",
  IF(BR118&gt;250,"application rate too high - soil conc. will exceed limit",
  IF(BQ118&gt;250*0.9,"soil conc. is at or above 90% of the limit",
  IF(10*BP118*1000/3000+BQ118&gt;250,"soil limit likely to be exceeded in 10yrs",
  IF(50*BP118*1000/3000+BQ118&gt;250,"soil limit likely to be exceeded in 50yrs","ok"))))),
IF('Soil results'!F121&lt;=7,
  IF(BQ118&gt;300,"no application - soil conc. already above limit",
  IF(BR118&gt;300,"application rate too high - soil conc. will exceed limit",
  IF(BQ118&gt;300*0.9,"soil conc. is at or above 90% of the limit",
  IF(10*BP118*1000/3000+BQ118&gt;300,"soil limit likey to be exceeded in 10yrs",
  IF(50*BP118*1000/3000+BQ118&gt;300,"soil limit likely to be exceeded in 50yrs","ok"))))),
IF('Soil results'!F121&gt;7,
  IF(BQ118&gt;450,"no application - soil conc. already above limit",
  IF(BR118&gt;450,"application rate too high - soil conc. will exceed limit",
  IF(AW118&gt;450*0.9,"soil conc. is at or above 90% of the limit",
  IF(10*BP118*1000/3000+BQ118&gt;450,"soil limit likely to be exceeded in 10yrs",
  IF(50*BP118*1000/3000+BQ118&gt;450,"soil limit likely to be exceeded in 50yrs","ok")))))
))))))))</f>
        <v/>
      </c>
    </row>
    <row r="119" spans="2:71" ht="15" x14ac:dyDescent="0.25">
      <c r="B119" s="236" t="str">
        <f ca="1">'Soil results'!B122</f>
        <v/>
      </c>
      <c r="C119" s="91" t="str">
        <f ca="1">IF(B119="","",
IF(AND('Field information 2'!$O$5="", 'Field information 2'!$Q$5=""),
   IF('Waste results'!$S$12&lt;&gt;"data missing", Calc!BC117*'Waste results'!$S$12, "data missing"),
IF('Field information 2'!$Q$5="",
   IF(Calc!BD117=0,
     IF('Waste results'!$S$12&lt;&gt;"data missing", Calc!BC117*'Waste results'!$S$12, "data missing"),
   IF(Calc!BC117=0,
     IF('Waste results'!$S$48&lt;&gt;"data missing", Calc!BD117*'Waste results'!$S$48, "data missing"),
   IF(OR('Waste results'!$S$12&lt;&gt;"data missing", 'Waste results'!$S$48&lt;&gt;"data missing"), Calc!BC117*'Waste results'!$S$12+ Calc!BD117*'Waste results'!$S$48, "data missing"))),
IF(AND('Field information 2'!$M$5&lt;&gt;"", 'Field information 2'!$O$5&lt;&gt;"", 'Field information 2'!$Q$5&lt;&gt;""),
   IF(AND(Calc!BD117=0,Calc!BE117=0),
     IF('Waste results'!$S$12&lt;&gt;"data missing", Calc!BC117*'Waste results'!$S$12, "data missing"),
   IF(AND(Calc!BC117=0,Calc!BE117=0),
     IF('Waste results'!$S$48&lt;&gt;"data missing", Calc!BD117*'Waste results'!$S$48, "data missing"),
   IF(AND(Calc!BC117=0,Calc!BD117=0),
     IF('Waste results'!$S$84&lt;&gt;"data missing", Calc!BE117*'Waste results'!$S$84, "data missing"),
   IF(Calc!BE117=0,
     IF(OR('Waste results'!$S$12&lt;&gt;"data missing", 'Waste results'!$S$48&lt;&gt;"data missing"), Calc!BC117*'Waste results'!$S$12+ Calc!BD117*'Waste results'!$S$48, "data missing"),
   IF(Calc!BD117=0,
     IF(OR('Waste results'!$S$12&lt;&gt;"data missing", 'Waste results'!$S$84&lt;&gt;"data missing"), Calc!BC117*'Waste results'!$S$12+ Calc!BE117*'Waste results'!$S$84, "data missing"),
   IF(Calc!BC117=0,
     IF(OR('Waste results'!$S$48&lt;&gt;"data missing", 'Waste results'!$S$84&lt;&gt;"data missing"), Calc!BD117*'Waste results'!$S$48+Calc!BE117*'Waste results'!$S$84, "data missing"),
   IF(OR('Waste results'!$S$12&lt;&gt;"data missing", 'Waste results'!$S$48&lt;&gt;"data missing", 'Waste results'!$S$84&lt;&gt;"data missing"), Calc!BC117*'Waste results'!$S$12+Calc!BD117*'Waste results'!$S$48+ Calc!BE117*'Waste results'!$S$84, "data missing")))))))))))</f>
        <v/>
      </c>
      <c r="D119" s="161" t="str">
        <f ca="1">IF(B119="","",
IF(Calc!BG117="","soil texture missing",
IF(OR(Calc!BG117="SL; SZL; ZL",Calc!BG117="SCL; CL; ZCL; SC; ZC; C"),VLOOKUP(Calc!BI117,'Fertiliser recommendations'!$A$4:$C$63,3,FALSE),
IF(Calc!BG117="S; LS",VLOOKUP(Calc!BI117,'Fertiliser recommendations'!$A$4:$C$63,3,FALSE)+VLOOKUP(Calc!BI117,'Fertiliser recommendations'!$A$4:$D$63,4,FALSE),
IF(Calc!BG117="10-25% OM",VLOOKUP(Calc!BI117,'Fertiliser recommendations'!$A$4:$C$63,3,FALSE)+VLOOKUP(Calc!BI117,'Fertiliser recommendations'!$A$4:$E$63,5,FALSE),
IF(Calc!BG117="&gt;25% OM",VLOOKUP(Calc!BI117,'Fertiliser recommendations'!$A$4:$C$63,3,FALSE)+VLOOKUP(Calc!BI117,'Fertiliser recommendations'!$A$4:$F$63,6,FALSE),
""))))))</f>
        <v/>
      </c>
      <c r="E119" s="91" t="str">
        <f t="shared" ca="1" si="34"/>
        <v/>
      </c>
      <c r="F119" s="9" t="str">
        <f ca="1">IF(B119="","",
IF(OR(C119="data missing",D119="soil texture missing"),"data missing",
IF(Calc!BF117=0,"n/a",
IF(C119&lt;0.1*D119,"no benefit",
IF(C119&lt;0.3*D119,"limited benefit",
IF(C119&gt;250,"exceeds limit",
IF(OR(AND(D119=0,C119&gt;75),C119&gt;1.25*D119),"excessive",
IF(D119=0, "no requirement",
"benefit"))))))))</f>
        <v/>
      </c>
      <c r="G119" s="9"/>
      <c r="H119" s="91" t="str">
        <f ca="1">IF(B119="","",
IF(AND('Field information 2'!$O$5="", 'Field information 2'!$Q$5=""),
   IF('Waste results'!$S$17&lt;&gt;"data missing", Calc!BC117*'Waste results'!$S$17, "data missing"),
IF('Field information 2'!$Q$5="",
   IF(Calc!BD117=0,
     IF('Waste results'!$S$17&lt;&gt;"data missing", Calc!BC117*'Waste results'!$S$17, "data missing"),
   IF(Calc!BC117=0,
     IF('Waste results'!$S$53&lt;&gt;"data missing", Calc!BD117*'Waste results'!$S$53, "data missing"),
   IF(OR('Waste results'!$S$17&lt;&gt;"data missing", 'Waste results'!$S$53&lt;&gt;"data missing"), Calc!BC117*'Waste results'!$S$17+ Calc!BD117*'Waste results'!$S$53, "data missing"))),
IF(AND('Field information 2'!$M$5&lt;&gt;"", 'Field information 2'!$O$5&lt;&gt;"", 'Field information 2'!$Q$5&lt;&gt;""),
   IF(AND(Calc!BD117=0,Calc!BE117=0),
     IF('Waste results'!$S$17&lt;&gt;"data missing", Calc!BC117*'Waste results'!$S$17, "data missing"),
   IF(AND(Calc!BC117=0,Calc!BE117=0),
     IF('Waste results'!$S$53&lt;&gt;"data missing", Calc!BD117*'Waste results'!$S$53, "data missing"),
   IF(AND(Calc!BC117=0,Calc!BD117=0),
     IF('Waste results'!$S$89&lt;&gt;"data missing", Calc!BE117*'Waste results'!$S$89, "data missing"),
   IF(Calc!BE117=0,
     IF(OR('Waste results'!$S$17&lt;&gt;"data missing", 'Waste results'!$S$53&lt;&gt;"data missing"), Calc!BC117*'Waste results'!$S$17+ Calc!BD117*'Waste results'!$S$53, "data missing"),
   IF(Calc!BD117=0,
     IF(OR('Waste results'!$S$17&lt;&gt;"data missing", 'Waste results'!$S$89&lt;&gt;"data missing"), Calc!BC117*'Waste results'!$S$17+ Calc!BE117*'Waste results'!$S$89, "data missing"),
   IF(Calc!BC117=0,
     IF(OR('Waste results'!$S$53&lt;&gt;"data missing", 'Waste results'!$S$89&lt;&gt;"data missing"), Calc!BD117*'Waste results'!$S$53+Calc!BE117*'Waste results'!$S$89, "data missing"),
   IF(OR('Waste results'!$S$17&lt;&gt;"data missing", 'Waste results'!$S$53&lt;&gt;"data missing", 'Waste results'!$S$89&lt;&gt;"data missing"), Calc!BC117*'Waste results'!$S$17+Calc!BD117*'Waste results'!$S$53+ Calc!BE117*'Waste results'!$S$89, "data missing")))))))))))</f>
        <v/>
      </c>
      <c r="I119" s="195" t="str">
        <f ca="1">IF(B119="","",
IF(OR(ISBLANK('Soil results'!G122), ISBLANK('Soil results'!G$7)),"data missing",
IF(OR(AND('Soil results'!G$7="Olsen (ADAS)",'Soil results'!G122&lt;16),AND('Soil results'!G$7="modified Morgan (SAC)",'Soil results'!G122&lt;4.5)),50,100)))</f>
        <v/>
      </c>
      <c r="J119" s="49" t="str">
        <f ca="1">IF(B119="","",
IF(OR(ISBLANK('Soil results'!G$7),ISBLANK('Soil results'!G122)),"data missing",
IF(OR(AND('Soil results'!G$7="Olsen (ADAS)",'Soil results'!G122&gt;45),AND('Soil results'!G$7="modified Morgan (SAC)",'Soil results'!G122&gt;30)),0,
IF(OR(AND('Soil results'!G$7="Olsen (ADAS)",'Soil results'!G122&gt;=16,'Soil results'!G122&lt;=20),AND('Soil results'!G$7="modified Morgan (SAC)",'Soil results'!G122&gt;=4.5,'Soil results'!G122&lt;=9.4)),VLOOKUP(Calc!BI117,'Fertiliser recommendations'!$A$4:$I$63,9,FALSE),
IF(OR(AND('Soil results'!G$7="Olsen (ADAS)",'Soil results'!G122&lt;10),AND('Soil results'!G$7="modified Morgan (SAC)",'Soil results'!G122&lt;1.8)),VLOOKUP(Calc!BI117,'Fertiliser recommendations'!$A$4:$I$63,9,FALSE)+VLOOKUP(Calc!BI117,'Fertiliser recommendations'!$A$4:$J$63,10,FALSE),
IF(OR(AND('Soil results'!G$7="Olsen (ADAS)",'Soil results'!G122&lt;16),AND('Soil results'!G$7="modified Morgan (SAC)",'Soil results'!G122&lt;4.5)),VLOOKUP(Calc!BI117,'Fertiliser recommendations'!$A$4:$I$63,9,FALSE)+VLOOKUP(Calc!BI117,'Fertiliser recommendations'!$A$4:$K$63,11,FALSE),
IF(OR(AND('Soil results'!G$7="Olsen (ADAS)",'Soil results'!G122&lt;26),AND('Soil results'!G$7="modified Morgan (SAC)",'Soil results'!G122&lt;13.5)),VLOOKUP(Calc!BI117,'Fertiliser recommendations'!$A$4:$I$63,9,FALSE)+VLOOKUP(Calc!BI117,'Fertiliser recommendations'!$A$4:$L$63,12,FALSE),
IF(OR(AND('Soil results'!G$7="Olsen (ADAS)",'Soil results'!G122&lt;=45),AND('Soil results'!G$7="modified Morgan (SAC)",'Soil results'!G122&lt;=30)),VLOOKUP(Calc!BI117,'Fertiliser recommendations'!$A$4:$I$63,9,FALSE)+VLOOKUP(Calc!BI117,'Fertiliser recommendations'!$A$4:$M$63,13,FALSE),
""))))))))</f>
        <v/>
      </c>
      <c r="K119" s="161" t="str">
        <f t="shared" ca="1" si="35"/>
        <v/>
      </c>
      <c r="L119" s="47" t="str">
        <f ca="1">IF(OR(ISBLANK('Soil results'!G$7),ISBLANK('Soil results'!G122),B119="", H119="data missing"),"",
IF('Soil results'!G$7="Olsen (ADAS)",
IF(((H119*Calc!BM117/2.291-(VLOOKUP(Calc!BI117,'Fertiliser recommendations'!$A$4:$I$63,9,FALSE))/2.291)*10/(400/2.291)+'Soil results'!G122)&lt;10,"0 (VL)",
IF(((H119*Calc!BM117/2.291-(VLOOKUP(Calc!BI117,'Fertiliser recommendations'!$A$4:$I$63,9,FALSE))/2.291)*10/(400/2.291)+'Soil results'!G122)&lt;16,"1 (L)",
IF(((H119*Calc!BM117/2.291-(VLOOKUP(Calc!BI117,'Fertiliser recommendations'!$A$4:$I$63,9,FALSE))/2.291)*10/(400/2.291)+'Soil results'!G122)&lt;21,"2 (M-)",
IF(((H119*Calc!BM117/2.291-(VLOOKUP(Calc!BI117,'Fertiliser recommendations'!$A$4:$I$63,9,FALSE))/2.291)*10/(400/2.291)+'Soil results'!G122)&lt;26,"2 (M+)",
IF(((H119*Calc!BM117/2.291-(VLOOKUP(Calc!BI117,'Fertiliser recommendations'!$A$4:$I$63,9,FALSE))/2.291)*10/(400/2.291)+'Soil results'!G122)&lt;45,"3 (H)","&gt;3 (VH)"))))),
IF('Soil results'!G$7="modified Morgan (SAC)",
IF('Soil results'!G122&gt;=6,
IF(((H119*Calc!BM117/2.291-(VLOOKUP(Calc!BI117,'Fertiliser recommendations'!$A$4:$I$63,9,FALSE))/2.291)*5/(147/2.291)+'Soil results'!G122)&lt;9.5,"2 (M-)",
IF(((H119*Calc!BM117/2.291-(VLOOKUP(Calc!BI117,'Fertiliser recommendations'!$A$4:$I$63,9,FALSE))/2.291)*5/(147/2.291)+'Soil results'!G122)&lt;13.5,"2 (M+)",
IF(((H119*Calc!BM117/2.291-(VLOOKUP(Calc!BI117,'Fertiliser recommendations'!$A$4:$I$63,9,FALSE))/2.291)*5/(147/2.291)+'Soil results'!G122)&lt;30,"3 (H)","4 (VH)"))),
IF(((H119*Calc!BM117/2.291-(VLOOKUP(Calc!BI117,'Fertiliser recommendations'!$A$4:$I$63,9,FALSE))/2.291)*5/(346/2.291)+'Soil results'!G122)&lt;1.8,"0 (VL)",
IF(((H119*Calc!BM117/2.291-(VLOOKUP(Calc!BI117,'Fertiliser recommendations'!$A$4:$I$63,9,FALSE))/2.291)*5/(147/2.291)+'Soil results'!G122)&lt;4.5,"1 (L)","2 (M-)"))))))</f>
        <v/>
      </c>
      <c r="M119" s="9" t="str">
        <f ca="1">IF(B119="","",
IF(OR(H119="data missing",I119="data missing",J119="data missing"),"data missing",
IF(Calc!BF117=0,"n/a",
IF(OR(AND('Soil results'!G$7="Olsen (ADAS)",'Soil results'!G122&gt;45),AND('Soil results'!G$7="modified Morgan (SAC)",'Soil results'!G122&gt;30)),
IF(H119&gt;2,"too high, not acceptable","no requirement"),IF(OR(AND('Soil results'!G$7="Olsen (ADAS)",'Soil results'!G122&gt;25),AND('Soil results'!G$7="modified Morgan (SAC)",'Soil results'!G122&gt;13.4)),
IF(H119*(I119/100)&lt;0.1*J119,"no benefit",
IF(H119*(I119/100)&lt;0.3*J119,"limited benefit",
IF(H119*(I119/100)&lt;1.1*J119,"benefit",
IF(H119*(I119/100)&lt;0.7*VLOOKUP(Calc!BI117,'Fertiliser recommendations'!$A$4:$I$63,9,FALSE),"excessive","too high, not acceptable")))),
IF(OR(AND('Soil results'!G$7="Olsen (ADAS)",'Soil results'!G122&gt;20),AND('Soil results'!G$7="modified Morgan (SAC)",'Soil results'!G122&gt;9.4)),
IF(H119*Calc!BM117*(I119/100)&lt;0.1*J119,"no benefit",
IF(H119*Calc!BM117*(I119/100)&lt;0.3*J119,"limited benefit",
IF(H119*Calc!BM117*(I119/100)&lt;1.1*J119,"benefit",
IF(L119="3 (H)","too high, not acceptable","excessive")))),
IF(OR(AND('Soil results'!G$7="Olsen (ADAS)",'Soil results'!G122&gt;15),AND('Soil results'!G$7="modified Morgan (SAC)",'Soil results'!G122&gt;4.4)),
IF(H119*Calc!BM117*(I119/100)&lt;0.1*VLOOKUP(Calc!BI117,'Fertiliser recommendations'!$A$4:$I$63,9,FALSE),"no benefit",
IF(H119*Calc!BM117*(I119/100)&lt;0.3*VLOOKUP(Calc!BI117,'Fertiliser recommendations'!$A$4:$I$63,9,FALSE),"limited benefit",
IF(H119*Calc!BM117*(I119/100)&lt;1.1*VLOOKUP(Calc!BI117,'Fertiliser recommendations'!$A$4:$I$63,9,FALSE),"benefit",
IF(L119="3 (H)", "too high, not acceptable", "excessive")))),
IF(OR(AND('Soil results'!G$7="Olsen (ADAS)",'Soil results'!G122&lt;=15),AND('Soil results'!G$7="modified Morgan (SAC)",'Soil results'!G122&lt;=4.4)),
IF(H119*Calc!BM117*(I119/100)&lt;0.1*VLOOKUP(Calc!BI117,'Fertiliser recommendations'!$A$4:$I$63,9,FALSE),"no benefit",
IF(H119*Calc!BM117*(I119/100)&lt;0.3*VLOOKUP(Calc!BI117,'Fertiliser recommendations'!$A$4:$I$63,9,FALSE),"limited benefit",
IF(H119*Calc!BM117*(I119/100)&lt;1.1*J119,"benefit","excessive")))))))))))</f>
        <v/>
      </c>
      <c r="N119" s="9"/>
      <c r="O119" s="91" t="str">
        <f ca="1">IF(B119="","",
IF(AND('Field information 2'!$O$5="", 'Field information 2'!$Q$5=""),
   IF('Waste results'!$S$19&lt;&gt;"data missing", Calc!BC117*'Waste results'!$S$19, "data missing"),
IF('Field information 2'!$Q$5="",
   IF(Calc!BD117=0,
     IF('Waste results'!$S$19&lt;&gt;"data missing", Calc!BC117*'Waste results'!$S$19, "data missing"),
   IF(Calc!BC117=0,
     IF('Waste results'!$S$55&lt;&gt;"data missing", Calc!BD117*'Waste results'!$S$55, "data missing"),
   IF(OR('Waste results'!$S$19&lt;&gt;"data missing", 'Waste results'!$S$55&lt;&gt;"data missing"), Calc!BC117*'Waste results'!$S$19+ Calc!BD117*'Waste results'!$S$55, "data missing"))),
IF(AND('Field information 2'!$M$5&lt;&gt;"", 'Field information 2'!$O$5&lt;&gt;"", 'Field information 2'!$Q$5&lt;&gt;""),
   IF(AND(Calc!BD117=0,Calc!BE117=0),
     IF('Waste results'!$S$19&lt;&gt;"data missing", Calc!BC117*'Waste results'!$S$19, "data missing"),
   IF(AND(Calc!BC117=0,Calc!BE117=0),
     IF('Waste results'!$S$55&lt;&gt;"data missing", Calc!BD117*'Waste results'!$S$55, "data missing"),
   IF(AND(Calc!BC117=0,Calc!BD117=0),
     IF('Waste results'!$S$91&lt;&gt;"data missing", Calc!BE117*'Waste results'!$S$91, "data missing"),
   IF(Calc!BE117=0,
     IF(OR('Waste results'!$S$19&lt;&gt;"data missing", 'Waste results'!$S$55&lt;&gt;"data missing"), Calc!BC117*'Waste results'!$S$19+ Calc!BD117*'Waste results'!$S$55, "data missing"),
   IF(Calc!BD117=0,
     IF(OR('Waste results'!$S$19&lt;&gt;"data missing", 'Waste results'!$S$91&lt;&gt;"data missing"), Calc!BC117*'Waste results'!$S$19+ Calc!BE117*'Waste results'!$S$91, "data missing"),
   IF(Calc!BC117=0,
     IF(OR('Waste results'!$S$55&lt;&gt;"data missing", 'Waste results'!$S$91&lt;&gt;"data missing"), Calc!BD117*'Waste results'!$S$55+Calc!BE117*'Waste results'!$S$91, "data missing"),
   IF(OR('Waste results'!$S$19&lt;&gt;"data missing", 'Waste results'!$S$55&lt;&gt;"data missing", 'Waste results'!$S$91&lt;&gt;"data missing"), Calc!BC117*'Waste results'!$S$19+Calc!BD117*'Waste results'!$S$55+ Calc!BE117*'Waste results'!$S$91, "data missing")))))))))))</f>
        <v/>
      </c>
      <c r="P119" s="91" t="str">
        <f ca="1">IF(B119="","",
IF(OR(ISBLANK('Soil results'!H$7),ISBLANK('Soil results'!H122)),"data missing",
IF(OR(AND('Soil results'!H$7="ammonium nitrate (ADAS)",'Soil results'!H122&gt;400),AND('Soil results'!H$7="modified Morgan (SAC)",'Soil results'!H122&gt;400)),0,
IF(OR(AND('Soil results'!H$7="ammonium nitrate (ADAS)",'Soil results'!H122&gt;=121,'Soil results'!H122&lt;=180),AND('Soil results'!H$7="modified Morgan (SAC)",'Soil results'!H122&gt;=76,'Soil results'!H122&lt;=140)),VLOOKUP(Calc!BI117,'Fertiliser recommendations'!$A$4:$Z$63,26,FALSE),
IF(OR(AND('Soil results'!H$7="ammonium nitrate (ADAS)",'Soil results'!H122&lt;61),AND('Soil results'!H$7="modified Morgan (SAC)",'Soil results'!H122&lt;40)),VLOOKUP(Calc!BI117,'Fertiliser recommendations'!$A$4:$Z$63,26,FALSE)+VLOOKUP(Calc!BI117,'Fertiliser recommendations'!$A$4:$AA$63,27,FALSE),
IF(OR(AND('Soil results'!H$7="ammonium nitrate (ADAS)",'Soil results'!H122&lt;121),AND('Soil results'!H$7="modified Morgan (SAC)",'Soil results'!H122&lt;76)),VLOOKUP(Calc!BI117,'Fertiliser recommendations'!$A$4:$Z$63,26,FALSE)+VLOOKUP(Calc!BI117,'Fertiliser recommendations'!$A$4:$AB$63,28,FALSE),
IF(OR(AND('Soil results'!H$7="ammonium nitrate (ADAS)",'Soil results'!H122&lt;241),AND('Soil results'!H$7="modified Morgan (SAC)",'Soil results'!H122&lt;201)),VLOOKUP(Calc!BI117,'Fertiliser recommendations'!$A$4:$Z$63,26,FALSE)+VLOOKUP(Calc!BI117,'Fertiliser recommendations'!$A$4:$AC$63,29,FALSE),
IF(OR(AND('Soil results'!H$7="ammonium nitrate (ADAS)",'Soil results'!H122&lt;=400),AND('Soil results'!H$7="modified Morgan (SAC)",'Soil results'!H122&lt;=400)),VLOOKUP(Calc!BI117,'Fertiliser recommendations'!$A$4:$Z$63,26,FALSE)+VLOOKUP(Calc!BI117,'Fertiliser recommendations'!$A$4:$AD$63,30,FALSE),
"??"))))))))</f>
        <v/>
      </c>
      <c r="Q119" s="91" t="str">
        <f t="shared" ca="1" si="36"/>
        <v/>
      </c>
      <c r="R119" s="9" t="str">
        <f ca="1">IF(B119="","",
IF(OR(O119="data missing",P119="data missing"),"data missing",
IF(Calc!BF117=0,"n/a",
IF(P119=0, "no requirement",
IF(O119&lt;0.1*P119,"no benefit",
IF(O119&lt;0.3*P119,"limited benefit",
IF(O119&gt;1.25*P119,"excessive",
"benefit")))))))</f>
        <v/>
      </c>
      <c r="S119" s="9"/>
      <c r="T119" s="91" t="str">
        <f ca="1">IF(B119="","",
IF(AND('Field information 2'!$O$5="", 'Field information 2'!$Q$5=""),
   IF('Waste results'!$S$21&lt;&gt;"data missing", Calc!BC117*'Waste results'!$S$21, "data missing"),
IF('Field information 2'!$Q$5="",
   IF(Calc!BD117=0,
     IF('Waste results'!$S$21&lt;&gt;"data missing", Calc!BC117*'Waste results'!$S$21, "data missing"),
   IF(Calc!BC117=0,
     IF('Waste results'!$S$57&lt;&gt;"data missing", Calc!BD117*'Waste results'!$S$57, "data missing"),
   IF(OR('Waste results'!$S$21&lt;&gt;"data missing", 'Waste results'!$S$57&lt;&gt;"data missing"), Calc!BC117*'Waste results'!$S$21+ Calc!BD117*'Waste results'!$S$57, "data missing"))),
IF(AND('Field information 2'!$M$5&lt;&gt;"", 'Field information 2'!$O$5&lt;&gt;"", 'Field information 2'!$Q$5&lt;&gt;""),
   IF(AND(Calc!BD117=0,Calc!BE117=0),
     IF('Waste results'!$S$21&lt;&gt;"data missing", Calc!BC117*'Waste results'!$S$21, "data missing"),
   IF(AND(Calc!BC117=0,Calc!BE117=0),
     IF('Waste results'!$S$57&lt;&gt;"data missing", Calc!BD117*'Waste results'!$S$57, "data missing"),
   IF(AND(Calc!BC117=0,Calc!BD117=0),
     IF('Waste results'!$S$93&lt;&gt;"data missing", Calc!BE117*'Waste results'!$S$93, "data missing"),
   IF(Calc!BE117=0,
     IF(OR('Waste results'!$S$21&lt;&gt;"data missing", 'Waste results'!$S$57&lt;&gt;"data missing"), Calc!BC117*'Waste results'!$S$21+ Calc!BD117*'Waste results'!$S$57, "data missing"),
   IF(Calc!BD117=0,
     IF(OR('Waste results'!$S$21&lt;&gt;"data missing", 'Waste results'!$S$93&lt;&gt;"data missing"), Calc!BC117*'Waste results'!$S$21+ Calc!BE117*'Waste results'!$S$93, "data missing"),
   IF(Calc!BC117=0,
     IF(OR('Waste results'!$S$57&lt;&gt;"data missing", 'Waste results'!$S$93&lt;&gt;"data missing"), Calc!BD117*'Waste results'!$S$57+Calc!BE117*'Waste results'!$S$93, "data missing"),
   IF(OR('Waste results'!$S$21&lt;&gt;"data missing", 'Waste results'!$S$57&lt;&gt;"data missing", 'Waste results'!$S$93&lt;&gt;"data missing"), Calc!BC117*'Waste results'!$S$21+Calc!BD117*'Waste results'!$S$57+ Calc!BE117*'Waste results'!$S$93, "data missing")))))))))))</f>
        <v/>
      </c>
      <c r="U119" s="7" t="str">
        <f ca="1">IF(B119="","",
IF(OR(ISBLANK('Soil results'!I$7),ISBLANK('Soil results'!I122)),"data missing",
IF(OR(AND('Soil results'!I$7="ammonium nitrate (ADAS)",'Soil results'!I122&gt;51),AND('Soil results'!I$7="modified Morgan (SAC)",'Soil results'!I122&gt;61)),0,
IF(OR(AND('Soil results'!I$7="ammonium nitrate (ADAS)",'Soil results'!I122&lt;25),AND('Soil results'!I$7="modified Morgan (SAC)",'Soil results'!I122&lt;19)),VLOOKUP(Calc!BI117,'Fertiliser recommendations'!$A$4:$AH$63,34,FALSE),
IF(OR(AND('Soil results'!I$7="ammonium nitrate (ADAS)",'Soil results'!I122&lt;=51),AND('Soil results'!I$7="modified Morgan (SAC)",'Soil results'!I122&lt;=61)),VLOOKUP(Calc!BI117,'Fertiliser recommendations'!$A$4:$AI$63,35,FALSE),
"")))))</f>
        <v/>
      </c>
      <c r="V119" s="91" t="str">
        <f t="shared" ca="1" si="37"/>
        <v/>
      </c>
      <c r="W119" s="9" t="str">
        <f ca="1">IF(B119="","",
IF(OR(T119="data missing",U119="data missing"),"data missing",
IF(Calc!BF117=0,"n/a",
IF(U119=0,"no requirement",
IF(T119&lt;0.1*U119,"no benefit",
IF(T119&lt;0.3*U119,"limited benefit",
IF(OR(T119&gt;1.5*U119,AND(Calc!BJ117="g",T119&gt;100)),"excessive",
"benefit")))))))</f>
        <v/>
      </c>
      <c r="X119" s="9"/>
      <c r="Y119" s="91" t="str">
        <f ca="1">IF(B119="","",
IF(AND('Field information 2'!$O$5="", 'Field information 2'!$Q$5=""),
   IF('Waste results'!$P$23&lt;&gt;"", Calc!BC117*'Waste results'!$P$23, "no data"),
IF('Field information 2'!$Q$5="",
   IF(Calc!BD117=0,
     IF('Waste results'!$P$23&lt;&gt;"", Calc!BC117*'Waste results'!$P$23, "no data"),
   IF(Calc!BC117=0,
     IF('Waste results'!$P$59&lt;&gt;"", Calc!BD117*'Waste results'!$P$59, "no data"),
   IF(OR('Waste results'!$P$23&lt;&gt;"", 'Waste results'!$P$59&lt;&gt;""), Calc!BC117*'Waste results'!$P$23+ Calc!BD117*'Waste results'!$P$59, "no data"))),
IF(AND('Field information 2'!$M$5&lt;&gt;"", 'Field information 2'!$O$5&lt;&gt;"", 'Field information 2'!$Q$5&lt;&gt;""),
   IF(AND(Calc!BD117=0,Calc!BE117=0),
     IF('Waste results'!$P$23&lt;&gt;"", Calc!BC117*'Waste results'!$P$23, "no data"),
   IF(AND(Calc!BC117=0,Calc!BE117=0),
     IF('Waste results'!$P$59&lt;&gt;"", Calc!BD117*'Waste results'!$P$59, "no data"),
   IF(AND(Calc!BC117=0,Calc!BD117=0),
     IF('Waste results'!$P$95&lt;&gt;"", Calc!BE117*'Waste results'!$P$95, "no data"),
   IF(Calc!BE117=0,
     IF(OR('Waste results'!$P$23&lt;&gt;"", 'Waste results'!$P$59&lt;&gt;""), Calc!BC117*'Waste results'!$P$23+ Calc!BD117*'Waste results'!$P$59, "no data"),
   IF(Calc!BD117=0,
     IF(OR('Waste results'!$P$23&lt;&gt;"", 'Waste results'!$P$95&lt;&gt;""), Calc!BC117*'Waste results'!$P$23+ Calc!BE117*'Waste results'!$P$95, "no data"),
   IF(Calc!BC117=0,
     IF(OR('Waste results'!$P$59&lt;&gt;"", 'Waste results'!$P$95&lt;&gt;""), Calc!BD117*'Waste results'!$P$59+Calc!BE117*'Waste results'!$P$95, "no data"),
   IF(OR('Waste results'!$P$23&lt;&gt;"", 'Waste results'!$P$59&lt;&gt;"", 'Waste results'!$P$95&lt;&gt;""), Calc!BC117*'Waste results'!$P$23+Calc!BD117*'Waste results'!$P$59+ Calc!BE117*'Waste results'!$P$95, "no data")))))))))))</f>
        <v/>
      </c>
      <c r="Z119" s="7" t="str">
        <f ca="1">IF(OR(ISBLANK('Soil results'!I$7),ISBLANK('Soil results'!I122),'Soil results'!B122=""),"",
VLOOKUP(Calc!BI117,'Fertiliser recommendations'!$A$4:$AM$63,39,FALSE))</f>
        <v/>
      </c>
      <c r="AA119" s="91" t="str">
        <f t="shared" ca="1" si="38"/>
        <v/>
      </c>
      <c r="AB119" s="9" t="str">
        <f t="shared" ca="1" si="39"/>
        <v/>
      </c>
      <c r="AC119" s="9"/>
      <c r="AD119" s="48" t="str">
        <f>IF(ISBLANK('Soil results'!F122),"",'Soil results'!F122)</f>
        <v/>
      </c>
      <c r="AE119" s="49" t="str">
        <f ca="1">IF(B119="","",
IF(AND(Calc!BJ117="g", VLOOKUP(LEFT($B119,LEN($B119)-2),'Field information 2'!$B$12:$P$111,9,FALSE)&lt;&gt;"yes"),
 IF(Calc!BG117="10-25% OM", 5.9, IF(Calc!BG117="&gt;25% OM", 5.5, 6.2)),
IF(OR(Calc!BJ117="a", VLOOKUP(LEFT($B119,LEN($B119)-2),'Field information 2'!$B$12:$P$111,9,FALSE)="yes"),
 IF(Calc!BG117="10-25% OM", 6.4, IF(Calc!BG117="&gt;25% OM", 6, 6.7)), "")))</f>
        <v/>
      </c>
      <c r="AF119" s="91" t="str">
        <f ca="1">IF(B119="","",
IF('Waste results'!$Q$33="","no (significant) liming properties",
IF('Waste results'!Q$33&gt;100,"no (significant) liming properties",
IF(AD119="","",
IF(AD119&gt;=AE119,0,ROUNDDOWN((AE119-AD119)*Calc!BK117*'Waste results'!$Q$33+0.2,0))))))</f>
        <v/>
      </c>
      <c r="AG119" s="9" t="str">
        <f ca="1">IF(B119="","",
IF(T119=0,"n/a",
IF(AD119="","data missing",
IF(AND(AD119&lt;5,AF119="no (significant) liming properties"),"no waste application - pH too low",
IF(AND(AD119&gt;5.1,AF119="no (significant) liming properties",Calc!BH117&gt;25, LEFT(Calc!BI117,4)="graz"),"ok",
IF(AND(AD119&lt;=5.2,AF119="no (significant) liming properties"),"liming highly recommended",
IF(AF119=0,"no waste application - liming not required",
IF(AF119&lt;Calc!BC117,"application rate too high - exceeds liming requirement",
"ok"))))))))</f>
        <v/>
      </c>
      <c r="AH119" s="9"/>
      <c r="AI119" s="91" t="str">
        <f ca="1">IF(B119="","",
IF(AND('Field information 2'!$O$5="", 'Field information 2'!$Q$5=""),
   IF('Waste results'!$P$10&lt;&gt;"data missing", Calc!BC117*'Waste results'!$P$10, "data missing"),
IF('Field information 2'!$Q$5="",
   IF(Calc!BD117=0,
     IF('Waste results'!$P$10&lt;&gt;"data missing", Calc!BC117*'Waste results'!$P$10, "data missing"),
   IF(Calc!BC117=0,
     IF('Waste results'!$P$45&lt;&gt;"data missing", Calc!BD117*'Waste results'!$P$45, "data missing"),
   IF(OR('Waste results'!$P$10&lt;&gt;"data missing", 'Waste results'!$P$45&lt;&gt;"data missing"), Calc!BC117*'Waste results'!$P$10+ Calc!BD117*'Waste results'!$P$45, "data missing"))),
IF(AND('Field information 2'!$M$5&lt;&gt;"", 'Field information 2'!$O$5&lt;&gt;"", 'Field information 2'!$Q$5&lt;&gt;""),
   IF(AND(Calc!BD117=0,Calc!BE117=0),
     IF('Waste results'!$P$10&lt;&gt;"data missing", Calc!BC117*'Waste results'!$P$10, "data missing"),
   IF(AND(Calc!BC117=0,Calc!BE117=0),
     IF('Waste results'!$P$45&lt;&gt;"data missing", Calc!BD117*'Waste results'!$P$45, "data missing"),
   IF(AND(Calc!BC117=0,Calc!BD117=0),
     IF('Waste results'!$P$82&lt;&gt;"data missing", Calc!BE117*'Waste results'!$P$82, "data missing"),
   IF(Calc!BE117=0,
     IF(OR('Waste results'!$P$10&lt;&gt;"data missing", 'Waste results'!$P$45&lt;&gt;"data missing"), Calc!BC117*'Waste results'!$P$10+ Calc!BD117*'Waste results'!$P$45, "data missing"),
   IF(Calc!BD117=0,
     IF(OR('Waste results'!$P$10&lt;&gt;"data missing", 'Waste results'!$P$82&lt;&gt;"data missing"), Calc!BC117*'Waste results'!$P$10+ Calc!BE117*'Waste results'!$P$82, "data missing"),
   IF(Calc!BC117=0,
     IF(OR('Waste results'!$P$45&lt;&gt;"data missing", 'Waste results'!$P$82&lt;&gt;"data missing"), Calc!BD117*'Waste results'!$P$45+Calc!BE117*'Waste results'!$P$82, "data missing"),
   IF(OR('Waste results'!$P$10&lt;&gt;"data missing", 'Waste results'!$P$45&lt;&gt;"data missing", 'Waste results'!$P$82&lt;&gt;"data missing"), Calc!BC117*'Waste results'!$P$10+Calc!BD117*'Waste results'!$P$45+ Calc!BE117*'Waste results'!$P$82, "data missing")))))))))))</f>
        <v/>
      </c>
      <c r="AJ119" s="237" t="str">
        <f ca="1">IF(B119="","",
IF(AI119="data missing","data missing",
IF(Calc!BF117=0,"n/a",
IF(AND(Calc!BH117&gt;=8,AI119&lt;500),"no benefit",
IF(OR(AND(Calc!BH117&lt;=4,AI119&gt;=500),AND(Calc!BH117&lt;8,AI119&gt;5000)),"benefit",
"limited benefit")))))</f>
        <v/>
      </c>
      <c r="AK119" s="9"/>
      <c r="AL119" s="238" t="str">
        <f ca="1">IF(B119="","",
IF(AND('Field information 2'!$O$5="", 'Field information 2'!$Q$5=""),
   IF('Waste results'!$S$25&lt;&gt;"data missing", Calc!BC117*'Waste results'!$S$25, "data missing"),
IF('Field information 2'!$Q$5="",
   IF(Calc!BD117=0,
     IF('Waste results'!$S$25&lt;&gt;"data missing", Calc!BC117*'Waste results'!$S$25, "data missing"),
   IF(Calc!BC117=0,
     IF('Waste results'!$S$61&lt;&gt;"data missing", Calc!BD117*'Waste results'!$S$61, "data missing"),
   IF(OR('Waste results'!$S$25&lt;&gt;"data missing", 'Waste results'!$S$61&lt;&gt;"data missing"), Calc!BC117*'Waste results'!$S$25+ Calc!BD117*'Waste results'!$S$61, "data missing"))),
IF(AND('Field information 2'!$M$5&lt;&gt;"", 'Field information 2'!$O$5&lt;&gt;"", 'Field information 2'!$Q$5&lt;&gt;""),
   IF(AND(Calc!BD117=0,Calc!BE117=0),
     IF('Waste results'!$S$25&lt;&gt;"data missing", Calc!BC117*'Waste results'!$S$25, "data missing"),
   IF(AND(Calc!BC117=0,Calc!BE117=0),
     IF('Waste results'!$S$61&lt;&gt;"data missing", Calc!BD117*'Waste results'!$S$61, "data missing"),
   IF(AND(Calc!BC117=0,Calc!BD117=0),
     IF('Waste results'!$S$97&lt;&gt;"data missing", Calc!BE117*'Waste results'!$S$97, "data missing"),
   IF(Calc!BE117=0,
     IF(OR('Waste results'!$S$25&lt;&gt;"data missing", 'Waste results'!$S$61&lt;&gt;"data missing"), Calc!BC117*'Waste results'!$S$25+ Calc!BD117*'Waste results'!$S$61, "data missing"),
   IF(Calc!BD117=0,
     IF(OR('Waste results'!$S$25&lt;&gt;"data missing", 'Waste results'!$S$97&lt;&gt;"data missing"), Calc!BC117*'Waste results'!$S$25+ Calc!BE117*'Waste results'!$S$97, "data missing"),
   IF(Calc!BC117=0,
     IF(OR('Waste results'!$S$61&lt;&gt;"data missing", 'Waste results'!$S$97&lt;&gt;"data missing"), Calc!BD117*'Waste results'!$S$61+Calc!BE117*'Waste results'!$S$97, "data missing"),
   IF(OR('Waste results'!$S$25&lt;&gt;"data missing", 'Waste results'!$S$61&lt;&gt;"data missing", 'Waste results'!$S$97&lt;&gt;"data missing"), Calc!BC117*'Waste results'!$S$25+Calc!BD117*'Waste results'!$S$61+ Calc!BE117*'Waste results'!$S$97, "data missing")))))))))))</f>
        <v/>
      </c>
      <c r="AM119" s="239" t="str">
        <f ca="1">IF($B119="","",
IF(ISBLANK('Soil results'!K122),"data missing",'Soil results'!K122))</f>
        <v/>
      </c>
      <c r="AN119" s="239" t="str">
        <f t="shared" ca="1" si="40"/>
        <v/>
      </c>
      <c r="AO119" s="9" t="str">
        <f t="shared" ca="1" si="41"/>
        <v/>
      </c>
      <c r="AP119" s="9"/>
      <c r="AQ119" s="240" t="str">
        <f ca="1">IF(B119="","",
IF(AND('Field information 2'!$O$5="", 'Field information 2'!$Q$5=""),
   IF('Waste results'!$S$26&lt;&gt;"data missing", Calc!BC117*'Waste results'!$S$26, "data missing"),
IF('Field information 2'!$Q$5="",
   IF(Calc!BD117=0,
     IF('Waste results'!$S$26&lt;&gt;"data missing", Calc!BC117*'Waste results'!$S$26, "data missing"),
   IF(Calc!BC117=0,
     IF('Waste results'!$S$62&lt;&gt;"data missing", Calc!BD117*'Waste results'!$S$62, "data missing"),
   IF(OR('Waste results'!$S$26&lt;&gt;"data missing", 'Waste results'!$S$62&lt;&gt;"data missing"), Calc!BC117*'Waste results'!$S$26+ Calc!BD117*'Waste results'!$S$62, "data missing"))),
IF(AND('Field information 2'!$M$5&lt;&gt;"", 'Field information 2'!$O$5&lt;&gt;"", 'Field information 2'!$Q$5&lt;&gt;""),
   IF(AND(Calc!BD117=0,Calc!BE117=0),
     IF('Waste results'!$S$26&lt;&gt;"data missing", Calc!BC117*'Waste results'!$S$26, "data missing"),
   IF(AND(Calc!BC117=0,Calc!BE117=0),
     IF('Waste results'!$S$62&lt;&gt;"data missing", Calc!BD117*'Waste results'!$S$62, "data missing"),
   IF(AND(Calc!BC117=0,Calc!BD117=0),
     IF('Waste results'!$S$98&lt;&gt;"data missing", Calc!BE117*'Waste results'!$S$98, "data missing"),
   IF(Calc!BE117=0,
     IF(OR('Waste results'!$S$26&lt;&gt;"data missing", 'Waste results'!$S$62&lt;&gt;"data missing"), Calc!BC117*'Waste results'!$S$26+ Calc!BD117*'Waste results'!$S$62, "data missing"),
   IF(Calc!BD117=0,
     IF(OR('Waste results'!$S$26&lt;&gt;"data missing", 'Waste results'!$S$98&lt;&gt;"data missing"), Calc!BC117*'Waste results'!$S$26+ Calc!BE117*'Waste results'!$S$98, "data missing"),
   IF(Calc!BC117=0,
     IF(OR('Waste results'!$S$62&lt;&gt;"data missing", 'Waste results'!$S$98&lt;&gt;"data missing"), Calc!BD117*'Waste results'!$S$62+Calc!BE117*'Waste results'!$S$98, "data missing"),
   IF(OR('Waste results'!$S$26&lt;&gt;"data missing", 'Waste results'!$S$62&lt;&gt;"data missing", 'Waste results'!$S$98&lt;&gt;"data missing"), Calc!BC117*'Waste results'!$S$26+Calc!BD117*'Waste results'!$S$62+ Calc!BE117*'Waste results'!$S$98, "data missing")))))))))))</f>
        <v/>
      </c>
      <c r="AR119" s="241" t="str">
        <f ca="1">IF($B119="","",
IF(ISBLANK('Soil results'!L122),"data missing",'Soil results'!L122))</f>
        <v/>
      </c>
      <c r="AS119" s="241" t="str">
        <f t="shared" ca="1" si="42"/>
        <v/>
      </c>
      <c r="AT119" s="66" t="str">
        <f t="shared" ca="1" si="43"/>
        <v/>
      </c>
      <c r="AU119" s="9"/>
      <c r="AV119" s="238" t="str">
        <f ca="1">IF(B119="","",
IF(AND('Field information 2'!$O$5="", 'Field information 2'!$Q$5=""),
   IF('Waste results'!$S$27&lt;&gt;"data missing", Calc!BC117*'Waste results'!$S$27, "data missing"),
IF('Field information 2'!$Q$5="",
   IF(Calc!BD117=0,
     IF('Waste results'!$S$27&lt;&gt;"data missing", Calc!BC117*'Waste results'!$S$27, "data missing"),
   IF(Calc!BC117=0,
     IF('Waste results'!$S$63&lt;&gt;"data missing", Calc!BD117*'Waste results'!$S$63, "data missing"),
   IF(OR('Waste results'!$S$27&lt;&gt;"data missing", 'Waste results'!$S$63&lt;&gt;"data missing"), Calc!BC117*'Waste results'!$S$27+ Calc!BD117*'Waste results'!$S$63, "data missing"))),
IF(AND('Field information 2'!$M$5&lt;&gt;"", 'Field information 2'!$O$5&lt;&gt;"", 'Field information 2'!$Q$5&lt;&gt;""),
   IF(AND(Calc!BD117=0,Calc!BE117=0),
     IF('Waste results'!$S$27&lt;&gt;"data missing", Calc!BC117*'Waste results'!$S$27, "data missing"),
   IF(AND(Calc!BC117=0,Calc!BE117=0),
     IF('Waste results'!$S$63&lt;&gt;"data missing", Calc!BD117*'Waste results'!$S$63, "data missing"),
   IF(AND(Calc!BC117=0,Calc!BD117=0),
     IF('Waste results'!$S$99&lt;&gt;"data missing", Calc!BE117*'Waste results'!$S$99, "data missing"),
   IF(Calc!BE117=0,
     IF(OR('Waste results'!$S$27&lt;&gt;"data missing", 'Waste results'!$S$63&lt;&gt;"data missing"), Calc!BC117*'Waste results'!$S$27+ Calc!BD117*'Waste results'!$S$63, "data missing"),
   IF(Calc!BD117=0,
     IF(OR('Waste results'!$S$27&lt;&gt;"data missing", 'Waste results'!$S$99&lt;&gt;"data missing"), Calc!BC117*'Waste results'!$S$27+ Calc!BE117*'Waste results'!$S$99, "data missing"),
   IF(Calc!BC117=0,
     IF(OR('Waste results'!$S$63&lt;&gt;"data missing", 'Waste results'!$S$99&lt;&gt;"data missing"), Calc!BD117*'Waste results'!$S$63+Calc!BE117*'Waste results'!$S$99, "data missing"),
   IF(OR('Waste results'!$S$27&lt;&gt;"data missing", 'Waste results'!$S$63&lt;&gt;"data missing", 'Waste results'!$S$99&lt;&gt;"data missing"), Calc!BC117*'Waste results'!$S$27+Calc!BD117*'Waste results'!$S$63+ Calc!BE117*'Waste results'!$S$99, "data missing")))))))))))</f>
        <v/>
      </c>
      <c r="AW119" s="239" t="str">
        <f ca="1">IF($B119="","",
IF(ISBLANK('Soil results'!M122),"data missing",'Soil results'!M122))</f>
        <v/>
      </c>
      <c r="AX119" s="239" t="str">
        <f t="shared" ca="1" si="44"/>
        <v/>
      </c>
      <c r="AY119" s="9" t="str">
        <f ca="1">IF(B119="","",
IF(AV119=0,"n/a",
IF(OR(AV119="data missing",AW119="data missing"),"data missing",
IF(AV119&gt;7.5,"application rate too high - permissible rate exceeds limit",
IF('Soil results'!$F122&lt;=5.5,
  IF(AW119&gt;80,"no application - soil conc. already above limit",
  IF(AX119&gt;80,"application rate too high - soil conc. will exceed limit",
  IF(AW119&gt;80*0.9,"soil conc. is at or above 90% of the limit",
  IF(10*AV119*1000/3000+AW119&gt;80,"soil limit likely to be exceeded in 10yrs",
  IF(50*AV119*1000/3000+AW119&gt;80,"soil limit likely to be exceeded in 50yrs","ok"))))),
IF('Soil results'!$F122&lt;=6,
  IF(AW119&gt;100,"no application - soil conc. already above limit",
  IF(AX119&gt;100,"application rate too high - soil conc. will exceed limit",
  IF(AW119&gt;100*0.9,"soil conc. is at or above 90% of the limit",
  IF(10*AV119*1000/3000+AW119&gt;100,"soil limit likely to be exceeded in 10yrs",
  IF(50*AV119*1000/3000+AW119&gt;100,"soil limit likely to be exceeded in 50yrs","ok"))))),
IF('Soil results'!$F122&lt;=7,
  IF(AW119&gt;135,"no application - soil conc. already above limit",
  IF(AX119&gt;135,"application rate too high - soil conc. will exceed limit",
  IF(AW119&gt;135*0.9,"soil conc. is at or above 90% of the limit",
  IF(10*AV119*1000/3000+AW119&gt;135,"soil limit likely to be exceeded in 10yrs",
  IF(50*AV119*1000/3000+AW119&gt;135,"soil limit likely to be exceeded in 50yrs","ok"))))),
IF('Soil results'!$F122&gt;7,
  IF(AW119&gt;200,"no application - soil conc. already above limit",
  IF(AX119&gt;200,"application too high - soil conc. will exceed limit",
  IF(AW119&gt;200*0.9,"soil conc. is at or above 90% of the limit",
  IF(10*AV119*1000/3000+AW119&gt;200,"soil limit likely to be exceeded in 10yrs",
  IF(50*AV119*1000/3000+AW119&gt;200,"soil limit likely to be exceeded in 50yrs","ok")))))
))))))))</f>
        <v/>
      </c>
      <c r="AZ119" s="9"/>
      <c r="BA119" s="238" t="str">
        <f ca="1">IF(B119="","",
IF(AND('Field information 2'!$O$5="", 'Field information 2'!$Q$5=""),
   IF('Waste results'!$S$28&lt;&gt;"data missing", Calc!BC117*'Waste results'!$S$28, "data missing"),
IF('Field information 2'!$Q$5="",
   IF(Calc!BD117=0,
     IF('Waste results'!$S$28&lt;&gt;"data missing", Calc!BC117*'Waste results'!$S$28, "data missing"),
   IF(Calc!BC117=0,
     IF('Waste results'!$S$64&lt;&gt;"data missing", Calc!BD117*'Waste results'!$S$64, "data missing"),
   IF(OR('Waste results'!$S$28&lt;&gt;"data missing", 'Waste results'!$S$64&lt;&gt;"data missing"), Calc!BC117*'Waste results'!$S$28+ Calc!BD117*'Waste results'!$S$64, "data missing"))),
IF(AND('Field information 2'!$M$5&lt;&gt;"", 'Field information 2'!$O$5&lt;&gt;"", 'Field information 2'!$Q$5&lt;&gt;""),
   IF(AND(Calc!BD117=0,Calc!BE117=0),
     IF('Waste results'!$S$28&lt;&gt;"data missing", Calc!BC117*'Waste results'!$S$28, "data missing"),
   IF(AND(Calc!BC117=0,Calc!BE117=0),
     IF('Waste results'!$S$64&lt;&gt;"data missing", Calc!BD117*'Waste results'!$S$64, "data missing"),
   IF(AND(Calc!BC117=0,Calc!BD117=0),
     IF('Waste results'!$S$100&lt;&gt;"data missing", Calc!BE117*'Waste results'!$S$100, "data missing"),
   IF(Calc!BE117=0,
     IF(OR('Waste results'!$S$28&lt;&gt;"data missing", 'Waste results'!$S$64&lt;&gt;"data missing"), Calc!BC117*'Waste results'!$S$28+ Calc!BD117*'Waste results'!$S$64, "data missing"),
   IF(Calc!BD117=0,
     IF(OR('Waste results'!$S$28&lt;&gt;"data missing", 'Waste results'!$S$100&lt;&gt;"data missing"), Calc!BC117*'Waste results'!$S$28+ Calc!BE117*'Waste results'!$S$100, "data missing"),
   IF(Calc!BC117=0,
     IF(OR('Waste results'!$S$64&lt;&gt;"data missing", 'Waste results'!$S$100&lt;&gt;"data missing"), Calc!BD117*'Waste results'!$S$64+Calc!BE117*'Waste results'!$S$100, "data missing"),
   IF(OR('Waste results'!$S$28&lt;&gt;"data missing", 'Waste results'!$S$64&lt;&gt;"data missing", 'Waste results'!$S$100&lt;&gt;"data missing"), Calc!BC117*'Waste results'!$S$28+Calc!BD117*'Waste results'!$S$64+ Calc!BE117*'Waste results'!$S$100, "data missing")))))))))))</f>
        <v/>
      </c>
      <c r="BB119" s="239" t="str">
        <f ca="1">IF($B119="","",
IF(ISBLANK('Soil results'!N122),"data missing",'Soil results'!N122))</f>
        <v/>
      </c>
      <c r="BC119" s="239" t="str">
        <f t="shared" ca="1" si="45"/>
        <v/>
      </c>
      <c r="BD119" s="9" t="str">
        <f t="shared" ca="1" si="46"/>
        <v/>
      </c>
      <c r="BE119" s="9"/>
      <c r="BF119" s="238" t="str">
        <f ca="1">IF(B119="","",
IF(AND('Field information 2'!$O$5="", 'Field information 2'!$Q$5=""),
   IF('Waste results'!$S$29&lt;&gt;"data missing", Calc!BC117*'Waste results'!$S$29, "data missing"),
IF('Field information 2'!$Q$5="",
   IF(Calc!BD117=0,
     IF('Waste results'!$S$29&lt;&gt;"data missing", Calc!BC117*'Waste results'!$S$29, "data missing"),
   IF(Calc!BC117=0,
     IF('Waste results'!$S$65&lt;&gt;"data missing", Calc!BD117*'Waste results'!$S$65, "data missing"),
   IF(OR('Waste results'!$S$29&lt;&gt;"data missing", 'Waste results'!$S$65&lt;&gt;"data missing"), Calc!BC117*'Waste results'!$S$29+ Calc!BD117*'Waste results'!$S$65, "data missing"))),
IF(AND('Field information 2'!$M$5&lt;&gt;"", 'Field information 2'!$O$5&lt;&gt;"", 'Field information 2'!$Q$5&lt;&gt;""),
   IF(AND(Calc!BD117=0,Calc!BE117=0),
     IF('Waste results'!$S$29&lt;&gt;"data missing", Calc!BC117*'Waste results'!$S$29, "data missing"),
   IF(AND(Calc!BC117=0,Calc!BE117=0),
     IF('Waste results'!$S$65&lt;&gt;"data missing", Calc!BD117*'Waste results'!$S$65, "data missing"),
   IF(AND(Calc!BC117=0,Calc!BD117=0),
     IF('Waste results'!$S$101&lt;&gt;"data missing", Calc!BE117*'Waste results'!$S$101, "data missing"),
   IF(Calc!BE117=0,
     IF(OR('Waste results'!$S$29&lt;&gt;"data missing", 'Waste results'!$S$65&lt;&gt;"data missing"), Calc!BC117*'Waste results'!$S$29+ Calc!BD117*'Waste results'!$S$65, "data missing"),
   IF(Calc!BD117=0,
     IF(OR('Waste results'!$S$29&lt;&gt;"data missing", 'Waste results'!$S$101&lt;&gt;"data missing"), Calc!BC117*'Waste results'!$S$29+ Calc!BE117*'Waste results'!$S$101, "data missing"),
   IF(Calc!BC117=0,
     IF(OR('Waste results'!$S$65&lt;&gt;"data missing", 'Waste results'!$S$101&lt;&gt;"data missing"), Calc!BD117*'Waste results'!$S$65+Calc!BE117*'Waste results'!$S$101, "data missing"),
   IF(OR('Waste results'!$S$29&lt;&gt;"data missing", 'Waste results'!$S$65&lt;&gt;"data missing", 'Waste results'!$S$101&lt;&gt;"data missing"), Calc!BC117*'Waste results'!$S$29+Calc!BD117*'Waste results'!$S$65+ Calc!BE117*'Waste results'!$S$101, "data missing")))))))))))</f>
        <v/>
      </c>
      <c r="BG119" s="239" t="str">
        <f ca="1">IF($B119="","",
IF(ISBLANK('Soil results'!O122),"data missing",'Soil results'!O122))</f>
        <v/>
      </c>
      <c r="BH119" s="239" t="str">
        <f t="shared" ca="1" si="47"/>
        <v/>
      </c>
      <c r="BI119" s="9" t="str">
        <f ca="1">IF(B119="","",
IF(BF119=0,"n/a",
IF(OR(BF119="data missing",BG119="data missing"),"data missing",
IF(BF119&gt;3,"application rate too high - permissible rate exceeds limit",
IF('Soil results'!F122&lt;=5.5,
  IF(BG119&gt;50,"no application - soil conc. already above limit",
  IF(BH119&gt;50,"application rate too high - soil conc. will exceed limit",
  IF(BG119&gt;50*0.9,"soil conc. is at or above 90% of the limit",
  IF(10*BF119*1000/3000+BG119&gt;50,"soil limit likely to be exceeded in 10yrs",
  IF(50*BF119*1000/3000+BG119&gt;50,"soil limit likely to be exceeded in 50yrs","ok"))))),
IF('Soil results'!F122&lt;=6,
  IF(BG119&gt;60,"no application - soil conc. already above limit",
  IF(BH119&gt;60,"application rate too high - soil conc. will exceed limit",
  IF(BG119&gt;60*0.9,"soil conc. is at or above 90% of the limit",
  IF(10*BF119*1000/3000+BG119&gt;60,"soil limit likely to be exceeded in 10yrs",
  IF(50*BF119*1000/3000+BG119&gt;60,"soil limit likely to be exceeded in 50yrs","ok"))))),
IF('Soil results'!F122&lt;=7,
  IF(BG119&gt;75,"no application - soil conc. already above limit",
  IF(BH119&gt;75,"application rate too high - soil conc. will exceed limit",
  IF(BG119&gt;75*0.9,"soil conc. is at or above 90% of the limit",
  IF(10*BF119*1000/3000+BG119&gt;75,"soil limit likely to be exceeded in 10yrs",
  IF(50*BF119*1000/3000+BG119&gt;75,"soil limit likely to be exceeded in 50yrs","ok"))))),
IF('Soil results'!F122&gt;7,
  IF(BG119&gt;100,"no application - soil conc. already above limit",
  IF(BH119&gt;100,"application rate too high - soil conc. will exceed limit",
  IF(BG119&gt;100*0.9,"soil conc. is at or above 90% of the limit",
  IF(10*BF119*1000/3000+BG119&gt;100,"soil limit likely to be exceeded in 10yrs",
  IF(50*BF119*1000/3000+BG119&gt;100,"soil limit likely to beexceeded in 50yrs","ok")))))
))))))))</f>
        <v/>
      </c>
      <c r="BJ119" s="9"/>
      <c r="BK119" s="240" t="str">
        <f ca="1">IF(B119="","",
IF(AND('Field information 2'!$O$5="", 'Field information 2'!$Q$5=""),
   IF('Waste results'!$S$30&lt;&gt;"data missing", Calc!BC117*'Waste results'!$S$30, "data missing"),
IF('Field information 2'!$Q$5="",
   IF(Calc!BD117=0,
     IF('Waste results'!$S$30&lt;&gt;"data missing", Calc!BC117*'Waste results'!$S$30, "data missing"),
   IF(Calc!BC117=0,
     IF('Waste results'!$S$66&lt;&gt;"data missing", Calc!BD117*'Waste results'!$S$66, "data missing"),
   IF(OR('Waste results'!$S$30&lt;&gt;"data missing", 'Waste results'!$S$66&lt;&gt;"data missing"), Calc!BC117*'Waste results'!$S$30+ Calc!BD117*'Waste results'!$S$66, "data missing"))),
IF(AND('Field information 2'!$M$5&lt;&gt;"", 'Field information 2'!$O$5&lt;&gt;"", 'Field information 2'!$Q$5&lt;&gt;""),
   IF(AND(Calc!BD117=0,Calc!BE117=0),
     IF('Waste results'!$S$30&lt;&gt;"data missing", Calc!BC117*'Waste results'!$S$30, "data missing"),
   IF(AND(Calc!BC117=0,Calc!BE117=0),
     IF('Waste results'!$S$66&lt;&gt;"data missing", Calc!BD117*'Waste results'!$S$66, "data missing"),
   IF(AND(Calc!BC117=0,Calc!BD117=0),
     IF('Waste results'!$S$102&lt;&gt;"data missing", Calc!BE117*'Waste results'!$S$102, "data missing"),
   IF(Calc!BE117=0,
     IF(OR('Waste results'!$S$30&lt;&gt;"data missing", 'Waste results'!$S$66&lt;&gt;"data missing"), Calc!BC117*'Waste results'!$S$30+ Calc!BD117*'Waste results'!$S$66, "data missing"),
   IF(Calc!BD117=0,
     IF(OR('Waste results'!$S$30&lt;&gt;"data missing", 'Waste results'!$S$102&lt;&gt;"data missing"), Calc!BC117*'Waste results'!$S$30+ Calc!BE117*'Waste results'!$S$102, "data missing"),
   IF(Calc!BC117=0,
     IF(OR('Waste results'!$S$66&lt;&gt;"data missing", 'Waste results'!$S$102&lt;&gt;"data missing"), Calc!BD117*'Waste results'!$S$66+Calc!BE117*'Waste results'!$S$102, "data missing"),
   IF(OR('Waste results'!$S$30&lt;&gt;"data missing", 'Waste results'!$S$66&lt;&gt;"data missing", 'Waste results'!$S$102&lt;&gt;"data missing"), Calc!BC117*'Waste results'!$S$30+Calc!BD117*'Waste results'!$S$66+ Calc!BE117*'Waste results'!$S$102, "data missing")))))))))))</f>
        <v/>
      </c>
      <c r="BL119" s="241" t="str">
        <f ca="1">IF($B119="","",
IF(ISBLANK('Soil results'!P122),"data missing",'Soil results'!P122))</f>
        <v/>
      </c>
      <c r="BM119" s="241" t="str">
        <f t="shared" ca="1" si="48"/>
        <v/>
      </c>
      <c r="BN119" s="66" t="str">
        <f t="shared" ca="1" si="49"/>
        <v/>
      </c>
      <c r="BO119" s="9"/>
      <c r="BP119" s="238" t="str">
        <f ca="1">IF(B119="","",
IF(AND('Field information 2'!$O$5="", 'Field information 2'!$Q$5=""),
   IF('Waste results'!$S$31&lt;&gt;"data missing", Calc!BC117*'Waste results'!$S$31, "data missing"),
IF('Field information 2'!$Q$5="",
   IF(Calc!BD117=0,
     IF('Waste results'!$S$31&lt;&gt;"data missing", Calc!BC117*'Waste results'!$S$31, "data missing"),
   IF(Calc!BC117=0,
     IF('Waste results'!$S$67&lt;&gt;"data missing", Calc!BD117*'Waste results'!$S$67, "data missing"),
   IF(OR('Waste results'!$S$31&lt;&gt;"data missing", 'Waste results'!$S$67&lt;&gt;"data missing"), Calc!BC117*'Waste results'!$S$31+ Calc!BD117*'Waste results'!$S$67, "data missing"))),
IF(AND('Field information 2'!$M$5&lt;&gt;"", 'Field information 2'!$O$5&lt;&gt;"", 'Field information 2'!$Q$5&lt;&gt;""),
   IF(AND(Calc!BD117=0,Calc!BE117=0),
     IF('Waste results'!$S$31&lt;&gt;"data missing", Calc!BC117*'Waste results'!$S$31, "data missing"),
   IF(AND(Calc!BC117=0,Calc!BE117=0),
     IF('Waste results'!$S$67&lt;&gt;"data missing", Calc!BD117*'Waste results'!$S$67, "data missing"),
   IF(AND(Calc!BC117=0,Calc!BD117=0),
     IF('Waste results'!$S$103&lt;&gt;"data missing", Calc!BE117*'Waste results'!$S$103, "data missing"),
   IF(Calc!BE117=0,
     IF(OR('Waste results'!$S$31&lt;&gt;"data missing", 'Waste results'!$S$67&lt;&gt;"data missing"), Calc!BC117*'Waste results'!$S$31+ Calc!BD117*'Waste results'!$S$67, "data missing"),
   IF(Calc!BD117=0,
     IF(OR('Waste results'!$S$31&lt;&gt;"data missing", 'Waste results'!$S$103&lt;&gt;"data missing"), Calc!BC117*'Waste results'!$S$31+ Calc!BE117*'Waste results'!$S$103, "data missing"),
   IF(Calc!BC117=0,
     IF(OR('Waste results'!$S$67&lt;&gt;"data missing", 'Waste results'!$S$103&lt;&gt;"data missing"), Calc!BD117*'Waste results'!$S$67+Calc!BE117*'Waste results'!$S$103, "data missing"),
   IF(OR('Waste results'!$S$31&lt;&gt;"data missing", 'Waste results'!$S$67&lt;&gt;"data missing", 'Waste results'!$S$103&lt;&gt;"data missing"), Calc!BC117*'Waste results'!$S$31+Calc!BD117*'Waste results'!$S$67+ Calc!BE117*'Waste results'!$S$103, "data missing")))))))))))</f>
        <v/>
      </c>
      <c r="BQ119" s="239" t="str">
        <f ca="1">IF($B119="","",
IF(ISBLANK('Soil results'!Q122),"data missing",'Soil results'!Q122))</f>
        <v/>
      </c>
      <c r="BR119" s="239" t="str">
        <f t="shared" ca="1" si="50"/>
        <v/>
      </c>
      <c r="BS119" s="9" t="str">
        <f ca="1">IF(B119="","",
IF(BP119=0,"n/a",
IF(OR(BP119="data missing",BQ119=""),"data missing",
IF(BP119&gt;15,"application rate too high - permissible rate exceeds limit",
IF('Soil results'!F122&lt;=5.5,
  IF(BQ119&gt;200,"no application - soil conc. already above limit",
  IF(BR119&gt;200,"application rate too high - soil conc. will exceed limit",
  IF(BQ119&gt;200*0.9,"soil conc. is at or above 90% of the limit",
  IF(10*BP119*1000/3000+BQ119&gt;200,"soil limit likely to be exceeded in 10yrs",
  IF(50*BP119*1000/3000+BQ119&gt;200,"soil limit likely to be exceeded in 50yrs","ok"))))),
IF('Soil results'!F122&lt;=6,
  IF(BQ119&gt;250,"no application - soil conc. already above limit",
  IF(BR119&gt;250,"application rate too high - soil conc. will exceed limit",
  IF(BQ119&gt;250*0.9,"soil conc. is at or above 90% of the limit",
  IF(10*BP119*1000/3000+BQ119&gt;250,"soil limit likely to be exceeded in 10yrs",
  IF(50*BP119*1000/3000+BQ119&gt;250,"soil limit likely to be exceeded in 50yrs","ok"))))),
IF('Soil results'!F122&lt;=7,
  IF(BQ119&gt;300,"no application - soil conc. already above limit",
  IF(BR119&gt;300,"application rate too high - soil conc. will exceed limit",
  IF(BQ119&gt;300*0.9,"soil conc. is at or above 90% of the limit",
  IF(10*BP119*1000/3000+BQ119&gt;300,"soil limit likey to be exceeded in 10yrs",
  IF(50*BP119*1000/3000+BQ119&gt;300,"soil limit likely to be exceeded in 50yrs","ok"))))),
IF('Soil results'!F122&gt;7,
  IF(BQ119&gt;450,"no application - soil conc. already above limit",
  IF(BR119&gt;450,"application rate too high - soil conc. will exceed limit",
  IF(AW119&gt;450*0.9,"soil conc. is at or above 90% of the limit",
  IF(10*BP119*1000/3000+BQ119&gt;450,"soil limit likely to be exceeded in 10yrs",
  IF(50*BP119*1000/3000+BQ119&gt;450,"soil limit likely to be exceeded in 50yrs","ok")))))
))))))))</f>
        <v/>
      </c>
    </row>
    <row r="120" spans="2:71" ht="15" x14ac:dyDescent="0.25">
      <c r="B120" s="236" t="str">
        <f ca="1">'Soil results'!B123</f>
        <v/>
      </c>
      <c r="C120" s="91" t="str">
        <f ca="1">IF(B120="","",
IF(AND('Field information 2'!$O$5="", 'Field information 2'!$Q$5=""),
   IF('Waste results'!$S$12&lt;&gt;"data missing", Calc!BC118*'Waste results'!$S$12, "data missing"),
IF('Field information 2'!$Q$5="",
   IF(Calc!BD118=0,
     IF('Waste results'!$S$12&lt;&gt;"data missing", Calc!BC118*'Waste results'!$S$12, "data missing"),
   IF(Calc!BC118=0,
     IF('Waste results'!$S$48&lt;&gt;"data missing", Calc!BD118*'Waste results'!$S$48, "data missing"),
   IF(OR('Waste results'!$S$12&lt;&gt;"data missing", 'Waste results'!$S$48&lt;&gt;"data missing"), Calc!BC118*'Waste results'!$S$12+ Calc!BD118*'Waste results'!$S$48, "data missing"))),
IF(AND('Field information 2'!$M$5&lt;&gt;"", 'Field information 2'!$O$5&lt;&gt;"", 'Field information 2'!$Q$5&lt;&gt;""),
   IF(AND(Calc!BD118=0,Calc!BE118=0),
     IF('Waste results'!$S$12&lt;&gt;"data missing", Calc!BC118*'Waste results'!$S$12, "data missing"),
   IF(AND(Calc!BC118=0,Calc!BE118=0),
     IF('Waste results'!$S$48&lt;&gt;"data missing", Calc!BD118*'Waste results'!$S$48, "data missing"),
   IF(AND(Calc!BC118=0,Calc!BD118=0),
     IF('Waste results'!$S$84&lt;&gt;"data missing", Calc!BE118*'Waste results'!$S$84, "data missing"),
   IF(Calc!BE118=0,
     IF(OR('Waste results'!$S$12&lt;&gt;"data missing", 'Waste results'!$S$48&lt;&gt;"data missing"), Calc!BC118*'Waste results'!$S$12+ Calc!BD118*'Waste results'!$S$48, "data missing"),
   IF(Calc!BD118=0,
     IF(OR('Waste results'!$S$12&lt;&gt;"data missing", 'Waste results'!$S$84&lt;&gt;"data missing"), Calc!BC118*'Waste results'!$S$12+ Calc!BE118*'Waste results'!$S$84, "data missing"),
   IF(Calc!BC118=0,
     IF(OR('Waste results'!$S$48&lt;&gt;"data missing", 'Waste results'!$S$84&lt;&gt;"data missing"), Calc!BD118*'Waste results'!$S$48+Calc!BE118*'Waste results'!$S$84, "data missing"),
   IF(OR('Waste results'!$S$12&lt;&gt;"data missing", 'Waste results'!$S$48&lt;&gt;"data missing", 'Waste results'!$S$84&lt;&gt;"data missing"), Calc!BC118*'Waste results'!$S$12+Calc!BD118*'Waste results'!$S$48+ Calc!BE118*'Waste results'!$S$84, "data missing")))))))))))</f>
        <v/>
      </c>
      <c r="D120" s="161" t="str">
        <f ca="1">IF(B120="","",
IF(Calc!BG118="","soil texture missing",
IF(OR(Calc!BG118="SL; SZL; ZL",Calc!BG118="SCL; CL; ZCL; SC; ZC; C"),VLOOKUP(Calc!BI118,'Fertiliser recommendations'!$A$4:$C$63,3,FALSE),
IF(Calc!BG118="S; LS",VLOOKUP(Calc!BI118,'Fertiliser recommendations'!$A$4:$C$63,3,FALSE)+VLOOKUP(Calc!BI118,'Fertiliser recommendations'!$A$4:$D$63,4,FALSE),
IF(Calc!BG118="10-25% OM",VLOOKUP(Calc!BI118,'Fertiliser recommendations'!$A$4:$C$63,3,FALSE)+VLOOKUP(Calc!BI118,'Fertiliser recommendations'!$A$4:$E$63,5,FALSE),
IF(Calc!BG118="&gt;25% OM",VLOOKUP(Calc!BI118,'Fertiliser recommendations'!$A$4:$C$63,3,FALSE)+VLOOKUP(Calc!BI118,'Fertiliser recommendations'!$A$4:$F$63,6,FALSE),
""))))))</f>
        <v/>
      </c>
      <c r="E120" s="91" t="str">
        <f t="shared" ca="1" si="34"/>
        <v/>
      </c>
      <c r="F120" s="9" t="str">
        <f ca="1">IF(B120="","",
IF(OR(C120="data missing",D120="soil texture missing"),"data missing",
IF(Calc!BF118=0,"n/a",
IF(C120&lt;0.1*D120,"no benefit",
IF(C120&lt;0.3*D120,"limited benefit",
IF(C120&gt;250,"exceeds limit",
IF(OR(AND(D120=0,C120&gt;75),C120&gt;1.25*D120),"excessive",
IF(D120=0, "no requirement",
"benefit"))))))))</f>
        <v/>
      </c>
      <c r="G120" s="9"/>
      <c r="H120" s="91" t="str">
        <f ca="1">IF(B120="","",
IF(AND('Field information 2'!$O$5="", 'Field information 2'!$Q$5=""),
   IF('Waste results'!$S$17&lt;&gt;"data missing", Calc!BC118*'Waste results'!$S$17, "data missing"),
IF('Field information 2'!$Q$5="",
   IF(Calc!BD118=0,
     IF('Waste results'!$S$17&lt;&gt;"data missing", Calc!BC118*'Waste results'!$S$17, "data missing"),
   IF(Calc!BC118=0,
     IF('Waste results'!$S$53&lt;&gt;"data missing", Calc!BD118*'Waste results'!$S$53, "data missing"),
   IF(OR('Waste results'!$S$17&lt;&gt;"data missing", 'Waste results'!$S$53&lt;&gt;"data missing"), Calc!BC118*'Waste results'!$S$17+ Calc!BD118*'Waste results'!$S$53, "data missing"))),
IF(AND('Field information 2'!$M$5&lt;&gt;"", 'Field information 2'!$O$5&lt;&gt;"", 'Field information 2'!$Q$5&lt;&gt;""),
   IF(AND(Calc!BD118=0,Calc!BE118=0),
     IF('Waste results'!$S$17&lt;&gt;"data missing", Calc!BC118*'Waste results'!$S$17, "data missing"),
   IF(AND(Calc!BC118=0,Calc!BE118=0),
     IF('Waste results'!$S$53&lt;&gt;"data missing", Calc!BD118*'Waste results'!$S$53, "data missing"),
   IF(AND(Calc!BC118=0,Calc!BD118=0),
     IF('Waste results'!$S$89&lt;&gt;"data missing", Calc!BE118*'Waste results'!$S$89, "data missing"),
   IF(Calc!BE118=0,
     IF(OR('Waste results'!$S$17&lt;&gt;"data missing", 'Waste results'!$S$53&lt;&gt;"data missing"), Calc!BC118*'Waste results'!$S$17+ Calc!BD118*'Waste results'!$S$53, "data missing"),
   IF(Calc!BD118=0,
     IF(OR('Waste results'!$S$17&lt;&gt;"data missing", 'Waste results'!$S$89&lt;&gt;"data missing"), Calc!BC118*'Waste results'!$S$17+ Calc!BE118*'Waste results'!$S$89, "data missing"),
   IF(Calc!BC118=0,
     IF(OR('Waste results'!$S$53&lt;&gt;"data missing", 'Waste results'!$S$89&lt;&gt;"data missing"), Calc!BD118*'Waste results'!$S$53+Calc!BE118*'Waste results'!$S$89, "data missing"),
   IF(OR('Waste results'!$S$17&lt;&gt;"data missing", 'Waste results'!$S$53&lt;&gt;"data missing", 'Waste results'!$S$89&lt;&gt;"data missing"), Calc!BC118*'Waste results'!$S$17+Calc!BD118*'Waste results'!$S$53+ Calc!BE118*'Waste results'!$S$89, "data missing")))))))))))</f>
        <v/>
      </c>
      <c r="I120" s="195" t="str">
        <f ca="1">IF(B120="","",
IF(OR(ISBLANK('Soil results'!G123), ISBLANK('Soil results'!G$7)),"data missing",
IF(OR(AND('Soil results'!G$7="Olsen (ADAS)",'Soil results'!G123&lt;16),AND('Soil results'!G$7="modified Morgan (SAC)",'Soil results'!G123&lt;4.5)),50,100)))</f>
        <v/>
      </c>
      <c r="J120" s="49" t="str">
        <f ca="1">IF(B120="","",
IF(OR(ISBLANK('Soil results'!G$7),ISBLANK('Soil results'!G123)),"data missing",
IF(OR(AND('Soil results'!G$7="Olsen (ADAS)",'Soil results'!G123&gt;45),AND('Soil results'!G$7="modified Morgan (SAC)",'Soil results'!G123&gt;30)),0,
IF(OR(AND('Soil results'!G$7="Olsen (ADAS)",'Soil results'!G123&gt;=16,'Soil results'!G123&lt;=20),AND('Soil results'!G$7="modified Morgan (SAC)",'Soil results'!G123&gt;=4.5,'Soil results'!G123&lt;=9.4)),VLOOKUP(Calc!BI118,'Fertiliser recommendations'!$A$4:$I$63,9,FALSE),
IF(OR(AND('Soil results'!G$7="Olsen (ADAS)",'Soil results'!G123&lt;10),AND('Soil results'!G$7="modified Morgan (SAC)",'Soil results'!G123&lt;1.8)),VLOOKUP(Calc!BI118,'Fertiliser recommendations'!$A$4:$I$63,9,FALSE)+VLOOKUP(Calc!BI118,'Fertiliser recommendations'!$A$4:$J$63,10,FALSE),
IF(OR(AND('Soil results'!G$7="Olsen (ADAS)",'Soil results'!G123&lt;16),AND('Soil results'!G$7="modified Morgan (SAC)",'Soil results'!G123&lt;4.5)),VLOOKUP(Calc!BI118,'Fertiliser recommendations'!$A$4:$I$63,9,FALSE)+VLOOKUP(Calc!BI118,'Fertiliser recommendations'!$A$4:$K$63,11,FALSE),
IF(OR(AND('Soil results'!G$7="Olsen (ADAS)",'Soil results'!G123&lt;26),AND('Soil results'!G$7="modified Morgan (SAC)",'Soil results'!G123&lt;13.5)),VLOOKUP(Calc!BI118,'Fertiliser recommendations'!$A$4:$I$63,9,FALSE)+VLOOKUP(Calc!BI118,'Fertiliser recommendations'!$A$4:$L$63,12,FALSE),
IF(OR(AND('Soil results'!G$7="Olsen (ADAS)",'Soil results'!G123&lt;=45),AND('Soil results'!G$7="modified Morgan (SAC)",'Soil results'!G123&lt;=30)),VLOOKUP(Calc!BI118,'Fertiliser recommendations'!$A$4:$I$63,9,FALSE)+VLOOKUP(Calc!BI118,'Fertiliser recommendations'!$A$4:$M$63,13,FALSE),
""))))))))</f>
        <v/>
      </c>
      <c r="K120" s="161" t="str">
        <f t="shared" ca="1" si="35"/>
        <v/>
      </c>
      <c r="L120" s="47" t="str">
        <f ca="1">IF(OR(ISBLANK('Soil results'!G$7),ISBLANK('Soil results'!G123),B120="", H120="data missing"),"",
IF('Soil results'!G$7="Olsen (ADAS)",
IF(((H120*Calc!BM118/2.291-(VLOOKUP(Calc!BI118,'Fertiliser recommendations'!$A$4:$I$63,9,FALSE))/2.291)*10/(400/2.291)+'Soil results'!G123)&lt;10,"0 (VL)",
IF(((H120*Calc!BM118/2.291-(VLOOKUP(Calc!BI118,'Fertiliser recommendations'!$A$4:$I$63,9,FALSE))/2.291)*10/(400/2.291)+'Soil results'!G123)&lt;16,"1 (L)",
IF(((H120*Calc!BM118/2.291-(VLOOKUP(Calc!BI118,'Fertiliser recommendations'!$A$4:$I$63,9,FALSE))/2.291)*10/(400/2.291)+'Soil results'!G123)&lt;21,"2 (M-)",
IF(((H120*Calc!BM118/2.291-(VLOOKUP(Calc!BI118,'Fertiliser recommendations'!$A$4:$I$63,9,FALSE))/2.291)*10/(400/2.291)+'Soil results'!G123)&lt;26,"2 (M+)",
IF(((H120*Calc!BM118/2.291-(VLOOKUP(Calc!BI118,'Fertiliser recommendations'!$A$4:$I$63,9,FALSE))/2.291)*10/(400/2.291)+'Soil results'!G123)&lt;45,"3 (H)","&gt;3 (VH)"))))),
IF('Soil results'!G$7="modified Morgan (SAC)",
IF('Soil results'!G123&gt;=6,
IF(((H120*Calc!BM118/2.291-(VLOOKUP(Calc!BI118,'Fertiliser recommendations'!$A$4:$I$63,9,FALSE))/2.291)*5/(147/2.291)+'Soil results'!G123)&lt;9.5,"2 (M-)",
IF(((H120*Calc!BM118/2.291-(VLOOKUP(Calc!BI118,'Fertiliser recommendations'!$A$4:$I$63,9,FALSE))/2.291)*5/(147/2.291)+'Soil results'!G123)&lt;13.5,"2 (M+)",
IF(((H120*Calc!BM118/2.291-(VLOOKUP(Calc!BI118,'Fertiliser recommendations'!$A$4:$I$63,9,FALSE))/2.291)*5/(147/2.291)+'Soil results'!G123)&lt;30,"3 (H)","4 (VH)"))),
IF(((H120*Calc!BM118/2.291-(VLOOKUP(Calc!BI118,'Fertiliser recommendations'!$A$4:$I$63,9,FALSE))/2.291)*5/(346/2.291)+'Soil results'!G123)&lt;1.8,"0 (VL)",
IF(((H120*Calc!BM118/2.291-(VLOOKUP(Calc!BI118,'Fertiliser recommendations'!$A$4:$I$63,9,FALSE))/2.291)*5/(147/2.291)+'Soil results'!G123)&lt;4.5,"1 (L)","2 (M-)"))))))</f>
        <v/>
      </c>
      <c r="M120" s="9" t="str">
        <f ca="1">IF(B120="","",
IF(OR(H120="data missing",I120="data missing",J120="data missing"),"data missing",
IF(Calc!BF118=0,"n/a",
IF(OR(AND('Soil results'!G$7="Olsen (ADAS)",'Soil results'!G123&gt;45),AND('Soil results'!G$7="modified Morgan (SAC)",'Soil results'!G123&gt;30)),
IF(H120&gt;2,"too high, not acceptable","no requirement"),IF(OR(AND('Soil results'!G$7="Olsen (ADAS)",'Soil results'!G123&gt;25),AND('Soil results'!G$7="modified Morgan (SAC)",'Soil results'!G123&gt;13.4)),
IF(H120*(I120/100)&lt;0.1*J120,"no benefit",
IF(H120*(I120/100)&lt;0.3*J120,"limited benefit",
IF(H120*(I120/100)&lt;1.1*J120,"benefit",
IF(H120*(I120/100)&lt;0.7*VLOOKUP(Calc!BI118,'Fertiliser recommendations'!$A$4:$I$63,9,FALSE),"excessive","too high, not acceptable")))),
IF(OR(AND('Soil results'!G$7="Olsen (ADAS)",'Soil results'!G123&gt;20),AND('Soil results'!G$7="modified Morgan (SAC)",'Soil results'!G123&gt;9.4)),
IF(H120*Calc!BM118*(I120/100)&lt;0.1*J120,"no benefit",
IF(H120*Calc!BM118*(I120/100)&lt;0.3*J120,"limited benefit",
IF(H120*Calc!BM118*(I120/100)&lt;1.1*J120,"benefit",
IF(L120="3 (H)","too high, not acceptable","excessive")))),
IF(OR(AND('Soil results'!G$7="Olsen (ADAS)",'Soil results'!G123&gt;15),AND('Soil results'!G$7="modified Morgan (SAC)",'Soil results'!G123&gt;4.4)),
IF(H120*Calc!BM118*(I120/100)&lt;0.1*VLOOKUP(Calc!BI118,'Fertiliser recommendations'!$A$4:$I$63,9,FALSE),"no benefit",
IF(H120*Calc!BM118*(I120/100)&lt;0.3*VLOOKUP(Calc!BI118,'Fertiliser recommendations'!$A$4:$I$63,9,FALSE),"limited benefit",
IF(H120*Calc!BM118*(I120/100)&lt;1.1*VLOOKUP(Calc!BI118,'Fertiliser recommendations'!$A$4:$I$63,9,FALSE),"benefit",
IF(L120="3 (H)", "too high, not acceptable", "excessive")))),
IF(OR(AND('Soil results'!G$7="Olsen (ADAS)",'Soil results'!G123&lt;=15),AND('Soil results'!G$7="modified Morgan (SAC)",'Soil results'!G123&lt;=4.4)),
IF(H120*Calc!BM118*(I120/100)&lt;0.1*VLOOKUP(Calc!BI118,'Fertiliser recommendations'!$A$4:$I$63,9,FALSE),"no benefit",
IF(H120*Calc!BM118*(I120/100)&lt;0.3*VLOOKUP(Calc!BI118,'Fertiliser recommendations'!$A$4:$I$63,9,FALSE),"limited benefit",
IF(H120*Calc!BM118*(I120/100)&lt;1.1*J120,"benefit","excessive")))))))))))</f>
        <v/>
      </c>
      <c r="N120" s="9"/>
      <c r="O120" s="91" t="str">
        <f ca="1">IF(B120="","",
IF(AND('Field information 2'!$O$5="", 'Field information 2'!$Q$5=""),
   IF('Waste results'!$S$19&lt;&gt;"data missing", Calc!BC118*'Waste results'!$S$19, "data missing"),
IF('Field information 2'!$Q$5="",
   IF(Calc!BD118=0,
     IF('Waste results'!$S$19&lt;&gt;"data missing", Calc!BC118*'Waste results'!$S$19, "data missing"),
   IF(Calc!BC118=0,
     IF('Waste results'!$S$55&lt;&gt;"data missing", Calc!BD118*'Waste results'!$S$55, "data missing"),
   IF(OR('Waste results'!$S$19&lt;&gt;"data missing", 'Waste results'!$S$55&lt;&gt;"data missing"), Calc!BC118*'Waste results'!$S$19+ Calc!BD118*'Waste results'!$S$55, "data missing"))),
IF(AND('Field information 2'!$M$5&lt;&gt;"", 'Field information 2'!$O$5&lt;&gt;"", 'Field information 2'!$Q$5&lt;&gt;""),
   IF(AND(Calc!BD118=0,Calc!BE118=0),
     IF('Waste results'!$S$19&lt;&gt;"data missing", Calc!BC118*'Waste results'!$S$19, "data missing"),
   IF(AND(Calc!BC118=0,Calc!BE118=0),
     IF('Waste results'!$S$55&lt;&gt;"data missing", Calc!BD118*'Waste results'!$S$55, "data missing"),
   IF(AND(Calc!BC118=0,Calc!BD118=0),
     IF('Waste results'!$S$91&lt;&gt;"data missing", Calc!BE118*'Waste results'!$S$91, "data missing"),
   IF(Calc!BE118=0,
     IF(OR('Waste results'!$S$19&lt;&gt;"data missing", 'Waste results'!$S$55&lt;&gt;"data missing"), Calc!BC118*'Waste results'!$S$19+ Calc!BD118*'Waste results'!$S$55, "data missing"),
   IF(Calc!BD118=0,
     IF(OR('Waste results'!$S$19&lt;&gt;"data missing", 'Waste results'!$S$91&lt;&gt;"data missing"), Calc!BC118*'Waste results'!$S$19+ Calc!BE118*'Waste results'!$S$91, "data missing"),
   IF(Calc!BC118=0,
     IF(OR('Waste results'!$S$55&lt;&gt;"data missing", 'Waste results'!$S$91&lt;&gt;"data missing"), Calc!BD118*'Waste results'!$S$55+Calc!BE118*'Waste results'!$S$91, "data missing"),
   IF(OR('Waste results'!$S$19&lt;&gt;"data missing", 'Waste results'!$S$55&lt;&gt;"data missing", 'Waste results'!$S$91&lt;&gt;"data missing"), Calc!BC118*'Waste results'!$S$19+Calc!BD118*'Waste results'!$S$55+ Calc!BE118*'Waste results'!$S$91, "data missing")))))))))))</f>
        <v/>
      </c>
      <c r="P120" s="91" t="str">
        <f ca="1">IF(B120="","",
IF(OR(ISBLANK('Soil results'!H$7),ISBLANK('Soil results'!H123)),"data missing",
IF(OR(AND('Soil results'!H$7="ammonium nitrate (ADAS)",'Soil results'!H123&gt;400),AND('Soil results'!H$7="modified Morgan (SAC)",'Soil results'!H123&gt;400)),0,
IF(OR(AND('Soil results'!H$7="ammonium nitrate (ADAS)",'Soil results'!H123&gt;=121,'Soil results'!H123&lt;=180),AND('Soil results'!H$7="modified Morgan (SAC)",'Soil results'!H123&gt;=76,'Soil results'!H123&lt;=140)),VLOOKUP(Calc!BI118,'Fertiliser recommendations'!$A$4:$Z$63,26,FALSE),
IF(OR(AND('Soil results'!H$7="ammonium nitrate (ADAS)",'Soil results'!H123&lt;61),AND('Soil results'!H$7="modified Morgan (SAC)",'Soil results'!H123&lt;40)),VLOOKUP(Calc!BI118,'Fertiliser recommendations'!$A$4:$Z$63,26,FALSE)+VLOOKUP(Calc!BI118,'Fertiliser recommendations'!$A$4:$AA$63,27,FALSE),
IF(OR(AND('Soil results'!H$7="ammonium nitrate (ADAS)",'Soil results'!H123&lt;121),AND('Soil results'!H$7="modified Morgan (SAC)",'Soil results'!H123&lt;76)),VLOOKUP(Calc!BI118,'Fertiliser recommendations'!$A$4:$Z$63,26,FALSE)+VLOOKUP(Calc!BI118,'Fertiliser recommendations'!$A$4:$AB$63,28,FALSE),
IF(OR(AND('Soil results'!H$7="ammonium nitrate (ADAS)",'Soil results'!H123&lt;241),AND('Soil results'!H$7="modified Morgan (SAC)",'Soil results'!H123&lt;201)),VLOOKUP(Calc!BI118,'Fertiliser recommendations'!$A$4:$Z$63,26,FALSE)+VLOOKUP(Calc!BI118,'Fertiliser recommendations'!$A$4:$AC$63,29,FALSE),
IF(OR(AND('Soil results'!H$7="ammonium nitrate (ADAS)",'Soil results'!H123&lt;=400),AND('Soil results'!H$7="modified Morgan (SAC)",'Soil results'!H123&lt;=400)),VLOOKUP(Calc!BI118,'Fertiliser recommendations'!$A$4:$Z$63,26,FALSE)+VLOOKUP(Calc!BI118,'Fertiliser recommendations'!$A$4:$AD$63,30,FALSE),
"??"))))))))</f>
        <v/>
      </c>
      <c r="Q120" s="91" t="str">
        <f t="shared" ca="1" si="36"/>
        <v/>
      </c>
      <c r="R120" s="9" t="str">
        <f ca="1">IF(B120="","",
IF(OR(O120="data missing",P120="data missing"),"data missing",
IF(Calc!BF118=0,"n/a",
IF(P120=0, "no requirement",
IF(O120&lt;0.1*P120,"no benefit",
IF(O120&lt;0.3*P120,"limited benefit",
IF(O120&gt;1.25*P120,"excessive",
"benefit")))))))</f>
        <v/>
      </c>
      <c r="S120" s="9"/>
      <c r="T120" s="91" t="str">
        <f ca="1">IF(B120="","",
IF(AND('Field information 2'!$O$5="", 'Field information 2'!$Q$5=""),
   IF('Waste results'!$S$21&lt;&gt;"data missing", Calc!BC118*'Waste results'!$S$21, "data missing"),
IF('Field information 2'!$Q$5="",
   IF(Calc!BD118=0,
     IF('Waste results'!$S$21&lt;&gt;"data missing", Calc!BC118*'Waste results'!$S$21, "data missing"),
   IF(Calc!BC118=0,
     IF('Waste results'!$S$57&lt;&gt;"data missing", Calc!BD118*'Waste results'!$S$57, "data missing"),
   IF(OR('Waste results'!$S$21&lt;&gt;"data missing", 'Waste results'!$S$57&lt;&gt;"data missing"), Calc!BC118*'Waste results'!$S$21+ Calc!BD118*'Waste results'!$S$57, "data missing"))),
IF(AND('Field information 2'!$M$5&lt;&gt;"", 'Field information 2'!$O$5&lt;&gt;"", 'Field information 2'!$Q$5&lt;&gt;""),
   IF(AND(Calc!BD118=0,Calc!BE118=0),
     IF('Waste results'!$S$21&lt;&gt;"data missing", Calc!BC118*'Waste results'!$S$21, "data missing"),
   IF(AND(Calc!BC118=0,Calc!BE118=0),
     IF('Waste results'!$S$57&lt;&gt;"data missing", Calc!BD118*'Waste results'!$S$57, "data missing"),
   IF(AND(Calc!BC118=0,Calc!BD118=0),
     IF('Waste results'!$S$93&lt;&gt;"data missing", Calc!BE118*'Waste results'!$S$93, "data missing"),
   IF(Calc!BE118=0,
     IF(OR('Waste results'!$S$21&lt;&gt;"data missing", 'Waste results'!$S$57&lt;&gt;"data missing"), Calc!BC118*'Waste results'!$S$21+ Calc!BD118*'Waste results'!$S$57, "data missing"),
   IF(Calc!BD118=0,
     IF(OR('Waste results'!$S$21&lt;&gt;"data missing", 'Waste results'!$S$93&lt;&gt;"data missing"), Calc!BC118*'Waste results'!$S$21+ Calc!BE118*'Waste results'!$S$93, "data missing"),
   IF(Calc!BC118=0,
     IF(OR('Waste results'!$S$57&lt;&gt;"data missing", 'Waste results'!$S$93&lt;&gt;"data missing"), Calc!BD118*'Waste results'!$S$57+Calc!BE118*'Waste results'!$S$93, "data missing"),
   IF(OR('Waste results'!$S$21&lt;&gt;"data missing", 'Waste results'!$S$57&lt;&gt;"data missing", 'Waste results'!$S$93&lt;&gt;"data missing"), Calc!BC118*'Waste results'!$S$21+Calc!BD118*'Waste results'!$S$57+ Calc!BE118*'Waste results'!$S$93, "data missing")))))))))))</f>
        <v/>
      </c>
      <c r="U120" s="7" t="str">
        <f ca="1">IF(B120="","",
IF(OR(ISBLANK('Soil results'!I$7),ISBLANK('Soil results'!I123)),"data missing",
IF(OR(AND('Soil results'!I$7="ammonium nitrate (ADAS)",'Soil results'!I123&gt;51),AND('Soil results'!I$7="modified Morgan (SAC)",'Soil results'!I123&gt;61)),0,
IF(OR(AND('Soil results'!I$7="ammonium nitrate (ADAS)",'Soil results'!I123&lt;25),AND('Soil results'!I$7="modified Morgan (SAC)",'Soil results'!I123&lt;19)),VLOOKUP(Calc!BI118,'Fertiliser recommendations'!$A$4:$AH$63,34,FALSE),
IF(OR(AND('Soil results'!I$7="ammonium nitrate (ADAS)",'Soil results'!I123&lt;=51),AND('Soil results'!I$7="modified Morgan (SAC)",'Soil results'!I123&lt;=61)),VLOOKUP(Calc!BI118,'Fertiliser recommendations'!$A$4:$AI$63,35,FALSE),
"")))))</f>
        <v/>
      </c>
      <c r="V120" s="91" t="str">
        <f t="shared" ca="1" si="37"/>
        <v/>
      </c>
      <c r="W120" s="9" t="str">
        <f ca="1">IF(B120="","",
IF(OR(T120="data missing",U120="data missing"),"data missing",
IF(Calc!BF118=0,"n/a",
IF(U120=0,"no requirement",
IF(T120&lt;0.1*U120,"no benefit",
IF(T120&lt;0.3*U120,"limited benefit",
IF(OR(T120&gt;1.5*U120,AND(Calc!BJ118="g",T120&gt;100)),"excessive",
"benefit")))))))</f>
        <v/>
      </c>
      <c r="X120" s="9"/>
      <c r="Y120" s="91" t="str">
        <f ca="1">IF(B120="","",
IF(AND('Field information 2'!$O$5="", 'Field information 2'!$Q$5=""),
   IF('Waste results'!$P$23&lt;&gt;"", Calc!BC118*'Waste results'!$P$23, "no data"),
IF('Field information 2'!$Q$5="",
   IF(Calc!BD118=0,
     IF('Waste results'!$P$23&lt;&gt;"", Calc!BC118*'Waste results'!$P$23, "no data"),
   IF(Calc!BC118=0,
     IF('Waste results'!$P$59&lt;&gt;"", Calc!BD118*'Waste results'!$P$59, "no data"),
   IF(OR('Waste results'!$P$23&lt;&gt;"", 'Waste results'!$P$59&lt;&gt;""), Calc!BC118*'Waste results'!$P$23+ Calc!BD118*'Waste results'!$P$59, "no data"))),
IF(AND('Field information 2'!$M$5&lt;&gt;"", 'Field information 2'!$O$5&lt;&gt;"", 'Field information 2'!$Q$5&lt;&gt;""),
   IF(AND(Calc!BD118=0,Calc!BE118=0),
     IF('Waste results'!$P$23&lt;&gt;"", Calc!BC118*'Waste results'!$P$23, "no data"),
   IF(AND(Calc!BC118=0,Calc!BE118=0),
     IF('Waste results'!$P$59&lt;&gt;"", Calc!BD118*'Waste results'!$P$59, "no data"),
   IF(AND(Calc!BC118=0,Calc!BD118=0),
     IF('Waste results'!$P$95&lt;&gt;"", Calc!BE118*'Waste results'!$P$95, "no data"),
   IF(Calc!BE118=0,
     IF(OR('Waste results'!$P$23&lt;&gt;"", 'Waste results'!$P$59&lt;&gt;""), Calc!BC118*'Waste results'!$P$23+ Calc!BD118*'Waste results'!$P$59, "no data"),
   IF(Calc!BD118=0,
     IF(OR('Waste results'!$P$23&lt;&gt;"", 'Waste results'!$P$95&lt;&gt;""), Calc!BC118*'Waste results'!$P$23+ Calc!BE118*'Waste results'!$P$95, "no data"),
   IF(Calc!BC118=0,
     IF(OR('Waste results'!$P$59&lt;&gt;"", 'Waste results'!$P$95&lt;&gt;""), Calc!BD118*'Waste results'!$P$59+Calc!BE118*'Waste results'!$P$95, "no data"),
   IF(OR('Waste results'!$P$23&lt;&gt;"", 'Waste results'!$P$59&lt;&gt;"", 'Waste results'!$P$95&lt;&gt;""), Calc!BC118*'Waste results'!$P$23+Calc!BD118*'Waste results'!$P$59+ Calc!BE118*'Waste results'!$P$95, "no data")))))))))))</f>
        <v/>
      </c>
      <c r="Z120" s="7" t="str">
        <f ca="1">IF(OR(ISBLANK('Soil results'!I$7),ISBLANK('Soil results'!I123),'Soil results'!B123=""),"",
VLOOKUP(Calc!BI118,'Fertiliser recommendations'!$A$4:$AM$63,39,FALSE))</f>
        <v/>
      </c>
      <c r="AA120" s="91" t="str">
        <f t="shared" ca="1" si="38"/>
        <v/>
      </c>
      <c r="AB120" s="9" t="str">
        <f t="shared" ca="1" si="39"/>
        <v/>
      </c>
      <c r="AC120" s="9"/>
      <c r="AD120" s="48" t="str">
        <f>IF(ISBLANK('Soil results'!F123),"",'Soil results'!F123)</f>
        <v/>
      </c>
      <c r="AE120" s="49" t="str">
        <f ca="1">IF(B120="","",
IF(AND(Calc!BJ118="g", VLOOKUP(LEFT($B120,LEN($B120)-2),'Field information 2'!$B$12:$P$111,9,FALSE)&lt;&gt;"yes"),
 IF(Calc!BG118="10-25% OM", 5.9, IF(Calc!BG118="&gt;25% OM", 5.5, 6.2)),
IF(OR(Calc!BJ118="a", VLOOKUP(LEFT($B120,LEN($B120)-2),'Field information 2'!$B$12:$P$111,9,FALSE)="yes"),
 IF(Calc!BG118="10-25% OM", 6.4, IF(Calc!BG118="&gt;25% OM", 6, 6.7)), "")))</f>
        <v/>
      </c>
      <c r="AF120" s="91" t="str">
        <f ca="1">IF(B120="","",
IF('Waste results'!$Q$33="","no (significant) liming properties",
IF('Waste results'!Q$33&gt;100,"no (significant) liming properties",
IF(AD120="","",
IF(AD120&gt;=AE120,0,ROUNDDOWN((AE120-AD120)*Calc!BK118*'Waste results'!$Q$33+0.2,0))))))</f>
        <v/>
      </c>
      <c r="AG120" s="9" t="str">
        <f ca="1">IF(B120="","",
IF(T120=0,"n/a",
IF(AD120="","data missing",
IF(AND(AD120&lt;5,AF120="no (significant) liming properties"),"no waste application - pH too low",
IF(AND(AD120&gt;5.1,AF120="no (significant) liming properties",Calc!BH118&gt;25, LEFT(Calc!BI118,4)="graz"),"ok",
IF(AND(AD120&lt;=5.2,AF120="no (significant) liming properties"),"liming highly recommended",
IF(AF120=0,"no waste application - liming not required",
IF(AF120&lt;Calc!BC118,"application rate too high - exceeds liming requirement",
"ok"))))))))</f>
        <v/>
      </c>
      <c r="AH120" s="9"/>
      <c r="AI120" s="91" t="str">
        <f ca="1">IF(B120="","",
IF(AND('Field information 2'!$O$5="", 'Field information 2'!$Q$5=""),
   IF('Waste results'!$P$10&lt;&gt;"data missing", Calc!BC118*'Waste results'!$P$10, "data missing"),
IF('Field information 2'!$Q$5="",
   IF(Calc!BD118=0,
     IF('Waste results'!$P$10&lt;&gt;"data missing", Calc!BC118*'Waste results'!$P$10, "data missing"),
   IF(Calc!BC118=0,
     IF('Waste results'!$P$45&lt;&gt;"data missing", Calc!BD118*'Waste results'!$P$45, "data missing"),
   IF(OR('Waste results'!$P$10&lt;&gt;"data missing", 'Waste results'!$P$45&lt;&gt;"data missing"), Calc!BC118*'Waste results'!$P$10+ Calc!BD118*'Waste results'!$P$45, "data missing"))),
IF(AND('Field information 2'!$M$5&lt;&gt;"", 'Field information 2'!$O$5&lt;&gt;"", 'Field information 2'!$Q$5&lt;&gt;""),
   IF(AND(Calc!BD118=0,Calc!BE118=0),
     IF('Waste results'!$P$10&lt;&gt;"data missing", Calc!BC118*'Waste results'!$P$10, "data missing"),
   IF(AND(Calc!BC118=0,Calc!BE118=0),
     IF('Waste results'!$P$45&lt;&gt;"data missing", Calc!BD118*'Waste results'!$P$45, "data missing"),
   IF(AND(Calc!BC118=0,Calc!BD118=0),
     IF('Waste results'!$P$82&lt;&gt;"data missing", Calc!BE118*'Waste results'!$P$82, "data missing"),
   IF(Calc!BE118=0,
     IF(OR('Waste results'!$P$10&lt;&gt;"data missing", 'Waste results'!$P$45&lt;&gt;"data missing"), Calc!BC118*'Waste results'!$P$10+ Calc!BD118*'Waste results'!$P$45, "data missing"),
   IF(Calc!BD118=0,
     IF(OR('Waste results'!$P$10&lt;&gt;"data missing", 'Waste results'!$P$82&lt;&gt;"data missing"), Calc!BC118*'Waste results'!$P$10+ Calc!BE118*'Waste results'!$P$82, "data missing"),
   IF(Calc!BC118=0,
     IF(OR('Waste results'!$P$45&lt;&gt;"data missing", 'Waste results'!$P$82&lt;&gt;"data missing"), Calc!BD118*'Waste results'!$P$45+Calc!BE118*'Waste results'!$P$82, "data missing"),
   IF(OR('Waste results'!$P$10&lt;&gt;"data missing", 'Waste results'!$P$45&lt;&gt;"data missing", 'Waste results'!$P$82&lt;&gt;"data missing"), Calc!BC118*'Waste results'!$P$10+Calc!BD118*'Waste results'!$P$45+ Calc!BE118*'Waste results'!$P$82, "data missing")))))))))))</f>
        <v/>
      </c>
      <c r="AJ120" s="237" t="str">
        <f ca="1">IF(B120="","",
IF(AI120="data missing","data missing",
IF(Calc!BF118=0,"n/a",
IF(AND(Calc!BH118&gt;=8,AI120&lt;500),"no benefit",
IF(OR(AND(Calc!BH118&lt;=4,AI120&gt;=500),AND(Calc!BH118&lt;8,AI120&gt;5000)),"benefit",
"limited benefit")))))</f>
        <v/>
      </c>
      <c r="AK120" s="9"/>
      <c r="AL120" s="238" t="str">
        <f ca="1">IF(B120="","",
IF(AND('Field information 2'!$O$5="", 'Field information 2'!$Q$5=""),
   IF('Waste results'!$S$25&lt;&gt;"data missing", Calc!BC118*'Waste results'!$S$25, "data missing"),
IF('Field information 2'!$Q$5="",
   IF(Calc!BD118=0,
     IF('Waste results'!$S$25&lt;&gt;"data missing", Calc!BC118*'Waste results'!$S$25, "data missing"),
   IF(Calc!BC118=0,
     IF('Waste results'!$S$61&lt;&gt;"data missing", Calc!BD118*'Waste results'!$S$61, "data missing"),
   IF(OR('Waste results'!$S$25&lt;&gt;"data missing", 'Waste results'!$S$61&lt;&gt;"data missing"), Calc!BC118*'Waste results'!$S$25+ Calc!BD118*'Waste results'!$S$61, "data missing"))),
IF(AND('Field information 2'!$M$5&lt;&gt;"", 'Field information 2'!$O$5&lt;&gt;"", 'Field information 2'!$Q$5&lt;&gt;""),
   IF(AND(Calc!BD118=0,Calc!BE118=0),
     IF('Waste results'!$S$25&lt;&gt;"data missing", Calc!BC118*'Waste results'!$S$25, "data missing"),
   IF(AND(Calc!BC118=0,Calc!BE118=0),
     IF('Waste results'!$S$61&lt;&gt;"data missing", Calc!BD118*'Waste results'!$S$61, "data missing"),
   IF(AND(Calc!BC118=0,Calc!BD118=0),
     IF('Waste results'!$S$97&lt;&gt;"data missing", Calc!BE118*'Waste results'!$S$97, "data missing"),
   IF(Calc!BE118=0,
     IF(OR('Waste results'!$S$25&lt;&gt;"data missing", 'Waste results'!$S$61&lt;&gt;"data missing"), Calc!BC118*'Waste results'!$S$25+ Calc!BD118*'Waste results'!$S$61, "data missing"),
   IF(Calc!BD118=0,
     IF(OR('Waste results'!$S$25&lt;&gt;"data missing", 'Waste results'!$S$97&lt;&gt;"data missing"), Calc!BC118*'Waste results'!$S$25+ Calc!BE118*'Waste results'!$S$97, "data missing"),
   IF(Calc!BC118=0,
     IF(OR('Waste results'!$S$61&lt;&gt;"data missing", 'Waste results'!$S$97&lt;&gt;"data missing"), Calc!BD118*'Waste results'!$S$61+Calc!BE118*'Waste results'!$S$97, "data missing"),
   IF(OR('Waste results'!$S$25&lt;&gt;"data missing", 'Waste results'!$S$61&lt;&gt;"data missing", 'Waste results'!$S$97&lt;&gt;"data missing"), Calc!BC118*'Waste results'!$S$25+Calc!BD118*'Waste results'!$S$61+ Calc!BE118*'Waste results'!$S$97, "data missing")))))))))))</f>
        <v/>
      </c>
      <c r="AM120" s="239" t="str">
        <f ca="1">IF($B120="","",
IF(ISBLANK('Soil results'!K123),"data missing",'Soil results'!K123))</f>
        <v/>
      </c>
      <c r="AN120" s="239" t="str">
        <f t="shared" ca="1" si="40"/>
        <v/>
      </c>
      <c r="AO120" s="9" t="str">
        <f t="shared" ca="1" si="41"/>
        <v/>
      </c>
      <c r="AP120" s="9"/>
      <c r="AQ120" s="240" t="str">
        <f ca="1">IF(B120="","",
IF(AND('Field information 2'!$O$5="", 'Field information 2'!$Q$5=""),
   IF('Waste results'!$S$26&lt;&gt;"data missing", Calc!BC118*'Waste results'!$S$26, "data missing"),
IF('Field information 2'!$Q$5="",
   IF(Calc!BD118=0,
     IF('Waste results'!$S$26&lt;&gt;"data missing", Calc!BC118*'Waste results'!$S$26, "data missing"),
   IF(Calc!BC118=0,
     IF('Waste results'!$S$62&lt;&gt;"data missing", Calc!BD118*'Waste results'!$S$62, "data missing"),
   IF(OR('Waste results'!$S$26&lt;&gt;"data missing", 'Waste results'!$S$62&lt;&gt;"data missing"), Calc!BC118*'Waste results'!$S$26+ Calc!BD118*'Waste results'!$S$62, "data missing"))),
IF(AND('Field information 2'!$M$5&lt;&gt;"", 'Field information 2'!$O$5&lt;&gt;"", 'Field information 2'!$Q$5&lt;&gt;""),
   IF(AND(Calc!BD118=0,Calc!BE118=0),
     IF('Waste results'!$S$26&lt;&gt;"data missing", Calc!BC118*'Waste results'!$S$26, "data missing"),
   IF(AND(Calc!BC118=0,Calc!BE118=0),
     IF('Waste results'!$S$62&lt;&gt;"data missing", Calc!BD118*'Waste results'!$S$62, "data missing"),
   IF(AND(Calc!BC118=0,Calc!BD118=0),
     IF('Waste results'!$S$98&lt;&gt;"data missing", Calc!BE118*'Waste results'!$S$98, "data missing"),
   IF(Calc!BE118=0,
     IF(OR('Waste results'!$S$26&lt;&gt;"data missing", 'Waste results'!$S$62&lt;&gt;"data missing"), Calc!BC118*'Waste results'!$S$26+ Calc!BD118*'Waste results'!$S$62, "data missing"),
   IF(Calc!BD118=0,
     IF(OR('Waste results'!$S$26&lt;&gt;"data missing", 'Waste results'!$S$98&lt;&gt;"data missing"), Calc!BC118*'Waste results'!$S$26+ Calc!BE118*'Waste results'!$S$98, "data missing"),
   IF(Calc!BC118=0,
     IF(OR('Waste results'!$S$62&lt;&gt;"data missing", 'Waste results'!$S$98&lt;&gt;"data missing"), Calc!BD118*'Waste results'!$S$62+Calc!BE118*'Waste results'!$S$98, "data missing"),
   IF(OR('Waste results'!$S$26&lt;&gt;"data missing", 'Waste results'!$S$62&lt;&gt;"data missing", 'Waste results'!$S$98&lt;&gt;"data missing"), Calc!BC118*'Waste results'!$S$26+Calc!BD118*'Waste results'!$S$62+ Calc!BE118*'Waste results'!$S$98, "data missing")))))))))))</f>
        <v/>
      </c>
      <c r="AR120" s="241" t="str">
        <f ca="1">IF($B120="","",
IF(ISBLANK('Soil results'!L123),"data missing",'Soil results'!L123))</f>
        <v/>
      </c>
      <c r="AS120" s="241" t="str">
        <f t="shared" ca="1" si="42"/>
        <v/>
      </c>
      <c r="AT120" s="66" t="str">
        <f t="shared" ca="1" si="43"/>
        <v/>
      </c>
      <c r="AU120" s="9"/>
      <c r="AV120" s="238" t="str">
        <f ca="1">IF(B120="","",
IF(AND('Field information 2'!$O$5="", 'Field information 2'!$Q$5=""),
   IF('Waste results'!$S$27&lt;&gt;"data missing", Calc!BC118*'Waste results'!$S$27, "data missing"),
IF('Field information 2'!$Q$5="",
   IF(Calc!BD118=0,
     IF('Waste results'!$S$27&lt;&gt;"data missing", Calc!BC118*'Waste results'!$S$27, "data missing"),
   IF(Calc!BC118=0,
     IF('Waste results'!$S$63&lt;&gt;"data missing", Calc!BD118*'Waste results'!$S$63, "data missing"),
   IF(OR('Waste results'!$S$27&lt;&gt;"data missing", 'Waste results'!$S$63&lt;&gt;"data missing"), Calc!BC118*'Waste results'!$S$27+ Calc!BD118*'Waste results'!$S$63, "data missing"))),
IF(AND('Field information 2'!$M$5&lt;&gt;"", 'Field information 2'!$O$5&lt;&gt;"", 'Field information 2'!$Q$5&lt;&gt;""),
   IF(AND(Calc!BD118=0,Calc!BE118=0),
     IF('Waste results'!$S$27&lt;&gt;"data missing", Calc!BC118*'Waste results'!$S$27, "data missing"),
   IF(AND(Calc!BC118=0,Calc!BE118=0),
     IF('Waste results'!$S$63&lt;&gt;"data missing", Calc!BD118*'Waste results'!$S$63, "data missing"),
   IF(AND(Calc!BC118=0,Calc!BD118=0),
     IF('Waste results'!$S$99&lt;&gt;"data missing", Calc!BE118*'Waste results'!$S$99, "data missing"),
   IF(Calc!BE118=0,
     IF(OR('Waste results'!$S$27&lt;&gt;"data missing", 'Waste results'!$S$63&lt;&gt;"data missing"), Calc!BC118*'Waste results'!$S$27+ Calc!BD118*'Waste results'!$S$63, "data missing"),
   IF(Calc!BD118=0,
     IF(OR('Waste results'!$S$27&lt;&gt;"data missing", 'Waste results'!$S$99&lt;&gt;"data missing"), Calc!BC118*'Waste results'!$S$27+ Calc!BE118*'Waste results'!$S$99, "data missing"),
   IF(Calc!BC118=0,
     IF(OR('Waste results'!$S$63&lt;&gt;"data missing", 'Waste results'!$S$99&lt;&gt;"data missing"), Calc!BD118*'Waste results'!$S$63+Calc!BE118*'Waste results'!$S$99, "data missing"),
   IF(OR('Waste results'!$S$27&lt;&gt;"data missing", 'Waste results'!$S$63&lt;&gt;"data missing", 'Waste results'!$S$99&lt;&gt;"data missing"), Calc!BC118*'Waste results'!$S$27+Calc!BD118*'Waste results'!$S$63+ Calc!BE118*'Waste results'!$S$99, "data missing")))))))))))</f>
        <v/>
      </c>
      <c r="AW120" s="239" t="str">
        <f ca="1">IF($B120="","",
IF(ISBLANK('Soil results'!M123),"data missing",'Soil results'!M123))</f>
        <v/>
      </c>
      <c r="AX120" s="239" t="str">
        <f t="shared" ca="1" si="44"/>
        <v/>
      </c>
      <c r="AY120" s="9" t="str">
        <f ca="1">IF(B120="","",
IF(AV120=0,"n/a",
IF(OR(AV120="data missing",AW120="data missing"),"data missing",
IF(AV120&gt;7.5,"application rate too high - permissible rate exceeds limit",
IF('Soil results'!$F123&lt;=5.5,
  IF(AW120&gt;80,"no application - soil conc. already above limit",
  IF(AX120&gt;80,"application rate too high - soil conc. will exceed limit",
  IF(AW120&gt;80*0.9,"soil conc. is at or above 90% of the limit",
  IF(10*AV120*1000/3000+AW120&gt;80,"soil limit likely to be exceeded in 10yrs",
  IF(50*AV120*1000/3000+AW120&gt;80,"soil limit likely to be exceeded in 50yrs","ok"))))),
IF('Soil results'!$F123&lt;=6,
  IF(AW120&gt;100,"no application - soil conc. already above limit",
  IF(AX120&gt;100,"application rate too high - soil conc. will exceed limit",
  IF(AW120&gt;100*0.9,"soil conc. is at or above 90% of the limit",
  IF(10*AV120*1000/3000+AW120&gt;100,"soil limit likely to be exceeded in 10yrs",
  IF(50*AV120*1000/3000+AW120&gt;100,"soil limit likely to be exceeded in 50yrs","ok"))))),
IF('Soil results'!$F123&lt;=7,
  IF(AW120&gt;135,"no application - soil conc. already above limit",
  IF(AX120&gt;135,"application rate too high - soil conc. will exceed limit",
  IF(AW120&gt;135*0.9,"soil conc. is at or above 90% of the limit",
  IF(10*AV120*1000/3000+AW120&gt;135,"soil limit likely to be exceeded in 10yrs",
  IF(50*AV120*1000/3000+AW120&gt;135,"soil limit likely to be exceeded in 50yrs","ok"))))),
IF('Soil results'!$F123&gt;7,
  IF(AW120&gt;200,"no application - soil conc. already above limit",
  IF(AX120&gt;200,"application too high - soil conc. will exceed limit",
  IF(AW120&gt;200*0.9,"soil conc. is at or above 90% of the limit",
  IF(10*AV120*1000/3000+AW120&gt;200,"soil limit likely to be exceeded in 10yrs",
  IF(50*AV120*1000/3000+AW120&gt;200,"soil limit likely to be exceeded in 50yrs","ok")))))
))))))))</f>
        <v/>
      </c>
      <c r="AZ120" s="9"/>
      <c r="BA120" s="238" t="str">
        <f ca="1">IF(B120="","",
IF(AND('Field information 2'!$O$5="", 'Field information 2'!$Q$5=""),
   IF('Waste results'!$S$28&lt;&gt;"data missing", Calc!BC118*'Waste results'!$S$28, "data missing"),
IF('Field information 2'!$Q$5="",
   IF(Calc!BD118=0,
     IF('Waste results'!$S$28&lt;&gt;"data missing", Calc!BC118*'Waste results'!$S$28, "data missing"),
   IF(Calc!BC118=0,
     IF('Waste results'!$S$64&lt;&gt;"data missing", Calc!BD118*'Waste results'!$S$64, "data missing"),
   IF(OR('Waste results'!$S$28&lt;&gt;"data missing", 'Waste results'!$S$64&lt;&gt;"data missing"), Calc!BC118*'Waste results'!$S$28+ Calc!BD118*'Waste results'!$S$64, "data missing"))),
IF(AND('Field information 2'!$M$5&lt;&gt;"", 'Field information 2'!$O$5&lt;&gt;"", 'Field information 2'!$Q$5&lt;&gt;""),
   IF(AND(Calc!BD118=0,Calc!BE118=0),
     IF('Waste results'!$S$28&lt;&gt;"data missing", Calc!BC118*'Waste results'!$S$28, "data missing"),
   IF(AND(Calc!BC118=0,Calc!BE118=0),
     IF('Waste results'!$S$64&lt;&gt;"data missing", Calc!BD118*'Waste results'!$S$64, "data missing"),
   IF(AND(Calc!BC118=0,Calc!BD118=0),
     IF('Waste results'!$S$100&lt;&gt;"data missing", Calc!BE118*'Waste results'!$S$100, "data missing"),
   IF(Calc!BE118=0,
     IF(OR('Waste results'!$S$28&lt;&gt;"data missing", 'Waste results'!$S$64&lt;&gt;"data missing"), Calc!BC118*'Waste results'!$S$28+ Calc!BD118*'Waste results'!$S$64, "data missing"),
   IF(Calc!BD118=0,
     IF(OR('Waste results'!$S$28&lt;&gt;"data missing", 'Waste results'!$S$100&lt;&gt;"data missing"), Calc!BC118*'Waste results'!$S$28+ Calc!BE118*'Waste results'!$S$100, "data missing"),
   IF(Calc!BC118=0,
     IF(OR('Waste results'!$S$64&lt;&gt;"data missing", 'Waste results'!$S$100&lt;&gt;"data missing"), Calc!BD118*'Waste results'!$S$64+Calc!BE118*'Waste results'!$S$100, "data missing"),
   IF(OR('Waste results'!$S$28&lt;&gt;"data missing", 'Waste results'!$S$64&lt;&gt;"data missing", 'Waste results'!$S$100&lt;&gt;"data missing"), Calc!BC118*'Waste results'!$S$28+Calc!BD118*'Waste results'!$S$64+ Calc!BE118*'Waste results'!$S$100, "data missing")))))))))))</f>
        <v/>
      </c>
      <c r="BB120" s="239" t="str">
        <f ca="1">IF($B120="","",
IF(ISBLANK('Soil results'!N123),"data missing",'Soil results'!N123))</f>
        <v/>
      </c>
      <c r="BC120" s="239" t="str">
        <f t="shared" ca="1" si="45"/>
        <v/>
      </c>
      <c r="BD120" s="9" t="str">
        <f t="shared" ca="1" si="46"/>
        <v/>
      </c>
      <c r="BE120" s="9"/>
      <c r="BF120" s="238" t="str">
        <f ca="1">IF(B120="","",
IF(AND('Field information 2'!$O$5="", 'Field information 2'!$Q$5=""),
   IF('Waste results'!$S$29&lt;&gt;"data missing", Calc!BC118*'Waste results'!$S$29, "data missing"),
IF('Field information 2'!$Q$5="",
   IF(Calc!BD118=0,
     IF('Waste results'!$S$29&lt;&gt;"data missing", Calc!BC118*'Waste results'!$S$29, "data missing"),
   IF(Calc!BC118=0,
     IF('Waste results'!$S$65&lt;&gt;"data missing", Calc!BD118*'Waste results'!$S$65, "data missing"),
   IF(OR('Waste results'!$S$29&lt;&gt;"data missing", 'Waste results'!$S$65&lt;&gt;"data missing"), Calc!BC118*'Waste results'!$S$29+ Calc!BD118*'Waste results'!$S$65, "data missing"))),
IF(AND('Field information 2'!$M$5&lt;&gt;"", 'Field information 2'!$O$5&lt;&gt;"", 'Field information 2'!$Q$5&lt;&gt;""),
   IF(AND(Calc!BD118=0,Calc!BE118=0),
     IF('Waste results'!$S$29&lt;&gt;"data missing", Calc!BC118*'Waste results'!$S$29, "data missing"),
   IF(AND(Calc!BC118=0,Calc!BE118=0),
     IF('Waste results'!$S$65&lt;&gt;"data missing", Calc!BD118*'Waste results'!$S$65, "data missing"),
   IF(AND(Calc!BC118=0,Calc!BD118=0),
     IF('Waste results'!$S$101&lt;&gt;"data missing", Calc!BE118*'Waste results'!$S$101, "data missing"),
   IF(Calc!BE118=0,
     IF(OR('Waste results'!$S$29&lt;&gt;"data missing", 'Waste results'!$S$65&lt;&gt;"data missing"), Calc!BC118*'Waste results'!$S$29+ Calc!BD118*'Waste results'!$S$65, "data missing"),
   IF(Calc!BD118=0,
     IF(OR('Waste results'!$S$29&lt;&gt;"data missing", 'Waste results'!$S$101&lt;&gt;"data missing"), Calc!BC118*'Waste results'!$S$29+ Calc!BE118*'Waste results'!$S$101, "data missing"),
   IF(Calc!BC118=0,
     IF(OR('Waste results'!$S$65&lt;&gt;"data missing", 'Waste results'!$S$101&lt;&gt;"data missing"), Calc!BD118*'Waste results'!$S$65+Calc!BE118*'Waste results'!$S$101, "data missing"),
   IF(OR('Waste results'!$S$29&lt;&gt;"data missing", 'Waste results'!$S$65&lt;&gt;"data missing", 'Waste results'!$S$101&lt;&gt;"data missing"), Calc!BC118*'Waste results'!$S$29+Calc!BD118*'Waste results'!$S$65+ Calc!BE118*'Waste results'!$S$101, "data missing")))))))))))</f>
        <v/>
      </c>
      <c r="BG120" s="239" t="str">
        <f ca="1">IF($B120="","",
IF(ISBLANK('Soil results'!O123),"data missing",'Soil results'!O123))</f>
        <v/>
      </c>
      <c r="BH120" s="239" t="str">
        <f t="shared" ca="1" si="47"/>
        <v/>
      </c>
      <c r="BI120" s="9" t="str">
        <f ca="1">IF(B120="","",
IF(BF120=0,"n/a",
IF(OR(BF120="data missing",BG120="data missing"),"data missing",
IF(BF120&gt;3,"application rate too high - permissible rate exceeds limit",
IF('Soil results'!F123&lt;=5.5,
  IF(BG120&gt;50,"no application - soil conc. already above limit",
  IF(BH120&gt;50,"application rate too high - soil conc. will exceed limit",
  IF(BG120&gt;50*0.9,"soil conc. is at or above 90% of the limit",
  IF(10*BF120*1000/3000+BG120&gt;50,"soil limit likely to be exceeded in 10yrs",
  IF(50*BF120*1000/3000+BG120&gt;50,"soil limit likely to be exceeded in 50yrs","ok"))))),
IF('Soil results'!F123&lt;=6,
  IF(BG120&gt;60,"no application - soil conc. already above limit",
  IF(BH120&gt;60,"application rate too high - soil conc. will exceed limit",
  IF(BG120&gt;60*0.9,"soil conc. is at or above 90% of the limit",
  IF(10*BF120*1000/3000+BG120&gt;60,"soil limit likely to be exceeded in 10yrs",
  IF(50*BF120*1000/3000+BG120&gt;60,"soil limit likely to be exceeded in 50yrs","ok"))))),
IF('Soil results'!F123&lt;=7,
  IF(BG120&gt;75,"no application - soil conc. already above limit",
  IF(BH120&gt;75,"application rate too high - soil conc. will exceed limit",
  IF(BG120&gt;75*0.9,"soil conc. is at or above 90% of the limit",
  IF(10*BF120*1000/3000+BG120&gt;75,"soil limit likely to be exceeded in 10yrs",
  IF(50*BF120*1000/3000+BG120&gt;75,"soil limit likely to be exceeded in 50yrs","ok"))))),
IF('Soil results'!F123&gt;7,
  IF(BG120&gt;100,"no application - soil conc. already above limit",
  IF(BH120&gt;100,"application rate too high - soil conc. will exceed limit",
  IF(BG120&gt;100*0.9,"soil conc. is at or above 90% of the limit",
  IF(10*BF120*1000/3000+BG120&gt;100,"soil limit likely to be exceeded in 10yrs",
  IF(50*BF120*1000/3000+BG120&gt;100,"soil limit likely to beexceeded in 50yrs","ok")))))
))))))))</f>
        <v/>
      </c>
      <c r="BJ120" s="9"/>
      <c r="BK120" s="240" t="str">
        <f ca="1">IF(B120="","",
IF(AND('Field information 2'!$O$5="", 'Field information 2'!$Q$5=""),
   IF('Waste results'!$S$30&lt;&gt;"data missing", Calc!BC118*'Waste results'!$S$30, "data missing"),
IF('Field information 2'!$Q$5="",
   IF(Calc!BD118=0,
     IF('Waste results'!$S$30&lt;&gt;"data missing", Calc!BC118*'Waste results'!$S$30, "data missing"),
   IF(Calc!BC118=0,
     IF('Waste results'!$S$66&lt;&gt;"data missing", Calc!BD118*'Waste results'!$S$66, "data missing"),
   IF(OR('Waste results'!$S$30&lt;&gt;"data missing", 'Waste results'!$S$66&lt;&gt;"data missing"), Calc!BC118*'Waste results'!$S$30+ Calc!BD118*'Waste results'!$S$66, "data missing"))),
IF(AND('Field information 2'!$M$5&lt;&gt;"", 'Field information 2'!$O$5&lt;&gt;"", 'Field information 2'!$Q$5&lt;&gt;""),
   IF(AND(Calc!BD118=0,Calc!BE118=0),
     IF('Waste results'!$S$30&lt;&gt;"data missing", Calc!BC118*'Waste results'!$S$30, "data missing"),
   IF(AND(Calc!BC118=0,Calc!BE118=0),
     IF('Waste results'!$S$66&lt;&gt;"data missing", Calc!BD118*'Waste results'!$S$66, "data missing"),
   IF(AND(Calc!BC118=0,Calc!BD118=0),
     IF('Waste results'!$S$102&lt;&gt;"data missing", Calc!BE118*'Waste results'!$S$102, "data missing"),
   IF(Calc!BE118=0,
     IF(OR('Waste results'!$S$30&lt;&gt;"data missing", 'Waste results'!$S$66&lt;&gt;"data missing"), Calc!BC118*'Waste results'!$S$30+ Calc!BD118*'Waste results'!$S$66, "data missing"),
   IF(Calc!BD118=0,
     IF(OR('Waste results'!$S$30&lt;&gt;"data missing", 'Waste results'!$S$102&lt;&gt;"data missing"), Calc!BC118*'Waste results'!$S$30+ Calc!BE118*'Waste results'!$S$102, "data missing"),
   IF(Calc!BC118=0,
     IF(OR('Waste results'!$S$66&lt;&gt;"data missing", 'Waste results'!$S$102&lt;&gt;"data missing"), Calc!BD118*'Waste results'!$S$66+Calc!BE118*'Waste results'!$S$102, "data missing"),
   IF(OR('Waste results'!$S$30&lt;&gt;"data missing", 'Waste results'!$S$66&lt;&gt;"data missing", 'Waste results'!$S$102&lt;&gt;"data missing"), Calc!BC118*'Waste results'!$S$30+Calc!BD118*'Waste results'!$S$66+ Calc!BE118*'Waste results'!$S$102, "data missing")))))))))))</f>
        <v/>
      </c>
      <c r="BL120" s="241" t="str">
        <f ca="1">IF($B120="","",
IF(ISBLANK('Soil results'!P123),"data missing",'Soil results'!P123))</f>
        <v/>
      </c>
      <c r="BM120" s="241" t="str">
        <f t="shared" ca="1" si="48"/>
        <v/>
      </c>
      <c r="BN120" s="66" t="str">
        <f t="shared" ca="1" si="49"/>
        <v/>
      </c>
      <c r="BO120" s="9"/>
      <c r="BP120" s="238" t="str">
        <f ca="1">IF(B120="","",
IF(AND('Field information 2'!$O$5="", 'Field information 2'!$Q$5=""),
   IF('Waste results'!$S$31&lt;&gt;"data missing", Calc!BC118*'Waste results'!$S$31, "data missing"),
IF('Field information 2'!$Q$5="",
   IF(Calc!BD118=0,
     IF('Waste results'!$S$31&lt;&gt;"data missing", Calc!BC118*'Waste results'!$S$31, "data missing"),
   IF(Calc!BC118=0,
     IF('Waste results'!$S$67&lt;&gt;"data missing", Calc!BD118*'Waste results'!$S$67, "data missing"),
   IF(OR('Waste results'!$S$31&lt;&gt;"data missing", 'Waste results'!$S$67&lt;&gt;"data missing"), Calc!BC118*'Waste results'!$S$31+ Calc!BD118*'Waste results'!$S$67, "data missing"))),
IF(AND('Field information 2'!$M$5&lt;&gt;"", 'Field information 2'!$O$5&lt;&gt;"", 'Field information 2'!$Q$5&lt;&gt;""),
   IF(AND(Calc!BD118=0,Calc!BE118=0),
     IF('Waste results'!$S$31&lt;&gt;"data missing", Calc!BC118*'Waste results'!$S$31, "data missing"),
   IF(AND(Calc!BC118=0,Calc!BE118=0),
     IF('Waste results'!$S$67&lt;&gt;"data missing", Calc!BD118*'Waste results'!$S$67, "data missing"),
   IF(AND(Calc!BC118=0,Calc!BD118=0),
     IF('Waste results'!$S$103&lt;&gt;"data missing", Calc!BE118*'Waste results'!$S$103, "data missing"),
   IF(Calc!BE118=0,
     IF(OR('Waste results'!$S$31&lt;&gt;"data missing", 'Waste results'!$S$67&lt;&gt;"data missing"), Calc!BC118*'Waste results'!$S$31+ Calc!BD118*'Waste results'!$S$67, "data missing"),
   IF(Calc!BD118=0,
     IF(OR('Waste results'!$S$31&lt;&gt;"data missing", 'Waste results'!$S$103&lt;&gt;"data missing"), Calc!BC118*'Waste results'!$S$31+ Calc!BE118*'Waste results'!$S$103, "data missing"),
   IF(Calc!BC118=0,
     IF(OR('Waste results'!$S$67&lt;&gt;"data missing", 'Waste results'!$S$103&lt;&gt;"data missing"), Calc!BD118*'Waste results'!$S$67+Calc!BE118*'Waste results'!$S$103, "data missing"),
   IF(OR('Waste results'!$S$31&lt;&gt;"data missing", 'Waste results'!$S$67&lt;&gt;"data missing", 'Waste results'!$S$103&lt;&gt;"data missing"), Calc!BC118*'Waste results'!$S$31+Calc!BD118*'Waste results'!$S$67+ Calc!BE118*'Waste results'!$S$103, "data missing")))))))))))</f>
        <v/>
      </c>
      <c r="BQ120" s="239" t="str">
        <f ca="1">IF($B120="","",
IF(ISBLANK('Soil results'!Q123),"data missing",'Soil results'!Q123))</f>
        <v/>
      </c>
      <c r="BR120" s="239" t="str">
        <f t="shared" ca="1" si="50"/>
        <v/>
      </c>
      <c r="BS120" s="9" t="str">
        <f ca="1">IF(B120="","",
IF(BP120=0,"n/a",
IF(OR(BP120="data missing",BQ120=""),"data missing",
IF(BP120&gt;15,"application rate too high - permissible rate exceeds limit",
IF('Soil results'!F123&lt;=5.5,
  IF(BQ120&gt;200,"no application - soil conc. already above limit",
  IF(BR120&gt;200,"application rate too high - soil conc. will exceed limit",
  IF(BQ120&gt;200*0.9,"soil conc. is at or above 90% of the limit",
  IF(10*BP120*1000/3000+BQ120&gt;200,"soil limit likely to be exceeded in 10yrs",
  IF(50*BP120*1000/3000+BQ120&gt;200,"soil limit likely to be exceeded in 50yrs","ok"))))),
IF('Soil results'!F123&lt;=6,
  IF(BQ120&gt;250,"no application - soil conc. already above limit",
  IF(BR120&gt;250,"application rate too high - soil conc. will exceed limit",
  IF(BQ120&gt;250*0.9,"soil conc. is at or above 90% of the limit",
  IF(10*BP120*1000/3000+BQ120&gt;250,"soil limit likely to be exceeded in 10yrs",
  IF(50*BP120*1000/3000+BQ120&gt;250,"soil limit likely to be exceeded in 50yrs","ok"))))),
IF('Soil results'!F123&lt;=7,
  IF(BQ120&gt;300,"no application - soil conc. already above limit",
  IF(BR120&gt;300,"application rate too high - soil conc. will exceed limit",
  IF(BQ120&gt;300*0.9,"soil conc. is at or above 90% of the limit",
  IF(10*BP120*1000/3000+BQ120&gt;300,"soil limit likey to be exceeded in 10yrs",
  IF(50*BP120*1000/3000+BQ120&gt;300,"soil limit likely to be exceeded in 50yrs","ok"))))),
IF('Soil results'!F123&gt;7,
  IF(BQ120&gt;450,"no application - soil conc. already above limit",
  IF(BR120&gt;450,"application rate too high - soil conc. will exceed limit",
  IF(AW120&gt;450*0.9,"soil conc. is at or above 90% of the limit",
  IF(10*BP120*1000/3000+BQ120&gt;450,"soil limit likely to be exceeded in 10yrs",
  IF(50*BP120*1000/3000+BQ120&gt;450,"soil limit likely to be exceeded in 50yrs","ok")))))
))))))))</f>
        <v/>
      </c>
    </row>
    <row r="121" spans="2:71" ht="15" x14ac:dyDescent="0.25">
      <c r="B121" s="236" t="str">
        <f ca="1">'Soil results'!B124</f>
        <v/>
      </c>
      <c r="C121" s="91" t="str">
        <f ca="1">IF(B121="","",
IF(AND('Field information 2'!$O$5="", 'Field information 2'!$Q$5=""),
   IF('Waste results'!$S$12&lt;&gt;"data missing", Calc!BC119*'Waste results'!$S$12, "data missing"),
IF('Field information 2'!$Q$5="",
   IF(Calc!BD119=0,
     IF('Waste results'!$S$12&lt;&gt;"data missing", Calc!BC119*'Waste results'!$S$12, "data missing"),
   IF(Calc!BC119=0,
     IF('Waste results'!$S$48&lt;&gt;"data missing", Calc!BD119*'Waste results'!$S$48, "data missing"),
   IF(OR('Waste results'!$S$12&lt;&gt;"data missing", 'Waste results'!$S$48&lt;&gt;"data missing"), Calc!BC119*'Waste results'!$S$12+ Calc!BD119*'Waste results'!$S$48, "data missing"))),
IF(AND('Field information 2'!$M$5&lt;&gt;"", 'Field information 2'!$O$5&lt;&gt;"", 'Field information 2'!$Q$5&lt;&gt;""),
   IF(AND(Calc!BD119=0,Calc!BE119=0),
     IF('Waste results'!$S$12&lt;&gt;"data missing", Calc!BC119*'Waste results'!$S$12, "data missing"),
   IF(AND(Calc!BC119=0,Calc!BE119=0),
     IF('Waste results'!$S$48&lt;&gt;"data missing", Calc!BD119*'Waste results'!$S$48, "data missing"),
   IF(AND(Calc!BC119=0,Calc!BD119=0),
     IF('Waste results'!$S$84&lt;&gt;"data missing", Calc!BE119*'Waste results'!$S$84, "data missing"),
   IF(Calc!BE119=0,
     IF(OR('Waste results'!$S$12&lt;&gt;"data missing", 'Waste results'!$S$48&lt;&gt;"data missing"), Calc!BC119*'Waste results'!$S$12+ Calc!BD119*'Waste results'!$S$48, "data missing"),
   IF(Calc!BD119=0,
     IF(OR('Waste results'!$S$12&lt;&gt;"data missing", 'Waste results'!$S$84&lt;&gt;"data missing"), Calc!BC119*'Waste results'!$S$12+ Calc!BE119*'Waste results'!$S$84, "data missing"),
   IF(Calc!BC119=0,
     IF(OR('Waste results'!$S$48&lt;&gt;"data missing", 'Waste results'!$S$84&lt;&gt;"data missing"), Calc!BD119*'Waste results'!$S$48+Calc!BE119*'Waste results'!$S$84, "data missing"),
   IF(OR('Waste results'!$S$12&lt;&gt;"data missing", 'Waste results'!$S$48&lt;&gt;"data missing", 'Waste results'!$S$84&lt;&gt;"data missing"), Calc!BC119*'Waste results'!$S$12+Calc!BD119*'Waste results'!$S$48+ Calc!BE119*'Waste results'!$S$84, "data missing")))))))))))</f>
        <v/>
      </c>
      <c r="D121" s="161" t="str">
        <f ca="1">IF(B121="","",
IF(Calc!BG119="","soil texture missing",
IF(OR(Calc!BG119="SL; SZL; ZL",Calc!BG119="SCL; CL; ZCL; SC; ZC; C"),VLOOKUP(Calc!BI119,'Fertiliser recommendations'!$A$4:$C$63,3,FALSE),
IF(Calc!BG119="S; LS",VLOOKUP(Calc!BI119,'Fertiliser recommendations'!$A$4:$C$63,3,FALSE)+VLOOKUP(Calc!BI119,'Fertiliser recommendations'!$A$4:$D$63,4,FALSE),
IF(Calc!BG119="10-25% OM",VLOOKUP(Calc!BI119,'Fertiliser recommendations'!$A$4:$C$63,3,FALSE)+VLOOKUP(Calc!BI119,'Fertiliser recommendations'!$A$4:$E$63,5,FALSE),
IF(Calc!BG119="&gt;25% OM",VLOOKUP(Calc!BI119,'Fertiliser recommendations'!$A$4:$C$63,3,FALSE)+VLOOKUP(Calc!BI119,'Fertiliser recommendations'!$A$4:$F$63,6,FALSE),
""))))))</f>
        <v/>
      </c>
      <c r="E121" s="91" t="str">
        <f t="shared" ca="1" si="34"/>
        <v/>
      </c>
      <c r="F121" s="9" t="str">
        <f ca="1">IF(B121="","",
IF(OR(C121="data missing",D121="soil texture missing"),"data missing",
IF(Calc!BF119=0,"n/a",
IF(C121&lt;0.1*D121,"no benefit",
IF(C121&lt;0.3*D121,"limited benefit",
IF(C121&gt;250,"exceeds limit",
IF(OR(AND(D121=0,C121&gt;75),C121&gt;1.25*D121),"excessive",
IF(D121=0, "no requirement",
"benefit"))))))))</f>
        <v/>
      </c>
      <c r="G121" s="9"/>
      <c r="H121" s="91" t="str">
        <f ca="1">IF(B121="","",
IF(AND('Field information 2'!$O$5="", 'Field information 2'!$Q$5=""),
   IF('Waste results'!$S$17&lt;&gt;"data missing", Calc!BC119*'Waste results'!$S$17, "data missing"),
IF('Field information 2'!$Q$5="",
   IF(Calc!BD119=0,
     IF('Waste results'!$S$17&lt;&gt;"data missing", Calc!BC119*'Waste results'!$S$17, "data missing"),
   IF(Calc!BC119=0,
     IF('Waste results'!$S$53&lt;&gt;"data missing", Calc!BD119*'Waste results'!$S$53, "data missing"),
   IF(OR('Waste results'!$S$17&lt;&gt;"data missing", 'Waste results'!$S$53&lt;&gt;"data missing"), Calc!BC119*'Waste results'!$S$17+ Calc!BD119*'Waste results'!$S$53, "data missing"))),
IF(AND('Field information 2'!$M$5&lt;&gt;"", 'Field information 2'!$O$5&lt;&gt;"", 'Field information 2'!$Q$5&lt;&gt;""),
   IF(AND(Calc!BD119=0,Calc!BE119=0),
     IF('Waste results'!$S$17&lt;&gt;"data missing", Calc!BC119*'Waste results'!$S$17, "data missing"),
   IF(AND(Calc!BC119=0,Calc!BE119=0),
     IF('Waste results'!$S$53&lt;&gt;"data missing", Calc!BD119*'Waste results'!$S$53, "data missing"),
   IF(AND(Calc!BC119=0,Calc!BD119=0),
     IF('Waste results'!$S$89&lt;&gt;"data missing", Calc!BE119*'Waste results'!$S$89, "data missing"),
   IF(Calc!BE119=0,
     IF(OR('Waste results'!$S$17&lt;&gt;"data missing", 'Waste results'!$S$53&lt;&gt;"data missing"), Calc!BC119*'Waste results'!$S$17+ Calc!BD119*'Waste results'!$S$53, "data missing"),
   IF(Calc!BD119=0,
     IF(OR('Waste results'!$S$17&lt;&gt;"data missing", 'Waste results'!$S$89&lt;&gt;"data missing"), Calc!BC119*'Waste results'!$S$17+ Calc!BE119*'Waste results'!$S$89, "data missing"),
   IF(Calc!BC119=0,
     IF(OR('Waste results'!$S$53&lt;&gt;"data missing", 'Waste results'!$S$89&lt;&gt;"data missing"), Calc!BD119*'Waste results'!$S$53+Calc!BE119*'Waste results'!$S$89, "data missing"),
   IF(OR('Waste results'!$S$17&lt;&gt;"data missing", 'Waste results'!$S$53&lt;&gt;"data missing", 'Waste results'!$S$89&lt;&gt;"data missing"), Calc!BC119*'Waste results'!$S$17+Calc!BD119*'Waste results'!$S$53+ Calc!BE119*'Waste results'!$S$89, "data missing")))))))))))</f>
        <v/>
      </c>
      <c r="I121" s="195" t="str">
        <f ca="1">IF(B121="","",
IF(OR(ISBLANK('Soil results'!G124), ISBLANK('Soil results'!G$7)),"data missing",
IF(OR(AND('Soil results'!G$7="Olsen (ADAS)",'Soil results'!G124&lt;16),AND('Soil results'!G$7="modified Morgan (SAC)",'Soil results'!G124&lt;4.5)),50,100)))</f>
        <v/>
      </c>
      <c r="J121" s="49" t="str">
        <f ca="1">IF(B121="","",
IF(OR(ISBLANK('Soil results'!G$7),ISBLANK('Soil results'!G124)),"data missing",
IF(OR(AND('Soil results'!G$7="Olsen (ADAS)",'Soil results'!G124&gt;45),AND('Soil results'!G$7="modified Morgan (SAC)",'Soil results'!G124&gt;30)),0,
IF(OR(AND('Soil results'!G$7="Olsen (ADAS)",'Soil results'!G124&gt;=16,'Soil results'!G124&lt;=20),AND('Soil results'!G$7="modified Morgan (SAC)",'Soil results'!G124&gt;=4.5,'Soil results'!G124&lt;=9.4)),VLOOKUP(Calc!BI119,'Fertiliser recommendations'!$A$4:$I$63,9,FALSE),
IF(OR(AND('Soil results'!G$7="Olsen (ADAS)",'Soil results'!G124&lt;10),AND('Soil results'!G$7="modified Morgan (SAC)",'Soil results'!G124&lt;1.8)),VLOOKUP(Calc!BI119,'Fertiliser recommendations'!$A$4:$I$63,9,FALSE)+VLOOKUP(Calc!BI119,'Fertiliser recommendations'!$A$4:$J$63,10,FALSE),
IF(OR(AND('Soil results'!G$7="Olsen (ADAS)",'Soil results'!G124&lt;16),AND('Soil results'!G$7="modified Morgan (SAC)",'Soil results'!G124&lt;4.5)),VLOOKUP(Calc!BI119,'Fertiliser recommendations'!$A$4:$I$63,9,FALSE)+VLOOKUP(Calc!BI119,'Fertiliser recommendations'!$A$4:$K$63,11,FALSE),
IF(OR(AND('Soil results'!G$7="Olsen (ADAS)",'Soil results'!G124&lt;26),AND('Soil results'!G$7="modified Morgan (SAC)",'Soil results'!G124&lt;13.5)),VLOOKUP(Calc!BI119,'Fertiliser recommendations'!$A$4:$I$63,9,FALSE)+VLOOKUP(Calc!BI119,'Fertiliser recommendations'!$A$4:$L$63,12,FALSE),
IF(OR(AND('Soil results'!G$7="Olsen (ADAS)",'Soil results'!G124&lt;=45),AND('Soil results'!G$7="modified Morgan (SAC)",'Soil results'!G124&lt;=30)),VLOOKUP(Calc!BI119,'Fertiliser recommendations'!$A$4:$I$63,9,FALSE)+VLOOKUP(Calc!BI119,'Fertiliser recommendations'!$A$4:$M$63,13,FALSE),
""))))))))</f>
        <v/>
      </c>
      <c r="K121" s="161" t="str">
        <f t="shared" ca="1" si="35"/>
        <v/>
      </c>
      <c r="L121" s="47" t="str">
        <f ca="1">IF(OR(ISBLANK('Soil results'!G$7),ISBLANK('Soil results'!G124),B121="", H121="data missing"),"",
IF('Soil results'!G$7="Olsen (ADAS)",
IF(((H121*Calc!BM119/2.291-(VLOOKUP(Calc!BI119,'Fertiliser recommendations'!$A$4:$I$63,9,FALSE))/2.291)*10/(400/2.291)+'Soil results'!G124)&lt;10,"0 (VL)",
IF(((H121*Calc!BM119/2.291-(VLOOKUP(Calc!BI119,'Fertiliser recommendations'!$A$4:$I$63,9,FALSE))/2.291)*10/(400/2.291)+'Soil results'!G124)&lt;16,"1 (L)",
IF(((H121*Calc!BM119/2.291-(VLOOKUP(Calc!BI119,'Fertiliser recommendations'!$A$4:$I$63,9,FALSE))/2.291)*10/(400/2.291)+'Soil results'!G124)&lt;21,"2 (M-)",
IF(((H121*Calc!BM119/2.291-(VLOOKUP(Calc!BI119,'Fertiliser recommendations'!$A$4:$I$63,9,FALSE))/2.291)*10/(400/2.291)+'Soil results'!G124)&lt;26,"2 (M+)",
IF(((H121*Calc!BM119/2.291-(VLOOKUP(Calc!BI119,'Fertiliser recommendations'!$A$4:$I$63,9,FALSE))/2.291)*10/(400/2.291)+'Soil results'!G124)&lt;45,"3 (H)","&gt;3 (VH)"))))),
IF('Soil results'!G$7="modified Morgan (SAC)",
IF('Soil results'!G124&gt;=6,
IF(((H121*Calc!BM119/2.291-(VLOOKUP(Calc!BI119,'Fertiliser recommendations'!$A$4:$I$63,9,FALSE))/2.291)*5/(147/2.291)+'Soil results'!G124)&lt;9.5,"2 (M-)",
IF(((H121*Calc!BM119/2.291-(VLOOKUP(Calc!BI119,'Fertiliser recommendations'!$A$4:$I$63,9,FALSE))/2.291)*5/(147/2.291)+'Soil results'!G124)&lt;13.5,"2 (M+)",
IF(((H121*Calc!BM119/2.291-(VLOOKUP(Calc!BI119,'Fertiliser recommendations'!$A$4:$I$63,9,FALSE))/2.291)*5/(147/2.291)+'Soil results'!G124)&lt;30,"3 (H)","4 (VH)"))),
IF(((H121*Calc!BM119/2.291-(VLOOKUP(Calc!BI119,'Fertiliser recommendations'!$A$4:$I$63,9,FALSE))/2.291)*5/(346/2.291)+'Soil results'!G124)&lt;1.8,"0 (VL)",
IF(((H121*Calc!BM119/2.291-(VLOOKUP(Calc!BI119,'Fertiliser recommendations'!$A$4:$I$63,9,FALSE))/2.291)*5/(147/2.291)+'Soil results'!G124)&lt;4.5,"1 (L)","2 (M-)"))))))</f>
        <v/>
      </c>
      <c r="M121" s="9" t="str">
        <f ca="1">IF(B121="","",
IF(OR(H121="data missing",I121="data missing",J121="data missing"),"data missing",
IF(Calc!BF119=0,"n/a",
IF(OR(AND('Soil results'!G$7="Olsen (ADAS)",'Soil results'!G124&gt;45),AND('Soil results'!G$7="modified Morgan (SAC)",'Soil results'!G124&gt;30)),
IF(H121&gt;2,"too high, not acceptable","no requirement"),IF(OR(AND('Soil results'!G$7="Olsen (ADAS)",'Soil results'!G124&gt;25),AND('Soil results'!G$7="modified Morgan (SAC)",'Soil results'!G124&gt;13.4)),
IF(H121*(I121/100)&lt;0.1*J121,"no benefit",
IF(H121*(I121/100)&lt;0.3*J121,"limited benefit",
IF(H121*(I121/100)&lt;1.1*J121,"benefit",
IF(H121*(I121/100)&lt;0.7*VLOOKUP(Calc!BI119,'Fertiliser recommendations'!$A$4:$I$63,9,FALSE),"excessive","too high, not acceptable")))),
IF(OR(AND('Soil results'!G$7="Olsen (ADAS)",'Soil results'!G124&gt;20),AND('Soil results'!G$7="modified Morgan (SAC)",'Soil results'!G124&gt;9.4)),
IF(H121*Calc!BM119*(I121/100)&lt;0.1*J121,"no benefit",
IF(H121*Calc!BM119*(I121/100)&lt;0.3*J121,"limited benefit",
IF(H121*Calc!BM119*(I121/100)&lt;1.1*J121,"benefit",
IF(L121="3 (H)","too high, not acceptable","excessive")))),
IF(OR(AND('Soil results'!G$7="Olsen (ADAS)",'Soil results'!G124&gt;15),AND('Soil results'!G$7="modified Morgan (SAC)",'Soil results'!G124&gt;4.4)),
IF(H121*Calc!BM119*(I121/100)&lt;0.1*VLOOKUP(Calc!BI119,'Fertiliser recommendations'!$A$4:$I$63,9,FALSE),"no benefit",
IF(H121*Calc!BM119*(I121/100)&lt;0.3*VLOOKUP(Calc!BI119,'Fertiliser recommendations'!$A$4:$I$63,9,FALSE),"limited benefit",
IF(H121*Calc!BM119*(I121/100)&lt;1.1*VLOOKUP(Calc!BI119,'Fertiliser recommendations'!$A$4:$I$63,9,FALSE),"benefit",
IF(L121="3 (H)", "too high, not acceptable", "excessive")))),
IF(OR(AND('Soil results'!G$7="Olsen (ADAS)",'Soil results'!G124&lt;=15),AND('Soil results'!G$7="modified Morgan (SAC)",'Soil results'!G124&lt;=4.4)),
IF(H121*Calc!BM119*(I121/100)&lt;0.1*VLOOKUP(Calc!BI119,'Fertiliser recommendations'!$A$4:$I$63,9,FALSE),"no benefit",
IF(H121*Calc!BM119*(I121/100)&lt;0.3*VLOOKUP(Calc!BI119,'Fertiliser recommendations'!$A$4:$I$63,9,FALSE),"limited benefit",
IF(H121*Calc!BM119*(I121/100)&lt;1.1*J121,"benefit","excessive")))))))))))</f>
        <v/>
      </c>
      <c r="N121" s="9"/>
      <c r="O121" s="91" t="str">
        <f ca="1">IF(B121="","",
IF(AND('Field information 2'!$O$5="", 'Field information 2'!$Q$5=""),
   IF('Waste results'!$S$19&lt;&gt;"data missing", Calc!BC119*'Waste results'!$S$19, "data missing"),
IF('Field information 2'!$Q$5="",
   IF(Calc!BD119=0,
     IF('Waste results'!$S$19&lt;&gt;"data missing", Calc!BC119*'Waste results'!$S$19, "data missing"),
   IF(Calc!BC119=0,
     IF('Waste results'!$S$55&lt;&gt;"data missing", Calc!BD119*'Waste results'!$S$55, "data missing"),
   IF(OR('Waste results'!$S$19&lt;&gt;"data missing", 'Waste results'!$S$55&lt;&gt;"data missing"), Calc!BC119*'Waste results'!$S$19+ Calc!BD119*'Waste results'!$S$55, "data missing"))),
IF(AND('Field information 2'!$M$5&lt;&gt;"", 'Field information 2'!$O$5&lt;&gt;"", 'Field information 2'!$Q$5&lt;&gt;""),
   IF(AND(Calc!BD119=0,Calc!BE119=0),
     IF('Waste results'!$S$19&lt;&gt;"data missing", Calc!BC119*'Waste results'!$S$19, "data missing"),
   IF(AND(Calc!BC119=0,Calc!BE119=0),
     IF('Waste results'!$S$55&lt;&gt;"data missing", Calc!BD119*'Waste results'!$S$55, "data missing"),
   IF(AND(Calc!BC119=0,Calc!BD119=0),
     IF('Waste results'!$S$91&lt;&gt;"data missing", Calc!BE119*'Waste results'!$S$91, "data missing"),
   IF(Calc!BE119=0,
     IF(OR('Waste results'!$S$19&lt;&gt;"data missing", 'Waste results'!$S$55&lt;&gt;"data missing"), Calc!BC119*'Waste results'!$S$19+ Calc!BD119*'Waste results'!$S$55, "data missing"),
   IF(Calc!BD119=0,
     IF(OR('Waste results'!$S$19&lt;&gt;"data missing", 'Waste results'!$S$91&lt;&gt;"data missing"), Calc!BC119*'Waste results'!$S$19+ Calc!BE119*'Waste results'!$S$91, "data missing"),
   IF(Calc!BC119=0,
     IF(OR('Waste results'!$S$55&lt;&gt;"data missing", 'Waste results'!$S$91&lt;&gt;"data missing"), Calc!BD119*'Waste results'!$S$55+Calc!BE119*'Waste results'!$S$91, "data missing"),
   IF(OR('Waste results'!$S$19&lt;&gt;"data missing", 'Waste results'!$S$55&lt;&gt;"data missing", 'Waste results'!$S$91&lt;&gt;"data missing"), Calc!BC119*'Waste results'!$S$19+Calc!BD119*'Waste results'!$S$55+ Calc!BE119*'Waste results'!$S$91, "data missing")))))))))))</f>
        <v/>
      </c>
      <c r="P121" s="91" t="str">
        <f ca="1">IF(B121="","",
IF(OR(ISBLANK('Soil results'!H$7),ISBLANK('Soil results'!H124)),"data missing",
IF(OR(AND('Soil results'!H$7="ammonium nitrate (ADAS)",'Soil results'!H124&gt;400),AND('Soil results'!H$7="modified Morgan (SAC)",'Soil results'!H124&gt;400)),0,
IF(OR(AND('Soil results'!H$7="ammonium nitrate (ADAS)",'Soil results'!H124&gt;=121,'Soil results'!H124&lt;=180),AND('Soil results'!H$7="modified Morgan (SAC)",'Soil results'!H124&gt;=76,'Soil results'!H124&lt;=140)),VLOOKUP(Calc!BI119,'Fertiliser recommendations'!$A$4:$Z$63,26,FALSE),
IF(OR(AND('Soil results'!H$7="ammonium nitrate (ADAS)",'Soil results'!H124&lt;61),AND('Soil results'!H$7="modified Morgan (SAC)",'Soil results'!H124&lt;40)),VLOOKUP(Calc!BI119,'Fertiliser recommendations'!$A$4:$Z$63,26,FALSE)+VLOOKUP(Calc!BI119,'Fertiliser recommendations'!$A$4:$AA$63,27,FALSE),
IF(OR(AND('Soil results'!H$7="ammonium nitrate (ADAS)",'Soil results'!H124&lt;121),AND('Soil results'!H$7="modified Morgan (SAC)",'Soil results'!H124&lt;76)),VLOOKUP(Calc!BI119,'Fertiliser recommendations'!$A$4:$Z$63,26,FALSE)+VLOOKUP(Calc!BI119,'Fertiliser recommendations'!$A$4:$AB$63,28,FALSE),
IF(OR(AND('Soil results'!H$7="ammonium nitrate (ADAS)",'Soil results'!H124&lt;241),AND('Soil results'!H$7="modified Morgan (SAC)",'Soil results'!H124&lt;201)),VLOOKUP(Calc!BI119,'Fertiliser recommendations'!$A$4:$Z$63,26,FALSE)+VLOOKUP(Calc!BI119,'Fertiliser recommendations'!$A$4:$AC$63,29,FALSE),
IF(OR(AND('Soil results'!H$7="ammonium nitrate (ADAS)",'Soil results'!H124&lt;=400),AND('Soil results'!H$7="modified Morgan (SAC)",'Soil results'!H124&lt;=400)),VLOOKUP(Calc!BI119,'Fertiliser recommendations'!$A$4:$Z$63,26,FALSE)+VLOOKUP(Calc!BI119,'Fertiliser recommendations'!$A$4:$AD$63,30,FALSE),
"??"))))))))</f>
        <v/>
      </c>
      <c r="Q121" s="91" t="str">
        <f t="shared" ca="1" si="36"/>
        <v/>
      </c>
      <c r="R121" s="9" t="str">
        <f ca="1">IF(B121="","",
IF(OR(O121="data missing",P121="data missing"),"data missing",
IF(Calc!BF119=0,"n/a",
IF(P121=0, "no requirement",
IF(O121&lt;0.1*P121,"no benefit",
IF(O121&lt;0.3*P121,"limited benefit",
IF(O121&gt;1.25*P121,"excessive",
"benefit")))))))</f>
        <v/>
      </c>
      <c r="S121" s="9"/>
      <c r="T121" s="91" t="str">
        <f ca="1">IF(B121="","",
IF(AND('Field information 2'!$O$5="", 'Field information 2'!$Q$5=""),
   IF('Waste results'!$S$21&lt;&gt;"data missing", Calc!BC119*'Waste results'!$S$21, "data missing"),
IF('Field information 2'!$Q$5="",
   IF(Calc!BD119=0,
     IF('Waste results'!$S$21&lt;&gt;"data missing", Calc!BC119*'Waste results'!$S$21, "data missing"),
   IF(Calc!BC119=0,
     IF('Waste results'!$S$57&lt;&gt;"data missing", Calc!BD119*'Waste results'!$S$57, "data missing"),
   IF(OR('Waste results'!$S$21&lt;&gt;"data missing", 'Waste results'!$S$57&lt;&gt;"data missing"), Calc!BC119*'Waste results'!$S$21+ Calc!BD119*'Waste results'!$S$57, "data missing"))),
IF(AND('Field information 2'!$M$5&lt;&gt;"", 'Field information 2'!$O$5&lt;&gt;"", 'Field information 2'!$Q$5&lt;&gt;""),
   IF(AND(Calc!BD119=0,Calc!BE119=0),
     IF('Waste results'!$S$21&lt;&gt;"data missing", Calc!BC119*'Waste results'!$S$21, "data missing"),
   IF(AND(Calc!BC119=0,Calc!BE119=0),
     IF('Waste results'!$S$57&lt;&gt;"data missing", Calc!BD119*'Waste results'!$S$57, "data missing"),
   IF(AND(Calc!BC119=0,Calc!BD119=0),
     IF('Waste results'!$S$93&lt;&gt;"data missing", Calc!BE119*'Waste results'!$S$93, "data missing"),
   IF(Calc!BE119=0,
     IF(OR('Waste results'!$S$21&lt;&gt;"data missing", 'Waste results'!$S$57&lt;&gt;"data missing"), Calc!BC119*'Waste results'!$S$21+ Calc!BD119*'Waste results'!$S$57, "data missing"),
   IF(Calc!BD119=0,
     IF(OR('Waste results'!$S$21&lt;&gt;"data missing", 'Waste results'!$S$93&lt;&gt;"data missing"), Calc!BC119*'Waste results'!$S$21+ Calc!BE119*'Waste results'!$S$93, "data missing"),
   IF(Calc!BC119=0,
     IF(OR('Waste results'!$S$57&lt;&gt;"data missing", 'Waste results'!$S$93&lt;&gt;"data missing"), Calc!BD119*'Waste results'!$S$57+Calc!BE119*'Waste results'!$S$93, "data missing"),
   IF(OR('Waste results'!$S$21&lt;&gt;"data missing", 'Waste results'!$S$57&lt;&gt;"data missing", 'Waste results'!$S$93&lt;&gt;"data missing"), Calc!BC119*'Waste results'!$S$21+Calc!BD119*'Waste results'!$S$57+ Calc!BE119*'Waste results'!$S$93, "data missing")))))))))))</f>
        <v/>
      </c>
      <c r="U121" s="7" t="str">
        <f ca="1">IF(B121="","",
IF(OR(ISBLANK('Soil results'!I$7),ISBLANK('Soil results'!I124)),"data missing",
IF(OR(AND('Soil results'!I$7="ammonium nitrate (ADAS)",'Soil results'!I124&gt;51),AND('Soil results'!I$7="modified Morgan (SAC)",'Soil results'!I124&gt;61)),0,
IF(OR(AND('Soil results'!I$7="ammonium nitrate (ADAS)",'Soil results'!I124&lt;25),AND('Soil results'!I$7="modified Morgan (SAC)",'Soil results'!I124&lt;19)),VLOOKUP(Calc!BI119,'Fertiliser recommendations'!$A$4:$AH$63,34,FALSE),
IF(OR(AND('Soil results'!I$7="ammonium nitrate (ADAS)",'Soil results'!I124&lt;=51),AND('Soil results'!I$7="modified Morgan (SAC)",'Soil results'!I124&lt;=61)),VLOOKUP(Calc!BI119,'Fertiliser recommendations'!$A$4:$AI$63,35,FALSE),
"")))))</f>
        <v/>
      </c>
      <c r="V121" s="91" t="str">
        <f t="shared" ca="1" si="37"/>
        <v/>
      </c>
      <c r="W121" s="9" t="str">
        <f ca="1">IF(B121="","",
IF(OR(T121="data missing",U121="data missing"),"data missing",
IF(Calc!BF119=0,"n/a",
IF(U121=0,"no requirement",
IF(T121&lt;0.1*U121,"no benefit",
IF(T121&lt;0.3*U121,"limited benefit",
IF(OR(T121&gt;1.5*U121,AND(Calc!BJ119="g",T121&gt;100)),"excessive",
"benefit")))))))</f>
        <v/>
      </c>
      <c r="X121" s="9"/>
      <c r="Y121" s="91" t="str">
        <f ca="1">IF(B121="","",
IF(AND('Field information 2'!$O$5="", 'Field information 2'!$Q$5=""),
   IF('Waste results'!$P$23&lt;&gt;"", Calc!BC119*'Waste results'!$P$23, "no data"),
IF('Field information 2'!$Q$5="",
   IF(Calc!BD119=0,
     IF('Waste results'!$P$23&lt;&gt;"", Calc!BC119*'Waste results'!$P$23, "no data"),
   IF(Calc!BC119=0,
     IF('Waste results'!$P$59&lt;&gt;"", Calc!BD119*'Waste results'!$P$59, "no data"),
   IF(OR('Waste results'!$P$23&lt;&gt;"", 'Waste results'!$P$59&lt;&gt;""), Calc!BC119*'Waste results'!$P$23+ Calc!BD119*'Waste results'!$P$59, "no data"))),
IF(AND('Field information 2'!$M$5&lt;&gt;"", 'Field information 2'!$O$5&lt;&gt;"", 'Field information 2'!$Q$5&lt;&gt;""),
   IF(AND(Calc!BD119=0,Calc!BE119=0),
     IF('Waste results'!$P$23&lt;&gt;"", Calc!BC119*'Waste results'!$P$23, "no data"),
   IF(AND(Calc!BC119=0,Calc!BE119=0),
     IF('Waste results'!$P$59&lt;&gt;"", Calc!BD119*'Waste results'!$P$59, "no data"),
   IF(AND(Calc!BC119=0,Calc!BD119=0),
     IF('Waste results'!$P$95&lt;&gt;"", Calc!BE119*'Waste results'!$P$95, "no data"),
   IF(Calc!BE119=0,
     IF(OR('Waste results'!$P$23&lt;&gt;"", 'Waste results'!$P$59&lt;&gt;""), Calc!BC119*'Waste results'!$P$23+ Calc!BD119*'Waste results'!$P$59, "no data"),
   IF(Calc!BD119=0,
     IF(OR('Waste results'!$P$23&lt;&gt;"", 'Waste results'!$P$95&lt;&gt;""), Calc!BC119*'Waste results'!$P$23+ Calc!BE119*'Waste results'!$P$95, "no data"),
   IF(Calc!BC119=0,
     IF(OR('Waste results'!$P$59&lt;&gt;"", 'Waste results'!$P$95&lt;&gt;""), Calc!BD119*'Waste results'!$P$59+Calc!BE119*'Waste results'!$P$95, "no data"),
   IF(OR('Waste results'!$P$23&lt;&gt;"", 'Waste results'!$P$59&lt;&gt;"", 'Waste results'!$P$95&lt;&gt;""), Calc!BC119*'Waste results'!$P$23+Calc!BD119*'Waste results'!$P$59+ Calc!BE119*'Waste results'!$P$95, "no data")))))))))))</f>
        <v/>
      </c>
      <c r="Z121" s="7" t="str">
        <f ca="1">IF(OR(ISBLANK('Soil results'!I$7),ISBLANK('Soil results'!I124),'Soil results'!B124=""),"",
VLOOKUP(Calc!BI119,'Fertiliser recommendations'!$A$4:$AM$63,39,FALSE))</f>
        <v/>
      </c>
      <c r="AA121" s="91" t="str">
        <f t="shared" ca="1" si="38"/>
        <v/>
      </c>
      <c r="AB121" s="9" t="str">
        <f t="shared" ca="1" si="39"/>
        <v/>
      </c>
      <c r="AC121" s="9"/>
      <c r="AD121" s="48" t="str">
        <f>IF(ISBLANK('Soil results'!F124),"",'Soil results'!F124)</f>
        <v/>
      </c>
      <c r="AE121" s="49" t="str">
        <f ca="1">IF(B121="","",
IF(AND(Calc!BJ119="g", VLOOKUP(LEFT($B121,LEN($B121)-2),'Field information 2'!$B$12:$P$111,9,FALSE)&lt;&gt;"yes"),
 IF(Calc!BG119="10-25% OM", 5.9, IF(Calc!BG119="&gt;25% OM", 5.5, 6.2)),
IF(OR(Calc!BJ119="a", VLOOKUP(LEFT($B121,LEN($B121)-2),'Field information 2'!$B$12:$P$111,9,FALSE)="yes"),
 IF(Calc!BG119="10-25% OM", 6.4, IF(Calc!BG119="&gt;25% OM", 6, 6.7)), "")))</f>
        <v/>
      </c>
      <c r="AF121" s="91" t="str">
        <f ca="1">IF(B121="","",
IF('Waste results'!$Q$33="","no (significant) liming properties",
IF('Waste results'!Q$33&gt;100,"no (significant) liming properties",
IF(AD121="","",
IF(AD121&gt;=AE121,0,ROUNDDOWN((AE121-AD121)*Calc!BK119*'Waste results'!$Q$33+0.2,0))))))</f>
        <v/>
      </c>
      <c r="AG121" s="9" t="str">
        <f ca="1">IF(B121="","",
IF(T121=0,"n/a",
IF(AD121="","data missing",
IF(AND(AD121&lt;5,AF121="no (significant) liming properties"),"no waste application - pH too low",
IF(AND(AD121&gt;5.1,AF121="no (significant) liming properties",Calc!BH119&gt;25, LEFT(Calc!BI119,4)="graz"),"ok",
IF(AND(AD121&lt;=5.2,AF121="no (significant) liming properties"),"liming highly recommended",
IF(AF121=0,"no waste application - liming not required",
IF(AF121&lt;Calc!BC119,"application rate too high - exceeds liming requirement",
"ok"))))))))</f>
        <v/>
      </c>
      <c r="AH121" s="9"/>
      <c r="AI121" s="91" t="str">
        <f ca="1">IF(B121="","",
IF(AND('Field information 2'!$O$5="", 'Field information 2'!$Q$5=""),
   IF('Waste results'!$P$10&lt;&gt;"data missing", Calc!BC119*'Waste results'!$P$10, "data missing"),
IF('Field information 2'!$Q$5="",
   IF(Calc!BD119=0,
     IF('Waste results'!$P$10&lt;&gt;"data missing", Calc!BC119*'Waste results'!$P$10, "data missing"),
   IF(Calc!BC119=0,
     IF('Waste results'!$P$45&lt;&gt;"data missing", Calc!BD119*'Waste results'!$P$45, "data missing"),
   IF(OR('Waste results'!$P$10&lt;&gt;"data missing", 'Waste results'!$P$45&lt;&gt;"data missing"), Calc!BC119*'Waste results'!$P$10+ Calc!BD119*'Waste results'!$P$45, "data missing"))),
IF(AND('Field information 2'!$M$5&lt;&gt;"", 'Field information 2'!$O$5&lt;&gt;"", 'Field information 2'!$Q$5&lt;&gt;""),
   IF(AND(Calc!BD119=0,Calc!BE119=0),
     IF('Waste results'!$P$10&lt;&gt;"data missing", Calc!BC119*'Waste results'!$P$10, "data missing"),
   IF(AND(Calc!BC119=0,Calc!BE119=0),
     IF('Waste results'!$P$45&lt;&gt;"data missing", Calc!BD119*'Waste results'!$P$45, "data missing"),
   IF(AND(Calc!BC119=0,Calc!BD119=0),
     IF('Waste results'!$P$82&lt;&gt;"data missing", Calc!BE119*'Waste results'!$P$82, "data missing"),
   IF(Calc!BE119=0,
     IF(OR('Waste results'!$P$10&lt;&gt;"data missing", 'Waste results'!$P$45&lt;&gt;"data missing"), Calc!BC119*'Waste results'!$P$10+ Calc!BD119*'Waste results'!$P$45, "data missing"),
   IF(Calc!BD119=0,
     IF(OR('Waste results'!$P$10&lt;&gt;"data missing", 'Waste results'!$P$82&lt;&gt;"data missing"), Calc!BC119*'Waste results'!$P$10+ Calc!BE119*'Waste results'!$P$82, "data missing"),
   IF(Calc!BC119=0,
     IF(OR('Waste results'!$P$45&lt;&gt;"data missing", 'Waste results'!$P$82&lt;&gt;"data missing"), Calc!BD119*'Waste results'!$P$45+Calc!BE119*'Waste results'!$P$82, "data missing"),
   IF(OR('Waste results'!$P$10&lt;&gt;"data missing", 'Waste results'!$P$45&lt;&gt;"data missing", 'Waste results'!$P$82&lt;&gt;"data missing"), Calc!BC119*'Waste results'!$P$10+Calc!BD119*'Waste results'!$P$45+ Calc!BE119*'Waste results'!$P$82, "data missing")))))))))))</f>
        <v/>
      </c>
      <c r="AJ121" s="237" t="str">
        <f ca="1">IF(B121="","",
IF(AI121="data missing","data missing",
IF(Calc!BF119=0,"n/a",
IF(AND(Calc!BH119&gt;=8,AI121&lt;500),"no benefit",
IF(OR(AND(Calc!BH119&lt;=4,AI121&gt;=500),AND(Calc!BH119&lt;8,AI121&gt;5000)),"benefit",
"limited benefit")))))</f>
        <v/>
      </c>
      <c r="AK121" s="9"/>
      <c r="AL121" s="238" t="str">
        <f ca="1">IF(B121="","",
IF(AND('Field information 2'!$O$5="", 'Field information 2'!$Q$5=""),
   IF('Waste results'!$S$25&lt;&gt;"data missing", Calc!BC119*'Waste results'!$S$25, "data missing"),
IF('Field information 2'!$Q$5="",
   IF(Calc!BD119=0,
     IF('Waste results'!$S$25&lt;&gt;"data missing", Calc!BC119*'Waste results'!$S$25, "data missing"),
   IF(Calc!BC119=0,
     IF('Waste results'!$S$61&lt;&gt;"data missing", Calc!BD119*'Waste results'!$S$61, "data missing"),
   IF(OR('Waste results'!$S$25&lt;&gt;"data missing", 'Waste results'!$S$61&lt;&gt;"data missing"), Calc!BC119*'Waste results'!$S$25+ Calc!BD119*'Waste results'!$S$61, "data missing"))),
IF(AND('Field information 2'!$M$5&lt;&gt;"", 'Field information 2'!$O$5&lt;&gt;"", 'Field information 2'!$Q$5&lt;&gt;""),
   IF(AND(Calc!BD119=0,Calc!BE119=0),
     IF('Waste results'!$S$25&lt;&gt;"data missing", Calc!BC119*'Waste results'!$S$25, "data missing"),
   IF(AND(Calc!BC119=0,Calc!BE119=0),
     IF('Waste results'!$S$61&lt;&gt;"data missing", Calc!BD119*'Waste results'!$S$61, "data missing"),
   IF(AND(Calc!BC119=0,Calc!BD119=0),
     IF('Waste results'!$S$97&lt;&gt;"data missing", Calc!BE119*'Waste results'!$S$97, "data missing"),
   IF(Calc!BE119=0,
     IF(OR('Waste results'!$S$25&lt;&gt;"data missing", 'Waste results'!$S$61&lt;&gt;"data missing"), Calc!BC119*'Waste results'!$S$25+ Calc!BD119*'Waste results'!$S$61, "data missing"),
   IF(Calc!BD119=0,
     IF(OR('Waste results'!$S$25&lt;&gt;"data missing", 'Waste results'!$S$97&lt;&gt;"data missing"), Calc!BC119*'Waste results'!$S$25+ Calc!BE119*'Waste results'!$S$97, "data missing"),
   IF(Calc!BC119=0,
     IF(OR('Waste results'!$S$61&lt;&gt;"data missing", 'Waste results'!$S$97&lt;&gt;"data missing"), Calc!BD119*'Waste results'!$S$61+Calc!BE119*'Waste results'!$S$97, "data missing"),
   IF(OR('Waste results'!$S$25&lt;&gt;"data missing", 'Waste results'!$S$61&lt;&gt;"data missing", 'Waste results'!$S$97&lt;&gt;"data missing"), Calc!BC119*'Waste results'!$S$25+Calc!BD119*'Waste results'!$S$61+ Calc!BE119*'Waste results'!$S$97, "data missing")))))))))))</f>
        <v/>
      </c>
      <c r="AM121" s="239" t="str">
        <f ca="1">IF($B121="","",
IF(ISBLANK('Soil results'!K124),"data missing",'Soil results'!K124))</f>
        <v/>
      </c>
      <c r="AN121" s="239" t="str">
        <f t="shared" ca="1" si="40"/>
        <v/>
      </c>
      <c r="AO121" s="9" t="str">
        <f t="shared" ca="1" si="41"/>
        <v/>
      </c>
      <c r="AP121" s="9"/>
      <c r="AQ121" s="240" t="str">
        <f ca="1">IF(B121="","",
IF(AND('Field information 2'!$O$5="", 'Field information 2'!$Q$5=""),
   IF('Waste results'!$S$26&lt;&gt;"data missing", Calc!BC119*'Waste results'!$S$26, "data missing"),
IF('Field information 2'!$Q$5="",
   IF(Calc!BD119=0,
     IF('Waste results'!$S$26&lt;&gt;"data missing", Calc!BC119*'Waste results'!$S$26, "data missing"),
   IF(Calc!BC119=0,
     IF('Waste results'!$S$62&lt;&gt;"data missing", Calc!BD119*'Waste results'!$S$62, "data missing"),
   IF(OR('Waste results'!$S$26&lt;&gt;"data missing", 'Waste results'!$S$62&lt;&gt;"data missing"), Calc!BC119*'Waste results'!$S$26+ Calc!BD119*'Waste results'!$S$62, "data missing"))),
IF(AND('Field information 2'!$M$5&lt;&gt;"", 'Field information 2'!$O$5&lt;&gt;"", 'Field information 2'!$Q$5&lt;&gt;""),
   IF(AND(Calc!BD119=0,Calc!BE119=0),
     IF('Waste results'!$S$26&lt;&gt;"data missing", Calc!BC119*'Waste results'!$S$26, "data missing"),
   IF(AND(Calc!BC119=0,Calc!BE119=0),
     IF('Waste results'!$S$62&lt;&gt;"data missing", Calc!BD119*'Waste results'!$S$62, "data missing"),
   IF(AND(Calc!BC119=0,Calc!BD119=0),
     IF('Waste results'!$S$98&lt;&gt;"data missing", Calc!BE119*'Waste results'!$S$98, "data missing"),
   IF(Calc!BE119=0,
     IF(OR('Waste results'!$S$26&lt;&gt;"data missing", 'Waste results'!$S$62&lt;&gt;"data missing"), Calc!BC119*'Waste results'!$S$26+ Calc!BD119*'Waste results'!$S$62, "data missing"),
   IF(Calc!BD119=0,
     IF(OR('Waste results'!$S$26&lt;&gt;"data missing", 'Waste results'!$S$98&lt;&gt;"data missing"), Calc!BC119*'Waste results'!$S$26+ Calc!BE119*'Waste results'!$S$98, "data missing"),
   IF(Calc!BC119=0,
     IF(OR('Waste results'!$S$62&lt;&gt;"data missing", 'Waste results'!$S$98&lt;&gt;"data missing"), Calc!BD119*'Waste results'!$S$62+Calc!BE119*'Waste results'!$S$98, "data missing"),
   IF(OR('Waste results'!$S$26&lt;&gt;"data missing", 'Waste results'!$S$62&lt;&gt;"data missing", 'Waste results'!$S$98&lt;&gt;"data missing"), Calc!BC119*'Waste results'!$S$26+Calc!BD119*'Waste results'!$S$62+ Calc!BE119*'Waste results'!$S$98, "data missing")))))))))))</f>
        <v/>
      </c>
      <c r="AR121" s="241" t="str">
        <f ca="1">IF($B121="","",
IF(ISBLANK('Soil results'!L124),"data missing",'Soil results'!L124))</f>
        <v/>
      </c>
      <c r="AS121" s="241" t="str">
        <f t="shared" ca="1" si="42"/>
        <v/>
      </c>
      <c r="AT121" s="66" t="str">
        <f t="shared" ca="1" si="43"/>
        <v/>
      </c>
      <c r="AU121" s="9"/>
      <c r="AV121" s="238" t="str">
        <f ca="1">IF(B121="","",
IF(AND('Field information 2'!$O$5="", 'Field information 2'!$Q$5=""),
   IF('Waste results'!$S$27&lt;&gt;"data missing", Calc!BC119*'Waste results'!$S$27, "data missing"),
IF('Field information 2'!$Q$5="",
   IF(Calc!BD119=0,
     IF('Waste results'!$S$27&lt;&gt;"data missing", Calc!BC119*'Waste results'!$S$27, "data missing"),
   IF(Calc!BC119=0,
     IF('Waste results'!$S$63&lt;&gt;"data missing", Calc!BD119*'Waste results'!$S$63, "data missing"),
   IF(OR('Waste results'!$S$27&lt;&gt;"data missing", 'Waste results'!$S$63&lt;&gt;"data missing"), Calc!BC119*'Waste results'!$S$27+ Calc!BD119*'Waste results'!$S$63, "data missing"))),
IF(AND('Field information 2'!$M$5&lt;&gt;"", 'Field information 2'!$O$5&lt;&gt;"", 'Field information 2'!$Q$5&lt;&gt;""),
   IF(AND(Calc!BD119=0,Calc!BE119=0),
     IF('Waste results'!$S$27&lt;&gt;"data missing", Calc!BC119*'Waste results'!$S$27, "data missing"),
   IF(AND(Calc!BC119=0,Calc!BE119=0),
     IF('Waste results'!$S$63&lt;&gt;"data missing", Calc!BD119*'Waste results'!$S$63, "data missing"),
   IF(AND(Calc!BC119=0,Calc!BD119=0),
     IF('Waste results'!$S$99&lt;&gt;"data missing", Calc!BE119*'Waste results'!$S$99, "data missing"),
   IF(Calc!BE119=0,
     IF(OR('Waste results'!$S$27&lt;&gt;"data missing", 'Waste results'!$S$63&lt;&gt;"data missing"), Calc!BC119*'Waste results'!$S$27+ Calc!BD119*'Waste results'!$S$63, "data missing"),
   IF(Calc!BD119=0,
     IF(OR('Waste results'!$S$27&lt;&gt;"data missing", 'Waste results'!$S$99&lt;&gt;"data missing"), Calc!BC119*'Waste results'!$S$27+ Calc!BE119*'Waste results'!$S$99, "data missing"),
   IF(Calc!BC119=0,
     IF(OR('Waste results'!$S$63&lt;&gt;"data missing", 'Waste results'!$S$99&lt;&gt;"data missing"), Calc!BD119*'Waste results'!$S$63+Calc!BE119*'Waste results'!$S$99, "data missing"),
   IF(OR('Waste results'!$S$27&lt;&gt;"data missing", 'Waste results'!$S$63&lt;&gt;"data missing", 'Waste results'!$S$99&lt;&gt;"data missing"), Calc!BC119*'Waste results'!$S$27+Calc!BD119*'Waste results'!$S$63+ Calc!BE119*'Waste results'!$S$99, "data missing")))))))))))</f>
        <v/>
      </c>
      <c r="AW121" s="239" t="str">
        <f ca="1">IF($B121="","",
IF(ISBLANK('Soil results'!M124),"data missing",'Soil results'!M124))</f>
        <v/>
      </c>
      <c r="AX121" s="239" t="str">
        <f t="shared" ca="1" si="44"/>
        <v/>
      </c>
      <c r="AY121" s="9" t="str">
        <f ca="1">IF(B121="","",
IF(AV121=0,"n/a",
IF(OR(AV121="data missing",AW121="data missing"),"data missing",
IF(AV121&gt;7.5,"application rate too high - permissible rate exceeds limit",
IF('Soil results'!$F124&lt;=5.5,
  IF(AW121&gt;80,"no application - soil conc. already above limit",
  IF(AX121&gt;80,"application rate too high - soil conc. will exceed limit",
  IF(AW121&gt;80*0.9,"soil conc. is at or above 90% of the limit",
  IF(10*AV121*1000/3000+AW121&gt;80,"soil limit likely to be exceeded in 10yrs",
  IF(50*AV121*1000/3000+AW121&gt;80,"soil limit likely to be exceeded in 50yrs","ok"))))),
IF('Soil results'!$F124&lt;=6,
  IF(AW121&gt;100,"no application - soil conc. already above limit",
  IF(AX121&gt;100,"application rate too high - soil conc. will exceed limit",
  IF(AW121&gt;100*0.9,"soil conc. is at or above 90% of the limit",
  IF(10*AV121*1000/3000+AW121&gt;100,"soil limit likely to be exceeded in 10yrs",
  IF(50*AV121*1000/3000+AW121&gt;100,"soil limit likely to be exceeded in 50yrs","ok"))))),
IF('Soil results'!$F124&lt;=7,
  IF(AW121&gt;135,"no application - soil conc. already above limit",
  IF(AX121&gt;135,"application rate too high - soil conc. will exceed limit",
  IF(AW121&gt;135*0.9,"soil conc. is at or above 90% of the limit",
  IF(10*AV121*1000/3000+AW121&gt;135,"soil limit likely to be exceeded in 10yrs",
  IF(50*AV121*1000/3000+AW121&gt;135,"soil limit likely to be exceeded in 50yrs","ok"))))),
IF('Soil results'!$F124&gt;7,
  IF(AW121&gt;200,"no application - soil conc. already above limit",
  IF(AX121&gt;200,"application too high - soil conc. will exceed limit",
  IF(AW121&gt;200*0.9,"soil conc. is at or above 90% of the limit",
  IF(10*AV121*1000/3000+AW121&gt;200,"soil limit likely to be exceeded in 10yrs",
  IF(50*AV121*1000/3000+AW121&gt;200,"soil limit likely to be exceeded in 50yrs","ok")))))
))))))))</f>
        <v/>
      </c>
      <c r="AZ121" s="9"/>
      <c r="BA121" s="238" t="str">
        <f ca="1">IF(B121="","",
IF(AND('Field information 2'!$O$5="", 'Field information 2'!$Q$5=""),
   IF('Waste results'!$S$28&lt;&gt;"data missing", Calc!BC119*'Waste results'!$S$28, "data missing"),
IF('Field information 2'!$Q$5="",
   IF(Calc!BD119=0,
     IF('Waste results'!$S$28&lt;&gt;"data missing", Calc!BC119*'Waste results'!$S$28, "data missing"),
   IF(Calc!BC119=0,
     IF('Waste results'!$S$64&lt;&gt;"data missing", Calc!BD119*'Waste results'!$S$64, "data missing"),
   IF(OR('Waste results'!$S$28&lt;&gt;"data missing", 'Waste results'!$S$64&lt;&gt;"data missing"), Calc!BC119*'Waste results'!$S$28+ Calc!BD119*'Waste results'!$S$64, "data missing"))),
IF(AND('Field information 2'!$M$5&lt;&gt;"", 'Field information 2'!$O$5&lt;&gt;"", 'Field information 2'!$Q$5&lt;&gt;""),
   IF(AND(Calc!BD119=0,Calc!BE119=0),
     IF('Waste results'!$S$28&lt;&gt;"data missing", Calc!BC119*'Waste results'!$S$28, "data missing"),
   IF(AND(Calc!BC119=0,Calc!BE119=0),
     IF('Waste results'!$S$64&lt;&gt;"data missing", Calc!BD119*'Waste results'!$S$64, "data missing"),
   IF(AND(Calc!BC119=0,Calc!BD119=0),
     IF('Waste results'!$S$100&lt;&gt;"data missing", Calc!BE119*'Waste results'!$S$100, "data missing"),
   IF(Calc!BE119=0,
     IF(OR('Waste results'!$S$28&lt;&gt;"data missing", 'Waste results'!$S$64&lt;&gt;"data missing"), Calc!BC119*'Waste results'!$S$28+ Calc!BD119*'Waste results'!$S$64, "data missing"),
   IF(Calc!BD119=0,
     IF(OR('Waste results'!$S$28&lt;&gt;"data missing", 'Waste results'!$S$100&lt;&gt;"data missing"), Calc!BC119*'Waste results'!$S$28+ Calc!BE119*'Waste results'!$S$100, "data missing"),
   IF(Calc!BC119=0,
     IF(OR('Waste results'!$S$64&lt;&gt;"data missing", 'Waste results'!$S$100&lt;&gt;"data missing"), Calc!BD119*'Waste results'!$S$64+Calc!BE119*'Waste results'!$S$100, "data missing"),
   IF(OR('Waste results'!$S$28&lt;&gt;"data missing", 'Waste results'!$S$64&lt;&gt;"data missing", 'Waste results'!$S$100&lt;&gt;"data missing"), Calc!BC119*'Waste results'!$S$28+Calc!BD119*'Waste results'!$S$64+ Calc!BE119*'Waste results'!$S$100, "data missing")))))))))))</f>
        <v/>
      </c>
      <c r="BB121" s="239" t="str">
        <f ca="1">IF($B121="","",
IF(ISBLANK('Soil results'!N124),"data missing",'Soil results'!N124))</f>
        <v/>
      </c>
      <c r="BC121" s="239" t="str">
        <f t="shared" ca="1" si="45"/>
        <v/>
      </c>
      <c r="BD121" s="9" t="str">
        <f t="shared" ca="1" si="46"/>
        <v/>
      </c>
      <c r="BE121" s="9"/>
      <c r="BF121" s="238" t="str">
        <f ca="1">IF(B121="","",
IF(AND('Field information 2'!$O$5="", 'Field information 2'!$Q$5=""),
   IF('Waste results'!$S$29&lt;&gt;"data missing", Calc!BC119*'Waste results'!$S$29, "data missing"),
IF('Field information 2'!$Q$5="",
   IF(Calc!BD119=0,
     IF('Waste results'!$S$29&lt;&gt;"data missing", Calc!BC119*'Waste results'!$S$29, "data missing"),
   IF(Calc!BC119=0,
     IF('Waste results'!$S$65&lt;&gt;"data missing", Calc!BD119*'Waste results'!$S$65, "data missing"),
   IF(OR('Waste results'!$S$29&lt;&gt;"data missing", 'Waste results'!$S$65&lt;&gt;"data missing"), Calc!BC119*'Waste results'!$S$29+ Calc!BD119*'Waste results'!$S$65, "data missing"))),
IF(AND('Field information 2'!$M$5&lt;&gt;"", 'Field information 2'!$O$5&lt;&gt;"", 'Field information 2'!$Q$5&lt;&gt;""),
   IF(AND(Calc!BD119=0,Calc!BE119=0),
     IF('Waste results'!$S$29&lt;&gt;"data missing", Calc!BC119*'Waste results'!$S$29, "data missing"),
   IF(AND(Calc!BC119=0,Calc!BE119=0),
     IF('Waste results'!$S$65&lt;&gt;"data missing", Calc!BD119*'Waste results'!$S$65, "data missing"),
   IF(AND(Calc!BC119=0,Calc!BD119=0),
     IF('Waste results'!$S$101&lt;&gt;"data missing", Calc!BE119*'Waste results'!$S$101, "data missing"),
   IF(Calc!BE119=0,
     IF(OR('Waste results'!$S$29&lt;&gt;"data missing", 'Waste results'!$S$65&lt;&gt;"data missing"), Calc!BC119*'Waste results'!$S$29+ Calc!BD119*'Waste results'!$S$65, "data missing"),
   IF(Calc!BD119=0,
     IF(OR('Waste results'!$S$29&lt;&gt;"data missing", 'Waste results'!$S$101&lt;&gt;"data missing"), Calc!BC119*'Waste results'!$S$29+ Calc!BE119*'Waste results'!$S$101, "data missing"),
   IF(Calc!BC119=0,
     IF(OR('Waste results'!$S$65&lt;&gt;"data missing", 'Waste results'!$S$101&lt;&gt;"data missing"), Calc!BD119*'Waste results'!$S$65+Calc!BE119*'Waste results'!$S$101, "data missing"),
   IF(OR('Waste results'!$S$29&lt;&gt;"data missing", 'Waste results'!$S$65&lt;&gt;"data missing", 'Waste results'!$S$101&lt;&gt;"data missing"), Calc!BC119*'Waste results'!$S$29+Calc!BD119*'Waste results'!$S$65+ Calc!BE119*'Waste results'!$S$101, "data missing")))))))))))</f>
        <v/>
      </c>
      <c r="BG121" s="239" t="str">
        <f ca="1">IF($B121="","",
IF(ISBLANK('Soil results'!O124),"data missing",'Soil results'!O124))</f>
        <v/>
      </c>
      <c r="BH121" s="239" t="str">
        <f t="shared" ca="1" si="47"/>
        <v/>
      </c>
      <c r="BI121" s="9" t="str">
        <f ca="1">IF(B121="","",
IF(BF121=0,"n/a",
IF(OR(BF121="data missing",BG121="data missing"),"data missing",
IF(BF121&gt;3,"application rate too high - permissible rate exceeds limit",
IF('Soil results'!F124&lt;=5.5,
  IF(BG121&gt;50,"no application - soil conc. already above limit",
  IF(BH121&gt;50,"application rate too high - soil conc. will exceed limit",
  IF(BG121&gt;50*0.9,"soil conc. is at or above 90% of the limit",
  IF(10*BF121*1000/3000+BG121&gt;50,"soil limit likely to be exceeded in 10yrs",
  IF(50*BF121*1000/3000+BG121&gt;50,"soil limit likely to be exceeded in 50yrs","ok"))))),
IF('Soil results'!F124&lt;=6,
  IF(BG121&gt;60,"no application - soil conc. already above limit",
  IF(BH121&gt;60,"application rate too high - soil conc. will exceed limit",
  IF(BG121&gt;60*0.9,"soil conc. is at or above 90% of the limit",
  IF(10*BF121*1000/3000+BG121&gt;60,"soil limit likely to be exceeded in 10yrs",
  IF(50*BF121*1000/3000+BG121&gt;60,"soil limit likely to be exceeded in 50yrs","ok"))))),
IF('Soil results'!F124&lt;=7,
  IF(BG121&gt;75,"no application - soil conc. already above limit",
  IF(BH121&gt;75,"application rate too high - soil conc. will exceed limit",
  IF(BG121&gt;75*0.9,"soil conc. is at or above 90% of the limit",
  IF(10*BF121*1000/3000+BG121&gt;75,"soil limit likely to be exceeded in 10yrs",
  IF(50*BF121*1000/3000+BG121&gt;75,"soil limit likely to be exceeded in 50yrs","ok"))))),
IF('Soil results'!F124&gt;7,
  IF(BG121&gt;100,"no application - soil conc. already above limit",
  IF(BH121&gt;100,"application rate too high - soil conc. will exceed limit",
  IF(BG121&gt;100*0.9,"soil conc. is at or above 90% of the limit",
  IF(10*BF121*1000/3000+BG121&gt;100,"soil limit likely to be exceeded in 10yrs",
  IF(50*BF121*1000/3000+BG121&gt;100,"soil limit likely to beexceeded in 50yrs","ok")))))
))))))))</f>
        <v/>
      </c>
      <c r="BJ121" s="9"/>
      <c r="BK121" s="240" t="str">
        <f ca="1">IF(B121="","",
IF(AND('Field information 2'!$O$5="", 'Field information 2'!$Q$5=""),
   IF('Waste results'!$S$30&lt;&gt;"data missing", Calc!BC119*'Waste results'!$S$30, "data missing"),
IF('Field information 2'!$Q$5="",
   IF(Calc!BD119=0,
     IF('Waste results'!$S$30&lt;&gt;"data missing", Calc!BC119*'Waste results'!$S$30, "data missing"),
   IF(Calc!BC119=0,
     IF('Waste results'!$S$66&lt;&gt;"data missing", Calc!BD119*'Waste results'!$S$66, "data missing"),
   IF(OR('Waste results'!$S$30&lt;&gt;"data missing", 'Waste results'!$S$66&lt;&gt;"data missing"), Calc!BC119*'Waste results'!$S$30+ Calc!BD119*'Waste results'!$S$66, "data missing"))),
IF(AND('Field information 2'!$M$5&lt;&gt;"", 'Field information 2'!$O$5&lt;&gt;"", 'Field information 2'!$Q$5&lt;&gt;""),
   IF(AND(Calc!BD119=0,Calc!BE119=0),
     IF('Waste results'!$S$30&lt;&gt;"data missing", Calc!BC119*'Waste results'!$S$30, "data missing"),
   IF(AND(Calc!BC119=0,Calc!BE119=0),
     IF('Waste results'!$S$66&lt;&gt;"data missing", Calc!BD119*'Waste results'!$S$66, "data missing"),
   IF(AND(Calc!BC119=0,Calc!BD119=0),
     IF('Waste results'!$S$102&lt;&gt;"data missing", Calc!BE119*'Waste results'!$S$102, "data missing"),
   IF(Calc!BE119=0,
     IF(OR('Waste results'!$S$30&lt;&gt;"data missing", 'Waste results'!$S$66&lt;&gt;"data missing"), Calc!BC119*'Waste results'!$S$30+ Calc!BD119*'Waste results'!$S$66, "data missing"),
   IF(Calc!BD119=0,
     IF(OR('Waste results'!$S$30&lt;&gt;"data missing", 'Waste results'!$S$102&lt;&gt;"data missing"), Calc!BC119*'Waste results'!$S$30+ Calc!BE119*'Waste results'!$S$102, "data missing"),
   IF(Calc!BC119=0,
     IF(OR('Waste results'!$S$66&lt;&gt;"data missing", 'Waste results'!$S$102&lt;&gt;"data missing"), Calc!BD119*'Waste results'!$S$66+Calc!BE119*'Waste results'!$S$102, "data missing"),
   IF(OR('Waste results'!$S$30&lt;&gt;"data missing", 'Waste results'!$S$66&lt;&gt;"data missing", 'Waste results'!$S$102&lt;&gt;"data missing"), Calc!BC119*'Waste results'!$S$30+Calc!BD119*'Waste results'!$S$66+ Calc!BE119*'Waste results'!$S$102, "data missing")))))))))))</f>
        <v/>
      </c>
      <c r="BL121" s="241" t="str">
        <f ca="1">IF($B121="","",
IF(ISBLANK('Soil results'!P124),"data missing",'Soil results'!P124))</f>
        <v/>
      </c>
      <c r="BM121" s="241" t="str">
        <f t="shared" ca="1" si="48"/>
        <v/>
      </c>
      <c r="BN121" s="66" t="str">
        <f t="shared" ca="1" si="49"/>
        <v/>
      </c>
      <c r="BO121" s="9"/>
      <c r="BP121" s="238" t="str">
        <f ca="1">IF(B121="","",
IF(AND('Field information 2'!$O$5="", 'Field information 2'!$Q$5=""),
   IF('Waste results'!$S$31&lt;&gt;"data missing", Calc!BC119*'Waste results'!$S$31, "data missing"),
IF('Field information 2'!$Q$5="",
   IF(Calc!BD119=0,
     IF('Waste results'!$S$31&lt;&gt;"data missing", Calc!BC119*'Waste results'!$S$31, "data missing"),
   IF(Calc!BC119=0,
     IF('Waste results'!$S$67&lt;&gt;"data missing", Calc!BD119*'Waste results'!$S$67, "data missing"),
   IF(OR('Waste results'!$S$31&lt;&gt;"data missing", 'Waste results'!$S$67&lt;&gt;"data missing"), Calc!BC119*'Waste results'!$S$31+ Calc!BD119*'Waste results'!$S$67, "data missing"))),
IF(AND('Field information 2'!$M$5&lt;&gt;"", 'Field information 2'!$O$5&lt;&gt;"", 'Field information 2'!$Q$5&lt;&gt;""),
   IF(AND(Calc!BD119=0,Calc!BE119=0),
     IF('Waste results'!$S$31&lt;&gt;"data missing", Calc!BC119*'Waste results'!$S$31, "data missing"),
   IF(AND(Calc!BC119=0,Calc!BE119=0),
     IF('Waste results'!$S$67&lt;&gt;"data missing", Calc!BD119*'Waste results'!$S$67, "data missing"),
   IF(AND(Calc!BC119=0,Calc!BD119=0),
     IF('Waste results'!$S$103&lt;&gt;"data missing", Calc!BE119*'Waste results'!$S$103, "data missing"),
   IF(Calc!BE119=0,
     IF(OR('Waste results'!$S$31&lt;&gt;"data missing", 'Waste results'!$S$67&lt;&gt;"data missing"), Calc!BC119*'Waste results'!$S$31+ Calc!BD119*'Waste results'!$S$67, "data missing"),
   IF(Calc!BD119=0,
     IF(OR('Waste results'!$S$31&lt;&gt;"data missing", 'Waste results'!$S$103&lt;&gt;"data missing"), Calc!BC119*'Waste results'!$S$31+ Calc!BE119*'Waste results'!$S$103, "data missing"),
   IF(Calc!BC119=0,
     IF(OR('Waste results'!$S$67&lt;&gt;"data missing", 'Waste results'!$S$103&lt;&gt;"data missing"), Calc!BD119*'Waste results'!$S$67+Calc!BE119*'Waste results'!$S$103, "data missing"),
   IF(OR('Waste results'!$S$31&lt;&gt;"data missing", 'Waste results'!$S$67&lt;&gt;"data missing", 'Waste results'!$S$103&lt;&gt;"data missing"), Calc!BC119*'Waste results'!$S$31+Calc!BD119*'Waste results'!$S$67+ Calc!BE119*'Waste results'!$S$103, "data missing")))))))))))</f>
        <v/>
      </c>
      <c r="BQ121" s="239" t="str">
        <f ca="1">IF($B121="","",
IF(ISBLANK('Soil results'!Q124),"data missing",'Soil results'!Q124))</f>
        <v/>
      </c>
      <c r="BR121" s="239" t="str">
        <f t="shared" ca="1" si="50"/>
        <v/>
      </c>
      <c r="BS121" s="9" t="str">
        <f ca="1">IF(B121="","",
IF(BP121=0,"n/a",
IF(OR(BP121="data missing",BQ121=""),"data missing",
IF(BP121&gt;15,"application rate too high - permissible rate exceeds limit",
IF('Soil results'!F124&lt;=5.5,
  IF(BQ121&gt;200,"no application - soil conc. already above limit",
  IF(BR121&gt;200,"application rate too high - soil conc. will exceed limit",
  IF(BQ121&gt;200*0.9,"soil conc. is at or above 90% of the limit",
  IF(10*BP121*1000/3000+BQ121&gt;200,"soil limit likely to be exceeded in 10yrs",
  IF(50*BP121*1000/3000+BQ121&gt;200,"soil limit likely to be exceeded in 50yrs","ok"))))),
IF('Soil results'!F124&lt;=6,
  IF(BQ121&gt;250,"no application - soil conc. already above limit",
  IF(BR121&gt;250,"application rate too high - soil conc. will exceed limit",
  IF(BQ121&gt;250*0.9,"soil conc. is at or above 90% of the limit",
  IF(10*BP121*1000/3000+BQ121&gt;250,"soil limit likely to be exceeded in 10yrs",
  IF(50*BP121*1000/3000+BQ121&gt;250,"soil limit likely to be exceeded in 50yrs","ok"))))),
IF('Soil results'!F124&lt;=7,
  IF(BQ121&gt;300,"no application - soil conc. already above limit",
  IF(BR121&gt;300,"application rate too high - soil conc. will exceed limit",
  IF(BQ121&gt;300*0.9,"soil conc. is at or above 90% of the limit",
  IF(10*BP121*1000/3000+BQ121&gt;300,"soil limit likey to be exceeded in 10yrs",
  IF(50*BP121*1000/3000+BQ121&gt;300,"soil limit likely to be exceeded in 50yrs","ok"))))),
IF('Soil results'!F124&gt;7,
  IF(BQ121&gt;450,"no application - soil conc. already above limit",
  IF(BR121&gt;450,"application rate too high - soil conc. will exceed limit",
  IF(AW121&gt;450*0.9,"soil conc. is at or above 90% of the limit",
  IF(10*BP121*1000/3000+BQ121&gt;450,"soil limit likely to be exceeded in 10yrs",
  IF(50*BP121*1000/3000+BQ121&gt;450,"soil limit likely to be exceeded in 50yrs","ok")))))
))))))))</f>
        <v/>
      </c>
    </row>
    <row r="122" spans="2:71" ht="15" x14ac:dyDescent="0.25">
      <c r="B122" s="236" t="str">
        <f ca="1">'Soil results'!B125</f>
        <v/>
      </c>
      <c r="C122" s="91" t="str">
        <f ca="1">IF(B122="","",
IF(AND('Field information 2'!$O$5="", 'Field information 2'!$Q$5=""),
   IF('Waste results'!$S$12&lt;&gt;"data missing", Calc!BC120*'Waste results'!$S$12, "data missing"),
IF('Field information 2'!$Q$5="",
   IF(Calc!BD120=0,
     IF('Waste results'!$S$12&lt;&gt;"data missing", Calc!BC120*'Waste results'!$S$12, "data missing"),
   IF(Calc!BC120=0,
     IF('Waste results'!$S$48&lt;&gt;"data missing", Calc!BD120*'Waste results'!$S$48, "data missing"),
   IF(OR('Waste results'!$S$12&lt;&gt;"data missing", 'Waste results'!$S$48&lt;&gt;"data missing"), Calc!BC120*'Waste results'!$S$12+ Calc!BD120*'Waste results'!$S$48, "data missing"))),
IF(AND('Field information 2'!$M$5&lt;&gt;"", 'Field information 2'!$O$5&lt;&gt;"", 'Field information 2'!$Q$5&lt;&gt;""),
   IF(AND(Calc!BD120=0,Calc!BE120=0),
     IF('Waste results'!$S$12&lt;&gt;"data missing", Calc!BC120*'Waste results'!$S$12, "data missing"),
   IF(AND(Calc!BC120=0,Calc!BE120=0),
     IF('Waste results'!$S$48&lt;&gt;"data missing", Calc!BD120*'Waste results'!$S$48, "data missing"),
   IF(AND(Calc!BC120=0,Calc!BD120=0),
     IF('Waste results'!$S$84&lt;&gt;"data missing", Calc!BE120*'Waste results'!$S$84, "data missing"),
   IF(Calc!BE120=0,
     IF(OR('Waste results'!$S$12&lt;&gt;"data missing", 'Waste results'!$S$48&lt;&gt;"data missing"), Calc!BC120*'Waste results'!$S$12+ Calc!BD120*'Waste results'!$S$48, "data missing"),
   IF(Calc!BD120=0,
     IF(OR('Waste results'!$S$12&lt;&gt;"data missing", 'Waste results'!$S$84&lt;&gt;"data missing"), Calc!BC120*'Waste results'!$S$12+ Calc!BE120*'Waste results'!$S$84, "data missing"),
   IF(Calc!BC120=0,
     IF(OR('Waste results'!$S$48&lt;&gt;"data missing", 'Waste results'!$S$84&lt;&gt;"data missing"), Calc!BD120*'Waste results'!$S$48+Calc!BE120*'Waste results'!$S$84, "data missing"),
   IF(OR('Waste results'!$S$12&lt;&gt;"data missing", 'Waste results'!$S$48&lt;&gt;"data missing", 'Waste results'!$S$84&lt;&gt;"data missing"), Calc!BC120*'Waste results'!$S$12+Calc!BD120*'Waste results'!$S$48+ Calc!BE120*'Waste results'!$S$84, "data missing")))))))))))</f>
        <v/>
      </c>
      <c r="D122" s="161" t="str">
        <f ca="1">IF(B122="","",
IF(Calc!BG120="","soil texture missing",
IF(OR(Calc!BG120="SL; SZL; ZL",Calc!BG120="SCL; CL; ZCL; SC; ZC; C"),VLOOKUP(Calc!BI120,'Fertiliser recommendations'!$A$4:$C$63,3,FALSE),
IF(Calc!BG120="S; LS",VLOOKUP(Calc!BI120,'Fertiliser recommendations'!$A$4:$C$63,3,FALSE)+VLOOKUP(Calc!BI120,'Fertiliser recommendations'!$A$4:$D$63,4,FALSE),
IF(Calc!BG120="10-25% OM",VLOOKUP(Calc!BI120,'Fertiliser recommendations'!$A$4:$C$63,3,FALSE)+VLOOKUP(Calc!BI120,'Fertiliser recommendations'!$A$4:$E$63,5,FALSE),
IF(Calc!BG120="&gt;25% OM",VLOOKUP(Calc!BI120,'Fertiliser recommendations'!$A$4:$C$63,3,FALSE)+VLOOKUP(Calc!BI120,'Fertiliser recommendations'!$A$4:$F$63,6,FALSE),
""))))))</f>
        <v/>
      </c>
      <c r="E122" s="91" t="str">
        <f t="shared" ca="1" si="34"/>
        <v/>
      </c>
      <c r="F122" s="9" t="str">
        <f ca="1">IF(B122="","",
IF(OR(C122="data missing",D122="soil texture missing"),"data missing",
IF(Calc!BF120=0,"n/a",
IF(C122&lt;0.1*D122,"no benefit",
IF(C122&lt;0.3*D122,"limited benefit",
IF(C122&gt;250,"exceeds limit",
IF(OR(AND(D122=0,C122&gt;75),C122&gt;1.25*D122),"excessive",
IF(D122=0, "no requirement",
"benefit"))))))))</f>
        <v/>
      </c>
      <c r="G122" s="9"/>
      <c r="H122" s="91" t="str">
        <f ca="1">IF(B122="","",
IF(AND('Field information 2'!$O$5="", 'Field information 2'!$Q$5=""),
   IF('Waste results'!$S$17&lt;&gt;"data missing", Calc!BC120*'Waste results'!$S$17, "data missing"),
IF('Field information 2'!$Q$5="",
   IF(Calc!BD120=0,
     IF('Waste results'!$S$17&lt;&gt;"data missing", Calc!BC120*'Waste results'!$S$17, "data missing"),
   IF(Calc!BC120=0,
     IF('Waste results'!$S$53&lt;&gt;"data missing", Calc!BD120*'Waste results'!$S$53, "data missing"),
   IF(OR('Waste results'!$S$17&lt;&gt;"data missing", 'Waste results'!$S$53&lt;&gt;"data missing"), Calc!BC120*'Waste results'!$S$17+ Calc!BD120*'Waste results'!$S$53, "data missing"))),
IF(AND('Field information 2'!$M$5&lt;&gt;"", 'Field information 2'!$O$5&lt;&gt;"", 'Field information 2'!$Q$5&lt;&gt;""),
   IF(AND(Calc!BD120=0,Calc!BE120=0),
     IF('Waste results'!$S$17&lt;&gt;"data missing", Calc!BC120*'Waste results'!$S$17, "data missing"),
   IF(AND(Calc!BC120=0,Calc!BE120=0),
     IF('Waste results'!$S$53&lt;&gt;"data missing", Calc!BD120*'Waste results'!$S$53, "data missing"),
   IF(AND(Calc!BC120=0,Calc!BD120=0),
     IF('Waste results'!$S$89&lt;&gt;"data missing", Calc!BE120*'Waste results'!$S$89, "data missing"),
   IF(Calc!BE120=0,
     IF(OR('Waste results'!$S$17&lt;&gt;"data missing", 'Waste results'!$S$53&lt;&gt;"data missing"), Calc!BC120*'Waste results'!$S$17+ Calc!BD120*'Waste results'!$S$53, "data missing"),
   IF(Calc!BD120=0,
     IF(OR('Waste results'!$S$17&lt;&gt;"data missing", 'Waste results'!$S$89&lt;&gt;"data missing"), Calc!BC120*'Waste results'!$S$17+ Calc!BE120*'Waste results'!$S$89, "data missing"),
   IF(Calc!BC120=0,
     IF(OR('Waste results'!$S$53&lt;&gt;"data missing", 'Waste results'!$S$89&lt;&gt;"data missing"), Calc!BD120*'Waste results'!$S$53+Calc!BE120*'Waste results'!$S$89, "data missing"),
   IF(OR('Waste results'!$S$17&lt;&gt;"data missing", 'Waste results'!$S$53&lt;&gt;"data missing", 'Waste results'!$S$89&lt;&gt;"data missing"), Calc!BC120*'Waste results'!$S$17+Calc!BD120*'Waste results'!$S$53+ Calc!BE120*'Waste results'!$S$89, "data missing")))))))))))</f>
        <v/>
      </c>
      <c r="I122" s="195" t="str">
        <f ca="1">IF(B122="","",
IF(OR(ISBLANK('Soil results'!G125), ISBLANK('Soil results'!G$7)),"data missing",
IF(OR(AND('Soil results'!G$7="Olsen (ADAS)",'Soil results'!G125&lt;16),AND('Soil results'!G$7="modified Morgan (SAC)",'Soil results'!G125&lt;4.5)),50,100)))</f>
        <v/>
      </c>
      <c r="J122" s="49" t="str">
        <f ca="1">IF(B122="","",
IF(OR(ISBLANK('Soil results'!G$7),ISBLANK('Soil results'!G125)),"data missing",
IF(OR(AND('Soil results'!G$7="Olsen (ADAS)",'Soil results'!G125&gt;45),AND('Soil results'!G$7="modified Morgan (SAC)",'Soil results'!G125&gt;30)),0,
IF(OR(AND('Soil results'!G$7="Olsen (ADAS)",'Soil results'!G125&gt;=16,'Soil results'!G125&lt;=20),AND('Soil results'!G$7="modified Morgan (SAC)",'Soil results'!G125&gt;=4.5,'Soil results'!G125&lt;=9.4)),VLOOKUP(Calc!BI120,'Fertiliser recommendations'!$A$4:$I$63,9,FALSE),
IF(OR(AND('Soil results'!G$7="Olsen (ADAS)",'Soil results'!G125&lt;10),AND('Soil results'!G$7="modified Morgan (SAC)",'Soil results'!G125&lt;1.8)),VLOOKUP(Calc!BI120,'Fertiliser recommendations'!$A$4:$I$63,9,FALSE)+VLOOKUP(Calc!BI120,'Fertiliser recommendations'!$A$4:$J$63,10,FALSE),
IF(OR(AND('Soil results'!G$7="Olsen (ADAS)",'Soil results'!G125&lt;16),AND('Soil results'!G$7="modified Morgan (SAC)",'Soil results'!G125&lt;4.5)),VLOOKUP(Calc!BI120,'Fertiliser recommendations'!$A$4:$I$63,9,FALSE)+VLOOKUP(Calc!BI120,'Fertiliser recommendations'!$A$4:$K$63,11,FALSE),
IF(OR(AND('Soil results'!G$7="Olsen (ADAS)",'Soil results'!G125&lt;26),AND('Soil results'!G$7="modified Morgan (SAC)",'Soil results'!G125&lt;13.5)),VLOOKUP(Calc!BI120,'Fertiliser recommendations'!$A$4:$I$63,9,FALSE)+VLOOKUP(Calc!BI120,'Fertiliser recommendations'!$A$4:$L$63,12,FALSE),
IF(OR(AND('Soil results'!G$7="Olsen (ADAS)",'Soil results'!G125&lt;=45),AND('Soil results'!G$7="modified Morgan (SAC)",'Soil results'!G125&lt;=30)),VLOOKUP(Calc!BI120,'Fertiliser recommendations'!$A$4:$I$63,9,FALSE)+VLOOKUP(Calc!BI120,'Fertiliser recommendations'!$A$4:$M$63,13,FALSE),
""))))))))</f>
        <v/>
      </c>
      <c r="K122" s="161" t="str">
        <f t="shared" ca="1" si="35"/>
        <v/>
      </c>
      <c r="L122" s="47" t="str">
        <f ca="1">IF(OR(ISBLANK('Soil results'!G$7),ISBLANK('Soil results'!G125),B122="", H122="data missing"),"",
IF('Soil results'!G$7="Olsen (ADAS)",
IF(((H122*Calc!BM120/2.291-(VLOOKUP(Calc!BI120,'Fertiliser recommendations'!$A$4:$I$63,9,FALSE))/2.291)*10/(400/2.291)+'Soil results'!G125)&lt;10,"0 (VL)",
IF(((H122*Calc!BM120/2.291-(VLOOKUP(Calc!BI120,'Fertiliser recommendations'!$A$4:$I$63,9,FALSE))/2.291)*10/(400/2.291)+'Soil results'!G125)&lt;16,"1 (L)",
IF(((H122*Calc!BM120/2.291-(VLOOKUP(Calc!BI120,'Fertiliser recommendations'!$A$4:$I$63,9,FALSE))/2.291)*10/(400/2.291)+'Soil results'!G125)&lt;21,"2 (M-)",
IF(((H122*Calc!BM120/2.291-(VLOOKUP(Calc!BI120,'Fertiliser recommendations'!$A$4:$I$63,9,FALSE))/2.291)*10/(400/2.291)+'Soil results'!G125)&lt;26,"2 (M+)",
IF(((H122*Calc!BM120/2.291-(VLOOKUP(Calc!BI120,'Fertiliser recommendations'!$A$4:$I$63,9,FALSE))/2.291)*10/(400/2.291)+'Soil results'!G125)&lt;45,"3 (H)","&gt;3 (VH)"))))),
IF('Soil results'!G$7="modified Morgan (SAC)",
IF('Soil results'!G125&gt;=6,
IF(((H122*Calc!BM120/2.291-(VLOOKUP(Calc!BI120,'Fertiliser recommendations'!$A$4:$I$63,9,FALSE))/2.291)*5/(147/2.291)+'Soil results'!G125)&lt;9.5,"2 (M-)",
IF(((H122*Calc!BM120/2.291-(VLOOKUP(Calc!BI120,'Fertiliser recommendations'!$A$4:$I$63,9,FALSE))/2.291)*5/(147/2.291)+'Soil results'!G125)&lt;13.5,"2 (M+)",
IF(((H122*Calc!BM120/2.291-(VLOOKUP(Calc!BI120,'Fertiliser recommendations'!$A$4:$I$63,9,FALSE))/2.291)*5/(147/2.291)+'Soil results'!G125)&lt;30,"3 (H)","4 (VH)"))),
IF(((H122*Calc!BM120/2.291-(VLOOKUP(Calc!BI120,'Fertiliser recommendations'!$A$4:$I$63,9,FALSE))/2.291)*5/(346/2.291)+'Soil results'!G125)&lt;1.8,"0 (VL)",
IF(((H122*Calc!BM120/2.291-(VLOOKUP(Calc!BI120,'Fertiliser recommendations'!$A$4:$I$63,9,FALSE))/2.291)*5/(147/2.291)+'Soil results'!G125)&lt;4.5,"1 (L)","2 (M-)"))))))</f>
        <v/>
      </c>
      <c r="M122" s="9" t="str">
        <f ca="1">IF(B122="","",
IF(OR(H122="data missing",I122="data missing",J122="data missing"),"data missing",
IF(Calc!BF120=0,"n/a",
IF(OR(AND('Soil results'!G$7="Olsen (ADAS)",'Soil results'!G125&gt;45),AND('Soil results'!G$7="modified Morgan (SAC)",'Soil results'!G125&gt;30)),
IF(H122&gt;2,"too high, not acceptable","no requirement"),IF(OR(AND('Soil results'!G$7="Olsen (ADAS)",'Soil results'!G125&gt;25),AND('Soil results'!G$7="modified Morgan (SAC)",'Soil results'!G125&gt;13.4)),
IF(H122*(I122/100)&lt;0.1*J122,"no benefit",
IF(H122*(I122/100)&lt;0.3*J122,"limited benefit",
IF(H122*(I122/100)&lt;1.1*J122,"benefit",
IF(H122*(I122/100)&lt;0.7*VLOOKUP(Calc!BI120,'Fertiliser recommendations'!$A$4:$I$63,9,FALSE),"excessive","too high, not acceptable")))),
IF(OR(AND('Soil results'!G$7="Olsen (ADAS)",'Soil results'!G125&gt;20),AND('Soil results'!G$7="modified Morgan (SAC)",'Soil results'!G125&gt;9.4)),
IF(H122*Calc!BM120*(I122/100)&lt;0.1*J122,"no benefit",
IF(H122*Calc!BM120*(I122/100)&lt;0.3*J122,"limited benefit",
IF(H122*Calc!BM120*(I122/100)&lt;1.1*J122,"benefit",
IF(L122="3 (H)","too high, not acceptable","excessive")))),
IF(OR(AND('Soil results'!G$7="Olsen (ADAS)",'Soil results'!G125&gt;15),AND('Soil results'!G$7="modified Morgan (SAC)",'Soil results'!G125&gt;4.4)),
IF(H122*Calc!BM120*(I122/100)&lt;0.1*VLOOKUP(Calc!BI120,'Fertiliser recommendations'!$A$4:$I$63,9,FALSE),"no benefit",
IF(H122*Calc!BM120*(I122/100)&lt;0.3*VLOOKUP(Calc!BI120,'Fertiliser recommendations'!$A$4:$I$63,9,FALSE),"limited benefit",
IF(H122*Calc!BM120*(I122/100)&lt;1.1*VLOOKUP(Calc!BI120,'Fertiliser recommendations'!$A$4:$I$63,9,FALSE),"benefit",
IF(L122="3 (H)", "too high, not acceptable", "excessive")))),
IF(OR(AND('Soil results'!G$7="Olsen (ADAS)",'Soil results'!G125&lt;=15),AND('Soil results'!G$7="modified Morgan (SAC)",'Soil results'!G125&lt;=4.4)),
IF(H122*Calc!BM120*(I122/100)&lt;0.1*VLOOKUP(Calc!BI120,'Fertiliser recommendations'!$A$4:$I$63,9,FALSE),"no benefit",
IF(H122*Calc!BM120*(I122/100)&lt;0.3*VLOOKUP(Calc!BI120,'Fertiliser recommendations'!$A$4:$I$63,9,FALSE),"limited benefit",
IF(H122*Calc!BM120*(I122/100)&lt;1.1*J122,"benefit","excessive")))))))))))</f>
        <v/>
      </c>
      <c r="N122" s="9"/>
      <c r="O122" s="91" t="str">
        <f ca="1">IF(B122="","",
IF(AND('Field information 2'!$O$5="", 'Field information 2'!$Q$5=""),
   IF('Waste results'!$S$19&lt;&gt;"data missing", Calc!BC120*'Waste results'!$S$19, "data missing"),
IF('Field information 2'!$Q$5="",
   IF(Calc!BD120=0,
     IF('Waste results'!$S$19&lt;&gt;"data missing", Calc!BC120*'Waste results'!$S$19, "data missing"),
   IF(Calc!BC120=0,
     IF('Waste results'!$S$55&lt;&gt;"data missing", Calc!BD120*'Waste results'!$S$55, "data missing"),
   IF(OR('Waste results'!$S$19&lt;&gt;"data missing", 'Waste results'!$S$55&lt;&gt;"data missing"), Calc!BC120*'Waste results'!$S$19+ Calc!BD120*'Waste results'!$S$55, "data missing"))),
IF(AND('Field information 2'!$M$5&lt;&gt;"", 'Field information 2'!$O$5&lt;&gt;"", 'Field information 2'!$Q$5&lt;&gt;""),
   IF(AND(Calc!BD120=0,Calc!BE120=0),
     IF('Waste results'!$S$19&lt;&gt;"data missing", Calc!BC120*'Waste results'!$S$19, "data missing"),
   IF(AND(Calc!BC120=0,Calc!BE120=0),
     IF('Waste results'!$S$55&lt;&gt;"data missing", Calc!BD120*'Waste results'!$S$55, "data missing"),
   IF(AND(Calc!BC120=0,Calc!BD120=0),
     IF('Waste results'!$S$91&lt;&gt;"data missing", Calc!BE120*'Waste results'!$S$91, "data missing"),
   IF(Calc!BE120=0,
     IF(OR('Waste results'!$S$19&lt;&gt;"data missing", 'Waste results'!$S$55&lt;&gt;"data missing"), Calc!BC120*'Waste results'!$S$19+ Calc!BD120*'Waste results'!$S$55, "data missing"),
   IF(Calc!BD120=0,
     IF(OR('Waste results'!$S$19&lt;&gt;"data missing", 'Waste results'!$S$91&lt;&gt;"data missing"), Calc!BC120*'Waste results'!$S$19+ Calc!BE120*'Waste results'!$S$91, "data missing"),
   IF(Calc!BC120=0,
     IF(OR('Waste results'!$S$55&lt;&gt;"data missing", 'Waste results'!$S$91&lt;&gt;"data missing"), Calc!BD120*'Waste results'!$S$55+Calc!BE120*'Waste results'!$S$91, "data missing"),
   IF(OR('Waste results'!$S$19&lt;&gt;"data missing", 'Waste results'!$S$55&lt;&gt;"data missing", 'Waste results'!$S$91&lt;&gt;"data missing"), Calc!BC120*'Waste results'!$S$19+Calc!BD120*'Waste results'!$S$55+ Calc!BE120*'Waste results'!$S$91, "data missing")))))))))))</f>
        <v/>
      </c>
      <c r="P122" s="91" t="str">
        <f ca="1">IF(B122="","",
IF(OR(ISBLANK('Soil results'!H$7),ISBLANK('Soil results'!H125)),"data missing",
IF(OR(AND('Soil results'!H$7="ammonium nitrate (ADAS)",'Soil results'!H125&gt;400),AND('Soil results'!H$7="modified Morgan (SAC)",'Soil results'!H125&gt;400)),0,
IF(OR(AND('Soil results'!H$7="ammonium nitrate (ADAS)",'Soil results'!H125&gt;=121,'Soil results'!H125&lt;=180),AND('Soil results'!H$7="modified Morgan (SAC)",'Soil results'!H125&gt;=76,'Soil results'!H125&lt;=140)),VLOOKUP(Calc!BI120,'Fertiliser recommendations'!$A$4:$Z$63,26,FALSE),
IF(OR(AND('Soil results'!H$7="ammonium nitrate (ADAS)",'Soil results'!H125&lt;61),AND('Soil results'!H$7="modified Morgan (SAC)",'Soil results'!H125&lt;40)),VLOOKUP(Calc!BI120,'Fertiliser recommendations'!$A$4:$Z$63,26,FALSE)+VLOOKUP(Calc!BI120,'Fertiliser recommendations'!$A$4:$AA$63,27,FALSE),
IF(OR(AND('Soil results'!H$7="ammonium nitrate (ADAS)",'Soil results'!H125&lt;121),AND('Soil results'!H$7="modified Morgan (SAC)",'Soil results'!H125&lt;76)),VLOOKUP(Calc!BI120,'Fertiliser recommendations'!$A$4:$Z$63,26,FALSE)+VLOOKUP(Calc!BI120,'Fertiliser recommendations'!$A$4:$AB$63,28,FALSE),
IF(OR(AND('Soil results'!H$7="ammonium nitrate (ADAS)",'Soil results'!H125&lt;241),AND('Soil results'!H$7="modified Morgan (SAC)",'Soil results'!H125&lt;201)),VLOOKUP(Calc!BI120,'Fertiliser recommendations'!$A$4:$Z$63,26,FALSE)+VLOOKUP(Calc!BI120,'Fertiliser recommendations'!$A$4:$AC$63,29,FALSE),
IF(OR(AND('Soil results'!H$7="ammonium nitrate (ADAS)",'Soil results'!H125&lt;=400),AND('Soil results'!H$7="modified Morgan (SAC)",'Soil results'!H125&lt;=400)),VLOOKUP(Calc!BI120,'Fertiliser recommendations'!$A$4:$Z$63,26,FALSE)+VLOOKUP(Calc!BI120,'Fertiliser recommendations'!$A$4:$AD$63,30,FALSE),
"??"))))))))</f>
        <v/>
      </c>
      <c r="Q122" s="91" t="str">
        <f t="shared" ca="1" si="36"/>
        <v/>
      </c>
      <c r="R122" s="9" t="str">
        <f ca="1">IF(B122="","",
IF(OR(O122="data missing",P122="data missing"),"data missing",
IF(Calc!BF120=0,"n/a",
IF(P122=0, "no requirement",
IF(O122&lt;0.1*P122,"no benefit",
IF(O122&lt;0.3*P122,"limited benefit",
IF(O122&gt;1.25*P122,"excessive",
"benefit")))))))</f>
        <v/>
      </c>
      <c r="S122" s="9"/>
      <c r="T122" s="91" t="str">
        <f ca="1">IF(B122="","",
IF(AND('Field information 2'!$O$5="", 'Field information 2'!$Q$5=""),
   IF('Waste results'!$S$21&lt;&gt;"data missing", Calc!BC120*'Waste results'!$S$21, "data missing"),
IF('Field information 2'!$Q$5="",
   IF(Calc!BD120=0,
     IF('Waste results'!$S$21&lt;&gt;"data missing", Calc!BC120*'Waste results'!$S$21, "data missing"),
   IF(Calc!BC120=0,
     IF('Waste results'!$S$57&lt;&gt;"data missing", Calc!BD120*'Waste results'!$S$57, "data missing"),
   IF(OR('Waste results'!$S$21&lt;&gt;"data missing", 'Waste results'!$S$57&lt;&gt;"data missing"), Calc!BC120*'Waste results'!$S$21+ Calc!BD120*'Waste results'!$S$57, "data missing"))),
IF(AND('Field information 2'!$M$5&lt;&gt;"", 'Field information 2'!$O$5&lt;&gt;"", 'Field information 2'!$Q$5&lt;&gt;""),
   IF(AND(Calc!BD120=0,Calc!BE120=0),
     IF('Waste results'!$S$21&lt;&gt;"data missing", Calc!BC120*'Waste results'!$S$21, "data missing"),
   IF(AND(Calc!BC120=0,Calc!BE120=0),
     IF('Waste results'!$S$57&lt;&gt;"data missing", Calc!BD120*'Waste results'!$S$57, "data missing"),
   IF(AND(Calc!BC120=0,Calc!BD120=0),
     IF('Waste results'!$S$93&lt;&gt;"data missing", Calc!BE120*'Waste results'!$S$93, "data missing"),
   IF(Calc!BE120=0,
     IF(OR('Waste results'!$S$21&lt;&gt;"data missing", 'Waste results'!$S$57&lt;&gt;"data missing"), Calc!BC120*'Waste results'!$S$21+ Calc!BD120*'Waste results'!$S$57, "data missing"),
   IF(Calc!BD120=0,
     IF(OR('Waste results'!$S$21&lt;&gt;"data missing", 'Waste results'!$S$93&lt;&gt;"data missing"), Calc!BC120*'Waste results'!$S$21+ Calc!BE120*'Waste results'!$S$93, "data missing"),
   IF(Calc!BC120=0,
     IF(OR('Waste results'!$S$57&lt;&gt;"data missing", 'Waste results'!$S$93&lt;&gt;"data missing"), Calc!BD120*'Waste results'!$S$57+Calc!BE120*'Waste results'!$S$93, "data missing"),
   IF(OR('Waste results'!$S$21&lt;&gt;"data missing", 'Waste results'!$S$57&lt;&gt;"data missing", 'Waste results'!$S$93&lt;&gt;"data missing"), Calc!BC120*'Waste results'!$S$21+Calc!BD120*'Waste results'!$S$57+ Calc!BE120*'Waste results'!$S$93, "data missing")))))))))))</f>
        <v/>
      </c>
      <c r="U122" s="7" t="str">
        <f ca="1">IF(B122="","",
IF(OR(ISBLANK('Soil results'!I$7),ISBLANK('Soil results'!I125)),"data missing",
IF(OR(AND('Soil results'!I$7="ammonium nitrate (ADAS)",'Soil results'!I125&gt;51),AND('Soil results'!I$7="modified Morgan (SAC)",'Soil results'!I125&gt;61)),0,
IF(OR(AND('Soil results'!I$7="ammonium nitrate (ADAS)",'Soil results'!I125&lt;25),AND('Soil results'!I$7="modified Morgan (SAC)",'Soil results'!I125&lt;19)),VLOOKUP(Calc!BI120,'Fertiliser recommendations'!$A$4:$AH$63,34,FALSE),
IF(OR(AND('Soil results'!I$7="ammonium nitrate (ADAS)",'Soil results'!I125&lt;=51),AND('Soil results'!I$7="modified Morgan (SAC)",'Soil results'!I125&lt;=61)),VLOOKUP(Calc!BI120,'Fertiliser recommendations'!$A$4:$AI$63,35,FALSE),
"")))))</f>
        <v/>
      </c>
      <c r="V122" s="91" t="str">
        <f t="shared" ca="1" si="37"/>
        <v/>
      </c>
      <c r="W122" s="9" t="str">
        <f ca="1">IF(B122="","",
IF(OR(T122="data missing",U122="data missing"),"data missing",
IF(Calc!BF120=0,"n/a",
IF(U122=0,"no requirement",
IF(T122&lt;0.1*U122,"no benefit",
IF(T122&lt;0.3*U122,"limited benefit",
IF(OR(T122&gt;1.5*U122,AND(Calc!BJ120="g",T122&gt;100)),"excessive",
"benefit")))))))</f>
        <v/>
      </c>
      <c r="X122" s="9"/>
      <c r="Y122" s="91" t="str">
        <f ca="1">IF(B122="","",
IF(AND('Field information 2'!$O$5="", 'Field information 2'!$Q$5=""),
   IF('Waste results'!$P$23&lt;&gt;"", Calc!BC120*'Waste results'!$P$23, "no data"),
IF('Field information 2'!$Q$5="",
   IF(Calc!BD120=0,
     IF('Waste results'!$P$23&lt;&gt;"", Calc!BC120*'Waste results'!$P$23, "no data"),
   IF(Calc!BC120=0,
     IF('Waste results'!$P$59&lt;&gt;"", Calc!BD120*'Waste results'!$P$59, "no data"),
   IF(OR('Waste results'!$P$23&lt;&gt;"", 'Waste results'!$P$59&lt;&gt;""), Calc!BC120*'Waste results'!$P$23+ Calc!BD120*'Waste results'!$P$59, "no data"))),
IF(AND('Field information 2'!$M$5&lt;&gt;"", 'Field information 2'!$O$5&lt;&gt;"", 'Field information 2'!$Q$5&lt;&gt;""),
   IF(AND(Calc!BD120=0,Calc!BE120=0),
     IF('Waste results'!$P$23&lt;&gt;"", Calc!BC120*'Waste results'!$P$23, "no data"),
   IF(AND(Calc!BC120=0,Calc!BE120=0),
     IF('Waste results'!$P$59&lt;&gt;"", Calc!BD120*'Waste results'!$P$59, "no data"),
   IF(AND(Calc!BC120=0,Calc!BD120=0),
     IF('Waste results'!$P$95&lt;&gt;"", Calc!BE120*'Waste results'!$P$95, "no data"),
   IF(Calc!BE120=0,
     IF(OR('Waste results'!$P$23&lt;&gt;"", 'Waste results'!$P$59&lt;&gt;""), Calc!BC120*'Waste results'!$P$23+ Calc!BD120*'Waste results'!$P$59, "no data"),
   IF(Calc!BD120=0,
     IF(OR('Waste results'!$P$23&lt;&gt;"", 'Waste results'!$P$95&lt;&gt;""), Calc!BC120*'Waste results'!$P$23+ Calc!BE120*'Waste results'!$P$95, "no data"),
   IF(Calc!BC120=0,
     IF(OR('Waste results'!$P$59&lt;&gt;"", 'Waste results'!$P$95&lt;&gt;""), Calc!BD120*'Waste results'!$P$59+Calc!BE120*'Waste results'!$P$95, "no data"),
   IF(OR('Waste results'!$P$23&lt;&gt;"", 'Waste results'!$P$59&lt;&gt;"", 'Waste results'!$P$95&lt;&gt;""), Calc!BC120*'Waste results'!$P$23+Calc!BD120*'Waste results'!$P$59+ Calc!BE120*'Waste results'!$P$95, "no data")))))))))))</f>
        <v/>
      </c>
      <c r="Z122" s="7" t="str">
        <f ca="1">IF(OR(ISBLANK('Soil results'!I$7),ISBLANK('Soil results'!I125),'Soil results'!B125=""),"",
VLOOKUP(Calc!BI120,'Fertiliser recommendations'!$A$4:$AM$63,39,FALSE))</f>
        <v/>
      </c>
      <c r="AA122" s="91" t="str">
        <f t="shared" ca="1" si="38"/>
        <v/>
      </c>
      <c r="AB122" s="9" t="str">
        <f t="shared" ca="1" si="39"/>
        <v/>
      </c>
      <c r="AC122" s="9"/>
      <c r="AD122" s="48" t="str">
        <f>IF(ISBLANK('Soil results'!F125),"",'Soil results'!F125)</f>
        <v/>
      </c>
      <c r="AE122" s="49" t="str">
        <f ca="1">IF(B122="","",
IF(AND(Calc!BJ120="g", VLOOKUP(LEFT($B122,LEN($B122)-2),'Field information 2'!$B$12:$P$111,9,FALSE)&lt;&gt;"yes"),
 IF(Calc!BG120="10-25% OM", 5.9, IF(Calc!BG120="&gt;25% OM", 5.5, 6.2)),
IF(OR(Calc!BJ120="a", VLOOKUP(LEFT($B122,LEN($B122)-2),'Field information 2'!$B$12:$P$111,9,FALSE)="yes"),
 IF(Calc!BG120="10-25% OM", 6.4, IF(Calc!BG120="&gt;25% OM", 6, 6.7)), "")))</f>
        <v/>
      </c>
      <c r="AF122" s="91" t="str">
        <f ca="1">IF(B122="","",
IF('Waste results'!$Q$33="","no (significant) liming properties",
IF('Waste results'!Q$33&gt;100,"no (significant) liming properties",
IF(AD122="","",
IF(AD122&gt;=AE122,0,ROUNDDOWN((AE122-AD122)*Calc!BK120*'Waste results'!$Q$33+0.2,0))))))</f>
        <v/>
      </c>
      <c r="AG122" s="9" t="str">
        <f ca="1">IF(B122="","",
IF(T122=0,"n/a",
IF(AD122="","data missing",
IF(AND(AD122&lt;5,AF122="no (significant) liming properties"),"no waste application - pH too low",
IF(AND(AD122&gt;5.1,AF122="no (significant) liming properties",Calc!BH120&gt;25, LEFT(Calc!BI120,4)="graz"),"ok",
IF(AND(AD122&lt;=5.2,AF122="no (significant) liming properties"),"liming highly recommended",
IF(AF122=0,"no waste application - liming not required",
IF(AF122&lt;Calc!BC120,"application rate too high - exceeds liming requirement",
"ok"))))))))</f>
        <v/>
      </c>
      <c r="AH122" s="9"/>
      <c r="AI122" s="91" t="str">
        <f ca="1">IF(B122="","",
IF(AND('Field information 2'!$O$5="", 'Field information 2'!$Q$5=""),
   IF('Waste results'!$P$10&lt;&gt;"data missing", Calc!BC120*'Waste results'!$P$10, "data missing"),
IF('Field information 2'!$Q$5="",
   IF(Calc!BD120=0,
     IF('Waste results'!$P$10&lt;&gt;"data missing", Calc!BC120*'Waste results'!$P$10, "data missing"),
   IF(Calc!BC120=0,
     IF('Waste results'!$P$45&lt;&gt;"data missing", Calc!BD120*'Waste results'!$P$45, "data missing"),
   IF(OR('Waste results'!$P$10&lt;&gt;"data missing", 'Waste results'!$P$45&lt;&gt;"data missing"), Calc!BC120*'Waste results'!$P$10+ Calc!BD120*'Waste results'!$P$45, "data missing"))),
IF(AND('Field information 2'!$M$5&lt;&gt;"", 'Field information 2'!$O$5&lt;&gt;"", 'Field information 2'!$Q$5&lt;&gt;""),
   IF(AND(Calc!BD120=0,Calc!BE120=0),
     IF('Waste results'!$P$10&lt;&gt;"data missing", Calc!BC120*'Waste results'!$P$10, "data missing"),
   IF(AND(Calc!BC120=0,Calc!BE120=0),
     IF('Waste results'!$P$45&lt;&gt;"data missing", Calc!BD120*'Waste results'!$P$45, "data missing"),
   IF(AND(Calc!BC120=0,Calc!BD120=0),
     IF('Waste results'!$P$82&lt;&gt;"data missing", Calc!BE120*'Waste results'!$P$82, "data missing"),
   IF(Calc!BE120=0,
     IF(OR('Waste results'!$P$10&lt;&gt;"data missing", 'Waste results'!$P$45&lt;&gt;"data missing"), Calc!BC120*'Waste results'!$P$10+ Calc!BD120*'Waste results'!$P$45, "data missing"),
   IF(Calc!BD120=0,
     IF(OR('Waste results'!$P$10&lt;&gt;"data missing", 'Waste results'!$P$82&lt;&gt;"data missing"), Calc!BC120*'Waste results'!$P$10+ Calc!BE120*'Waste results'!$P$82, "data missing"),
   IF(Calc!BC120=0,
     IF(OR('Waste results'!$P$45&lt;&gt;"data missing", 'Waste results'!$P$82&lt;&gt;"data missing"), Calc!BD120*'Waste results'!$P$45+Calc!BE120*'Waste results'!$P$82, "data missing"),
   IF(OR('Waste results'!$P$10&lt;&gt;"data missing", 'Waste results'!$P$45&lt;&gt;"data missing", 'Waste results'!$P$82&lt;&gt;"data missing"), Calc!BC120*'Waste results'!$P$10+Calc!BD120*'Waste results'!$P$45+ Calc!BE120*'Waste results'!$P$82, "data missing")))))))))))</f>
        <v/>
      </c>
      <c r="AJ122" s="237" t="str">
        <f ca="1">IF(B122="","",
IF(AI122="data missing","data missing",
IF(Calc!BF120=0,"n/a",
IF(AND(Calc!BH120&gt;=8,AI122&lt;500),"no benefit",
IF(OR(AND(Calc!BH120&lt;=4,AI122&gt;=500),AND(Calc!BH120&lt;8,AI122&gt;5000)),"benefit",
"limited benefit")))))</f>
        <v/>
      </c>
      <c r="AK122" s="9"/>
      <c r="AL122" s="238" t="str">
        <f ca="1">IF(B122="","",
IF(AND('Field information 2'!$O$5="", 'Field information 2'!$Q$5=""),
   IF('Waste results'!$S$25&lt;&gt;"data missing", Calc!BC120*'Waste results'!$S$25, "data missing"),
IF('Field information 2'!$Q$5="",
   IF(Calc!BD120=0,
     IF('Waste results'!$S$25&lt;&gt;"data missing", Calc!BC120*'Waste results'!$S$25, "data missing"),
   IF(Calc!BC120=0,
     IF('Waste results'!$S$61&lt;&gt;"data missing", Calc!BD120*'Waste results'!$S$61, "data missing"),
   IF(OR('Waste results'!$S$25&lt;&gt;"data missing", 'Waste results'!$S$61&lt;&gt;"data missing"), Calc!BC120*'Waste results'!$S$25+ Calc!BD120*'Waste results'!$S$61, "data missing"))),
IF(AND('Field information 2'!$M$5&lt;&gt;"", 'Field information 2'!$O$5&lt;&gt;"", 'Field information 2'!$Q$5&lt;&gt;""),
   IF(AND(Calc!BD120=0,Calc!BE120=0),
     IF('Waste results'!$S$25&lt;&gt;"data missing", Calc!BC120*'Waste results'!$S$25, "data missing"),
   IF(AND(Calc!BC120=0,Calc!BE120=0),
     IF('Waste results'!$S$61&lt;&gt;"data missing", Calc!BD120*'Waste results'!$S$61, "data missing"),
   IF(AND(Calc!BC120=0,Calc!BD120=0),
     IF('Waste results'!$S$97&lt;&gt;"data missing", Calc!BE120*'Waste results'!$S$97, "data missing"),
   IF(Calc!BE120=0,
     IF(OR('Waste results'!$S$25&lt;&gt;"data missing", 'Waste results'!$S$61&lt;&gt;"data missing"), Calc!BC120*'Waste results'!$S$25+ Calc!BD120*'Waste results'!$S$61, "data missing"),
   IF(Calc!BD120=0,
     IF(OR('Waste results'!$S$25&lt;&gt;"data missing", 'Waste results'!$S$97&lt;&gt;"data missing"), Calc!BC120*'Waste results'!$S$25+ Calc!BE120*'Waste results'!$S$97, "data missing"),
   IF(Calc!BC120=0,
     IF(OR('Waste results'!$S$61&lt;&gt;"data missing", 'Waste results'!$S$97&lt;&gt;"data missing"), Calc!BD120*'Waste results'!$S$61+Calc!BE120*'Waste results'!$S$97, "data missing"),
   IF(OR('Waste results'!$S$25&lt;&gt;"data missing", 'Waste results'!$S$61&lt;&gt;"data missing", 'Waste results'!$S$97&lt;&gt;"data missing"), Calc!BC120*'Waste results'!$S$25+Calc!BD120*'Waste results'!$S$61+ Calc!BE120*'Waste results'!$S$97, "data missing")))))))))))</f>
        <v/>
      </c>
      <c r="AM122" s="239" t="str">
        <f ca="1">IF($B122="","",
IF(ISBLANK('Soil results'!K125),"data missing",'Soil results'!K125))</f>
        <v/>
      </c>
      <c r="AN122" s="239" t="str">
        <f t="shared" ca="1" si="40"/>
        <v/>
      </c>
      <c r="AO122" s="9" t="str">
        <f t="shared" ca="1" si="41"/>
        <v/>
      </c>
      <c r="AP122" s="9"/>
      <c r="AQ122" s="240" t="str">
        <f ca="1">IF(B122="","",
IF(AND('Field information 2'!$O$5="", 'Field information 2'!$Q$5=""),
   IF('Waste results'!$S$26&lt;&gt;"data missing", Calc!BC120*'Waste results'!$S$26, "data missing"),
IF('Field information 2'!$Q$5="",
   IF(Calc!BD120=0,
     IF('Waste results'!$S$26&lt;&gt;"data missing", Calc!BC120*'Waste results'!$S$26, "data missing"),
   IF(Calc!BC120=0,
     IF('Waste results'!$S$62&lt;&gt;"data missing", Calc!BD120*'Waste results'!$S$62, "data missing"),
   IF(OR('Waste results'!$S$26&lt;&gt;"data missing", 'Waste results'!$S$62&lt;&gt;"data missing"), Calc!BC120*'Waste results'!$S$26+ Calc!BD120*'Waste results'!$S$62, "data missing"))),
IF(AND('Field information 2'!$M$5&lt;&gt;"", 'Field information 2'!$O$5&lt;&gt;"", 'Field information 2'!$Q$5&lt;&gt;""),
   IF(AND(Calc!BD120=0,Calc!BE120=0),
     IF('Waste results'!$S$26&lt;&gt;"data missing", Calc!BC120*'Waste results'!$S$26, "data missing"),
   IF(AND(Calc!BC120=0,Calc!BE120=0),
     IF('Waste results'!$S$62&lt;&gt;"data missing", Calc!BD120*'Waste results'!$S$62, "data missing"),
   IF(AND(Calc!BC120=0,Calc!BD120=0),
     IF('Waste results'!$S$98&lt;&gt;"data missing", Calc!BE120*'Waste results'!$S$98, "data missing"),
   IF(Calc!BE120=0,
     IF(OR('Waste results'!$S$26&lt;&gt;"data missing", 'Waste results'!$S$62&lt;&gt;"data missing"), Calc!BC120*'Waste results'!$S$26+ Calc!BD120*'Waste results'!$S$62, "data missing"),
   IF(Calc!BD120=0,
     IF(OR('Waste results'!$S$26&lt;&gt;"data missing", 'Waste results'!$S$98&lt;&gt;"data missing"), Calc!BC120*'Waste results'!$S$26+ Calc!BE120*'Waste results'!$S$98, "data missing"),
   IF(Calc!BC120=0,
     IF(OR('Waste results'!$S$62&lt;&gt;"data missing", 'Waste results'!$S$98&lt;&gt;"data missing"), Calc!BD120*'Waste results'!$S$62+Calc!BE120*'Waste results'!$S$98, "data missing"),
   IF(OR('Waste results'!$S$26&lt;&gt;"data missing", 'Waste results'!$S$62&lt;&gt;"data missing", 'Waste results'!$S$98&lt;&gt;"data missing"), Calc!BC120*'Waste results'!$S$26+Calc!BD120*'Waste results'!$S$62+ Calc!BE120*'Waste results'!$S$98, "data missing")))))))))))</f>
        <v/>
      </c>
      <c r="AR122" s="241" t="str">
        <f ca="1">IF($B122="","",
IF(ISBLANK('Soil results'!L125),"data missing",'Soil results'!L125))</f>
        <v/>
      </c>
      <c r="AS122" s="241" t="str">
        <f t="shared" ca="1" si="42"/>
        <v/>
      </c>
      <c r="AT122" s="66" t="str">
        <f t="shared" ca="1" si="43"/>
        <v/>
      </c>
      <c r="AU122" s="9"/>
      <c r="AV122" s="238" t="str">
        <f ca="1">IF(B122="","",
IF(AND('Field information 2'!$O$5="", 'Field information 2'!$Q$5=""),
   IF('Waste results'!$S$27&lt;&gt;"data missing", Calc!BC120*'Waste results'!$S$27, "data missing"),
IF('Field information 2'!$Q$5="",
   IF(Calc!BD120=0,
     IF('Waste results'!$S$27&lt;&gt;"data missing", Calc!BC120*'Waste results'!$S$27, "data missing"),
   IF(Calc!BC120=0,
     IF('Waste results'!$S$63&lt;&gt;"data missing", Calc!BD120*'Waste results'!$S$63, "data missing"),
   IF(OR('Waste results'!$S$27&lt;&gt;"data missing", 'Waste results'!$S$63&lt;&gt;"data missing"), Calc!BC120*'Waste results'!$S$27+ Calc!BD120*'Waste results'!$S$63, "data missing"))),
IF(AND('Field information 2'!$M$5&lt;&gt;"", 'Field information 2'!$O$5&lt;&gt;"", 'Field information 2'!$Q$5&lt;&gt;""),
   IF(AND(Calc!BD120=0,Calc!BE120=0),
     IF('Waste results'!$S$27&lt;&gt;"data missing", Calc!BC120*'Waste results'!$S$27, "data missing"),
   IF(AND(Calc!BC120=0,Calc!BE120=0),
     IF('Waste results'!$S$63&lt;&gt;"data missing", Calc!BD120*'Waste results'!$S$63, "data missing"),
   IF(AND(Calc!BC120=0,Calc!BD120=0),
     IF('Waste results'!$S$99&lt;&gt;"data missing", Calc!BE120*'Waste results'!$S$99, "data missing"),
   IF(Calc!BE120=0,
     IF(OR('Waste results'!$S$27&lt;&gt;"data missing", 'Waste results'!$S$63&lt;&gt;"data missing"), Calc!BC120*'Waste results'!$S$27+ Calc!BD120*'Waste results'!$S$63, "data missing"),
   IF(Calc!BD120=0,
     IF(OR('Waste results'!$S$27&lt;&gt;"data missing", 'Waste results'!$S$99&lt;&gt;"data missing"), Calc!BC120*'Waste results'!$S$27+ Calc!BE120*'Waste results'!$S$99, "data missing"),
   IF(Calc!BC120=0,
     IF(OR('Waste results'!$S$63&lt;&gt;"data missing", 'Waste results'!$S$99&lt;&gt;"data missing"), Calc!BD120*'Waste results'!$S$63+Calc!BE120*'Waste results'!$S$99, "data missing"),
   IF(OR('Waste results'!$S$27&lt;&gt;"data missing", 'Waste results'!$S$63&lt;&gt;"data missing", 'Waste results'!$S$99&lt;&gt;"data missing"), Calc!BC120*'Waste results'!$S$27+Calc!BD120*'Waste results'!$S$63+ Calc!BE120*'Waste results'!$S$99, "data missing")))))))))))</f>
        <v/>
      </c>
      <c r="AW122" s="239" t="str">
        <f ca="1">IF($B122="","",
IF(ISBLANK('Soil results'!M125),"data missing",'Soil results'!M125))</f>
        <v/>
      </c>
      <c r="AX122" s="239" t="str">
        <f t="shared" ca="1" si="44"/>
        <v/>
      </c>
      <c r="AY122" s="9" t="str">
        <f ca="1">IF(B122="","",
IF(AV122=0,"n/a",
IF(OR(AV122="data missing",AW122="data missing"),"data missing",
IF(AV122&gt;7.5,"application rate too high - permissible rate exceeds limit",
IF('Soil results'!$F125&lt;=5.5,
  IF(AW122&gt;80,"no application - soil conc. already above limit",
  IF(AX122&gt;80,"application rate too high - soil conc. will exceed limit",
  IF(AW122&gt;80*0.9,"soil conc. is at or above 90% of the limit",
  IF(10*AV122*1000/3000+AW122&gt;80,"soil limit likely to be exceeded in 10yrs",
  IF(50*AV122*1000/3000+AW122&gt;80,"soil limit likely to be exceeded in 50yrs","ok"))))),
IF('Soil results'!$F125&lt;=6,
  IF(AW122&gt;100,"no application - soil conc. already above limit",
  IF(AX122&gt;100,"application rate too high - soil conc. will exceed limit",
  IF(AW122&gt;100*0.9,"soil conc. is at or above 90% of the limit",
  IF(10*AV122*1000/3000+AW122&gt;100,"soil limit likely to be exceeded in 10yrs",
  IF(50*AV122*1000/3000+AW122&gt;100,"soil limit likely to be exceeded in 50yrs","ok"))))),
IF('Soil results'!$F125&lt;=7,
  IF(AW122&gt;135,"no application - soil conc. already above limit",
  IF(AX122&gt;135,"application rate too high - soil conc. will exceed limit",
  IF(AW122&gt;135*0.9,"soil conc. is at or above 90% of the limit",
  IF(10*AV122*1000/3000+AW122&gt;135,"soil limit likely to be exceeded in 10yrs",
  IF(50*AV122*1000/3000+AW122&gt;135,"soil limit likely to be exceeded in 50yrs","ok"))))),
IF('Soil results'!$F125&gt;7,
  IF(AW122&gt;200,"no application - soil conc. already above limit",
  IF(AX122&gt;200,"application too high - soil conc. will exceed limit",
  IF(AW122&gt;200*0.9,"soil conc. is at or above 90% of the limit",
  IF(10*AV122*1000/3000+AW122&gt;200,"soil limit likely to be exceeded in 10yrs",
  IF(50*AV122*1000/3000+AW122&gt;200,"soil limit likely to be exceeded in 50yrs","ok")))))
))))))))</f>
        <v/>
      </c>
      <c r="AZ122" s="9"/>
      <c r="BA122" s="238" t="str">
        <f ca="1">IF(B122="","",
IF(AND('Field information 2'!$O$5="", 'Field information 2'!$Q$5=""),
   IF('Waste results'!$S$28&lt;&gt;"data missing", Calc!BC120*'Waste results'!$S$28, "data missing"),
IF('Field information 2'!$Q$5="",
   IF(Calc!BD120=0,
     IF('Waste results'!$S$28&lt;&gt;"data missing", Calc!BC120*'Waste results'!$S$28, "data missing"),
   IF(Calc!BC120=0,
     IF('Waste results'!$S$64&lt;&gt;"data missing", Calc!BD120*'Waste results'!$S$64, "data missing"),
   IF(OR('Waste results'!$S$28&lt;&gt;"data missing", 'Waste results'!$S$64&lt;&gt;"data missing"), Calc!BC120*'Waste results'!$S$28+ Calc!BD120*'Waste results'!$S$64, "data missing"))),
IF(AND('Field information 2'!$M$5&lt;&gt;"", 'Field information 2'!$O$5&lt;&gt;"", 'Field information 2'!$Q$5&lt;&gt;""),
   IF(AND(Calc!BD120=0,Calc!BE120=0),
     IF('Waste results'!$S$28&lt;&gt;"data missing", Calc!BC120*'Waste results'!$S$28, "data missing"),
   IF(AND(Calc!BC120=0,Calc!BE120=0),
     IF('Waste results'!$S$64&lt;&gt;"data missing", Calc!BD120*'Waste results'!$S$64, "data missing"),
   IF(AND(Calc!BC120=0,Calc!BD120=0),
     IF('Waste results'!$S$100&lt;&gt;"data missing", Calc!BE120*'Waste results'!$S$100, "data missing"),
   IF(Calc!BE120=0,
     IF(OR('Waste results'!$S$28&lt;&gt;"data missing", 'Waste results'!$S$64&lt;&gt;"data missing"), Calc!BC120*'Waste results'!$S$28+ Calc!BD120*'Waste results'!$S$64, "data missing"),
   IF(Calc!BD120=0,
     IF(OR('Waste results'!$S$28&lt;&gt;"data missing", 'Waste results'!$S$100&lt;&gt;"data missing"), Calc!BC120*'Waste results'!$S$28+ Calc!BE120*'Waste results'!$S$100, "data missing"),
   IF(Calc!BC120=0,
     IF(OR('Waste results'!$S$64&lt;&gt;"data missing", 'Waste results'!$S$100&lt;&gt;"data missing"), Calc!BD120*'Waste results'!$S$64+Calc!BE120*'Waste results'!$S$100, "data missing"),
   IF(OR('Waste results'!$S$28&lt;&gt;"data missing", 'Waste results'!$S$64&lt;&gt;"data missing", 'Waste results'!$S$100&lt;&gt;"data missing"), Calc!BC120*'Waste results'!$S$28+Calc!BD120*'Waste results'!$S$64+ Calc!BE120*'Waste results'!$S$100, "data missing")))))))))))</f>
        <v/>
      </c>
      <c r="BB122" s="239" t="str">
        <f ca="1">IF($B122="","",
IF(ISBLANK('Soil results'!N125),"data missing",'Soil results'!N125))</f>
        <v/>
      </c>
      <c r="BC122" s="239" t="str">
        <f t="shared" ca="1" si="45"/>
        <v/>
      </c>
      <c r="BD122" s="9" t="str">
        <f t="shared" ca="1" si="46"/>
        <v/>
      </c>
      <c r="BE122" s="9"/>
      <c r="BF122" s="238" t="str">
        <f ca="1">IF(B122="","",
IF(AND('Field information 2'!$O$5="", 'Field information 2'!$Q$5=""),
   IF('Waste results'!$S$29&lt;&gt;"data missing", Calc!BC120*'Waste results'!$S$29, "data missing"),
IF('Field information 2'!$Q$5="",
   IF(Calc!BD120=0,
     IF('Waste results'!$S$29&lt;&gt;"data missing", Calc!BC120*'Waste results'!$S$29, "data missing"),
   IF(Calc!BC120=0,
     IF('Waste results'!$S$65&lt;&gt;"data missing", Calc!BD120*'Waste results'!$S$65, "data missing"),
   IF(OR('Waste results'!$S$29&lt;&gt;"data missing", 'Waste results'!$S$65&lt;&gt;"data missing"), Calc!BC120*'Waste results'!$S$29+ Calc!BD120*'Waste results'!$S$65, "data missing"))),
IF(AND('Field information 2'!$M$5&lt;&gt;"", 'Field information 2'!$O$5&lt;&gt;"", 'Field information 2'!$Q$5&lt;&gt;""),
   IF(AND(Calc!BD120=0,Calc!BE120=0),
     IF('Waste results'!$S$29&lt;&gt;"data missing", Calc!BC120*'Waste results'!$S$29, "data missing"),
   IF(AND(Calc!BC120=0,Calc!BE120=0),
     IF('Waste results'!$S$65&lt;&gt;"data missing", Calc!BD120*'Waste results'!$S$65, "data missing"),
   IF(AND(Calc!BC120=0,Calc!BD120=0),
     IF('Waste results'!$S$101&lt;&gt;"data missing", Calc!BE120*'Waste results'!$S$101, "data missing"),
   IF(Calc!BE120=0,
     IF(OR('Waste results'!$S$29&lt;&gt;"data missing", 'Waste results'!$S$65&lt;&gt;"data missing"), Calc!BC120*'Waste results'!$S$29+ Calc!BD120*'Waste results'!$S$65, "data missing"),
   IF(Calc!BD120=0,
     IF(OR('Waste results'!$S$29&lt;&gt;"data missing", 'Waste results'!$S$101&lt;&gt;"data missing"), Calc!BC120*'Waste results'!$S$29+ Calc!BE120*'Waste results'!$S$101, "data missing"),
   IF(Calc!BC120=0,
     IF(OR('Waste results'!$S$65&lt;&gt;"data missing", 'Waste results'!$S$101&lt;&gt;"data missing"), Calc!BD120*'Waste results'!$S$65+Calc!BE120*'Waste results'!$S$101, "data missing"),
   IF(OR('Waste results'!$S$29&lt;&gt;"data missing", 'Waste results'!$S$65&lt;&gt;"data missing", 'Waste results'!$S$101&lt;&gt;"data missing"), Calc!BC120*'Waste results'!$S$29+Calc!BD120*'Waste results'!$S$65+ Calc!BE120*'Waste results'!$S$101, "data missing")))))))))))</f>
        <v/>
      </c>
      <c r="BG122" s="239" t="str">
        <f ca="1">IF($B122="","",
IF(ISBLANK('Soil results'!O125),"data missing",'Soil results'!O125))</f>
        <v/>
      </c>
      <c r="BH122" s="239" t="str">
        <f t="shared" ca="1" si="47"/>
        <v/>
      </c>
      <c r="BI122" s="9" t="str">
        <f ca="1">IF(B122="","",
IF(BF122=0,"n/a",
IF(OR(BF122="data missing",BG122="data missing"),"data missing",
IF(BF122&gt;3,"application rate too high - permissible rate exceeds limit",
IF('Soil results'!F125&lt;=5.5,
  IF(BG122&gt;50,"no application - soil conc. already above limit",
  IF(BH122&gt;50,"application rate too high - soil conc. will exceed limit",
  IF(BG122&gt;50*0.9,"soil conc. is at or above 90% of the limit",
  IF(10*BF122*1000/3000+BG122&gt;50,"soil limit likely to be exceeded in 10yrs",
  IF(50*BF122*1000/3000+BG122&gt;50,"soil limit likely to be exceeded in 50yrs","ok"))))),
IF('Soil results'!F125&lt;=6,
  IF(BG122&gt;60,"no application - soil conc. already above limit",
  IF(BH122&gt;60,"application rate too high - soil conc. will exceed limit",
  IF(BG122&gt;60*0.9,"soil conc. is at or above 90% of the limit",
  IF(10*BF122*1000/3000+BG122&gt;60,"soil limit likely to be exceeded in 10yrs",
  IF(50*BF122*1000/3000+BG122&gt;60,"soil limit likely to be exceeded in 50yrs","ok"))))),
IF('Soil results'!F125&lt;=7,
  IF(BG122&gt;75,"no application - soil conc. already above limit",
  IF(BH122&gt;75,"application rate too high - soil conc. will exceed limit",
  IF(BG122&gt;75*0.9,"soil conc. is at or above 90% of the limit",
  IF(10*BF122*1000/3000+BG122&gt;75,"soil limit likely to be exceeded in 10yrs",
  IF(50*BF122*1000/3000+BG122&gt;75,"soil limit likely to be exceeded in 50yrs","ok"))))),
IF('Soil results'!F125&gt;7,
  IF(BG122&gt;100,"no application - soil conc. already above limit",
  IF(BH122&gt;100,"application rate too high - soil conc. will exceed limit",
  IF(BG122&gt;100*0.9,"soil conc. is at or above 90% of the limit",
  IF(10*BF122*1000/3000+BG122&gt;100,"soil limit likely to be exceeded in 10yrs",
  IF(50*BF122*1000/3000+BG122&gt;100,"soil limit likely to beexceeded in 50yrs","ok")))))
))))))))</f>
        <v/>
      </c>
      <c r="BJ122" s="9"/>
      <c r="BK122" s="240" t="str">
        <f ca="1">IF(B122="","",
IF(AND('Field information 2'!$O$5="", 'Field information 2'!$Q$5=""),
   IF('Waste results'!$S$30&lt;&gt;"data missing", Calc!BC120*'Waste results'!$S$30, "data missing"),
IF('Field information 2'!$Q$5="",
   IF(Calc!BD120=0,
     IF('Waste results'!$S$30&lt;&gt;"data missing", Calc!BC120*'Waste results'!$S$30, "data missing"),
   IF(Calc!BC120=0,
     IF('Waste results'!$S$66&lt;&gt;"data missing", Calc!BD120*'Waste results'!$S$66, "data missing"),
   IF(OR('Waste results'!$S$30&lt;&gt;"data missing", 'Waste results'!$S$66&lt;&gt;"data missing"), Calc!BC120*'Waste results'!$S$30+ Calc!BD120*'Waste results'!$S$66, "data missing"))),
IF(AND('Field information 2'!$M$5&lt;&gt;"", 'Field information 2'!$O$5&lt;&gt;"", 'Field information 2'!$Q$5&lt;&gt;""),
   IF(AND(Calc!BD120=0,Calc!BE120=0),
     IF('Waste results'!$S$30&lt;&gt;"data missing", Calc!BC120*'Waste results'!$S$30, "data missing"),
   IF(AND(Calc!BC120=0,Calc!BE120=0),
     IF('Waste results'!$S$66&lt;&gt;"data missing", Calc!BD120*'Waste results'!$S$66, "data missing"),
   IF(AND(Calc!BC120=0,Calc!BD120=0),
     IF('Waste results'!$S$102&lt;&gt;"data missing", Calc!BE120*'Waste results'!$S$102, "data missing"),
   IF(Calc!BE120=0,
     IF(OR('Waste results'!$S$30&lt;&gt;"data missing", 'Waste results'!$S$66&lt;&gt;"data missing"), Calc!BC120*'Waste results'!$S$30+ Calc!BD120*'Waste results'!$S$66, "data missing"),
   IF(Calc!BD120=0,
     IF(OR('Waste results'!$S$30&lt;&gt;"data missing", 'Waste results'!$S$102&lt;&gt;"data missing"), Calc!BC120*'Waste results'!$S$30+ Calc!BE120*'Waste results'!$S$102, "data missing"),
   IF(Calc!BC120=0,
     IF(OR('Waste results'!$S$66&lt;&gt;"data missing", 'Waste results'!$S$102&lt;&gt;"data missing"), Calc!BD120*'Waste results'!$S$66+Calc!BE120*'Waste results'!$S$102, "data missing"),
   IF(OR('Waste results'!$S$30&lt;&gt;"data missing", 'Waste results'!$S$66&lt;&gt;"data missing", 'Waste results'!$S$102&lt;&gt;"data missing"), Calc!BC120*'Waste results'!$S$30+Calc!BD120*'Waste results'!$S$66+ Calc!BE120*'Waste results'!$S$102, "data missing")))))))))))</f>
        <v/>
      </c>
      <c r="BL122" s="241" t="str">
        <f ca="1">IF($B122="","",
IF(ISBLANK('Soil results'!P125),"data missing",'Soil results'!P125))</f>
        <v/>
      </c>
      <c r="BM122" s="241" t="str">
        <f t="shared" ca="1" si="48"/>
        <v/>
      </c>
      <c r="BN122" s="66" t="str">
        <f t="shared" ca="1" si="49"/>
        <v/>
      </c>
      <c r="BO122" s="9"/>
      <c r="BP122" s="238" t="str">
        <f ca="1">IF(B122="","",
IF(AND('Field information 2'!$O$5="", 'Field information 2'!$Q$5=""),
   IF('Waste results'!$S$31&lt;&gt;"data missing", Calc!BC120*'Waste results'!$S$31, "data missing"),
IF('Field information 2'!$Q$5="",
   IF(Calc!BD120=0,
     IF('Waste results'!$S$31&lt;&gt;"data missing", Calc!BC120*'Waste results'!$S$31, "data missing"),
   IF(Calc!BC120=0,
     IF('Waste results'!$S$67&lt;&gt;"data missing", Calc!BD120*'Waste results'!$S$67, "data missing"),
   IF(OR('Waste results'!$S$31&lt;&gt;"data missing", 'Waste results'!$S$67&lt;&gt;"data missing"), Calc!BC120*'Waste results'!$S$31+ Calc!BD120*'Waste results'!$S$67, "data missing"))),
IF(AND('Field information 2'!$M$5&lt;&gt;"", 'Field information 2'!$O$5&lt;&gt;"", 'Field information 2'!$Q$5&lt;&gt;""),
   IF(AND(Calc!BD120=0,Calc!BE120=0),
     IF('Waste results'!$S$31&lt;&gt;"data missing", Calc!BC120*'Waste results'!$S$31, "data missing"),
   IF(AND(Calc!BC120=0,Calc!BE120=0),
     IF('Waste results'!$S$67&lt;&gt;"data missing", Calc!BD120*'Waste results'!$S$67, "data missing"),
   IF(AND(Calc!BC120=0,Calc!BD120=0),
     IF('Waste results'!$S$103&lt;&gt;"data missing", Calc!BE120*'Waste results'!$S$103, "data missing"),
   IF(Calc!BE120=0,
     IF(OR('Waste results'!$S$31&lt;&gt;"data missing", 'Waste results'!$S$67&lt;&gt;"data missing"), Calc!BC120*'Waste results'!$S$31+ Calc!BD120*'Waste results'!$S$67, "data missing"),
   IF(Calc!BD120=0,
     IF(OR('Waste results'!$S$31&lt;&gt;"data missing", 'Waste results'!$S$103&lt;&gt;"data missing"), Calc!BC120*'Waste results'!$S$31+ Calc!BE120*'Waste results'!$S$103, "data missing"),
   IF(Calc!BC120=0,
     IF(OR('Waste results'!$S$67&lt;&gt;"data missing", 'Waste results'!$S$103&lt;&gt;"data missing"), Calc!BD120*'Waste results'!$S$67+Calc!BE120*'Waste results'!$S$103, "data missing"),
   IF(OR('Waste results'!$S$31&lt;&gt;"data missing", 'Waste results'!$S$67&lt;&gt;"data missing", 'Waste results'!$S$103&lt;&gt;"data missing"), Calc!BC120*'Waste results'!$S$31+Calc!BD120*'Waste results'!$S$67+ Calc!BE120*'Waste results'!$S$103, "data missing")))))))))))</f>
        <v/>
      </c>
      <c r="BQ122" s="239" t="str">
        <f ca="1">IF($B122="","",
IF(ISBLANK('Soil results'!Q125),"data missing",'Soil results'!Q125))</f>
        <v/>
      </c>
      <c r="BR122" s="239" t="str">
        <f t="shared" ca="1" si="50"/>
        <v/>
      </c>
      <c r="BS122" s="9" t="str">
        <f ca="1">IF(B122="","",
IF(BP122=0,"n/a",
IF(OR(BP122="data missing",BQ122=""),"data missing",
IF(BP122&gt;15,"application rate too high - permissible rate exceeds limit",
IF('Soil results'!F125&lt;=5.5,
  IF(BQ122&gt;200,"no application - soil conc. already above limit",
  IF(BR122&gt;200,"application rate too high - soil conc. will exceed limit",
  IF(BQ122&gt;200*0.9,"soil conc. is at or above 90% of the limit",
  IF(10*BP122*1000/3000+BQ122&gt;200,"soil limit likely to be exceeded in 10yrs",
  IF(50*BP122*1000/3000+BQ122&gt;200,"soil limit likely to be exceeded in 50yrs","ok"))))),
IF('Soil results'!F125&lt;=6,
  IF(BQ122&gt;250,"no application - soil conc. already above limit",
  IF(BR122&gt;250,"application rate too high - soil conc. will exceed limit",
  IF(BQ122&gt;250*0.9,"soil conc. is at or above 90% of the limit",
  IF(10*BP122*1000/3000+BQ122&gt;250,"soil limit likely to be exceeded in 10yrs",
  IF(50*BP122*1000/3000+BQ122&gt;250,"soil limit likely to be exceeded in 50yrs","ok"))))),
IF('Soil results'!F125&lt;=7,
  IF(BQ122&gt;300,"no application - soil conc. already above limit",
  IF(BR122&gt;300,"application rate too high - soil conc. will exceed limit",
  IF(BQ122&gt;300*0.9,"soil conc. is at or above 90% of the limit",
  IF(10*BP122*1000/3000+BQ122&gt;300,"soil limit likey to be exceeded in 10yrs",
  IF(50*BP122*1000/3000+BQ122&gt;300,"soil limit likely to be exceeded in 50yrs","ok"))))),
IF('Soil results'!F125&gt;7,
  IF(BQ122&gt;450,"no application - soil conc. already above limit",
  IF(BR122&gt;450,"application rate too high - soil conc. will exceed limit",
  IF(AW122&gt;450*0.9,"soil conc. is at or above 90% of the limit",
  IF(10*BP122*1000/3000+BQ122&gt;450,"soil limit likely to be exceeded in 10yrs",
  IF(50*BP122*1000/3000+BQ122&gt;450,"soil limit likely to be exceeded in 50yrs","ok")))))
))))))))</f>
        <v/>
      </c>
    </row>
    <row r="123" spans="2:71" ht="15" x14ac:dyDescent="0.25">
      <c r="B123" s="236" t="str">
        <f ca="1">'Soil results'!B126</f>
        <v/>
      </c>
      <c r="C123" s="91" t="str">
        <f ca="1">IF(B123="","",
IF(AND('Field information 2'!$O$5="", 'Field information 2'!$Q$5=""),
   IF('Waste results'!$S$12&lt;&gt;"data missing", Calc!BC121*'Waste results'!$S$12, "data missing"),
IF('Field information 2'!$Q$5="",
   IF(Calc!BD121=0,
     IF('Waste results'!$S$12&lt;&gt;"data missing", Calc!BC121*'Waste results'!$S$12, "data missing"),
   IF(Calc!BC121=0,
     IF('Waste results'!$S$48&lt;&gt;"data missing", Calc!BD121*'Waste results'!$S$48, "data missing"),
   IF(OR('Waste results'!$S$12&lt;&gt;"data missing", 'Waste results'!$S$48&lt;&gt;"data missing"), Calc!BC121*'Waste results'!$S$12+ Calc!BD121*'Waste results'!$S$48, "data missing"))),
IF(AND('Field information 2'!$M$5&lt;&gt;"", 'Field information 2'!$O$5&lt;&gt;"", 'Field information 2'!$Q$5&lt;&gt;""),
   IF(AND(Calc!BD121=0,Calc!BE121=0),
     IF('Waste results'!$S$12&lt;&gt;"data missing", Calc!BC121*'Waste results'!$S$12, "data missing"),
   IF(AND(Calc!BC121=0,Calc!BE121=0),
     IF('Waste results'!$S$48&lt;&gt;"data missing", Calc!BD121*'Waste results'!$S$48, "data missing"),
   IF(AND(Calc!BC121=0,Calc!BD121=0),
     IF('Waste results'!$S$84&lt;&gt;"data missing", Calc!BE121*'Waste results'!$S$84, "data missing"),
   IF(Calc!BE121=0,
     IF(OR('Waste results'!$S$12&lt;&gt;"data missing", 'Waste results'!$S$48&lt;&gt;"data missing"), Calc!BC121*'Waste results'!$S$12+ Calc!BD121*'Waste results'!$S$48, "data missing"),
   IF(Calc!BD121=0,
     IF(OR('Waste results'!$S$12&lt;&gt;"data missing", 'Waste results'!$S$84&lt;&gt;"data missing"), Calc!BC121*'Waste results'!$S$12+ Calc!BE121*'Waste results'!$S$84, "data missing"),
   IF(Calc!BC121=0,
     IF(OR('Waste results'!$S$48&lt;&gt;"data missing", 'Waste results'!$S$84&lt;&gt;"data missing"), Calc!BD121*'Waste results'!$S$48+Calc!BE121*'Waste results'!$S$84, "data missing"),
   IF(OR('Waste results'!$S$12&lt;&gt;"data missing", 'Waste results'!$S$48&lt;&gt;"data missing", 'Waste results'!$S$84&lt;&gt;"data missing"), Calc!BC121*'Waste results'!$S$12+Calc!BD121*'Waste results'!$S$48+ Calc!BE121*'Waste results'!$S$84, "data missing")))))))))))</f>
        <v/>
      </c>
      <c r="D123" s="161" t="str">
        <f ca="1">IF(B123="","",
IF(Calc!BG121="","soil texture missing",
IF(OR(Calc!BG121="SL; SZL; ZL",Calc!BG121="SCL; CL; ZCL; SC; ZC; C"),VLOOKUP(Calc!BI121,'Fertiliser recommendations'!$A$4:$C$63,3,FALSE),
IF(Calc!BG121="S; LS",VLOOKUP(Calc!BI121,'Fertiliser recommendations'!$A$4:$C$63,3,FALSE)+VLOOKUP(Calc!BI121,'Fertiliser recommendations'!$A$4:$D$63,4,FALSE),
IF(Calc!BG121="10-25% OM",VLOOKUP(Calc!BI121,'Fertiliser recommendations'!$A$4:$C$63,3,FALSE)+VLOOKUP(Calc!BI121,'Fertiliser recommendations'!$A$4:$E$63,5,FALSE),
IF(Calc!BG121="&gt;25% OM",VLOOKUP(Calc!BI121,'Fertiliser recommendations'!$A$4:$C$63,3,FALSE)+VLOOKUP(Calc!BI121,'Fertiliser recommendations'!$A$4:$F$63,6,FALSE),
""))))))</f>
        <v/>
      </c>
      <c r="E123" s="91" t="str">
        <f t="shared" ca="1" si="34"/>
        <v/>
      </c>
      <c r="F123" s="9" t="str">
        <f ca="1">IF(B123="","",
IF(OR(C123="data missing",D123="soil texture missing"),"data missing",
IF(Calc!BF121=0,"n/a",
IF(C123&lt;0.1*D123,"no benefit",
IF(C123&lt;0.3*D123,"limited benefit",
IF(C123&gt;250,"exceeds limit",
IF(OR(AND(D123=0,C123&gt;75),C123&gt;1.25*D123),"excessive",
IF(D123=0, "no requirement",
"benefit"))))))))</f>
        <v/>
      </c>
      <c r="G123" s="9"/>
      <c r="H123" s="91" t="str">
        <f ca="1">IF(B123="","",
IF(AND('Field information 2'!$O$5="", 'Field information 2'!$Q$5=""),
   IF('Waste results'!$S$17&lt;&gt;"data missing", Calc!BC121*'Waste results'!$S$17, "data missing"),
IF('Field information 2'!$Q$5="",
   IF(Calc!BD121=0,
     IF('Waste results'!$S$17&lt;&gt;"data missing", Calc!BC121*'Waste results'!$S$17, "data missing"),
   IF(Calc!BC121=0,
     IF('Waste results'!$S$53&lt;&gt;"data missing", Calc!BD121*'Waste results'!$S$53, "data missing"),
   IF(OR('Waste results'!$S$17&lt;&gt;"data missing", 'Waste results'!$S$53&lt;&gt;"data missing"), Calc!BC121*'Waste results'!$S$17+ Calc!BD121*'Waste results'!$S$53, "data missing"))),
IF(AND('Field information 2'!$M$5&lt;&gt;"", 'Field information 2'!$O$5&lt;&gt;"", 'Field information 2'!$Q$5&lt;&gt;""),
   IF(AND(Calc!BD121=0,Calc!BE121=0),
     IF('Waste results'!$S$17&lt;&gt;"data missing", Calc!BC121*'Waste results'!$S$17, "data missing"),
   IF(AND(Calc!BC121=0,Calc!BE121=0),
     IF('Waste results'!$S$53&lt;&gt;"data missing", Calc!BD121*'Waste results'!$S$53, "data missing"),
   IF(AND(Calc!BC121=0,Calc!BD121=0),
     IF('Waste results'!$S$89&lt;&gt;"data missing", Calc!BE121*'Waste results'!$S$89, "data missing"),
   IF(Calc!BE121=0,
     IF(OR('Waste results'!$S$17&lt;&gt;"data missing", 'Waste results'!$S$53&lt;&gt;"data missing"), Calc!BC121*'Waste results'!$S$17+ Calc!BD121*'Waste results'!$S$53, "data missing"),
   IF(Calc!BD121=0,
     IF(OR('Waste results'!$S$17&lt;&gt;"data missing", 'Waste results'!$S$89&lt;&gt;"data missing"), Calc!BC121*'Waste results'!$S$17+ Calc!BE121*'Waste results'!$S$89, "data missing"),
   IF(Calc!BC121=0,
     IF(OR('Waste results'!$S$53&lt;&gt;"data missing", 'Waste results'!$S$89&lt;&gt;"data missing"), Calc!BD121*'Waste results'!$S$53+Calc!BE121*'Waste results'!$S$89, "data missing"),
   IF(OR('Waste results'!$S$17&lt;&gt;"data missing", 'Waste results'!$S$53&lt;&gt;"data missing", 'Waste results'!$S$89&lt;&gt;"data missing"), Calc!BC121*'Waste results'!$S$17+Calc!BD121*'Waste results'!$S$53+ Calc!BE121*'Waste results'!$S$89, "data missing")))))))))))</f>
        <v/>
      </c>
      <c r="I123" s="195" t="str">
        <f ca="1">IF(B123="","",
IF(OR(ISBLANK('Soil results'!G126), ISBLANK('Soil results'!G$7)),"data missing",
IF(OR(AND('Soil results'!G$7="Olsen (ADAS)",'Soil results'!G126&lt;16),AND('Soil results'!G$7="modified Morgan (SAC)",'Soil results'!G126&lt;4.5)),50,100)))</f>
        <v/>
      </c>
      <c r="J123" s="49" t="str">
        <f ca="1">IF(B123="","",
IF(OR(ISBLANK('Soil results'!G$7),ISBLANK('Soil results'!G126)),"data missing",
IF(OR(AND('Soil results'!G$7="Olsen (ADAS)",'Soil results'!G126&gt;45),AND('Soil results'!G$7="modified Morgan (SAC)",'Soil results'!G126&gt;30)),0,
IF(OR(AND('Soil results'!G$7="Olsen (ADAS)",'Soil results'!G126&gt;=16,'Soil results'!G126&lt;=20),AND('Soil results'!G$7="modified Morgan (SAC)",'Soil results'!G126&gt;=4.5,'Soil results'!G126&lt;=9.4)),VLOOKUP(Calc!BI121,'Fertiliser recommendations'!$A$4:$I$63,9,FALSE),
IF(OR(AND('Soil results'!G$7="Olsen (ADAS)",'Soil results'!G126&lt;10),AND('Soil results'!G$7="modified Morgan (SAC)",'Soil results'!G126&lt;1.8)),VLOOKUP(Calc!BI121,'Fertiliser recommendations'!$A$4:$I$63,9,FALSE)+VLOOKUP(Calc!BI121,'Fertiliser recommendations'!$A$4:$J$63,10,FALSE),
IF(OR(AND('Soil results'!G$7="Olsen (ADAS)",'Soil results'!G126&lt;16),AND('Soil results'!G$7="modified Morgan (SAC)",'Soil results'!G126&lt;4.5)),VLOOKUP(Calc!BI121,'Fertiliser recommendations'!$A$4:$I$63,9,FALSE)+VLOOKUP(Calc!BI121,'Fertiliser recommendations'!$A$4:$K$63,11,FALSE),
IF(OR(AND('Soil results'!G$7="Olsen (ADAS)",'Soil results'!G126&lt;26),AND('Soil results'!G$7="modified Morgan (SAC)",'Soil results'!G126&lt;13.5)),VLOOKUP(Calc!BI121,'Fertiliser recommendations'!$A$4:$I$63,9,FALSE)+VLOOKUP(Calc!BI121,'Fertiliser recommendations'!$A$4:$L$63,12,FALSE),
IF(OR(AND('Soil results'!G$7="Olsen (ADAS)",'Soil results'!G126&lt;=45),AND('Soil results'!G$7="modified Morgan (SAC)",'Soil results'!G126&lt;=30)),VLOOKUP(Calc!BI121,'Fertiliser recommendations'!$A$4:$I$63,9,FALSE)+VLOOKUP(Calc!BI121,'Fertiliser recommendations'!$A$4:$M$63,13,FALSE),
""))))))))</f>
        <v/>
      </c>
      <c r="K123" s="161" t="str">
        <f t="shared" ca="1" si="35"/>
        <v/>
      </c>
      <c r="L123" s="47" t="str">
        <f ca="1">IF(OR(ISBLANK('Soil results'!G$7),ISBLANK('Soil results'!G126),B123="", H123="data missing"),"",
IF('Soil results'!G$7="Olsen (ADAS)",
IF(((H123*Calc!BM121/2.291-(VLOOKUP(Calc!BI121,'Fertiliser recommendations'!$A$4:$I$63,9,FALSE))/2.291)*10/(400/2.291)+'Soil results'!G126)&lt;10,"0 (VL)",
IF(((H123*Calc!BM121/2.291-(VLOOKUP(Calc!BI121,'Fertiliser recommendations'!$A$4:$I$63,9,FALSE))/2.291)*10/(400/2.291)+'Soil results'!G126)&lt;16,"1 (L)",
IF(((H123*Calc!BM121/2.291-(VLOOKUP(Calc!BI121,'Fertiliser recommendations'!$A$4:$I$63,9,FALSE))/2.291)*10/(400/2.291)+'Soil results'!G126)&lt;21,"2 (M-)",
IF(((H123*Calc!BM121/2.291-(VLOOKUP(Calc!BI121,'Fertiliser recommendations'!$A$4:$I$63,9,FALSE))/2.291)*10/(400/2.291)+'Soil results'!G126)&lt;26,"2 (M+)",
IF(((H123*Calc!BM121/2.291-(VLOOKUP(Calc!BI121,'Fertiliser recommendations'!$A$4:$I$63,9,FALSE))/2.291)*10/(400/2.291)+'Soil results'!G126)&lt;45,"3 (H)","&gt;3 (VH)"))))),
IF('Soil results'!G$7="modified Morgan (SAC)",
IF('Soil results'!G126&gt;=6,
IF(((H123*Calc!BM121/2.291-(VLOOKUP(Calc!BI121,'Fertiliser recommendations'!$A$4:$I$63,9,FALSE))/2.291)*5/(147/2.291)+'Soil results'!G126)&lt;9.5,"2 (M-)",
IF(((H123*Calc!BM121/2.291-(VLOOKUP(Calc!BI121,'Fertiliser recommendations'!$A$4:$I$63,9,FALSE))/2.291)*5/(147/2.291)+'Soil results'!G126)&lt;13.5,"2 (M+)",
IF(((H123*Calc!BM121/2.291-(VLOOKUP(Calc!BI121,'Fertiliser recommendations'!$A$4:$I$63,9,FALSE))/2.291)*5/(147/2.291)+'Soil results'!G126)&lt;30,"3 (H)","4 (VH)"))),
IF(((H123*Calc!BM121/2.291-(VLOOKUP(Calc!BI121,'Fertiliser recommendations'!$A$4:$I$63,9,FALSE))/2.291)*5/(346/2.291)+'Soil results'!G126)&lt;1.8,"0 (VL)",
IF(((H123*Calc!BM121/2.291-(VLOOKUP(Calc!BI121,'Fertiliser recommendations'!$A$4:$I$63,9,FALSE))/2.291)*5/(147/2.291)+'Soil results'!G126)&lt;4.5,"1 (L)","2 (M-)"))))))</f>
        <v/>
      </c>
      <c r="M123" s="9" t="str">
        <f ca="1">IF(B123="","",
IF(OR(H123="data missing",I123="data missing",J123="data missing"),"data missing",
IF(Calc!BF121=0,"n/a",
IF(OR(AND('Soil results'!G$7="Olsen (ADAS)",'Soil results'!G126&gt;45),AND('Soil results'!G$7="modified Morgan (SAC)",'Soil results'!G126&gt;30)),
IF(H123&gt;2,"too high, not acceptable","no requirement"),IF(OR(AND('Soil results'!G$7="Olsen (ADAS)",'Soil results'!G126&gt;25),AND('Soil results'!G$7="modified Morgan (SAC)",'Soil results'!G126&gt;13.4)),
IF(H123*(I123/100)&lt;0.1*J123,"no benefit",
IF(H123*(I123/100)&lt;0.3*J123,"limited benefit",
IF(H123*(I123/100)&lt;1.1*J123,"benefit",
IF(H123*(I123/100)&lt;0.7*VLOOKUP(Calc!BI121,'Fertiliser recommendations'!$A$4:$I$63,9,FALSE),"excessive","too high, not acceptable")))),
IF(OR(AND('Soil results'!G$7="Olsen (ADAS)",'Soil results'!G126&gt;20),AND('Soil results'!G$7="modified Morgan (SAC)",'Soil results'!G126&gt;9.4)),
IF(H123*Calc!BM121*(I123/100)&lt;0.1*J123,"no benefit",
IF(H123*Calc!BM121*(I123/100)&lt;0.3*J123,"limited benefit",
IF(H123*Calc!BM121*(I123/100)&lt;1.1*J123,"benefit",
IF(L123="3 (H)","too high, not acceptable","excessive")))),
IF(OR(AND('Soil results'!G$7="Olsen (ADAS)",'Soil results'!G126&gt;15),AND('Soil results'!G$7="modified Morgan (SAC)",'Soil results'!G126&gt;4.4)),
IF(H123*Calc!BM121*(I123/100)&lt;0.1*VLOOKUP(Calc!BI121,'Fertiliser recommendations'!$A$4:$I$63,9,FALSE),"no benefit",
IF(H123*Calc!BM121*(I123/100)&lt;0.3*VLOOKUP(Calc!BI121,'Fertiliser recommendations'!$A$4:$I$63,9,FALSE),"limited benefit",
IF(H123*Calc!BM121*(I123/100)&lt;1.1*VLOOKUP(Calc!BI121,'Fertiliser recommendations'!$A$4:$I$63,9,FALSE),"benefit",
IF(L123="3 (H)", "too high, not acceptable", "excessive")))),
IF(OR(AND('Soil results'!G$7="Olsen (ADAS)",'Soil results'!G126&lt;=15),AND('Soil results'!G$7="modified Morgan (SAC)",'Soil results'!G126&lt;=4.4)),
IF(H123*Calc!BM121*(I123/100)&lt;0.1*VLOOKUP(Calc!BI121,'Fertiliser recommendations'!$A$4:$I$63,9,FALSE),"no benefit",
IF(H123*Calc!BM121*(I123/100)&lt;0.3*VLOOKUP(Calc!BI121,'Fertiliser recommendations'!$A$4:$I$63,9,FALSE),"limited benefit",
IF(H123*Calc!BM121*(I123/100)&lt;1.1*J123,"benefit","excessive")))))))))))</f>
        <v/>
      </c>
      <c r="N123" s="9"/>
      <c r="O123" s="91" t="str">
        <f ca="1">IF(B123="","",
IF(AND('Field information 2'!$O$5="", 'Field information 2'!$Q$5=""),
   IF('Waste results'!$S$19&lt;&gt;"data missing", Calc!BC121*'Waste results'!$S$19, "data missing"),
IF('Field information 2'!$Q$5="",
   IF(Calc!BD121=0,
     IF('Waste results'!$S$19&lt;&gt;"data missing", Calc!BC121*'Waste results'!$S$19, "data missing"),
   IF(Calc!BC121=0,
     IF('Waste results'!$S$55&lt;&gt;"data missing", Calc!BD121*'Waste results'!$S$55, "data missing"),
   IF(OR('Waste results'!$S$19&lt;&gt;"data missing", 'Waste results'!$S$55&lt;&gt;"data missing"), Calc!BC121*'Waste results'!$S$19+ Calc!BD121*'Waste results'!$S$55, "data missing"))),
IF(AND('Field information 2'!$M$5&lt;&gt;"", 'Field information 2'!$O$5&lt;&gt;"", 'Field information 2'!$Q$5&lt;&gt;""),
   IF(AND(Calc!BD121=0,Calc!BE121=0),
     IF('Waste results'!$S$19&lt;&gt;"data missing", Calc!BC121*'Waste results'!$S$19, "data missing"),
   IF(AND(Calc!BC121=0,Calc!BE121=0),
     IF('Waste results'!$S$55&lt;&gt;"data missing", Calc!BD121*'Waste results'!$S$55, "data missing"),
   IF(AND(Calc!BC121=0,Calc!BD121=0),
     IF('Waste results'!$S$91&lt;&gt;"data missing", Calc!BE121*'Waste results'!$S$91, "data missing"),
   IF(Calc!BE121=0,
     IF(OR('Waste results'!$S$19&lt;&gt;"data missing", 'Waste results'!$S$55&lt;&gt;"data missing"), Calc!BC121*'Waste results'!$S$19+ Calc!BD121*'Waste results'!$S$55, "data missing"),
   IF(Calc!BD121=0,
     IF(OR('Waste results'!$S$19&lt;&gt;"data missing", 'Waste results'!$S$91&lt;&gt;"data missing"), Calc!BC121*'Waste results'!$S$19+ Calc!BE121*'Waste results'!$S$91, "data missing"),
   IF(Calc!BC121=0,
     IF(OR('Waste results'!$S$55&lt;&gt;"data missing", 'Waste results'!$S$91&lt;&gt;"data missing"), Calc!BD121*'Waste results'!$S$55+Calc!BE121*'Waste results'!$S$91, "data missing"),
   IF(OR('Waste results'!$S$19&lt;&gt;"data missing", 'Waste results'!$S$55&lt;&gt;"data missing", 'Waste results'!$S$91&lt;&gt;"data missing"), Calc!BC121*'Waste results'!$S$19+Calc!BD121*'Waste results'!$S$55+ Calc!BE121*'Waste results'!$S$91, "data missing")))))))))))</f>
        <v/>
      </c>
      <c r="P123" s="91" t="str">
        <f ca="1">IF(B123="","",
IF(OR(ISBLANK('Soil results'!H$7),ISBLANK('Soil results'!H126)),"data missing",
IF(OR(AND('Soil results'!H$7="ammonium nitrate (ADAS)",'Soil results'!H126&gt;400),AND('Soil results'!H$7="modified Morgan (SAC)",'Soil results'!H126&gt;400)),0,
IF(OR(AND('Soil results'!H$7="ammonium nitrate (ADAS)",'Soil results'!H126&gt;=121,'Soil results'!H126&lt;=180),AND('Soil results'!H$7="modified Morgan (SAC)",'Soil results'!H126&gt;=76,'Soil results'!H126&lt;=140)),VLOOKUP(Calc!BI121,'Fertiliser recommendations'!$A$4:$Z$63,26,FALSE),
IF(OR(AND('Soil results'!H$7="ammonium nitrate (ADAS)",'Soil results'!H126&lt;61),AND('Soil results'!H$7="modified Morgan (SAC)",'Soil results'!H126&lt;40)),VLOOKUP(Calc!BI121,'Fertiliser recommendations'!$A$4:$Z$63,26,FALSE)+VLOOKUP(Calc!BI121,'Fertiliser recommendations'!$A$4:$AA$63,27,FALSE),
IF(OR(AND('Soil results'!H$7="ammonium nitrate (ADAS)",'Soil results'!H126&lt;121),AND('Soil results'!H$7="modified Morgan (SAC)",'Soil results'!H126&lt;76)),VLOOKUP(Calc!BI121,'Fertiliser recommendations'!$A$4:$Z$63,26,FALSE)+VLOOKUP(Calc!BI121,'Fertiliser recommendations'!$A$4:$AB$63,28,FALSE),
IF(OR(AND('Soil results'!H$7="ammonium nitrate (ADAS)",'Soil results'!H126&lt;241),AND('Soil results'!H$7="modified Morgan (SAC)",'Soil results'!H126&lt;201)),VLOOKUP(Calc!BI121,'Fertiliser recommendations'!$A$4:$Z$63,26,FALSE)+VLOOKUP(Calc!BI121,'Fertiliser recommendations'!$A$4:$AC$63,29,FALSE),
IF(OR(AND('Soil results'!H$7="ammonium nitrate (ADAS)",'Soil results'!H126&lt;=400),AND('Soil results'!H$7="modified Morgan (SAC)",'Soil results'!H126&lt;=400)),VLOOKUP(Calc!BI121,'Fertiliser recommendations'!$A$4:$Z$63,26,FALSE)+VLOOKUP(Calc!BI121,'Fertiliser recommendations'!$A$4:$AD$63,30,FALSE),
"??"))))))))</f>
        <v/>
      </c>
      <c r="Q123" s="91" t="str">
        <f t="shared" ca="1" si="36"/>
        <v/>
      </c>
      <c r="R123" s="9" t="str">
        <f ca="1">IF(B123="","",
IF(OR(O123="data missing",P123="data missing"),"data missing",
IF(Calc!BF121=0,"n/a",
IF(P123=0, "no requirement",
IF(O123&lt;0.1*P123,"no benefit",
IF(O123&lt;0.3*P123,"limited benefit",
IF(O123&gt;1.25*P123,"excessive",
"benefit")))))))</f>
        <v/>
      </c>
      <c r="S123" s="9"/>
      <c r="T123" s="91" t="str">
        <f ca="1">IF(B123="","",
IF(AND('Field information 2'!$O$5="", 'Field information 2'!$Q$5=""),
   IF('Waste results'!$S$21&lt;&gt;"data missing", Calc!BC121*'Waste results'!$S$21, "data missing"),
IF('Field information 2'!$Q$5="",
   IF(Calc!BD121=0,
     IF('Waste results'!$S$21&lt;&gt;"data missing", Calc!BC121*'Waste results'!$S$21, "data missing"),
   IF(Calc!BC121=0,
     IF('Waste results'!$S$57&lt;&gt;"data missing", Calc!BD121*'Waste results'!$S$57, "data missing"),
   IF(OR('Waste results'!$S$21&lt;&gt;"data missing", 'Waste results'!$S$57&lt;&gt;"data missing"), Calc!BC121*'Waste results'!$S$21+ Calc!BD121*'Waste results'!$S$57, "data missing"))),
IF(AND('Field information 2'!$M$5&lt;&gt;"", 'Field information 2'!$O$5&lt;&gt;"", 'Field information 2'!$Q$5&lt;&gt;""),
   IF(AND(Calc!BD121=0,Calc!BE121=0),
     IF('Waste results'!$S$21&lt;&gt;"data missing", Calc!BC121*'Waste results'!$S$21, "data missing"),
   IF(AND(Calc!BC121=0,Calc!BE121=0),
     IF('Waste results'!$S$57&lt;&gt;"data missing", Calc!BD121*'Waste results'!$S$57, "data missing"),
   IF(AND(Calc!BC121=0,Calc!BD121=0),
     IF('Waste results'!$S$93&lt;&gt;"data missing", Calc!BE121*'Waste results'!$S$93, "data missing"),
   IF(Calc!BE121=0,
     IF(OR('Waste results'!$S$21&lt;&gt;"data missing", 'Waste results'!$S$57&lt;&gt;"data missing"), Calc!BC121*'Waste results'!$S$21+ Calc!BD121*'Waste results'!$S$57, "data missing"),
   IF(Calc!BD121=0,
     IF(OR('Waste results'!$S$21&lt;&gt;"data missing", 'Waste results'!$S$93&lt;&gt;"data missing"), Calc!BC121*'Waste results'!$S$21+ Calc!BE121*'Waste results'!$S$93, "data missing"),
   IF(Calc!BC121=0,
     IF(OR('Waste results'!$S$57&lt;&gt;"data missing", 'Waste results'!$S$93&lt;&gt;"data missing"), Calc!BD121*'Waste results'!$S$57+Calc!BE121*'Waste results'!$S$93, "data missing"),
   IF(OR('Waste results'!$S$21&lt;&gt;"data missing", 'Waste results'!$S$57&lt;&gt;"data missing", 'Waste results'!$S$93&lt;&gt;"data missing"), Calc!BC121*'Waste results'!$S$21+Calc!BD121*'Waste results'!$S$57+ Calc!BE121*'Waste results'!$S$93, "data missing")))))))))))</f>
        <v/>
      </c>
      <c r="U123" s="7" t="str">
        <f ca="1">IF(B123="","",
IF(OR(ISBLANK('Soil results'!I$7),ISBLANK('Soil results'!I126)),"data missing",
IF(OR(AND('Soil results'!I$7="ammonium nitrate (ADAS)",'Soil results'!I126&gt;51),AND('Soil results'!I$7="modified Morgan (SAC)",'Soil results'!I126&gt;61)),0,
IF(OR(AND('Soil results'!I$7="ammonium nitrate (ADAS)",'Soil results'!I126&lt;25),AND('Soil results'!I$7="modified Morgan (SAC)",'Soil results'!I126&lt;19)),VLOOKUP(Calc!BI121,'Fertiliser recommendations'!$A$4:$AH$63,34,FALSE),
IF(OR(AND('Soil results'!I$7="ammonium nitrate (ADAS)",'Soil results'!I126&lt;=51),AND('Soil results'!I$7="modified Morgan (SAC)",'Soil results'!I126&lt;=61)),VLOOKUP(Calc!BI121,'Fertiliser recommendations'!$A$4:$AI$63,35,FALSE),
"")))))</f>
        <v/>
      </c>
      <c r="V123" s="91" t="str">
        <f t="shared" ca="1" si="37"/>
        <v/>
      </c>
      <c r="W123" s="9" t="str">
        <f ca="1">IF(B123="","",
IF(OR(T123="data missing",U123="data missing"),"data missing",
IF(Calc!BF121=0,"n/a",
IF(U123=0,"no requirement",
IF(T123&lt;0.1*U123,"no benefit",
IF(T123&lt;0.3*U123,"limited benefit",
IF(OR(T123&gt;1.5*U123,AND(Calc!BJ121="g",T123&gt;100)),"excessive",
"benefit")))))))</f>
        <v/>
      </c>
      <c r="X123" s="9"/>
      <c r="Y123" s="91" t="str">
        <f ca="1">IF(B123="","",
IF(AND('Field information 2'!$O$5="", 'Field information 2'!$Q$5=""),
   IF('Waste results'!$P$23&lt;&gt;"", Calc!BC121*'Waste results'!$P$23, "no data"),
IF('Field information 2'!$Q$5="",
   IF(Calc!BD121=0,
     IF('Waste results'!$P$23&lt;&gt;"", Calc!BC121*'Waste results'!$P$23, "no data"),
   IF(Calc!BC121=0,
     IF('Waste results'!$P$59&lt;&gt;"", Calc!BD121*'Waste results'!$P$59, "no data"),
   IF(OR('Waste results'!$P$23&lt;&gt;"", 'Waste results'!$P$59&lt;&gt;""), Calc!BC121*'Waste results'!$P$23+ Calc!BD121*'Waste results'!$P$59, "no data"))),
IF(AND('Field information 2'!$M$5&lt;&gt;"", 'Field information 2'!$O$5&lt;&gt;"", 'Field information 2'!$Q$5&lt;&gt;""),
   IF(AND(Calc!BD121=0,Calc!BE121=0),
     IF('Waste results'!$P$23&lt;&gt;"", Calc!BC121*'Waste results'!$P$23, "no data"),
   IF(AND(Calc!BC121=0,Calc!BE121=0),
     IF('Waste results'!$P$59&lt;&gt;"", Calc!BD121*'Waste results'!$P$59, "no data"),
   IF(AND(Calc!BC121=0,Calc!BD121=0),
     IF('Waste results'!$P$95&lt;&gt;"", Calc!BE121*'Waste results'!$P$95, "no data"),
   IF(Calc!BE121=0,
     IF(OR('Waste results'!$P$23&lt;&gt;"", 'Waste results'!$P$59&lt;&gt;""), Calc!BC121*'Waste results'!$P$23+ Calc!BD121*'Waste results'!$P$59, "no data"),
   IF(Calc!BD121=0,
     IF(OR('Waste results'!$P$23&lt;&gt;"", 'Waste results'!$P$95&lt;&gt;""), Calc!BC121*'Waste results'!$P$23+ Calc!BE121*'Waste results'!$P$95, "no data"),
   IF(Calc!BC121=0,
     IF(OR('Waste results'!$P$59&lt;&gt;"", 'Waste results'!$P$95&lt;&gt;""), Calc!BD121*'Waste results'!$P$59+Calc!BE121*'Waste results'!$P$95, "no data"),
   IF(OR('Waste results'!$P$23&lt;&gt;"", 'Waste results'!$P$59&lt;&gt;"", 'Waste results'!$P$95&lt;&gt;""), Calc!BC121*'Waste results'!$P$23+Calc!BD121*'Waste results'!$P$59+ Calc!BE121*'Waste results'!$P$95, "no data")))))))))))</f>
        <v/>
      </c>
      <c r="Z123" s="7" t="str">
        <f ca="1">IF(OR(ISBLANK('Soil results'!I$7),ISBLANK('Soil results'!I126),'Soil results'!B126=""),"",
VLOOKUP(Calc!BI121,'Fertiliser recommendations'!$A$4:$AM$63,39,FALSE))</f>
        <v/>
      </c>
      <c r="AA123" s="91" t="str">
        <f t="shared" ca="1" si="38"/>
        <v/>
      </c>
      <c r="AB123" s="9" t="str">
        <f t="shared" ca="1" si="39"/>
        <v/>
      </c>
      <c r="AC123" s="9"/>
      <c r="AD123" s="48" t="str">
        <f>IF(ISBLANK('Soil results'!F126),"",'Soil results'!F126)</f>
        <v/>
      </c>
      <c r="AE123" s="49" t="str">
        <f ca="1">IF(B123="","",
IF(AND(Calc!BJ121="g", VLOOKUP(LEFT($B123,LEN($B123)-2),'Field information 2'!$B$12:$P$111,9,FALSE)&lt;&gt;"yes"),
 IF(Calc!BG121="10-25% OM", 5.9, IF(Calc!BG121="&gt;25% OM", 5.5, 6.2)),
IF(OR(Calc!BJ121="a", VLOOKUP(LEFT($B123,LEN($B123)-2),'Field information 2'!$B$12:$P$111,9,FALSE)="yes"),
 IF(Calc!BG121="10-25% OM", 6.4, IF(Calc!BG121="&gt;25% OM", 6, 6.7)), "")))</f>
        <v/>
      </c>
      <c r="AF123" s="91" t="str">
        <f ca="1">IF(B123="","",
IF('Waste results'!$Q$33="","no (significant) liming properties",
IF('Waste results'!Q$33&gt;100,"no (significant) liming properties",
IF(AD123="","",
IF(AD123&gt;=AE123,0,ROUNDDOWN((AE123-AD123)*Calc!BK121*'Waste results'!$Q$33+0.2,0))))))</f>
        <v/>
      </c>
      <c r="AG123" s="9" t="str">
        <f ca="1">IF(B123="","",
IF(T123=0,"n/a",
IF(AD123="","data missing",
IF(AND(AD123&lt;5,AF123="no (significant) liming properties"),"no waste application - pH too low",
IF(AND(AD123&gt;5.1,AF123="no (significant) liming properties",Calc!BH121&gt;25, LEFT(Calc!BI121,4)="graz"),"ok",
IF(AND(AD123&lt;=5.2,AF123="no (significant) liming properties"),"liming highly recommended",
IF(AF123=0,"no waste application - liming not required",
IF(AF123&lt;Calc!BC121,"application rate too high - exceeds liming requirement",
"ok"))))))))</f>
        <v/>
      </c>
      <c r="AH123" s="9"/>
      <c r="AI123" s="91" t="str">
        <f ca="1">IF(B123="","",
IF(AND('Field information 2'!$O$5="", 'Field information 2'!$Q$5=""),
   IF('Waste results'!$P$10&lt;&gt;"data missing", Calc!BC121*'Waste results'!$P$10, "data missing"),
IF('Field information 2'!$Q$5="",
   IF(Calc!BD121=0,
     IF('Waste results'!$P$10&lt;&gt;"data missing", Calc!BC121*'Waste results'!$P$10, "data missing"),
   IF(Calc!BC121=0,
     IF('Waste results'!$P$45&lt;&gt;"data missing", Calc!BD121*'Waste results'!$P$45, "data missing"),
   IF(OR('Waste results'!$P$10&lt;&gt;"data missing", 'Waste results'!$P$45&lt;&gt;"data missing"), Calc!BC121*'Waste results'!$P$10+ Calc!BD121*'Waste results'!$P$45, "data missing"))),
IF(AND('Field information 2'!$M$5&lt;&gt;"", 'Field information 2'!$O$5&lt;&gt;"", 'Field information 2'!$Q$5&lt;&gt;""),
   IF(AND(Calc!BD121=0,Calc!BE121=0),
     IF('Waste results'!$P$10&lt;&gt;"data missing", Calc!BC121*'Waste results'!$P$10, "data missing"),
   IF(AND(Calc!BC121=0,Calc!BE121=0),
     IF('Waste results'!$P$45&lt;&gt;"data missing", Calc!BD121*'Waste results'!$P$45, "data missing"),
   IF(AND(Calc!BC121=0,Calc!BD121=0),
     IF('Waste results'!$P$82&lt;&gt;"data missing", Calc!BE121*'Waste results'!$P$82, "data missing"),
   IF(Calc!BE121=0,
     IF(OR('Waste results'!$P$10&lt;&gt;"data missing", 'Waste results'!$P$45&lt;&gt;"data missing"), Calc!BC121*'Waste results'!$P$10+ Calc!BD121*'Waste results'!$P$45, "data missing"),
   IF(Calc!BD121=0,
     IF(OR('Waste results'!$P$10&lt;&gt;"data missing", 'Waste results'!$P$82&lt;&gt;"data missing"), Calc!BC121*'Waste results'!$P$10+ Calc!BE121*'Waste results'!$P$82, "data missing"),
   IF(Calc!BC121=0,
     IF(OR('Waste results'!$P$45&lt;&gt;"data missing", 'Waste results'!$P$82&lt;&gt;"data missing"), Calc!BD121*'Waste results'!$P$45+Calc!BE121*'Waste results'!$P$82, "data missing"),
   IF(OR('Waste results'!$P$10&lt;&gt;"data missing", 'Waste results'!$P$45&lt;&gt;"data missing", 'Waste results'!$P$82&lt;&gt;"data missing"), Calc!BC121*'Waste results'!$P$10+Calc!BD121*'Waste results'!$P$45+ Calc!BE121*'Waste results'!$P$82, "data missing")))))))))))</f>
        <v/>
      </c>
      <c r="AJ123" s="237" t="str">
        <f ca="1">IF(B123="","",
IF(AI123="data missing","data missing",
IF(Calc!BF121=0,"n/a",
IF(AND(Calc!BH121&gt;=8,AI123&lt;500),"no benefit",
IF(OR(AND(Calc!BH121&lt;=4,AI123&gt;=500),AND(Calc!BH121&lt;8,AI123&gt;5000)),"benefit",
"limited benefit")))))</f>
        <v/>
      </c>
      <c r="AK123" s="9"/>
      <c r="AL123" s="238" t="str">
        <f ca="1">IF(B123="","",
IF(AND('Field information 2'!$O$5="", 'Field information 2'!$Q$5=""),
   IF('Waste results'!$S$25&lt;&gt;"data missing", Calc!BC121*'Waste results'!$S$25, "data missing"),
IF('Field information 2'!$Q$5="",
   IF(Calc!BD121=0,
     IF('Waste results'!$S$25&lt;&gt;"data missing", Calc!BC121*'Waste results'!$S$25, "data missing"),
   IF(Calc!BC121=0,
     IF('Waste results'!$S$61&lt;&gt;"data missing", Calc!BD121*'Waste results'!$S$61, "data missing"),
   IF(OR('Waste results'!$S$25&lt;&gt;"data missing", 'Waste results'!$S$61&lt;&gt;"data missing"), Calc!BC121*'Waste results'!$S$25+ Calc!BD121*'Waste results'!$S$61, "data missing"))),
IF(AND('Field information 2'!$M$5&lt;&gt;"", 'Field information 2'!$O$5&lt;&gt;"", 'Field information 2'!$Q$5&lt;&gt;""),
   IF(AND(Calc!BD121=0,Calc!BE121=0),
     IF('Waste results'!$S$25&lt;&gt;"data missing", Calc!BC121*'Waste results'!$S$25, "data missing"),
   IF(AND(Calc!BC121=0,Calc!BE121=0),
     IF('Waste results'!$S$61&lt;&gt;"data missing", Calc!BD121*'Waste results'!$S$61, "data missing"),
   IF(AND(Calc!BC121=0,Calc!BD121=0),
     IF('Waste results'!$S$97&lt;&gt;"data missing", Calc!BE121*'Waste results'!$S$97, "data missing"),
   IF(Calc!BE121=0,
     IF(OR('Waste results'!$S$25&lt;&gt;"data missing", 'Waste results'!$S$61&lt;&gt;"data missing"), Calc!BC121*'Waste results'!$S$25+ Calc!BD121*'Waste results'!$S$61, "data missing"),
   IF(Calc!BD121=0,
     IF(OR('Waste results'!$S$25&lt;&gt;"data missing", 'Waste results'!$S$97&lt;&gt;"data missing"), Calc!BC121*'Waste results'!$S$25+ Calc!BE121*'Waste results'!$S$97, "data missing"),
   IF(Calc!BC121=0,
     IF(OR('Waste results'!$S$61&lt;&gt;"data missing", 'Waste results'!$S$97&lt;&gt;"data missing"), Calc!BD121*'Waste results'!$S$61+Calc!BE121*'Waste results'!$S$97, "data missing"),
   IF(OR('Waste results'!$S$25&lt;&gt;"data missing", 'Waste results'!$S$61&lt;&gt;"data missing", 'Waste results'!$S$97&lt;&gt;"data missing"), Calc!BC121*'Waste results'!$S$25+Calc!BD121*'Waste results'!$S$61+ Calc!BE121*'Waste results'!$S$97, "data missing")))))))))))</f>
        <v/>
      </c>
      <c r="AM123" s="239" t="str">
        <f ca="1">IF($B123="","",
IF(ISBLANK('Soil results'!K126),"data missing",'Soil results'!K126))</f>
        <v/>
      </c>
      <c r="AN123" s="239" t="str">
        <f t="shared" ca="1" si="40"/>
        <v/>
      </c>
      <c r="AO123" s="9" t="str">
        <f t="shared" ca="1" si="41"/>
        <v/>
      </c>
      <c r="AP123" s="9"/>
      <c r="AQ123" s="240" t="str">
        <f ca="1">IF(B123="","",
IF(AND('Field information 2'!$O$5="", 'Field information 2'!$Q$5=""),
   IF('Waste results'!$S$26&lt;&gt;"data missing", Calc!BC121*'Waste results'!$S$26, "data missing"),
IF('Field information 2'!$Q$5="",
   IF(Calc!BD121=0,
     IF('Waste results'!$S$26&lt;&gt;"data missing", Calc!BC121*'Waste results'!$S$26, "data missing"),
   IF(Calc!BC121=0,
     IF('Waste results'!$S$62&lt;&gt;"data missing", Calc!BD121*'Waste results'!$S$62, "data missing"),
   IF(OR('Waste results'!$S$26&lt;&gt;"data missing", 'Waste results'!$S$62&lt;&gt;"data missing"), Calc!BC121*'Waste results'!$S$26+ Calc!BD121*'Waste results'!$S$62, "data missing"))),
IF(AND('Field information 2'!$M$5&lt;&gt;"", 'Field information 2'!$O$5&lt;&gt;"", 'Field information 2'!$Q$5&lt;&gt;""),
   IF(AND(Calc!BD121=0,Calc!BE121=0),
     IF('Waste results'!$S$26&lt;&gt;"data missing", Calc!BC121*'Waste results'!$S$26, "data missing"),
   IF(AND(Calc!BC121=0,Calc!BE121=0),
     IF('Waste results'!$S$62&lt;&gt;"data missing", Calc!BD121*'Waste results'!$S$62, "data missing"),
   IF(AND(Calc!BC121=0,Calc!BD121=0),
     IF('Waste results'!$S$98&lt;&gt;"data missing", Calc!BE121*'Waste results'!$S$98, "data missing"),
   IF(Calc!BE121=0,
     IF(OR('Waste results'!$S$26&lt;&gt;"data missing", 'Waste results'!$S$62&lt;&gt;"data missing"), Calc!BC121*'Waste results'!$S$26+ Calc!BD121*'Waste results'!$S$62, "data missing"),
   IF(Calc!BD121=0,
     IF(OR('Waste results'!$S$26&lt;&gt;"data missing", 'Waste results'!$S$98&lt;&gt;"data missing"), Calc!BC121*'Waste results'!$S$26+ Calc!BE121*'Waste results'!$S$98, "data missing"),
   IF(Calc!BC121=0,
     IF(OR('Waste results'!$S$62&lt;&gt;"data missing", 'Waste results'!$S$98&lt;&gt;"data missing"), Calc!BD121*'Waste results'!$S$62+Calc!BE121*'Waste results'!$S$98, "data missing"),
   IF(OR('Waste results'!$S$26&lt;&gt;"data missing", 'Waste results'!$S$62&lt;&gt;"data missing", 'Waste results'!$S$98&lt;&gt;"data missing"), Calc!BC121*'Waste results'!$S$26+Calc!BD121*'Waste results'!$S$62+ Calc!BE121*'Waste results'!$S$98, "data missing")))))))))))</f>
        <v/>
      </c>
      <c r="AR123" s="241" t="str">
        <f ca="1">IF($B123="","",
IF(ISBLANK('Soil results'!L126),"data missing",'Soil results'!L126))</f>
        <v/>
      </c>
      <c r="AS123" s="241" t="str">
        <f t="shared" ca="1" si="42"/>
        <v/>
      </c>
      <c r="AT123" s="66" t="str">
        <f t="shared" ca="1" si="43"/>
        <v/>
      </c>
      <c r="AU123" s="9"/>
      <c r="AV123" s="238" t="str">
        <f ca="1">IF(B123="","",
IF(AND('Field information 2'!$O$5="", 'Field information 2'!$Q$5=""),
   IF('Waste results'!$S$27&lt;&gt;"data missing", Calc!BC121*'Waste results'!$S$27, "data missing"),
IF('Field information 2'!$Q$5="",
   IF(Calc!BD121=0,
     IF('Waste results'!$S$27&lt;&gt;"data missing", Calc!BC121*'Waste results'!$S$27, "data missing"),
   IF(Calc!BC121=0,
     IF('Waste results'!$S$63&lt;&gt;"data missing", Calc!BD121*'Waste results'!$S$63, "data missing"),
   IF(OR('Waste results'!$S$27&lt;&gt;"data missing", 'Waste results'!$S$63&lt;&gt;"data missing"), Calc!BC121*'Waste results'!$S$27+ Calc!BD121*'Waste results'!$S$63, "data missing"))),
IF(AND('Field information 2'!$M$5&lt;&gt;"", 'Field information 2'!$O$5&lt;&gt;"", 'Field information 2'!$Q$5&lt;&gt;""),
   IF(AND(Calc!BD121=0,Calc!BE121=0),
     IF('Waste results'!$S$27&lt;&gt;"data missing", Calc!BC121*'Waste results'!$S$27, "data missing"),
   IF(AND(Calc!BC121=0,Calc!BE121=0),
     IF('Waste results'!$S$63&lt;&gt;"data missing", Calc!BD121*'Waste results'!$S$63, "data missing"),
   IF(AND(Calc!BC121=0,Calc!BD121=0),
     IF('Waste results'!$S$99&lt;&gt;"data missing", Calc!BE121*'Waste results'!$S$99, "data missing"),
   IF(Calc!BE121=0,
     IF(OR('Waste results'!$S$27&lt;&gt;"data missing", 'Waste results'!$S$63&lt;&gt;"data missing"), Calc!BC121*'Waste results'!$S$27+ Calc!BD121*'Waste results'!$S$63, "data missing"),
   IF(Calc!BD121=0,
     IF(OR('Waste results'!$S$27&lt;&gt;"data missing", 'Waste results'!$S$99&lt;&gt;"data missing"), Calc!BC121*'Waste results'!$S$27+ Calc!BE121*'Waste results'!$S$99, "data missing"),
   IF(Calc!BC121=0,
     IF(OR('Waste results'!$S$63&lt;&gt;"data missing", 'Waste results'!$S$99&lt;&gt;"data missing"), Calc!BD121*'Waste results'!$S$63+Calc!BE121*'Waste results'!$S$99, "data missing"),
   IF(OR('Waste results'!$S$27&lt;&gt;"data missing", 'Waste results'!$S$63&lt;&gt;"data missing", 'Waste results'!$S$99&lt;&gt;"data missing"), Calc!BC121*'Waste results'!$S$27+Calc!BD121*'Waste results'!$S$63+ Calc!BE121*'Waste results'!$S$99, "data missing")))))))))))</f>
        <v/>
      </c>
      <c r="AW123" s="239" t="str">
        <f ca="1">IF($B123="","",
IF(ISBLANK('Soil results'!M126),"data missing",'Soil results'!M126))</f>
        <v/>
      </c>
      <c r="AX123" s="239" t="str">
        <f t="shared" ca="1" si="44"/>
        <v/>
      </c>
      <c r="AY123" s="9" t="str">
        <f ca="1">IF(B123="","",
IF(AV123=0,"n/a",
IF(OR(AV123="data missing",AW123="data missing"),"data missing",
IF(AV123&gt;7.5,"application rate too high - permissible rate exceeds limit",
IF('Soil results'!$F126&lt;=5.5,
  IF(AW123&gt;80,"no application - soil conc. already above limit",
  IF(AX123&gt;80,"application rate too high - soil conc. will exceed limit",
  IF(AW123&gt;80*0.9,"soil conc. is at or above 90% of the limit",
  IF(10*AV123*1000/3000+AW123&gt;80,"soil limit likely to be exceeded in 10yrs",
  IF(50*AV123*1000/3000+AW123&gt;80,"soil limit likely to be exceeded in 50yrs","ok"))))),
IF('Soil results'!$F126&lt;=6,
  IF(AW123&gt;100,"no application - soil conc. already above limit",
  IF(AX123&gt;100,"application rate too high - soil conc. will exceed limit",
  IF(AW123&gt;100*0.9,"soil conc. is at or above 90% of the limit",
  IF(10*AV123*1000/3000+AW123&gt;100,"soil limit likely to be exceeded in 10yrs",
  IF(50*AV123*1000/3000+AW123&gt;100,"soil limit likely to be exceeded in 50yrs","ok"))))),
IF('Soil results'!$F126&lt;=7,
  IF(AW123&gt;135,"no application - soil conc. already above limit",
  IF(AX123&gt;135,"application rate too high - soil conc. will exceed limit",
  IF(AW123&gt;135*0.9,"soil conc. is at or above 90% of the limit",
  IF(10*AV123*1000/3000+AW123&gt;135,"soil limit likely to be exceeded in 10yrs",
  IF(50*AV123*1000/3000+AW123&gt;135,"soil limit likely to be exceeded in 50yrs","ok"))))),
IF('Soil results'!$F126&gt;7,
  IF(AW123&gt;200,"no application - soil conc. already above limit",
  IF(AX123&gt;200,"application too high - soil conc. will exceed limit",
  IF(AW123&gt;200*0.9,"soil conc. is at or above 90% of the limit",
  IF(10*AV123*1000/3000+AW123&gt;200,"soil limit likely to be exceeded in 10yrs",
  IF(50*AV123*1000/3000+AW123&gt;200,"soil limit likely to be exceeded in 50yrs","ok")))))
))))))))</f>
        <v/>
      </c>
      <c r="AZ123" s="9"/>
      <c r="BA123" s="238" t="str">
        <f ca="1">IF(B123="","",
IF(AND('Field information 2'!$O$5="", 'Field information 2'!$Q$5=""),
   IF('Waste results'!$S$28&lt;&gt;"data missing", Calc!BC121*'Waste results'!$S$28, "data missing"),
IF('Field information 2'!$Q$5="",
   IF(Calc!BD121=0,
     IF('Waste results'!$S$28&lt;&gt;"data missing", Calc!BC121*'Waste results'!$S$28, "data missing"),
   IF(Calc!BC121=0,
     IF('Waste results'!$S$64&lt;&gt;"data missing", Calc!BD121*'Waste results'!$S$64, "data missing"),
   IF(OR('Waste results'!$S$28&lt;&gt;"data missing", 'Waste results'!$S$64&lt;&gt;"data missing"), Calc!BC121*'Waste results'!$S$28+ Calc!BD121*'Waste results'!$S$64, "data missing"))),
IF(AND('Field information 2'!$M$5&lt;&gt;"", 'Field information 2'!$O$5&lt;&gt;"", 'Field information 2'!$Q$5&lt;&gt;""),
   IF(AND(Calc!BD121=0,Calc!BE121=0),
     IF('Waste results'!$S$28&lt;&gt;"data missing", Calc!BC121*'Waste results'!$S$28, "data missing"),
   IF(AND(Calc!BC121=0,Calc!BE121=0),
     IF('Waste results'!$S$64&lt;&gt;"data missing", Calc!BD121*'Waste results'!$S$64, "data missing"),
   IF(AND(Calc!BC121=0,Calc!BD121=0),
     IF('Waste results'!$S$100&lt;&gt;"data missing", Calc!BE121*'Waste results'!$S$100, "data missing"),
   IF(Calc!BE121=0,
     IF(OR('Waste results'!$S$28&lt;&gt;"data missing", 'Waste results'!$S$64&lt;&gt;"data missing"), Calc!BC121*'Waste results'!$S$28+ Calc!BD121*'Waste results'!$S$64, "data missing"),
   IF(Calc!BD121=0,
     IF(OR('Waste results'!$S$28&lt;&gt;"data missing", 'Waste results'!$S$100&lt;&gt;"data missing"), Calc!BC121*'Waste results'!$S$28+ Calc!BE121*'Waste results'!$S$100, "data missing"),
   IF(Calc!BC121=0,
     IF(OR('Waste results'!$S$64&lt;&gt;"data missing", 'Waste results'!$S$100&lt;&gt;"data missing"), Calc!BD121*'Waste results'!$S$64+Calc!BE121*'Waste results'!$S$100, "data missing"),
   IF(OR('Waste results'!$S$28&lt;&gt;"data missing", 'Waste results'!$S$64&lt;&gt;"data missing", 'Waste results'!$S$100&lt;&gt;"data missing"), Calc!BC121*'Waste results'!$S$28+Calc!BD121*'Waste results'!$S$64+ Calc!BE121*'Waste results'!$S$100, "data missing")))))))))))</f>
        <v/>
      </c>
      <c r="BB123" s="239" t="str">
        <f ca="1">IF($B123="","",
IF(ISBLANK('Soil results'!N126),"data missing",'Soil results'!N126))</f>
        <v/>
      </c>
      <c r="BC123" s="239" t="str">
        <f t="shared" ca="1" si="45"/>
        <v/>
      </c>
      <c r="BD123" s="9" t="str">
        <f t="shared" ca="1" si="46"/>
        <v/>
      </c>
      <c r="BE123" s="9"/>
      <c r="BF123" s="238" t="str">
        <f ca="1">IF(B123="","",
IF(AND('Field information 2'!$O$5="", 'Field information 2'!$Q$5=""),
   IF('Waste results'!$S$29&lt;&gt;"data missing", Calc!BC121*'Waste results'!$S$29, "data missing"),
IF('Field information 2'!$Q$5="",
   IF(Calc!BD121=0,
     IF('Waste results'!$S$29&lt;&gt;"data missing", Calc!BC121*'Waste results'!$S$29, "data missing"),
   IF(Calc!BC121=0,
     IF('Waste results'!$S$65&lt;&gt;"data missing", Calc!BD121*'Waste results'!$S$65, "data missing"),
   IF(OR('Waste results'!$S$29&lt;&gt;"data missing", 'Waste results'!$S$65&lt;&gt;"data missing"), Calc!BC121*'Waste results'!$S$29+ Calc!BD121*'Waste results'!$S$65, "data missing"))),
IF(AND('Field information 2'!$M$5&lt;&gt;"", 'Field information 2'!$O$5&lt;&gt;"", 'Field information 2'!$Q$5&lt;&gt;""),
   IF(AND(Calc!BD121=0,Calc!BE121=0),
     IF('Waste results'!$S$29&lt;&gt;"data missing", Calc!BC121*'Waste results'!$S$29, "data missing"),
   IF(AND(Calc!BC121=0,Calc!BE121=0),
     IF('Waste results'!$S$65&lt;&gt;"data missing", Calc!BD121*'Waste results'!$S$65, "data missing"),
   IF(AND(Calc!BC121=0,Calc!BD121=0),
     IF('Waste results'!$S$101&lt;&gt;"data missing", Calc!BE121*'Waste results'!$S$101, "data missing"),
   IF(Calc!BE121=0,
     IF(OR('Waste results'!$S$29&lt;&gt;"data missing", 'Waste results'!$S$65&lt;&gt;"data missing"), Calc!BC121*'Waste results'!$S$29+ Calc!BD121*'Waste results'!$S$65, "data missing"),
   IF(Calc!BD121=0,
     IF(OR('Waste results'!$S$29&lt;&gt;"data missing", 'Waste results'!$S$101&lt;&gt;"data missing"), Calc!BC121*'Waste results'!$S$29+ Calc!BE121*'Waste results'!$S$101, "data missing"),
   IF(Calc!BC121=0,
     IF(OR('Waste results'!$S$65&lt;&gt;"data missing", 'Waste results'!$S$101&lt;&gt;"data missing"), Calc!BD121*'Waste results'!$S$65+Calc!BE121*'Waste results'!$S$101, "data missing"),
   IF(OR('Waste results'!$S$29&lt;&gt;"data missing", 'Waste results'!$S$65&lt;&gt;"data missing", 'Waste results'!$S$101&lt;&gt;"data missing"), Calc!BC121*'Waste results'!$S$29+Calc!BD121*'Waste results'!$S$65+ Calc!BE121*'Waste results'!$S$101, "data missing")))))))))))</f>
        <v/>
      </c>
      <c r="BG123" s="239" t="str">
        <f ca="1">IF($B123="","",
IF(ISBLANK('Soil results'!O126),"data missing",'Soil results'!O126))</f>
        <v/>
      </c>
      <c r="BH123" s="239" t="str">
        <f t="shared" ca="1" si="47"/>
        <v/>
      </c>
      <c r="BI123" s="9" t="str">
        <f ca="1">IF(B123="","",
IF(BF123=0,"n/a",
IF(OR(BF123="data missing",BG123="data missing"),"data missing",
IF(BF123&gt;3,"application rate too high - permissible rate exceeds limit",
IF('Soil results'!F126&lt;=5.5,
  IF(BG123&gt;50,"no application - soil conc. already above limit",
  IF(BH123&gt;50,"application rate too high - soil conc. will exceed limit",
  IF(BG123&gt;50*0.9,"soil conc. is at or above 90% of the limit",
  IF(10*BF123*1000/3000+BG123&gt;50,"soil limit likely to be exceeded in 10yrs",
  IF(50*BF123*1000/3000+BG123&gt;50,"soil limit likely to be exceeded in 50yrs","ok"))))),
IF('Soil results'!F126&lt;=6,
  IF(BG123&gt;60,"no application - soil conc. already above limit",
  IF(BH123&gt;60,"application rate too high - soil conc. will exceed limit",
  IF(BG123&gt;60*0.9,"soil conc. is at or above 90% of the limit",
  IF(10*BF123*1000/3000+BG123&gt;60,"soil limit likely to be exceeded in 10yrs",
  IF(50*BF123*1000/3000+BG123&gt;60,"soil limit likely to be exceeded in 50yrs","ok"))))),
IF('Soil results'!F126&lt;=7,
  IF(BG123&gt;75,"no application - soil conc. already above limit",
  IF(BH123&gt;75,"application rate too high - soil conc. will exceed limit",
  IF(BG123&gt;75*0.9,"soil conc. is at or above 90% of the limit",
  IF(10*BF123*1000/3000+BG123&gt;75,"soil limit likely to be exceeded in 10yrs",
  IF(50*BF123*1000/3000+BG123&gt;75,"soil limit likely to be exceeded in 50yrs","ok"))))),
IF('Soil results'!F126&gt;7,
  IF(BG123&gt;100,"no application - soil conc. already above limit",
  IF(BH123&gt;100,"application rate too high - soil conc. will exceed limit",
  IF(BG123&gt;100*0.9,"soil conc. is at or above 90% of the limit",
  IF(10*BF123*1000/3000+BG123&gt;100,"soil limit likely to be exceeded in 10yrs",
  IF(50*BF123*1000/3000+BG123&gt;100,"soil limit likely to beexceeded in 50yrs","ok")))))
))))))))</f>
        <v/>
      </c>
      <c r="BJ123" s="9"/>
      <c r="BK123" s="240" t="str">
        <f ca="1">IF(B123="","",
IF(AND('Field information 2'!$O$5="", 'Field information 2'!$Q$5=""),
   IF('Waste results'!$S$30&lt;&gt;"data missing", Calc!BC121*'Waste results'!$S$30, "data missing"),
IF('Field information 2'!$Q$5="",
   IF(Calc!BD121=0,
     IF('Waste results'!$S$30&lt;&gt;"data missing", Calc!BC121*'Waste results'!$S$30, "data missing"),
   IF(Calc!BC121=0,
     IF('Waste results'!$S$66&lt;&gt;"data missing", Calc!BD121*'Waste results'!$S$66, "data missing"),
   IF(OR('Waste results'!$S$30&lt;&gt;"data missing", 'Waste results'!$S$66&lt;&gt;"data missing"), Calc!BC121*'Waste results'!$S$30+ Calc!BD121*'Waste results'!$S$66, "data missing"))),
IF(AND('Field information 2'!$M$5&lt;&gt;"", 'Field information 2'!$O$5&lt;&gt;"", 'Field information 2'!$Q$5&lt;&gt;""),
   IF(AND(Calc!BD121=0,Calc!BE121=0),
     IF('Waste results'!$S$30&lt;&gt;"data missing", Calc!BC121*'Waste results'!$S$30, "data missing"),
   IF(AND(Calc!BC121=0,Calc!BE121=0),
     IF('Waste results'!$S$66&lt;&gt;"data missing", Calc!BD121*'Waste results'!$S$66, "data missing"),
   IF(AND(Calc!BC121=0,Calc!BD121=0),
     IF('Waste results'!$S$102&lt;&gt;"data missing", Calc!BE121*'Waste results'!$S$102, "data missing"),
   IF(Calc!BE121=0,
     IF(OR('Waste results'!$S$30&lt;&gt;"data missing", 'Waste results'!$S$66&lt;&gt;"data missing"), Calc!BC121*'Waste results'!$S$30+ Calc!BD121*'Waste results'!$S$66, "data missing"),
   IF(Calc!BD121=0,
     IF(OR('Waste results'!$S$30&lt;&gt;"data missing", 'Waste results'!$S$102&lt;&gt;"data missing"), Calc!BC121*'Waste results'!$S$30+ Calc!BE121*'Waste results'!$S$102, "data missing"),
   IF(Calc!BC121=0,
     IF(OR('Waste results'!$S$66&lt;&gt;"data missing", 'Waste results'!$S$102&lt;&gt;"data missing"), Calc!BD121*'Waste results'!$S$66+Calc!BE121*'Waste results'!$S$102, "data missing"),
   IF(OR('Waste results'!$S$30&lt;&gt;"data missing", 'Waste results'!$S$66&lt;&gt;"data missing", 'Waste results'!$S$102&lt;&gt;"data missing"), Calc!BC121*'Waste results'!$S$30+Calc!BD121*'Waste results'!$S$66+ Calc!BE121*'Waste results'!$S$102, "data missing")))))))))))</f>
        <v/>
      </c>
      <c r="BL123" s="241" t="str">
        <f ca="1">IF($B123="","",
IF(ISBLANK('Soil results'!P126),"data missing",'Soil results'!P126))</f>
        <v/>
      </c>
      <c r="BM123" s="241" t="str">
        <f t="shared" ca="1" si="48"/>
        <v/>
      </c>
      <c r="BN123" s="66" t="str">
        <f t="shared" ca="1" si="49"/>
        <v/>
      </c>
      <c r="BO123" s="9"/>
      <c r="BP123" s="238" t="str">
        <f ca="1">IF(B123="","",
IF(AND('Field information 2'!$O$5="", 'Field information 2'!$Q$5=""),
   IF('Waste results'!$S$31&lt;&gt;"data missing", Calc!BC121*'Waste results'!$S$31, "data missing"),
IF('Field information 2'!$Q$5="",
   IF(Calc!BD121=0,
     IF('Waste results'!$S$31&lt;&gt;"data missing", Calc!BC121*'Waste results'!$S$31, "data missing"),
   IF(Calc!BC121=0,
     IF('Waste results'!$S$67&lt;&gt;"data missing", Calc!BD121*'Waste results'!$S$67, "data missing"),
   IF(OR('Waste results'!$S$31&lt;&gt;"data missing", 'Waste results'!$S$67&lt;&gt;"data missing"), Calc!BC121*'Waste results'!$S$31+ Calc!BD121*'Waste results'!$S$67, "data missing"))),
IF(AND('Field information 2'!$M$5&lt;&gt;"", 'Field information 2'!$O$5&lt;&gt;"", 'Field information 2'!$Q$5&lt;&gt;""),
   IF(AND(Calc!BD121=0,Calc!BE121=0),
     IF('Waste results'!$S$31&lt;&gt;"data missing", Calc!BC121*'Waste results'!$S$31, "data missing"),
   IF(AND(Calc!BC121=0,Calc!BE121=0),
     IF('Waste results'!$S$67&lt;&gt;"data missing", Calc!BD121*'Waste results'!$S$67, "data missing"),
   IF(AND(Calc!BC121=0,Calc!BD121=0),
     IF('Waste results'!$S$103&lt;&gt;"data missing", Calc!BE121*'Waste results'!$S$103, "data missing"),
   IF(Calc!BE121=0,
     IF(OR('Waste results'!$S$31&lt;&gt;"data missing", 'Waste results'!$S$67&lt;&gt;"data missing"), Calc!BC121*'Waste results'!$S$31+ Calc!BD121*'Waste results'!$S$67, "data missing"),
   IF(Calc!BD121=0,
     IF(OR('Waste results'!$S$31&lt;&gt;"data missing", 'Waste results'!$S$103&lt;&gt;"data missing"), Calc!BC121*'Waste results'!$S$31+ Calc!BE121*'Waste results'!$S$103, "data missing"),
   IF(Calc!BC121=0,
     IF(OR('Waste results'!$S$67&lt;&gt;"data missing", 'Waste results'!$S$103&lt;&gt;"data missing"), Calc!BD121*'Waste results'!$S$67+Calc!BE121*'Waste results'!$S$103, "data missing"),
   IF(OR('Waste results'!$S$31&lt;&gt;"data missing", 'Waste results'!$S$67&lt;&gt;"data missing", 'Waste results'!$S$103&lt;&gt;"data missing"), Calc!BC121*'Waste results'!$S$31+Calc!BD121*'Waste results'!$S$67+ Calc!BE121*'Waste results'!$S$103, "data missing")))))))))))</f>
        <v/>
      </c>
      <c r="BQ123" s="239" t="str">
        <f ca="1">IF($B123="","",
IF(ISBLANK('Soil results'!Q126),"data missing",'Soil results'!Q126))</f>
        <v/>
      </c>
      <c r="BR123" s="239" t="str">
        <f t="shared" ca="1" si="50"/>
        <v/>
      </c>
      <c r="BS123" s="9" t="str">
        <f ca="1">IF(B123="","",
IF(BP123=0,"n/a",
IF(OR(BP123="data missing",BQ123=""),"data missing",
IF(BP123&gt;15,"application rate too high - permissible rate exceeds limit",
IF('Soil results'!F126&lt;=5.5,
  IF(BQ123&gt;200,"no application - soil conc. already above limit",
  IF(BR123&gt;200,"application rate too high - soil conc. will exceed limit",
  IF(BQ123&gt;200*0.9,"soil conc. is at or above 90% of the limit",
  IF(10*BP123*1000/3000+BQ123&gt;200,"soil limit likely to be exceeded in 10yrs",
  IF(50*BP123*1000/3000+BQ123&gt;200,"soil limit likely to be exceeded in 50yrs","ok"))))),
IF('Soil results'!F126&lt;=6,
  IF(BQ123&gt;250,"no application - soil conc. already above limit",
  IF(BR123&gt;250,"application rate too high - soil conc. will exceed limit",
  IF(BQ123&gt;250*0.9,"soil conc. is at or above 90% of the limit",
  IF(10*BP123*1000/3000+BQ123&gt;250,"soil limit likely to be exceeded in 10yrs",
  IF(50*BP123*1000/3000+BQ123&gt;250,"soil limit likely to be exceeded in 50yrs","ok"))))),
IF('Soil results'!F126&lt;=7,
  IF(BQ123&gt;300,"no application - soil conc. already above limit",
  IF(BR123&gt;300,"application rate too high - soil conc. will exceed limit",
  IF(BQ123&gt;300*0.9,"soil conc. is at or above 90% of the limit",
  IF(10*BP123*1000/3000+BQ123&gt;300,"soil limit likey to be exceeded in 10yrs",
  IF(50*BP123*1000/3000+BQ123&gt;300,"soil limit likely to be exceeded in 50yrs","ok"))))),
IF('Soil results'!F126&gt;7,
  IF(BQ123&gt;450,"no application - soil conc. already above limit",
  IF(BR123&gt;450,"application rate too high - soil conc. will exceed limit",
  IF(AW123&gt;450*0.9,"soil conc. is at or above 90% of the limit",
  IF(10*BP123*1000/3000+BQ123&gt;450,"soil limit likely to be exceeded in 10yrs",
  IF(50*BP123*1000/3000+BQ123&gt;450,"soil limit likely to be exceeded in 50yrs","ok")))))
))))))))</f>
        <v/>
      </c>
    </row>
    <row r="124" spans="2:71" ht="15" x14ac:dyDescent="0.25">
      <c r="B124" s="236" t="str">
        <f ca="1">'Soil results'!B127</f>
        <v/>
      </c>
      <c r="C124" s="91" t="str">
        <f ca="1">IF(B124="","",
IF(AND('Field information 2'!$O$5="", 'Field information 2'!$Q$5=""),
   IF('Waste results'!$S$12&lt;&gt;"data missing", Calc!BC122*'Waste results'!$S$12, "data missing"),
IF('Field information 2'!$Q$5="",
   IF(Calc!BD122=0,
     IF('Waste results'!$S$12&lt;&gt;"data missing", Calc!BC122*'Waste results'!$S$12, "data missing"),
   IF(Calc!BC122=0,
     IF('Waste results'!$S$48&lt;&gt;"data missing", Calc!BD122*'Waste results'!$S$48, "data missing"),
   IF(OR('Waste results'!$S$12&lt;&gt;"data missing", 'Waste results'!$S$48&lt;&gt;"data missing"), Calc!BC122*'Waste results'!$S$12+ Calc!BD122*'Waste results'!$S$48, "data missing"))),
IF(AND('Field information 2'!$M$5&lt;&gt;"", 'Field information 2'!$O$5&lt;&gt;"", 'Field information 2'!$Q$5&lt;&gt;""),
   IF(AND(Calc!BD122=0,Calc!BE122=0),
     IF('Waste results'!$S$12&lt;&gt;"data missing", Calc!BC122*'Waste results'!$S$12, "data missing"),
   IF(AND(Calc!BC122=0,Calc!BE122=0),
     IF('Waste results'!$S$48&lt;&gt;"data missing", Calc!BD122*'Waste results'!$S$48, "data missing"),
   IF(AND(Calc!BC122=0,Calc!BD122=0),
     IF('Waste results'!$S$84&lt;&gt;"data missing", Calc!BE122*'Waste results'!$S$84, "data missing"),
   IF(Calc!BE122=0,
     IF(OR('Waste results'!$S$12&lt;&gt;"data missing", 'Waste results'!$S$48&lt;&gt;"data missing"), Calc!BC122*'Waste results'!$S$12+ Calc!BD122*'Waste results'!$S$48, "data missing"),
   IF(Calc!BD122=0,
     IF(OR('Waste results'!$S$12&lt;&gt;"data missing", 'Waste results'!$S$84&lt;&gt;"data missing"), Calc!BC122*'Waste results'!$S$12+ Calc!BE122*'Waste results'!$S$84, "data missing"),
   IF(Calc!BC122=0,
     IF(OR('Waste results'!$S$48&lt;&gt;"data missing", 'Waste results'!$S$84&lt;&gt;"data missing"), Calc!BD122*'Waste results'!$S$48+Calc!BE122*'Waste results'!$S$84, "data missing"),
   IF(OR('Waste results'!$S$12&lt;&gt;"data missing", 'Waste results'!$S$48&lt;&gt;"data missing", 'Waste results'!$S$84&lt;&gt;"data missing"), Calc!BC122*'Waste results'!$S$12+Calc!BD122*'Waste results'!$S$48+ Calc!BE122*'Waste results'!$S$84, "data missing")))))))))))</f>
        <v/>
      </c>
      <c r="D124" s="161" t="str">
        <f ca="1">IF(B124="","",
IF(Calc!BG122="","soil texture missing",
IF(OR(Calc!BG122="SL; SZL; ZL",Calc!BG122="SCL; CL; ZCL; SC; ZC; C"),VLOOKUP(Calc!BI122,'Fertiliser recommendations'!$A$4:$C$63,3,FALSE),
IF(Calc!BG122="S; LS",VLOOKUP(Calc!BI122,'Fertiliser recommendations'!$A$4:$C$63,3,FALSE)+VLOOKUP(Calc!BI122,'Fertiliser recommendations'!$A$4:$D$63,4,FALSE),
IF(Calc!BG122="10-25% OM",VLOOKUP(Calc!BI122,'Fertiliser recommendations'!$A$4:$C$63,3,FALSE)+VLOOKUP(Calc!BI122,'Fertiliser recommendations'!$A$4:$E$63,5,FALSE),
IF(Calc!BG122="&gt;25% OM",VLOOKUP(Calc!BI122,'Fertiliser recommendations'!$A$4:$C$63,3,FALSE)+VLOOKUP(Calc!BI122,'Fertiliser recommendations'!$A$4:$F$63,6,FALSE),
""))))))</f>
        <v/>
      </c>
      <c r="E124" s="91" t="str">
        <f t="shared" ca="1" si="34"/>
        <v/>
      </c>
      <c r="F124" s="9" t="str">
        <f ca="1">IF(B124="","",
IF(OR(C124="data missing",D124="soil texture missing"),"data missing",
IF(Calc!BF122=0,"n/a",
IF(C124&lt;0.1*D124,"no benefit",
IF(C124&lt;0.3*D124,"limited benefit",
IF(C124&gt;250,"exceeds limit",
IF(OR(AND(D124=0,C124&gt;75),C124&gt;1.25*D124),"excessive",
IF(D124=0, "no requirement",
"benefit"))))))))</f>
        <v/>
      </c>
      <c r="G124" s="9"/>
      <c r="H124" s="91" t="str">
        <f ca="1">IF(B124="","",
IF(AND('Field information 2'!$O$5="", 'Field information 2'!$Q$5=""),
   IF('Waste results'!$S$17&lt;&gt;"data missing", Calc!BC122*'Waste results'!$S$17, "data missing"),
IF('Field information 2'!$Q$5="",
   IF(Calc!BD122=0,
     IF('Waste results'!$S$17&lt;&gt;"data missing", Calc!BC122*'Waste results'!$S$17, "data missing"),
   IF(Calc!BC122=0,
     IF('Waste results'!$S$53&lt;&gt;"data missing", Calc!BD122*'Waste results'!$S$53, "data missing"),
   IF(OR('Waste results'!$S$17&lt;&gt;"data missing", 'Waste results'!$S$53&lt;&gt;"data missing"), Calc!BC122*'Waste results'!$S$17+ Calc!BD122*'Waste results'!$S$53, "data missing"))),
IF(AND('Field information 2'!$M$5&lt;&gt;"", 'Field information 2'!$O$5&lt;&gt;"", 'Field information 2'!$Q$5&lt;&gt;""),
   IF(AND(Calc!BD122=0,Calc!BE122=0),
     IF('Waste results'!$S$17&lt;&gt;"data missing", Calc!BC122*'Waste results'!$S$17, "data missing"),
   IF(AND(Calc!BC122=0,Calc!BE122=0),
     IF('Waste results'!$S$53&lt;&gt;"data missing", Calc!BD122*'Waste results'!$S$53, "data missing"),
   IF(AND(Calc!BC122=0,Calc!BD122=0),
     IF('Waste results'!$S$89&lt;&gt;"data missing", Calc!BE122*'Waste results'!$S$89, "data missing"),
   IF(Calc!BE122=0,
     IF(OR('Waste results'!$S$17&lt;&gt;"data missing", 'Waste results'!$S$53&lt;&gt;"data missing"), Calc!BC122*'Waste results'!$S$17+ Calc!BD122*'Waste results'!$S$53, "data missing"),
   IF(Calc!BD122=0,
     IF(OR('Waste results'!$S$17&lt;&gt;"data missing", 'Waste results'!$S$89&lt;&gt;"data missing"), Calc!BC122*'Waste results'!$S$17+ Calc!BE122*'Waste results'!$S$89, "data missing"),
   IF(Calc!BC122=0,
     IF(OR('Waste results'!$S$53&lt;&gt;"data missing", 'Waste results'!$S$89&lt;&gt;"data missing"), Calc!BD122*'Waste results'!$S$53+Calc!BE122*'Waste results'!$S$89, "data missing"),
   IF(OR('Waste results'!$S$17&lt;&gt;"data missing", 'Waste results'!$S$53&lt;&gt;"data missing", 'Waste results'!$S$89&lt;&gt;"data missing"), Calc!BC122*'Waste results'!$S$17+Calc!BD122*'Waste results'!$S$53+ Calc!BE122*'Waste results'!$S$89, "data missing")))))))))))</f>
        <v/>
      </c>
      <c r="I124" s="195" t="str">
        <f ca="1">IF(B124="","",
IF(OR(ISBLANK('Soil results'!G127), ISBLANK('Soil results'!G$7)),"data missing",
IF(OR(AND('Soil results'!G$7="Olsen (ADAS)",'Soil results'!G127&lt;16),AND('Soil results'!G$7="modified Morgan (SAC)",'Soil results'!G127&lt;4.5)),50,100)))</f>
        <v/>
      </c>
      <c r="J124" s="49" t="str">
        <f ca="1">IF(B124="","",
IF(OR(ISBLANK('Soil results'!G$7),ISBLANK('Soil results'!G127)),"data missing",
IF(OR(AND('Soil results'!G$7="Olsen (ADAS)",'Soil results'!G127&gt;45),AND('Soil results'!G$7="modified Morgan (SAC)",'Soil results'!G127&gt;30)),0,
IF(OR(AND('Soil results'!G$7="Olsen (ADAS)",'Soil results'!G127&gt;=16,'Soil results'!G127&lt;=20),AND('Soil results'!G$7="modified Morgan (SAC)",'Soil results'!G127&gt;=4.5,'Soil results'!G127&lt;=9.4)),VLOOKUP(Calc!BI122,'Fertiliser recommendations'!$A$4:$I$63,9,FALSE),
IF(OR(AND('Soil results'!G$7="Olsen (ADAS)",'Soil results'!G127&lt;10),AND('Soil results'!G$7="modified Morgan (SAC)",'Soil results'!G127&lt;1.8)),VLOOKUP(Calc!BI122,'Fertiliser recommendations'!$A$4:$I$63,9,FALSE)+VLOOKUP(Calc!BI122,'Fertiliser recommendations'!$A$4:$J$63,10,FALSE),
IF(OR(AND('Soil results'!G$7="Olsen (ADAS)",'Soil results'!G127&lt;16),AND('Soil results'!G$7="modified Morgan (SAC)",'Soil results'!G127&lt;4.5)),VLOOKUP(Calc!BI122,'Fertiliser recommendations'!$A$4:$I$63,9,FALSE)+VLOOKUP(Calc!BI122,'Fertiliser recommendations'!$A$4:$K$63,11,FALSE),
IF(OR(AND('Soil results'!G$7="Olsen (ADAS)",'Soil results'!G127&lt;26),AND('Soil results'!G$7="modified Morgan (SAC)",'Soil results'!G127&lt;13.5)),VLOOKUP(Calc!BI122,'Fertiliser recommendations'!$A$4:$I$63,9,FALSE)+VLOOKUP(Calc!BI122,'Fertiliser recommendations'!$A$4:$L$63,12,FALSE),
IF(OR(AND('Soil results'!G$7="Olsen (ADAS)",'Soil results'!G127&lt;=45),AND('Soil results'!G$7="modified Morgan (SAC)",'Soil results'!G127&lt;=30)),VLOOKUP(Calc!BI122,'Fertiliser recommendations'!$A$4:$I$63,9,FALSE)+VLOOKUP(Calc!BI122,'Fertiliser recommendations'!$A$4:$M$63,13,FALSE),
""))))))))</f>
        <v/>
      </c>
      <c r="K124" s="161" t="str">
        <f t="shared" ca="1" si="35"/>
        <v/>
      </c>
      <c r="L124" s="47" t="str">
        <f ca="1">IF(OR(ISBLANK('Soil results'!G$7),ISBLANK('Soil results'!G127),B124="", H124="data missing"),"",
IF('Soil results'!G$7="Olsen (ADAS)",
IF(((H124*Calc!BM122/2.291-(VLOOKUP(Calc!BI122,'Fertiliser recommendations'!$A$4:$I$63,9,FALSE))/2.291)*10/(400/2.291)+'Soil results'!G127)&lt;10,"0 (VL)",
IF(((H124*Calc!BM122/2.291-(VLOOKUP(Calc!BI122,'Fertiliser recommendations'!$A$4:$I$63,9,FALSE))/2.291)*10/(400/2.291)+'Soil results'!G127)&lt;16,"1 (L)",
IF(((H124*Calc!BM122/2.291-(VLOOKUP(Calc!BI122,'Fertiliser recommendations'!$A$4:$I$63,9,FALSE))/2.291)*10/(400/2.291)+'Soil results'!G127)&lt;21,"2 (M-)",
IF(((H124*Calc!BM122/2.291-(VLOOKUP(Calc!BI122,'Fertiliser recommendations'!$A$4:$I$63,9,FALSE))/2.291)*10/(400/2.291)+'Soil results'!G127)&lt;26,"2 (M+)",
IF(((H124*Calc!BM122/2.291-(VLOOKUP(Calc!BI122,'Fertiliser recommendations'!$A$4:$I$63,9,FALSE))/2.291)*10/(400/2.291)+'Soil results'!G127)&lt;45,"3 (H)","&gt;3 (VH)"))))),
IF('Soil results'!G$7="modified Morgan (SAC)",
IF('Soil results'!G127&gt;=6,
IF(((H124*Calc!BM122/2.291-(VLOOKUP(Calc!BI122,'Fertiliser recommendations'!$A$4:$I$63,9,FALSE))/2.291)*5/(147/2.291)+'Soil results'!G127)&lt;9.5,"2 (M-)",
IF(((H124*Calc!BM122/2.291-(VLOOKUP(Calc!BI122,'Fertiliser recommendations'!$A$4:$I$63,9,FALSE))/2.291)*5/(147/2.291)+'Soil results'!G127)&lt;13.5,"2 (M+)",
IF(((H124*Calc!BM122/2.291-(VLOOKUP(Calc!BI122,'Fertiliser recommendations'!$A$4:$I$63,9,FALSE))/2.291)*5/(147/2.291)+'Soil results'!G127)&lt;30,"3 (H)","4 (VH)"))),
IF(((H124*Calc!BM122/2.291-(VLOOKUP(Calc!BI122,'Fertiliser recommendations'!$A$4:$I$63,9,FALSE))/2.291)*5/(346/2.291)+'Soil results'!G127)&lt;1.8,"0 (VL)",
IF(((H124*Calc!BM122/2.291-(VLOOKUP(Calc!BI122,'Fertiliser recommendations'!$A$4:$I$63,9,FALSE))/2.291)*5/(147/2.291)+'Soil results'!G127)&lt;4.5,"1 (L)","2 (M-)"))))))</f>
        <v/>
      </c>
      <c r="M124" s="9" t="str">
        <f ca="1">IF(B124="","",
IF(OR(H124="data missing",I124="data missing",J124="data missing"),"data missing",
IF(Calc!BF122=0,"n/a",
IF(OR(AND('Soil results'!G$7="Olsen (ADAS)",'Soil results'!G127&gt;45),AND('Soil results'!G$7="modified Morgan (SAC)",'Soil results'!G127&gt;30)),
IF(H124&gt;2,"too high, not acceptable","no requirement"),IF(OR(AND('Soil results'!G$7="Olsen (ADAS)",'Soil results'!G127&gt;25),AND('Soil results'!G$7="modified Morgan (SAC)",'Soil results'!G127&gt;13.4)),
IF(H124*(I124/100)&lt;0.1*J124,"no benefit",
IF(H124*(I124/100)&lt;0.3*J124,"limited benefit",
IF(H124*(I124/100)&lt;1.1*J124,"benefit",
IF(H124*(I124/100)&lt;0.7*VLOOKUP(Calc!BI122,'Fertiliser recommendations'!$A$4:$I$63,9,FALSE),"excessive","too high, not acceptable")))),
IF(OR(AND('Soil results'!G$7="Olsen (ADAS)",'Soil results'!G127&gt;20),AND('Soil results'!G$7="modified Morgan (SAC)",'Soil results'!G127&gt;9.4)),
IF(H124*Calc!BM122*(I124/100)&lt;0.1*J124,"no benefit",
IF(H124*Calc!BM122*(I124/100)&lt;0.3*J124,"limited benefit",
IF(H124*Calc!BM122*(I124/100)&lt;1.1*J124,"benefit",
IF(L124="3 (H)","too high, not acceptable","excessive")))),
IF(OR(AND('Soil results'!G$7="Olsen (ADAS)",'Soil results'!G127&gt;15),AND('Soil results'!G$7="modified Morgan (SAC)",'Soil results'!G127&gt;4.4)),
IF(H124*Calc!BM122*(I124/100)&lt;0.1*VLOOKUP(Calc!BI122,'Fertiliser recommendations'!$A$4:$I$63,9,FALSE),"no benefit",
IF(H124*Calc!BM122*(I124/100)&lt;0.3*VLOOKUP(Calc!BI122,'Fertiliser recommendations'!$A$4:$I$63,9,FALSE),"limited benefit",
IF(H124*Calc!BM122*(I124/100)&lt;1.1*VLOOKUP(Calc!BI122,'Fertiliser recommendations'!$A$4:$I$63,9,FALSE),"benefit",
IF(L124="3 (H)", "too high, not acceptable", "excessive")))),
IF(OR(AND('Soil results'!G$7="Olsen (ADAS)",'Soil results'!G127&lt;=15),AND('Soil results'!G$7="modified Morgan (SAC)",'Soil results'!G127&lt;=4.4)),
IF(H124*Calc!BM122*(I124/100)&lt;0.1*VLOOKUP(Calc!BI122,'Fertiliser recommendations'!$A$4:$I$63,9,FALSE),"no benefit",
IF(H124*Calc!BM122*(I124/100)&lt;0.3*VLOOKUP(Calc!BI122,'Fertiliser recommendations'!$A$4:$I$63,9,FALSE),"limited benefit",
IF(H124*Calc!BM122*(I124/100)&lt;1.1*J124,"benefit","excessive")))))))))))</f>
        <v/>
      </c>
      <c r="N124" s="9"/>
      <c r="O124" s="91" t="str">
        <f ca="1">IF(B124="","",
IF(AND('Field information 2'!$O$5="", 'Field information 2'!$Q$5=""),
   IF('Waste results'!$S$19&lt;&gt;"data missing", Calc!BC122*'Waste results'!$S$19, "data missing"),
IF('Field information 2'!$Q$5="",
   IF(Calc!BD122=0,
     IF('Waste results'!$S$19&lt;&gt;"data missing", Calc!BC122*'Waste results'!$S$19, "data missing"),
   IF(Calc!BC122=0,
     IF('Waste results'!$S$55&lt;&gt;"data missing", Calc!BD122*'Waste results'!$S$55, "data missing"),
   IF(OR('Waste results'!$S$19&lt;&gt;"data missing", 'Waste results'!$S$55&lt;&gt;"data missing"), Calc!BC122*'Waste results'!$S$19+ Calc!BD122*'Waste results'!$S$55, "data missing"))),
IF(AND('Field information 2'!$M$5&lt;&gt;"", 'Field information 2'!$O$5&lt;&gt;"", 'Field information 2'!$Q$5&lt;&gt;""),
   IF(AND(Calc!BD122=0,Calc!BE122=0),
     IF('Waste results'!$S$19&lt;&gt;"data missing", Calc!BC122*'Waste results'!$S$19, "data missing"),
   IF(AND(Calc!BC122=0,Calc!BE122=0),
     IF('Waste results'!$S$55&lt;&gt;"data missing", Calc!BD122*'Waste results'!$S$55, "data missing"),
   IF(AND(Calc!BC122=0,Calc!BD122=0),
     IF('Waste results'!$S$91&lt;&gt;"data missing", Calc!BE122*'Waste results'!$S$91, "data missing"),
   IF(Calc!BE122=0,
     IF(OR('Waste results'!$S$19&lt;&gt;"data missing", 'Waste results'!$S$55&lt;&gt;"data missing"), Calc!BC122*'Waste results'!$S$19+ Calc!BD122*'Waste results'!$S$55, "data missing"),
   IF(Calc!BD122=0,
     IF(OR('Waste results'!$S$19&lt;&gt;"data missing", 'Waste results'!$S$91&lt;&gt;"data missing"), Calc!BC122*'Waste results'!$S$19+ Calc!BE122*'Waste results'!$S$91, "data missing"),
   IF(Calc!BC122=0,
     IF(OR('Waste results'!$S$55&lt;&gt;"data missing", 'Waste results'!$S$91&lt;&gt;"data missing"), Calc!BD122*'Waste results'!$S$55+Calc!BE122*'Waste results'!$S$91, "data missing"),
   IF(OR('Waste results'!$S$19&lt;&gt;"data missing", 'Waste results'!$S$55&lt;&gt;"data missing", 'Waste results'!$S$91&lt;&gt;"data missing"), Calc!BC122*'Waste results'!$S$19+Calc!BD122*'Waste results'!$S$55+ Calc!BE122*'Waste results'!$S$91, "data missing")))))))))))</f>
        <v/>
      </c>
      <c r="P124" s="91" t="str">
        <f ca="1">IF(B124="","",
IF(OR(ISBLANK('Soil results'!H$7),ISBLANK('Soil results'!H127)),"data missing",
IF(OR(AND('Soil results'!H$7="ammonium nitrate (ADAS)",'Soil results'!H127&gt;400),AND('Soil results'!H$7="modified Morgan (SAC)",'Soil results'!H127&gt;400)),0,
IF(OR(AND('Soil results'!H$7="ammonium nitrate (ADAS)",'Soil results'!H127&gt;=121,'Soil results'!H127&lt;=180),AND('Soil results'!H$7="modified Morgan (SAC)",'Soil results'!H127&gt;=76,'Soil results'!H127&lt;=140)),VLOOKUP(Calc!BI122,'Fertiliser recommendations'!$A$4:$Z$63,26,FALSE),
IF(OR(AND('Soil results'!H$7="ammonium nitrate (ADAS)",'Soil results'!H127&lt;61),AND('Soil results'!H$7="modified Morgan (SAC)",'Soil results'!H127&lt;40)),VLOOKUP(Calc!BI122,'Fertiliser recommendations'!$A$4:$Z$63,26,FALSE)+VLOOKUP(Calc!BI122,'Fertiliser recommendations'!$A$4:$AA$63,27,FALSE),
IF(OR(AND('Soil results'!H$7="ammonium nitrate (ADAS)",'Soil results'!H127&lt;121),AND('Soil results'!H$7="modified Morgan (SAC)",'Soil results'!H127&lt;76)),VLOOKUP(Calc!BI122,'Fertiliser recommendations'!$A$4:$Z$63,26,FALSE)+VLOOKUP(Calc!BI122,'Fertiliser recommendations'!$A$4:$AB$63,28,FALSE),
IF(OR(AND('Soil results'!H$7="ammonium nitrate (ADAS)",'Soil results'!H127&lt;241),AND('Soil results'!H$7="modified Morgan (SAC)",'Soil results'!H127&lt;201)),VLOOKUP(Calc!BI122,'Fertiliser recommendations'!$A$4:$Z$63,26,FALSE)+VLOOKUP(Calc!BI122,'Fertiliser recommendations'!$A$4:$AC$63,29,FALSE),
IF(OR(AND('Soil results'!H$7="ammonium nitrate (ADAS)",'Soil results'!H127&lt;=400),AND('Soil results'!H$7="modified Morgan (SAC)",'Soil results'!H127&lt;=400)),VLOOKUP(Calc!BI122,'Fertiliser recommendations'!$A$4:$Z$63,26,FALSE)+VLOOKUP(Calc!BI122,'Fertiliser recommendations'!$A$4:$AD$63,30,FALSE),
"??"))))))))</f>
        <v/>
      </c>
      <c r="Q124" s="91" t="str">
        <f t="shared" ca="1" si="36"/>
        <v/>
      </c>
      <c r="R124" s="9" t="str">
        <f ca="1">IF(B124="","",
IF(OR(O124="data missing",P124="data missing"),"data missing",
IF(Calc!BF122=0,"n/a",
IF(P124=0, "no requirement",
IF(O124&lt;0.1*P124,"no benefit",
IF(O124&lt;0.3*P124,"limited benefit",
IF(O124&gt;1.25*P124,"excessive",
"benefit")))))))</f>
        <v/>
      </c>
      <c r="S124" s="9"/>
      <c r="T124" s="91" t="str">
        <f ca="1">IF(B124="","",
IF(AND('Field information 2'!$O$5="", 'Field information 2'!$Q$5=""),
   IF('Waste results'!$S$21&lt;&gt;"data missing", Calc!BC122*'Waste results'!$S$21, "data missing"),
IF('Field information 2'!$Q$5="",
   IF(Calc!BD122=0,
     IF('Waste results'!$S$21&lt;&gt;"data missing", Calc!BC122*'Waste results'!$S$21, "data missing"),
   IF(Calc!BC122=0,
     IF('Waste results'!$S$57&lt;&gt;"data missing", Calc!BD122*'Waste results'!$S$57, "data missing"),
   IF(OR('Waste results'!$S$21&lt;&gt;"data missing", 'Waste results'!$S$57&lt;&gt;"data missing"), Calc!BC122*'Waste results'!$S$21+ Calc!BD122*'Waste results'!$S$57, "data missing"))),
IF(AND('Field information 2'!$M$5&lt;&gt;"", 'Field information 2'!$O$5&lt;&gt;"", 'Field information 2'!$Q$5&lt;&gt;""),
   IF(AND(Calc!BD122=0,Calc!BE122=0),
     IF('Waste results'!$S$21&lt;&gt;"data missing", Calc!BC122*'Waste results'!$S$21, "data missing"),
   IF(AND(Calc!BC122=0,Calc!BE122=0),
     IF('Waste results'!$S$57&lt;&gt;"data missing", Calc!BD122*'Waste results'!$S$57, "data missing"),
   IF(AND(Calc!BC122=0,Calc!BD122=0),
     IF('Waste results'!$S$93&lt;&gt;"data missing", Calc!BE122*'Waste results'!$S$93, "data missing"),
   IF(Calc!BE122=0,
     IF(OR('Waste results'!$S$21&lt;&gt;"data missing", 'Waste results'!$S$57&lt;&gt;"data missing"), Calc!BC122*'Waste results'!$S$21+ Calc!BD122*'Waste results'!$S$57, "data missing"),
   IF(Calc!BD122=0,
     IF(OR('Waste results'!$S$21&lt;&gt;"data missing", 'Waste results'!$S$93&lt;&gt;"data missing"), Calc!BC122*'Waste results'!$S$21+ Calc!BE122*'Waste results'!$S$93, "data missing"),
   IF(Calc!BC122=0,
     IF(OR('Waste results'!$S$57&lt;&gt;"data missing", 'Waste results'!$S$93&lt;&gt;"data missing"), Calc!BD122*'Waste results'!$S$57+Calc!BE122*'Waste results'!$S$93, "data missing"),
   IF(OR('Waste results'!$S$21&lt;&gt;"data missing", 'Waste results'!$S$57&lt;&gt;"data missing", 'Waste results'!$S$93&lt;&gt;"data missing"), Calc!BC122*'Waste results'!$S$21+Calc!BD122*'Waste results'!$S$57+ Calc!BE122*'Waste results'!$S$93, "data missing")))))))))))</f>
        <v/>
      </c>
      <c r="U124" s="7" t="str">
        <f ca="1">IF(B124="","",
IF(OR(ISBLANK('Soil results'!I$7),ISBLANK('Soil results'!I127)),"data missing",
IF(OR(AND('Soil results'!I$7="ammonium nitrate (ADAS)",'Soil results'!I127&gt;51),AND('Soil results'!I$7="modified Morgan (SAC)",'Soil results'!I127&gt;61)),0,
IF(OR(AND('Soil results'!I$7="ammonium nitrate (ADAS)",'Soil results'!I127&lt;25),AND('Soil results'!I$7="modified Morgan (SAC)",'Soil results'!I127&lt;19)),VLOOKUP(Calc!BI122,'Fertiliser recommendations'!$A$4:$AH$63,34,FALSE),
IF(OR(AND('Soil results'!I$7="ammonium nitrate (ADAS)",'Soil results'!I127&lt;=51),AND('Soil results'!I$7="modified Morgan (SAC)",'Soil results'!I127&lt;=61)),VLOOKUP(Calc!BI122,'Fertiliser recommendations'!$A$4:$AI$63,35,FALSE),
"")))))</f>
        <v/>
      </c>
      <c r="V124" s="91" t="str">
        <f t="shared" ca="1" si="37"/>
        <v/>
      </c>
      <c r="W124" s="9" t="str">
        <f ca="1">IF(B124="","",
IF(OR(T124="data missing",U124="data missing"),"data missing",
IF(Calc!BF122=0,"n/a",
IF(U124=0,"no requirement",
IF(T124&lt;0.1*U124,"no benefit",
IF(T124&lt;0.3*U124,"limited benefit",
IF(OR(T124&gt;1.5*U124,AND(Calc!BJ122="g",T124&gt;100)),"excessive",
"benefit")))))))</f>
        <v/>
      </c>
      <c r="X124" s="9"/>
      <c r="Y124" s="91" t="str">
        <f ca="1">IF(B124="","",
IF(AND('Field information 2'!$O$5="", 'Field information 2'!$Q$5=""),
   IF('Waste results'!$P$23&lt;&gt;"", Calc!BC122*'Waste results'!$P$23, "no data"),
IF('Field information 2'!$Q$5="",
   IF(Calc!BD122=0,
     IF('Waste results'!$P$23&lt;&gt;"", Calc!BC122*'Waste results'!$P$23, "no data"),
   IF(Calc!BC122=0,
     IF('Waste results'!$P$59&lt;&gt;"", Calc!BD122*'Waste results'!$P$59, "no data"),
   IF(OR('Waste results'!$P$23&lt;&gt;"", 'Waste results'!$P$59&lt;&gt;""), Calc!BC122*'Waste results'!$P$23+ Calc!BD122*'Waste results'!$P$59, "no data"))),
IF(AND('Field information 2'!$M$5&lt;&gt;"", 'Field information 2'!$O$5&lt;&gt;"", 'Field information 2'!$Q$5&lt;&gt;""),
   IF(AND(Calc!BD122=0,Calc!BE122=0),
     IF('Waste results'!$P$23&lt;&gt;"", Calc!BC122*'Waste results'!$P$23, "no data"),
   IF(AND(Calc!BC122=0,Calc!BE122=0),
     IF('Waste results'!$P$59&lt;&gt;"", Calc!BD122*'Waste results'!$P$59, "no data"),
   IF(AND(Calc!BC122=0,Calc!BD122=0),
     IF('Waste results'!$P$95&lt;&gt;"", Calc!BE122*'Waste results'!$P$95, "no data"),
   IF(Calc!BE122=0,
     IF(OR('Waste results'!$P$23&lt;&gt;"", 'Waste results'!$P$59&lt;&gt;""), Calc!BC122*'Waste results'!$P$23+ Calc!BD122*'Waste results'!$P$59, "no data"),
   IF(Calc!BD122=0,
     IF(OR('Waste results'!$P$23&lt;&gt;"", 'Waste results'!$P$95&lt;&gt;""), Calc!BC122*'Waste results'!$P$23+ Calc!BE122*'Waste results'!$P$95, "no data"),
   IF(Calc!BC122=0,
     IF(OR('Waste results'!$P$59&lt;&gt;"", 'Waste results'!$P$95&lt;&gt;""), Calc!BD122*'Waste results'!$P$59+Calc!BE122*'Waste results'!$P$95, "no data"),
   IF(OR('Waste results'!$P$23&lt;&gt;"", 'Waste results'!$P$59&lt;&gt;"", 'Waste results'!$P$95&lt;&gt;""), Calc!BC122*'Waste results'!$P$23+Calc!BD122*'Waste results'!$P$59+ Calc!BE122*'Waste results'!$P$95, "no data")))))))))))</f>
        <v/>
      </c>
      <c r="Z124" s="7" t="str">
        <f ca="1">IF(OR(ISBLANK('Soil results'!I$7),ISBLANK('Soil results'!I127),'Soil results'!B127=""),"",
VLOOKUP(Calc!BI122,'Fertiliser recommendations'!$A$4:$AM$63,39,FALSE))</f>
        <v/>
      </c>
      <c r="AA124" s="91" t="str">
        <f t="shared" ca="1" si="38"/>
        <v/>
      </c>
      <c r="AB124" s="9" t="str">
        <f t="shared" ca="1" si="39"/>
        <v/>
      </c>
      <c r="AC124" s="9"/>
      <c r="AD124" s="48" t="str">
        <f>IF(ISBLANK('Soil results'!F127),"",'Soil results'!F127)</f>
        <v/>
      </c>
      <c r="AE124" s="49" t="str">
        <f ca="1">IF(B124="","",
IF(AND(Calc!BJ122="g", VLOOKUP(LEFT($B124,LEN($B124)-2),'Field information 2'!$B$12:$P$111,9,FALSE)&lt;&gt;"yes"),
 IF(Calc!BG122="10-25% OM", 5.9, IF(Calc!BG122="&gt;25% OM", 5.5, 6.2)),
IF(OR(Calc!BJ122="a", VLOOKUP(LEFT($B124,LEN($B124)-2),'Field information 2'!$B$12:$P$111,9,FALSE)="yes"),
 IF(Calc!BG122="10-25% OM", 6.4, IF(Calc!BG122="&gt;25% OM", 6, 6.7)), "")))</f>
        <v/>
      </c>
      <c r="AF124" s="91" t="str">
        <f ca="1">IF(B124="","",
IF('Waste results'!$Q$33="","no (significant) liming properties",
IF('Waste results'!Q$33&gt;100,"no (significant) liming properties",
IF(AD124="","",
IF(AD124&gt;=AE124,0,ROUNDDOWN((AE124-AD124)*Calc!BK122*'Waste results'!$Q$33+0.2,0))))))</f>
        <v/>
      </c>
      <c r="AG124" s="9" t="str">
        <f ca="1">IF(B124="","",
IF(T124=0,"n/a",
IF(AD124="","data missing",
IF(AND(AD124&lt;5,AF124="no (significant) liming properties"),"no waste application - pH too low",
IF(AND(AD124&gt;5.1,AF124="no (significant) liming properties",Calc!BH122&gt;25, LEFT(Calc!BI122,4)="graz"),"ok",
IF(AND(AD124&lt;=5.2,AF124="no (significant) liming properties"),"liming highly recommended",
IF(AF124=0,"no waste application - liming not required",
IF(AF124&lt;Calc!BC122,"application rate too high - exceeds liming requirement",
"ok"))))))))</f>
        <v/>
      </c>
      <c r="AH124" s="9"/>
      <c r="AI124" s="91" t="str">
        <f ca="1">IF(B124="","",
IF(AND('Field information 2'!$O$5="", 'Field information 2'!$Q$5=""),
   IF('Waste results'!$P$10&lt;&gt;"data missing", Calc!BC122*'Waste results'!$P$10, "data missing"),
IF('Field information 2'!$Q$5="",
   IF(Calc!BD122=0,
     IF('Waste results'!$P$10&lt;&gt;"data missing", Calc!BC122*'Waste results'!$P$10, "data missing"),
   IF(Calc!BC122=0,
     IF('Waste results'!$P$45&lt;&gt;"data missing", Calc!BD122*'Waste results'!$P$45, "data missing"),
   IF(OR('Waste results'!$P$10&lt;&gt;"data missing", 'Waste results'!$P$45&lt;&gt;"data missing"), Calc!BC122*'Waste results'!$P$10+ Calc!BD122*'Waste results'!$P$45, "data missing"))),
IF(AND('Field information 2'!$M$5&lt;&gt;"", 'Field information 2'!$O$5&lt;&gt;"", 'Field information 2'!$Q$5&lt;&gt;""),
   IF(AND(Calc!BD122=0,Calc!BE122=0),
     IF('Waste results'!$P$10&lt;&gt;"data missing", Calc!BC122*'Waste results'!$P$10, "data missing"),
   IF(AND(Calc!BC122=0,Calc!BE122=0),
     IF('Waste results'!$P$45&lt;&gt;"data missing", Calc!BD122*'Waste results'!$P$45, "data missing"),
   IF(AND(Calc!BC122=0,Calc!BD122=0),
     IF('Waste results'!$P$82&lt;&gt;"data missing", Calc!BE122*'Waste results'!$P$82, "data missing"),
   IF(Calc!BE122=0,
     IF(OR('Waste results'!$P$10&lt;&gt;"data missing", 'Waste results'!$P$45&lt;&gt;"data missing"), Calc!BC122*'Waste results'!$P$10+ Calc!BD122*'Waste results'!$P$45, "data missing"),
   IF(Calc!BD122=0,
     IF(OR('Waste results'!$P$10&lt;&gt;"data missing", 'Waste results'!$P$82&lt;&gt;"data missing"), Calc!BC122*'Waste results'!$P$10+ Calc!BE122*'Waste results'!$P$82, "data missing"),
   IF(Calc!BC122=0,
     IF(OR('Waste results'!$P$45&lt;&gt;"data missing", 'Waste results'!$P$82&lt;&gt;"data missing"), Calc!BD122*'Waste results'!$P$45+Calc!BE122*'Waste results'!$P$82, "data missing"),
   IF(OR('Waste results'!$P$10&lt;&gt;"data missing", 'Waste results'!$P$45&lt;&gt;"data missing", 'Waste results'!$P$82&lt;&gt;"data missing"), Calc!BC122*'Waste results'!$P$10+Calc!BD122*'Waste results'!$P$45+ Calc!BE122*'Waste results'!$P$82, "data missing")))))))))))</f>
        <v/>
      </c>
      <c r="AJ124" s="237" t="str">
        <f ca="1">IF(B124="","",
IF(AI124="data missing","data missing",
IF(Calc!BF122=0,"n/a",
IF(AND(Calc!BH122&gt;=8,AI124&lt;500),"no benefit",
IF(OR(AND(Calc!BH122&lt;=4,AI124&gt;=500),AND(Calc!BH122&lt;8,AI124&gt;5000)),"benefit",
"limited benefit")))))</f>
        <v/>
      </c>
      <c r="AK124" s="9"/>
      <c r="AL124" s="238" t="str">
        <f ca="1">IF(B124="","",
IF(AND('Field information 2'!$O$5="", 'Field information 2'!$Q$5=""),
   IF('Waste results'!$S$25&lt;&gt;"data missing", Calc!BC122*'Waste results'!$S$25, "data missing"),
IF('Field information 2'!$Q$5="",
   IF(Calc!BD122=0,
     IF('Waste results'!$S$25&lt;&gt;"data missing", Calc!BC122*'Waste results'!$S$25, "data missing"),
   IF(Calc!BC122=0,
     IF('Waste results'!$S$61&lt;&gt;"data missing", Calc!BD122*'Waste results'!$S$61, "data missing"),
   IF(OR('Waste results'!$S$25&lt;&gt;"data missing", 'Waste results'!$S$61&lt;&gt;"data missing"), Calc!BC122*'Waste results'!$S$25+ Calc!BD122*'Waste results'!$S$61, "data missing"))),
IF(AND('Field information 2'!$M$5&lt;&gt;"", 'Field information 2'!$O$5&lt;&gt;"", 'Field information 2'!$Q$5&lt;&gt;""),
   IF(AND(Calc!BD122=0,Calc!BE122=0),
     IF('Waste results'!$S$25&lt;&gt;"data missing", Calc!BC122*'Waste results'!$S$25, "data missing"),
   IF(AND(Calc!BC122=0,Calc!BE122=0),
     IF('Waste results'!$S$61&lt;&gt;"data missing", Calc!BD122*'Waste results'!$S$61, "data missing"),
   IF(AND(Calc!BC122=0,Calc!BD122=0),
     IF('Waste results'!$S$97&lt;&gt;"data missing", Calc!BE122*'Waste results'!$S$97, "data missing"),
   IF(Calc!BE122=0,
     IF(OR('Waste results'!$S$25&lt;&gt;"data missing", 'Waste results'!$S$61&lt;&gt;"data missing"), Calc!BC122*'Waste results'!$S$25+ Calc!BD122*'Waste results'!$S$61, "data missing"),
   IF(Calc!BD122=0,
     IF(OR('Waste results'!$S$25&lt;&gt;"data missing", 'Waste results'!$S$97&lt;&gt;"data missing"), Calc!BC122*'Waste results'!$S$25+ Calc!BE122*'Waste results'!$S$97, "data missing"),
   IF(Calc!BC122=0,
     IF(OR('Waste results'!$S$61&lt;&gt;"data missing", 'Waste results'!$S$97&lt;&gt;"data missing"), Calc!BD122*'Waste results'!$S$61+Calc!BE122*'Waste results'!$S$97, "data missing"),
   IF(OR('Waste results'!$S$25&lt;&gt;"data missing", 'Waste results'!$S$61&lt;&gt;"data missing", 'Waste results'!$S$97&lt;&gt;"data missing"), Calc!BC122*'Waste results'!$S$25+Calc!BD122*'Waste results'!$S$61+ Calc!BE122*'Waste results'!$S$97, "data missing")))))))))))</f>
        <v/>
      </c>
      <c r="AM124" s="239" t="str">
        <f ca="1">IF($B124="","",
IF(ISBLANK('Soil results'!K127),"data missing",'Soil results'!K127))</f>
        <v/>
      </c>
      <c r="AN124" s="239" t="str">
        <f t="shared" ca="1" si="40"/>
        <v/>
      </c>
      <c r="AO124" s="9" t="str">
        <f t="shared" ca="1" si="41"/>
        <v/>
      </c>
      <c r="AP124" s="9"/>
      <c r="AQ124" s="240" t="str">
        <f ca="1">IF(B124="","",
IF(AND('Field information 2'!$O$5="", 'Field information 2'!$Q$5=""),
   IF('Waste results'!$S$26&lt;&gt;"data missing", Calc!BC122*'Waste results'!$S$26, "data missing"),
IF('Field information 2'!$Q$5="",
   IF(Calc!BD122=0,
     IF('Waste results'!$S$26&lt;&gt;"data missing", Calc!BC122*'Waste results'!$S$26, "data missing"),
   IF(Calc!BC122=0,
     IF('Waste results'!$S$62&lt;&gt;"data missing", Calc!BD122*'Waste results'!$S$62, "data missing"),
   IF(OR('Waste results'!$S$26&lt;&gt;"data missing", 'Waste results'!$S$62&lt;&gt;"data missing"), Calc!BC122*'Waste results'!$S$26+ Calc!BD122*'Waste results'!$S$62, "data missing"))),
IF(AND('Field information 2'!$M$5&lt;&gt;"", 'Field information 2'!$O$5&lt;&gt;"", 'Field information 2'!$Q$5&lt;&gt;""),
   IF(AND(Calc!BD122=0,Calc!BE122=0),
     IF('Waste results'!$S$26&lt;&gt;"data missing", Calc!BC122*'Waste results'!$S$26, "data missing"),
   IF(AND(Calc!BC122=0,Calc!BE122=0),
     IF('Waste results'!$S$62&lt;&gt;"data missing", Calc!BD122*'Waste results'!$S$62, "data missing"),
   IF(AND(Calc!BC122=0,Calc!BD122=0),
     IF('Waste results'!$S$98&lt;&gt;"data missing", Calc!BE122*'Waste results'!$S$98, "data missing"),
   IF(Calc!BE122=0,
     IF(OR('Waste results'!$S$26&lt;&gt;"data missing", 'Waste results'!$S$62&lt;&gt;"data missing"), Calc!BC122*'Waste results'!$S$26+ Calc!BD122*'Waste results'!$S$62, "data missing"),
   IF(Calc!BD122=0,
     IF(OR('Waste results'!$S$26&lt;&gt;"data missing", 'Waste results'!$S$98&lt;&gt;"data missing"), Calc!BC122*'Waste results'!$S$26+ Calc!BE122*'Waste results'!$S$98, "data missing"),
   IF(Calc!BC122=0,
     IF(OR('Waste results'!$S$62&lt;&gt;"data missing", 'Waste results'!$S$98&lt;&gt;"data missing"), Calc!BD122*'Waste results'!$S$62+Calc!BE122*'Waste results'!$S$98, "data missing"),
   IF(OR('Waste results'!$S$26&lt;&gt;"data missing", 'Waste results'!$S$62&lt;&gt;"data missing", 'Waste results'!$S$98&lt;&gt;"data missing"), Calc!BC122*'Waste results'!$S$26+Calc!BD122*'Waste results'!$S$62+ Calc!BE122*'Waste results'!$S$98, "data missing")))))))))))</f>
        <v/>
      </c>
      <c r="AR124" s="241" t="str">
        <f ca="1">IF($B124="","",
IF(ISBLANK('Soil results'!L127),"data missing",'Soil results'!L127))</f>
        <v/>
      </c>
      <c r="AS124" s="241" t="str">
        <f t="shared" ca="1" si="42"/>
        <v/>
      </c>
      <c r="AT124" s="66" t="str">
        <f t="shared" ca="1" si="43"/>
        <v/>
      </c>
      <c r="AU124" s="9"/>
      <c r="AV124" s="238" t="str">
        <f ca="1">IF(B124="","",
IF(AND('Field information 2'!$O$5="", 'Field information 2'!$Q$5=""),
   IF('Waste results'!$S$27&lt;&gt;"data missing", Calc!BC122*'Waste results'!$S$27, "data missing"),
IF('Field information 2'!$Q$5="",
   IF(Calc!BD122=0,
     IF('Waste results'!$S$27&lt;&gt;"data missing", Calc!BC122*'Waste results'!$S$27, "data missing"),
   IF(Calc!BC122=0,
     IF('Waste results'!$S$63&lt;&gt;"data missing", Calc!BD122*'Waste results'!$S$63, "data missing"),
   IF(OR('Waste results'!$S$27&lt;&gt;"data missing", 'Waste results'!$S$63&lt;&gt;"data missing"), Calc!BC122*'Waste results'!$S$27+ Calc!BD122*'Waste results'!$S$63, "data missing"))),
IF(AND('Field information 2'!$M$5&lt;&gt;"", 'Field information 2'!$O$5&lt;&gt;"", 'Field information 2'!$Q$5&lt;&gt;""),
   IF(AND(Calc!BD122=0,Calc!BE122=0),
     IF('Waste results'!$S$27&lt;&gt;"data missing", Calc!BC122*'Waste results'!$S$27, "data missing"),
   IF(AND(Calc!BC122=0,Calc!BE122=0),
     IF('Waste results'!$S$63&lt;&gt;"data missing", Calc!BD122*'Waste results'!$S$63, "data missing"),
   IF(AND(Calc!BC122=0,Calc!BD122=0),
     IF('Waste results'!$S$99&lt;&gt;"data missing", Calc!BE122*'Waste results'!$S$99, "data missing"),
   IF(Calc!BE122=0,
     IF(OR('Waste results'!$S$27&lt;&gt;"data missing", 'Waste results'!$S$63&lt;&gt;"data missing"), Calc!BC122*'Waste results'!$S$27+ Calc!BD122*'Waste results'!$S$63, "data missing"),
   IF(Calc!BD122=0,
     IF(OR('Waste results'!$S$27&lt;&gt;"data missing", 'Waste results'!$S$99&lt;&gt;"data missing"), Calc!BC122*'Waste results'!$S$27+ Calc!BE122*'Waste results'!$S$99, "data missing"),
   IF(Calc!BC122=0,
     IF(OR('Waste results'!$S$63&lt;&gt;"data missing", 'Waste results'!$S$99&lt;&gt;"data missing"), Calc!BD122*'Waste results'!$S$63+Calc!BE122*'Waste results'!$S$99, "data missing"),
   IF(OR('Waste results'!$S$27&lt;&gt;"data missing", 'Waste results'!$S$63&lt;&gt;"data missing", 'Waste results'!$S$99&lt;&gt;"data missing"), Calc!BC122*'Waste results'!$S$27+Calc!BD122*'Waste results'!$S$63+ Calc!BE122*'Waste results'!$S$99, "data missing")))))))))))</f>
        <v/>
      </c>
      <c r="AW124" s="239" t="str">
        <f ca="1">IF($B124="","",
IF(ISBLANK('Soil results'!M127),"data missing",'Soil results'!M127))</f>
        <v/>
      </c>
      <c r="AX124" s="239" t="str">
        <f t="shared" ca="1" si="44"/>
        <v/>
      </c>
      <c r="AY124" s="9" t="str">
        <f ca="1">IF(B124="","",
IF(AV124=0,"n/a",
IF(OR(AV124="data missing",AW124="data missing"),"data missing",
IF(AV124&gt;7.5,"application rate too high - permissible rate exceeds limit",
IF('Soil results'!$F127&lt;=5.5,
  IF(AW124&gt;80,"no application - soil conc. already above limit",
  IF(AX124&gt;80,"application rate too high - soil conc. will exceed limit",
  IF(AW124&gt;80*0.9,"soil conc. is at or above 90% of the limit",
  IF(10*AV124*1000/3000+AW124&gt;80,"soil limit likely to be exceeded in 10yrs",
  IF(50*AV124*1000/3000+AW124&gt;80,"soil limit likely to be exceeded in 50yrs","ok"))))),
IF('Soil results'!$F127&lt;=6,
  IF(AW124&gt;100,"no application - soil conc. already above limit",
  IF(AX124&gt;100,"application rate too high - soil conc. will exceed limit",
  IF(AW124&gt;100*0.9,"soil conc. is at or above 90% of the limit",
  IF(10*AV124*1000/3000+AW124&gt;100,"soil limit likely to be exceeded in 10yrs",
  IF(50*AV124*1000/3000+AW124&gt;100,"soil limit likely to be exceeded in 50yrs","ok"))))),
IF('Soil results'!$F127&lt;=7,
  IF(AW124&gt;135,"no application - soil conc. already above limit",
  IF(AX124&gt;135,"application rate too high - soil conc. will exceed limit",
  IF(AW124&gt;135*0.9,"soil conc. is at or above 90% of the limit",
  IF(10*AV124*1000/3000+AW124&gt;135,"soil limit likely to be exceeded in 10yrs",
  IF(50*AV124*1000/3000+AW124&gt;135,"soil limit likely to be exceeded in 50yrs","ok"))))),
IF('Soil results'!$F127&gt;7,
  IF(AW124&gt;200,"no application - soil conc. already above limit",
  IF(AX124&gt;200,"application too high - soil conc. will exceed limit",
  IF(AW124&gt;200*0.9,"soil conc. is at or above 90% of the limit",
  IF(10*AV124*1000/3000+AW124&gt;200,"soil limit likely to be exceeded in 10yrs",
  IF(50*AV124*1000/3000+AW124&gt;200,"soil limit likely to be exceeded in 50yrs","ok")))))
))))))))</f>
        <v/>
      </c>
      <c r="AZ124" s="9"/>
      <c r="BA124" s="238" t="str">
        <f ca="1">IF(B124="","",
IF(AND('Field information 2'!$O$5="", 'Field information 2'!$Q$5=""),
   IF('Waste results'!$S$28&lt;&gt;"data missing", Calc!BC122*'Waste results'!$S$28, "data missing"),
IF('Field information 2'!$Q$5="",
   IF(Calc!BD122=0,
     IF('Waste results'!$S$28&lt;&gt;"data missing", Calc!BC122*'Waste results'!$S$28, "data missing"),
   IF(Calc!BC122=0,
     IF('Waste results'!$S$64&lt;&gt;"data missing", Calc!BD122*'Waste results'!$S$64, "data missing"),
   IF(OR('Waste results'!$S$28&lt;&gt;"data missing", 'Waste results'!$S$64&lt;&gt;"data missing"), Calc!BC122*'Waste results'!$S$28+ Calc!BD122*'Waste results'!$S$64, "data missing"))),
IF(AND('Field information 2'!$M$5&lt;&gt;"", 'Field information 2'!$O$5&lt;&gt;"", 'Field information 2'!$Q$5&lt;&gt;""),
   IF(AND(Calc!BD122=0,Calc!BE122=0),
     IF('Waste results'!$S$28&lt;&gt;"data missing", Calc!BC122*'Waste results'!$S$28, "data missing"),
   IF(AND(Calc!BC122=0,Calc!BE122=0),
     IF('Waste results'!$S$64&lt;&gt;"data missing", Calc!BD122*'Waste results'!$S$64, "data missing"),
   IF(AND(Calc!BC122=0,Calc!BD122=0),
     IF('Waste results'!$S$100&lt;&gt;"data missing", Calc!BE122*'Waste results'!$S$100, "data missing"),
   IF(Calc!BE122=0,
     IF(OR('Waste results'!$S$28&lt;&gt;"data missing", 'Waste results'!$S$64&lt;&gt;"data missing"), Calc!BC122*'Waste results'!$S$28+ Calc!BD122*'Waste results'!$S$64, "data missing"),
   IF(Calc!BD122=0,
     IF(OR('Waste results'!$S$28&lt;&gt;"data missing", 'Waste results'!$S$100&lt;&gt;"data missing"), Calc!BC122*'Waste results'!$S$28+ Calc!BE122*'Waste results'!$S$100, "data missing"),
   IF(Calc!BC122=0,
     IF(OR('Waste results'!$S$64&lt;&gt;"data missing", 'Waste results'!$S$100&lt;&gt;"data missing"), Calc!BD122*'Waste results'!$S$64+Calc!BE122*'Waste results'!$S$100, "data missing"),
   IF(OR('Waste results'!$S$28&lt;&gt;"data missing", 'Waste results'!$S$64&lt;&gt;"data missing", 'Waste results'!$S$100&lt;&gt;"data missing"), Calc!BC122*'Waste results'!$S$28+Calc!BD122*'Waste results'!$S$64+ Calc!BE122*'Waste results'!$S$100, "data missing")))))))))))</f>
        <v/>
      </c>
      <c r="BB124" s="239" t="str">
        <f ca="1">IF($B124="","",
IF(ISBLANK('Soil results'!N127),"data missing",'Soil results'!N127))</f>
        <v/>
      </c>
      <c r="BC124" s="239" t="str">
        <f t="shared" ca="1" si="45"/>
        <v/>
      </c>
      <c r="BD124" s="9" t="str">
        <f t="shared" ca="1" si="46"/>
        <v/>
      </c>
      <c r="BE124" s="9"/>
      <c r="BF124" s="238" t="str">
        <f ca="1">IF(B124="","",
IF(AND('Field information 2'!$O$5="", 'Field information 2'!$Q$5=""),
   IF('Waste results'!$S$29&lt;&gt;"data missing", Calc!BC122*'Waste results'!$S$29, "data missing"),
IF('Field information 2'!$Q$5="",
   IF(Calc!BD122=0,
     IF('Waste results'!$S$29&lt;&gt;"data missing", Calc!BC122*'Waste results'!$S$29, "data missing"),
   IF(Calc!BC122=0,
     IF('Waste results'!$S$65&lt;&gt;"data missing", Calc!BD122*'Waste results'!$S$65, "data missing"),
   IF(OR('Waste results'!$S$29&lt;&gt;"data missing", 'Waste results'!$S$65&lt;&gt;"data missing"), Calc!BC122*'Waste results'!$S$29+ Calc!BD122*'Waste results'!$S$65, "data missing"))),
IF(AND('Field information 2'!$M$5&lt;&gt;"", 'Field information 2'!$O$5&lt;&gt;"", 'Field information 2'!$Q$5&lt;&gt;""),
   IF(AND(Calc!BD122=0,Calc!BE122=0),
     IF('Waste results'!$S$29&lt;&gt;"data missing", Calc!BC122*'Waste results'!$S$29, "data missing"),
   IF(AND(Calc!BC122=0,Calc!BE122=0),
     IF('Waste results'!$S$65&lt;&gt;"data missing", Calc!BD122*'Waste results'!$S$65, "data missing"),
   IF(AND(Calc!BC122=0,Calc!BD122=0),
     IF('Waste results'!$S$101&lt;&gt;"data missing", Calc!BE122*'Waste results'!$S$101, "data missing"),
   IF(Calc!BE122=0,
     IF(OR('Waste results'!$S$29&lt;&gt;"data missing", 'Waste results'!$S$65&lt;&gt;"data missing"), Calc!BC122*'Waste results'!$S$29+ Calc!BD122*'Waste results'!$S$65, "data missing"),
   IF(Calc!BD122=0,
     IF(OR('Waste results'!$S$29&lt;&gt;"data missing", 'Waste results'!$S$101&lt;&gt;"data missing"), Calc!BC122*'Waste results'!$S$29+ Calc!BE122*'Waste results'!$S$101, "data missing"),
   IF(Calc!BC122=0,
     IF(OR('Waste results'!$S$65&lt;&gt;"data missing", 'Waste results'!$S$101&lt;&gt;"data missing"), Calc!BD122*'Waste results'!$S$65+Calc!BE122*'Waste results'!$S$101, "data missing"),
   IF(OR('Waste results'!$S$29&lt;&gt;"data missing", 'Waste results'!$S$65&lt;&gt;"data missing", 'Waste results'!$S$101&lt;&gt;"data missing"), Calc!BC122*'Waste results'!$S$29+Calc!BD122*'Waste results'!$S$65+ Calc!BE122*'Waste results'!$S$101, "data missing")))))))))))</f>
        <v/>
      </c>
      <c r="BG124" s="239" t="str">
        <f ca="1">IF($B124="","",
IF(ISBLANK('Soil results'!O127),"data missing",'Soil results'!O127))</f>
        <v/>
      </c>
      <c r="BH124" s="239" t="str">
        <f t="shared" ca="1" si="47"/>
        <v/>
      </c>
      <c r="BI124" s="9" t="str">
        <f ca="1">IF(B124="","",
IF(BF124=0,"n/a",
IF(OR(BF124="data missing",BG124="data missing"),"data missing",
IF(BF124&gt;3,"application rate too high - permissible rate exceeds limit",
IF('Soil results'!F127&lt;=5.5,
  IF(BG124&gt;50,"no application - soil conc. already above limit",
  IF(BH124&gt;50,"application rate too high - soil conc. will exceed limit",
  IF(BG124&gt;50*0.9,"soil conc. is at or above 90% of the limit",
  IF(10*BF124*1000/3000+BG124&gt;50,"soil limit likely to be exceeded in 10yrs",
  IF(50*BF124*1000/3000+BG124&gt;50,"soil limit likely to be exceeded in 50yrs","ok"))))),
IF('Soil results'!F127&lt;=6,
  IF(BG124&gt;60,"no application - soil conc. already above limit",
  IF(BH124&gt;60,"application rate too high - soil conc. will exceed limit",
  IF(BG124&gt;60*0.9,"soil conc. is at or above 90% of the limit",
  IF(10*BF124*1000/3000+BG124&gt;60,"soil limit likely to be exceeded in 10yrs",
  IF(50*BF124*1000/3000+BG124&gt;60,"soil limit likely to be exceeded in 50yrs","ok"))))),
IF('Soil results'!F127&lt;=7,
  IF(BG124&gt;75,"no application - soil conc. already above limit",
  IF(BH124&gt;75,"application rate too high - soil conc. will exceed limit",
  IF(BG124&gt;75*0.9,"soil conc. is at or above 90% of the limit",
  IF(10*BF124*1000/3000+BG124&gt;75,"soil limit likely to be exceeded in 10yrs",
  IF(50*BF124*1000/3000+BG124&gt;75,"soil limit likely to be exceeded in 50yrs","ok"))))),
IF('Soil results'!F127&gt;7,
  IF(BG124&gt;100,"no application - soil conc. already above limit",
  IF(BH124&gt;100,"application rate too high - soil conc. will exceed limit",
  IF(BG124&gt;100*0.9,"soil conc. is at or above 90% of the limit",
  IF(10*BF124*1000/3000+BG124&gt;100,"soil limit likely to be exceeded in 10yrs",
  IF(50*BF124*1000/3000+BG124&gt;100,"soil limit likely to beexceeded in 50yrs","ok")))))
))))))))</f>
        <v/>
      </c>
      <c r="BJ124" s="9"/>
      <c r="BK124" s="240" t="str">
        <f ca="1">IF(B124="","",
IF(AND('Field information 2'!$O$5="", 'Field information 2'!$Q$5=""),
   IF('Waste results'!$S$30&lt;&gt;"data missing", Calc!BC122*'Waste results'!$S$30, "data missing"),
IF('Field information 2'!$Q$5="",
   IF(Calc!BD122=0,
     IF('Waste results'!$S$30&lt;&gt;"data missing", Calc!BC122*'Waste results'!$S$30, "data missing"),
   IF(Calc!BC122=0,
     IF('Waste results'!$S$66&lt;&gt;"data missing", Calc!BD122*'Waste results'!$S$66, "data missing"),
   IF(OR('Waste results'!$S$30&lt;&gt;"data missing", 'Waste results'!$S$66&lt;&gt;"data missing"), Calc!BC122*'Waste results'!$S$30+ Calc!BD122*'Waste results'!$S$66, "data missing"))),
IF(AND('Field information 2'!$M$5&lt;&gt;"", 'Field information 2'!$O$5&lt;&gt;"", 'Field information 2'!$Q$5&lt;&gt;""),
   IF(AND(Calc!BD122=0,Calc!BE122=0),
     IF('Waste results'!$S$30&lt;&gt;"data missing", Calc!BC122*'Waste results'!$S$30, "data missing"),
   IF(AND(Calc!BC122=0,Calc!BE122=0),
     IF('Waste results'!$S$66&lt;&gt;"data missing", Calc!BD122*'Waste results'!$S$66, "data missing"),
   IF(AND(Calc!BC122=0,Calc!BD122=0),
     IF('Waste results'!$S$102&lt;&gt;"data missing", Calc!BE122*'Waste results'!$S$102, "data missing"),
   IF(Calc!BE122=0,
     IF(OR('Waste results'!$S$30&lt;&gt;"data missing", 'Waste results'!$S$66&lt;&gt;"data missing"), Calc!BC122*'Waste results'!$S$30+ Calc!BD122*'Waste results'!$S$66, "data missing"),
   IF(Calc!BD122=0,
     IF(OR('Waste results'!$S$30&lt;&gt;"data missing", 'Waste results'!$S$102&lt;&gt;"data missing"), Calc!BC122*'Waste results'!$S$30+ Calc!BE122*'Waste results'!$S$102, "data missing"),
   IF(Calc!BC122=0,
     IF(OR('Waste results'!$S$66&lt;&gt;"data missing", 'Waste results'!$S$102&lt;&gt;"data missing"), Calc!BD122*'Waste results'!$S$66+Calc!BE122*'Waste results'!$S$102, "data missing"),
   IF(OR('Waste results'!$S$30&lt;&gt;"data missing", 'Waste results'!$S$66&lt;&gt;"data missing", 'Waste results'!$S$102&lt;&gt;"data missing"), Calc!BC122*'Waste results'!$S$30+Calc!BD122*'Waste results'!$S$66+ Calc!BE122*'Waste results'!$S$102, "data missing")))))))))))</f>
        <v/>
      </c>
      <c r="BL124" s="241" t="str">
        <f ca="1">IF($B124="","",
IF(ISBLANK('Soil results'!P127),"data missing",'Soil results'!P127))</f>
        <v/>
      </c>
      <c r="BM124" s="241" t="str">
        <f t="shared" ca="1" si="48"/>
        <v/>
      </c>
      <c r="BN124" s="66" t="str">
        <f t="shared" ca="1" si="49"/>
        <v/>
      </c>
      <c r="BO124" s="9"/>
      <c r="BP124" s="238" t="str">
        <f ca="1">IF(B124="","",
IF(AND('Field information 2'!$O$5="", 'Field information 2'!$Q$5=""),
   IF('Waste results'!$S$31&lt;&gt;"data missing", Calc!BC122*'Waste results'!$S$31, "data missing"),
IF('Field information 2'!$Q$5="",
   IF(Calc!BD122=0,
     IF('Waste results'!$S$31&lt;&gt;"data missing", Calc!BC122*'Waste results'!$S$31, "data missing"),
   IF(Calc!BC122=0,
     IF('Waste results'!$S$67&lt;&gt;"data missing", Calc!BD122*'Waste results'!$S$67, "data missing"),
   IF(OR('Waste results'!$S$31&lt;&gt;"data missing", 'Waste results'!$S$67&lt;&gt;"data missing"), Calc!BC122*'Waste results'!$S$31+ Calc!BD122*'Waste results'!$S$67, "data missing"))),
IF(AND('Field information 2'!$M$5&lt;&gt;"", 'Field information 2'!$O$5&lt;&gt;"", 'Field information 2'!$Q$5&lt;&gt;""),
   IF(AND(Calc!BD122=0,Calc!BE122=0),
     IF('Waste results'!$S$31&lt;&gt;"data missing", Calc!BC122*'Waste results'!$S$31, "data missing"),
   IF(AND(Calc!BC122=0,Calc!BE122=0),
     IF('Waste results'!$S$67&lt;&gt;"data missing", Calc!BD122*'Waste results'!$S$67, "data missing"),
   IF(AND(Calc!BC122=0,Calc!BD122=0),
     IF('Waste results'!$S$103&lt;&gt;"data missing", Calc!BE122*'Waste results'!$S$103, "data missing"),
   IF(Calc!BE122=0,
     IF(OR('Waste results'!$S$31&lt;&gt;"data missing", 'Waste results'!$S$67&lt;&gt;"data missing"), Calc!BC122*'Waste results'!$S$31+ Calc!BD122*'Waste results'!$S$67, "data missing"),
   IF(Calc!BD122=0,
     IF(OR('Waste results'!$S$31&lt;&gt;"data missing", 'Waste results'!$S$103&lt;&gt;"data missing"), Calc!BC122*'Waste results'!$S$31+ Calc!BE122*'Waste results'!$S$103, "data missing"),
   IF(Calc!BC122=0,
     IF(OR('Waste results'!$S$67&lt;&gt;"data missing", 'Waste results'!$S$103&lt;&gt;"data missing"), Calc!BD122*'Waste results'!$S$67+Calc!BE122*'Waste results'!$S$103, "data missing"),
   IF(OR('Waste results'!$S$31&lt;&gt;"data missing", 'Waste results'!$S$67&lt;&gt;"data missing", 'Waste results'!$S$103&lt;&gt;"data missing"), Calc!BC122*'Waste results'!$S$31+Calc!BD122*'Waste results'!$S$67+ Calc!BE122*'Waste results'!$S$103, "data missing")))))))))))</f>
        <v/>
      </c>
      <c r="BQ124" s="239" t="str">
        <f ca="1">IF($B124="","",
IF(ISBLANK('Soil results'!Q127),"data missing",'Soil results'!Q127))</f>
        <v/>
      </c>
      <c r="BR124" s="239" t="str">
        <f t="shared" ca="1" si="50"/>
        <v/>
      </c>
      <c r="BS124" s="9" t="str">
        <f ca="1">IF(B124="","",
IF(BP124=0,"n/a",
IF(OR(BP124="data missing",BQ124=""),"data missing",
IF(BP124&gt;15,"application rate too high - permissible rate exceeds limit",
IF('Soil results'!F127&lt;=5.5,
  IF(BQ124&gt;200,"no application - soil conc. already above limit",
  IF(BR124&gt;200,"application rate too high - soil conc. will exceed limit",
  IF(BQ124&gt;200*0.9,"soil conc. is at or above 90% of the limit",
  IF(10*BP124*1000/3000+BQ124&gt;200,"soil limit likely to be exceeded in 10yrs",
  IF(50*BP124*1000/3000+BQ124&gt;200,"soil limit likely to be exceeded in 50yrs","ok"))))),
IF('Soil results'!F127&lt;=6,
  IF(BQ124&gt;250,"no application - soil conc. already above limit",
  IF(BR124&gt;250,"application rate too high - soil conc. will exceed limit",
  IF(BQ124&gt;250*0.9,"soil conc. is at or above 90% of the limit",
  IF(10*BP124*1000/3000+BQ124&gt;250,"soil limit likely to be exceeded in 10yrs",
  IF(50*BP124*1000/3000+BQ124&gt;250,"soil limit likely to be exceeded in 50yrs","ok"))))),
IF('Soil results'!F127&lt;=7,
  IF(BQ124&gt;300,"no application - soil conc. already above limit",
  IF(BR124&gt;300,"application rate too high - soil conc. will exceed limit",
  IF(BQ124&gt;300*0.9,"soil conc. is at or above 90% of the limit",
  IF(10*BP124*1000/3000+BQ124&gt;300,"soil limit likey to be exceeded in 10yrs",
  IF(50*BP124*1000/3000+BQ124&gt;300,"soil limit likely to be exceeded in 50yrs","ok"))))),
IF('Soil results'!F127&gt;7,
  IF(BQ124&gt;450,"no application - soil conc. already above limit",
  IF(BR124&gt;450,"application rate too high - soil conc. will exceed limit",
  IF(AW124&gt;450*0.9,"soil conc. is at or above 90% of the limit",
  IF(10*BP124*1000/3000+BQ124&gt;450,"soil limit likely to be exceeded in 10yrs",
  IF(50*BP124*1000/3000+BQ124&gt;450,"soil limit likely to be exceeded in 50yrs","ok")))))
))))))))</f>
        <v/>
      </c>
    </row>
    <row r="125" spans="2:71" ht="15" x14ac:dyDescent="0.25">
      <c r="B125" s="236" t="str">
        <f ca="1">'Soil results'!B128</f>
        <v/>
      </c>
      <c r="C125" s="91" t="str">
        <f ca="1">IF(B125="","",
IF(AND('Field information 2'!$O$5="", 'Field information 2'!$Q$5=""),
   IF('Waste results'!$S$12&lt;&gt;"data missing", Calc!BC123*'Waste results'!$S$12, "data missing"),
IF('Field information 2'!$Q$5="",
   IF(Calc!BD123=0,
     IF('Waste results'!$S$12&lt;&gt;"data missing", Calc!BC123*'Waste results'!$S$12, "data missing"),
   IF(Calc!BC123=0,
     IF('Waste results'!$S$48&lt;&gt;"data missing", Calc!BD123*'Waste results'!$S$48, "data missing"),
   IF(OR('Waste results'!$S$12&lt;&gt;"data missing", 'Waste results'!$S$48&lt;&gt;"data missing"), Calc!BC123*'Waste results'!$S$12+ Calc!BD123*'Waste results'!$S$48, "data missing"))),
IF(AND('Field information 2'!$M$5&lt;&gt;"", 'Field information 2'!$O$5&lt;&gt;"", 'Field information 2'!$Q$5&lt;&gt;""),
   IF(AND(Calc!BD123=0,Calc!BE123=0),
     IF('Waste results'!$S$12&lt;&gt;"data missing", Calc!BC123*'Waste results'!$S$12, "data missing"),
   IF(AND(Calc!BC123=0,Calc!BE123=0),
     IF('Waste results'!$S$48&lt;&gt;"data missing", Calc!BD123*'Waste results'!$S$48, "data missing"),
   IF(AND(Calc!BC123=0,Calc!BD123=0),
     IF('Waste results'!$S$84&lt;&gt;"data missing", Calc!BE123*'Waste results'!$S$84, "data missing"),
   IF(Calc!BE123=0,
     IF(OR('Waste results'!$S$12&lt;&gt;"data missing", 'Waste results'!$S$48&lt;&gt;"data missing"), Calc!BC123*'Waste results'!$S$12+ Calc!BD123*'Waste results'!$S$48, "data missing"),
   IF(Calc!BD123=0,
     IF(OR('Waste results'!$S$12&lt;&gt;"data missing", 'Waste results'!$S$84&lt;&gt;"data missing"), Calc!BC123*'Waste results'!$S$12+ Calc!BE123*'Waste results'!$S$84, "data missing"),
   IF(Calc!BC123=0,
     IF(OR('Waste results'!$S$48&lt;&gt;"data missing", 'Waste results'!$S$84&lt;&gt;"data missing"), Calc!BD123*'Waste results'!$S$48+Calc!BE123*'Waste results'!$S$84, "data missing"),
   IF(OR('Waste results'!$S$12&lt;&gt;"data missing", 'Waste results'!$S$48&lt;&gt;"data missing", 'Waste results'!$S$84&lt;&gt;"data missing"), Calc!BC123*'Waste results'!$S$12+Calc!BD123*'Waste results'!$S$48+ Calc!BE123*'Waste results'!$S$84, "data missing")))))))))))</f>
        <v/>
      </c>
      <c r="D125" s="161" t="str">
        <f ca="1">IF(B125="","",
IF(Calc!BG123="","soil texture missing",
IF(OR(Calc!BG123="SL; SZL; ZL",Calc!BG123="SCL; CL; ZCL; SC; ZC; C"),VLOOKUP(Calc!BI123,'Fertiliser recommendations'!$A$4:$C$63,3,FALSE),
IF(Calc!BG123="S; LS",VLOOKUP(Calc!BI123,'Fertiliser recommendations'!$A$4:$C$63,3,FALSE)+VLOOKUP(Calc!BI123,'Fertiliser recommendations'!$A$4:$D$63,4,FALSE),
IF(Calc!BG123="10-25% OM",VLOOKUP(Calc!BI123,'Fertiliser recommendations'!$A$4:$C$63,3,FALSE)+VLOOKUP(Calc!BI123,'Fertiliser recommendations'!$A$4:$E$63,5,FALSE),
IF(Calc!BG123="&gt;25% OM",VLOOKUP(Calc!BI123,'Fertiliser recommendations'!$A$4:$C$63,3,FALSE)+VLOOKUP(Calc!BI123,'Fertiliser recommendations'!$A$4:$F$63,6,FALSE),
""))))))</f>
        <v/>
      </c>
      <c r="E125" s="91" t="str">
        <f t="shared" ca="1" si="34"/>
        <v/>
      </c>
      <c r="F125" s="9" t="str">
        <f ca="1">IF(B125="","",
IF(OR(C125="data missing",D125="soil texture missing"),"data missing",
IF(Calc!BF123=0,"n/a",
IF(C125&lt;0.1*D125,"no benefit",
IF(C125&lt;0.3*D125,"limited benefit",
IF(C125&gt;250,"exceeds limit",
IF(OR(AND(D125=0,C125&gt;75),C125&gt;1.25*D125),"excessive",
IF(D125=0, "no requirement",
"benefit"))))))))</f>
        <v/>
      </c>
      <c r="G125" s="9"/>
      <c r="H125" s="91" t="str">
        <f ca="1">IF(B125="","",
IF(AND('Field information 2'!$O$5="", 'Field information 2'!$Q$5=""),
   IF('Waste results'!$S$17&lt;&gt;"data missing", Calc!BC123*'Waste results'!$S$17, "data missing"),
IF('Field information 2'!$Q$5="",
   IF(Calc!BD123=0,
     IF('Waste results'!$S$17&lt;&gt;"data missing", Calc!BC123*'Waste results'!$S$17, "data missing"),
   IF(Calc!BC123=0,
     IF('Waste results'!$S$53&lt;&gt;"data missing", Calc!BD123*'Waste results'!$S$53, "data missing"),
   IF(OR('Waste results'!$S$17&lt;&gt;"data missing", 'Waste results'!$S$53&lt;&gt;"data missing"), Calc!BC123*'Waste results'!$S$17+ Calc!BD123*'Waste results'!$S$53, "data missing"))),
IF(AND('Field information 2'!$M$5&lt;&gt;"", 'Field information 2'!$O$5&lt;&gt;"", 'Field information 2'!$Q$5&lt;&gt;""),
   IF(AND(Calc!BD123=0,Calc!BE123=0),
     IF('Waste results'!$S$17&lt;&gt;"data missing", Calc!BC123*'Waste results'!$S$17, "data missing"),
   IF(AND(Calc!BC123=0,Calc!BE123=0),
     IF('Waste results'!$S$53&lt;&gt;"data missing", Calc!BD123*'Waste results'!$S$53, "data missing"),
   IF(AND(Calc!BC123=0,Calc!BD123=0),
     IF('Waste results'!$S$89&lt;&gt;"data missing", Calc!BE123*'Waste results'!$S$89, "data missing"),
   IF(Calc!BE123=0,
     IF(OR('Waste results'!$S$17&lt;&gt;"data missing", 'Waste results'!$S$53&lt;&gt;"data missing"), Calc!BC123*'Waste results'!$S$17+ Calc!BD123*'Waste results'!$S$53, "data missing"),
   IF(Calc!BD123=0,
     IF(OR('Waste results'!$S$17&lt;&gt;"data missing", 'Waste results'!$S$89&lt;&gt;"data missing"), Calc!BC123*'Waste results'!$S$17+ Calc!BE123*'Waste results'!$S$89, "data missing"),
   IF(Calc!BC123=0,
     IF(OR('Waste results'!$S$53&lt;&gt;"data missing", 'Waste results'!$S$89&lt;&gt;"data missing"), Calc!BD123*'Waste results'!$S$53+Calc!BE123*'Waste results'!$S$89, "data missing"),
   IF(OR('Waste results'!$S$17&lt;&gt;"data missing", 'Waste results'!$S$53&lt;&gt;"data missing", 'Waste results'!$S$89&lt;&gt;"data missing"), Calc!BC123*'Waste results'!$S$17+Calc!BD123*'Waste results'!$S$53+ Calc!BE123*'Waste results'!$S$89, "data missing")))))))))))</f>
        <v/>
      </c>
      <c r="I125" s="195" t="str">
        <f ca="1">IF(B125="","",
IF(OR(ISBLANK('Soil results'!G128), ISBLANK('Soil results'!G$7)),"data missing",
IF(OR(AND('Soil results'!G$7="Olsen (ADAS)",'Soil results'!G128&lt;16),AND('Soil results'!G$7="modified Morgan (SAC)",'Soil results'!G128&lt;4.5)),50,100)))</f>
        <v/>
      </c>
      <c r="J125" s="49" t="str">
        <f ca="1">IF(B125="","",
IF(OR(ISBLANK('Soil results'!G$7),ISBLANK('Soil results'!G128)),"data missing",
IF(OR(AND('Soil results'!G$7="Olsen (ADAS)",'Soil results'!G128&gt;45),AND('Soil results'!G$7="modified Morgan (SAC)",'Soil results'!G128&gt;30)),0,
IF(OR(AND('Soil results'!G$7="Olsen (ADAS)",'Soil results'!G128&gt;=16,'Soil results'!G128&lt;=20),AND('Soil results'!G$7="modified Morgan (SAC)",'Soil results'!G128&gt;=4.5,'Soil results'!G128&lt;=9.4)),VLOOKUP(Calc!BI123,'Fertiliser recommendations'!$A$4:$I$63,9,FALSE),
IF(OR(AND('Soil results'!G$7="Olsen (ADAS)",'Soil results'!G128&lt;10),AND('Soil results'!G$7="modified Morgan (SAC)",'Soil results'!G128&lt;1.8)),VLOOKUP(Calc!BI123,'Fertiliser recommendations'!$A$4:$I$63,9,FALSE)+VLOOKUP(Calc!BI123,'Fertiliser recommendations'!$A$4:$J$63,10,FALSE),
IF(OR(AND('Soil results'!G$7="Olsen (ADAS)",'Soil results'!G128&lt;16),AND('Soil results'!G$7="modified Morgan (SAC)",'Soil results'!G128&lt;4.5)),VLOOKUP(Calc!BI123,'Fertiliser recommendations'!$A$4:$I$63,9,FALSE)+VLOOKUP(Calc!BI123,'Fertiliser recommendations'!$A$4:$K$63,11,FALSE),
IF(OR(AND('Soil results'!G$7="Olsen (ADAS)",'Soil results'!G128&lt;26),AND('Soil results'!G$7="modified Morgan (SAC)",'Soil results'!G128&lt;13.5)),VLOOKUP(Calc!BI123,'Fertiliser recommendations'!$A$4:$I$63,9,FALSE)+VLOOKUP(Calc!BI123,'Fertiliser recommendations'!$A$4:$L$63,12,FALSE),
IF(OR(AND('Soil results'!G$7="Olsen (ADAS)",'Soil results'!G128&lt;=45),AND('Soil results'!G$7="modified Morgan (SAC)",'Soil results'!G128&lt;=30)),VLOOKUP(Calc!BI123,'Fertiliser recommendations'!$A$4:$I$63,9,FALSE)+VLOOKUP(Calc!BI123,'Fertiliser recommendations'!$A$4:$M$63,13,FALSE),
""))))))))</f>
        <v/>
      </c>
      <c r="K125" s="161" t="str">
        <f t="shared" ca="1" si="35"/>
        <v/>
      </c>
      <c r="L125" s="47" t="str">
        <f ca="1">IF(OR(ISBLANK('Soil results'!G$7),ISBLANK('Soil results'!G128),B125="", H125="data missing"),"",
IF('Soil results'!G$7="Olsen (ADAS)",
IF(((H125*Calc!BM123/2.291-(VLOOKUP(Calc!BI123,'Fertiliser recommendations'!$A$4:$I$63,9,FALSE))/2.291)*10/(400/2.291)+'Soil results'!G128)&lt;10,"0 (VL)",
IF(((H125*Calc!BM123/2.291-(VLOOKUP(Calc!BI123,'Fertiliser recommendations'!$A$4:$I$63,9,FALSE))/2.291)*10/(400/2.291)+'Soil results'!G128)&lt;16,"1 (L)",
IF(((H125*Calc!BM123/2.291-(VLOOKUP(Calc!BI123,'Fertiliser recommendations'!$A$4:$I$63,9,FALSE))/2.291)*10/(400/2.291)+'Soil results'!G128)&lt;21,"2 (M-)",
IF(((H125*Calc!BM123/2.291-(VLOOKUP(Calc!BI123,'Fertiliser recommendations'!$A$4:$I$63,9,FALSE))/2.291)*10/(400/2.291)+'Soil results'!G128)&lt;26,"2 (M+)",
IF(((H125*Calc!BM123/2.291-(VLOOKUP(Calc!BI123,'Fertiliser recommendations'!$A$4:$I$63,9,FALSE))/2.291)*10/(400/2.291)+'Soil results'!G128)&lt;45,"3 (H)","&gt;3 (VH)"))))),
IF('Soil results'!G$7="modified Morgan (SAC)",
IF('Soil results'!G128&gt;=6,
IF(((H125*Calc!BM123/2.291-(VLOOKUP(Calc!BI123,'Fertiliser recommendations'!$A$4:$I$63,9,FALSE))/2.291)*5/(147/2.291)+'Soil results'!G128)&lt;9.5,"2 (M-)",
IF(((H125*Calc!BM123/2.291-(VLOOKUP(Calc!BI123,'Fertiliser recommendations'!$A$4:$I$63,9,FALSE))/2.291)*5/(147/2.291)+'Soil results'!G128)&lt;13.5,"2 (M+)",
IF(((H125*Calc!BM123/2.291-(VLOOKUP(Calc!BI123,'Fertiliser recommendations'!$A$4:$I$63,9,FALSE))/2.291)*5/(147/2.291)+'Soil results'!G128)&lt;30,"3 (H)","4 (VH)"))),
IF(((H125*Calc!BM123/2.291-(VLOOKUP(Calc!BI123,'Fertiliser recommendations'!$A$4:$I$63,9,FALSE))/2.291)*5/(346/2.291)+'Soil results'!G128)&lt;1.8,"0 (VL)",
IF(((H125*Calc!BM123/2.291-(VLOOKUP(Calc!BI123,'Fertiliser recommendations'!$A$4:$I$63,9,FALSE))/2.291)*5/(147/2.291)+'Soil results'!G128)&lt;4.5,"1 (L)","2 (M-)"))))))</f>
        <v/>
      </c>
      <c r="M125" s="9" t="str">
        <f ca="1">IF(B125="","",
IF(OR(H125="data missing",I125="data missing",J125="data missing"),"data missing",
IF(Calc!BF123=0,"n/a",
IF(OR(AND('Soil results'!G$7="Olsen (ADAS)",'Soil results'!G128&gt;45),AND('Soil results'!G$7="modified Morgan (SAC)",'Soil results'!G128&gt;30)),
IF(H125&gt;2,"too high, not acceptable","no requirement"),IF(OR(AND('Soil results'!G$7="Olsen (ADAS)",'Soil results'!G128&gt;25),AND('Soil results'!G$7="modified Morgan (SAC)",'Soil results'!G128&gt;13.4)),
IF(H125*(I125/100)&lt;0.1*J125,"no benefit",
IF(H125*(I125/100)&lt;0.3*J125,"limited benefit",
IF(H125*(I125/100)&lt;1.1*J125,"benefit",
IF(H125*(I125/100)&lt;0.7*VLOOKUP(Calc!BI123,'Fertiliser recommendations'!$A$4:$I$63,9,FALSE),"excessive","too high, not acceptable")))),
IF(OR(AND('Soil results'!G$7="Olsen (ADAS)",'Soil results'!G128&gt;20),AND('Soil results'!G$7="modified Morgan (SAC)",'Soil results'!G128&gt;9.4)),
IF(H125*Calc!BM123*(I125/100)&lt;0.1*J125,"no benefit",
IF(H125*Calc!BM123*(I125/100)&lt;0.3*J125,"limited benefit",
IF(H125*Calc!BM123*(I125/100)&lt;1.1*J125,"benefit",
IF(L125="3 (H)","too high, not acceptable","excessive")))),
IF(OR(AND('Soil results'!G$7="Olsen (ADAS)",'Soil results'!G128&gt;15),AND('Soil results'!G$7="modified Morgan (SAC)",'Soil results'!G128&gt;4.4)),
IF(H125*Calc!BM123*(I125/100)&lt;0.1*VLOOKUP(Calc!BI123,'Fertiliser recommendations'!$A$4:$I$63,9,FALSE),"no benefit",
IF(H125*Calc!BM123*(I125/100)&lt;0.3*VLOOKUP(Calc!BI123,'Fertiliser recommendations'!$A$4:$I$63,9,FALSE),"limited benefit",
IF(H125*Calc!BM123*(I125/100)&lt;1.1*VLOOKUP(Calc!BI123,'Fertiliser recommendations'!$A$4:$I$63,9,FALSE),"benefit",
IF(L125="3 (H)", "too high, not acceptable", "excessive")))),
IF(OR(AND('Soil results'!G$7="Olsen (ADAS)",'Soil results'!G128&lt;=15),AND('Soil results'!G$7="modified Morgan (SAC)",'Soil results'!G128&lt;=4.4)),
IF(H125*Calc!BM123*(I125/100)&lt;0.1*VLOOKUP(Calc!BI123,'Fertiliser recommendations'!$A$4:$I$63,9,FALSE),"no benefit",
IF(H125*Calc!BM123*(I125/100)&lt;0.3*VLOOKUP(Calc!BI123,'Fertiliser recommendations'!$A$4:$I$63,9,FALSE),"limited benefit",
IF(H125*Calc!BM123*(I125/100)&lt;1.1*J125,"benefit","excessive")))))))))))</f>
        <v/>
      </c>
      <c r="N125" s="9"/>
      <c r="O125" s="91" t="str">
        <f ca="1">IF(B125="","",
IF(AND('Field information 2'!$O$5="", 'Field information 2'!$Q$5=""),
   IF('Waste results'!$S$19&lt;&gt;"data missing", Calc!BC123*'Waste results'!$S$19, "data missing"),
IF('Field information 2'!$Q$5="",
   IF(Calc!BD123=0,
     IF('Waste results'!$S$19&lt;&gt;"data missing", Calc!BC123*'Waste results'!$S$19, "data missing"),
   IF(Calc!BC123=0,
     IF('Waste results'!$S$55&lt;&gt;"data missing", Calc!BD123*'Waste results'!$S$55, "data missing"),
   IF(OR('Waste results'!$S$19&lt;&gt;"data missing", 'Waste results'!$S$55&lt;&gt;"data missing"), Calc!BC123*'Waste results'!$S$19+ Calc!BD123*'Waste results'!$S$55, "data missing"))),
IF(AND('Field information 2'!$M$5&lt;&gt;"", 'Field information 2'!$O$5&lt;&gt;"", 'Field information 2'!$Q$5&lt;&gt;""),
   IF(AND(Calc!BD123=0,Calc!BE123=0),
     IF('Waste results'!$S$19&lt;&gt;"data missing", Calc!BC123*'Waste results'!$S$19, "data missing"),
   IF(AND(Calc!BC123=0,Calc!BE123=0),
     IF('Waste results'!$S$55&lt;&gt;"data missing", Calc!BD123*'Waste results'!$S$55, "data missing"),
   IF(AND(Calc!BC123=0,Calc!BD123=0),
     IF('Waste results'!$S$91&lt;&gt;"data missing", Calc!BE123*'Waste results'!$S$91, "data missing"),
   IF(Calc!BE123=0,
     IF(OR('Waste results'!$S$19&lt;&gt;"data missing", 'Waste results'!$S$55&lt;&gt;"data missing"), Calc!BC123*'Waste results'!$S$19+ Calc!BD123*'Waste results'!$S$55, "data missing"),
   IF(Calc!BD123=0,
     IF(OR('Waste results'!$S$19&lt;&gt;"data missing", 'Waste results'!$S$91&lt;&gt;"data missing"), Calc!BC123*'Waste results'!$S$19+ Calc!BE123*'Waste results'!$S$91, "data missing"),
   IF(Calc!BC123=0,
     IF(OR('Waste results'!$S$55&lt;&gt;"data missing", 'Waste results'!$S$91&lt;&gt;"data missing"), Calc!BD123*'Waste results'!$S$55+Calc!BE123*'Waste results'!$S$91, "data missing"),
   IF(OR('Waste results'!$S$19&lt;&gt;"data missing", 'Waste results'!$S$55&lt;&gt;"data missing", 'Waste results'!$S$91&lt;&gt;"data missing"), Calc!BC123*'Waste results'!$S$19+Calc!BD123*'Waste results'!$S$55+ Calc!BE123*'Waste results'!$S$91, "data missing")))))))))))</f>
        <v/>
      </c>
      <c r="P125" s="91" t="str">
        <f ca="1">IF(B125="","",
IF(OR(ISBLANK('Soil results'!H$7),ISBLANK('Soil results'!H128)),"data missing",
IF(OR(AND('Soil results'!H$7="ammonium nitrate (ADAS)",'Soil results'!H128&gt;400),AND('Soil results'!H$7="modified Morgan (SAC)",'Soil results'!H128&gt;400)),0,
IF(OR(AND('Soil results'!H$7="ammonium nitrate (ADAS)",'Soil results'!H128&gt;=121,'Soil results'!H128&lt;=180),AND('Soil results'!H$7="modified Morgan (SAC)",'Soil results'!H128&gt;=76,'Soil results'!H128&lt;=140)),VLOOKUP(Calc!BI123,'Fertiliser recommendations'!$A$4:$Z$63,26,FALSE),
IF(OR(AND('Soil results'!H$7="ammonium nitrate (ADAS)",'Soil results'!H128&lt;61),AND('Soil results'!H$7="modified Morgan (SAC)",'Soil results'!H128&lt;40)),VLOOKUP(Calc!BI123,'Fertiliser recommendations'!$A$4:$Z$63,26,FALSE)+VLOOKUP(Calc!BI123,'Fertiliser recommendations'!$A$4:$AA$63,27,FALSE),
IF(OR(AND('Soil results'!H$7="ammonium nitrate (ADAS)",'Soil results'!H128&lt;121),AND('Soil results'!H$7="modified Morgan (SAC)",'Soil results'!H128&lt;76)),VLOOKUP(Calc!BI123,'Fertiliser recommendations'!$A$4:$Z$63,26,FALSE)+VLOOKUP(Calc!BI123,'Fertiliser recommendations'!$A$4:$AB$63,28,FALSE),
IF(OR(AND('Soil results'!H$7="ammonium nitrate (ADAS)",'Soil results'!H128&lt;241),AND('Soil results'!H$7="modified Morgan (SAC)",'Soil results'!H128&lt;201)),VLOOKUP(Calc!BI123,'Fertiliser recommendations'!$A$4:$Z$63,26,FALSE)+VLOOKUP(Calc!BI123,'Fertiliser recommendations'!$A$4:$AC$63,29,FALSE),
IF(OR(AND('Soil results'!H$7="ammonium nitrate (ADAS)",'Soil results'!H128&lt;=400),AND('Soil results'!H$7="modified Morgan (SAC)",'Soil results'!H128&lt;=400)),VLOOKUP(Calc!BI123,'Fertiliser recommendations'!$A$4:$Z$63,26,FALSE)+VLOOKUP(Calc!BI123,'Fertiliser recommendations'!$A$4:$AD$63,30,FALSE),
"??"))))))))</f>
        <v/>
      </c>
      <c r="Q125" s="91" t="str">
        <f t="shared" ca="1" si="36"/>
        <v/>
      </c>
      <c r="R125" s="9" t="str">
        <f ca="1">IF(B125="","",
IF(OR(O125="data missing",P125="data missing"),"data missing",
IF(Calc!BF123=0,"n/a",
IF(P125=0, "no requirement",
IF(O125&lt;0.1*P125,"no benefit",
IF(O125&lt;0.3*P125,"limited benefit",
IF(O125&gt;1.25*P125,"excessive",
"benefit")))))))</f>
        <v/>
      </c>
      <c r="S125" s="9"/>
      <c r="T125" s="91" t="str">
        <f ca="1">IF(B125="","",
IF(AND('Field information 2'!$O$5="", 'Field information 2'!$Q$5=""),
   IF('Waste results'!$S$21&lt;&gt;"data missing", Calc!BC123*'Waste results'!$S$21, "data missing"),
IF('Field information 2'!$Q$5="",
   IF(Calc!BD123=0,
     IF('Waste results'!$S$21&lt;&gt;"data missing", Calc!BC123*'Waste results'!$S$21, "data missing"),
   IF(Calc!BC123=0,
     IF('Waste results'!$S$57&lt;&gt;"data missing", Calc!BD123*'Waste results'!$S$57, "data missing"),
   IF(OR('Waste results'!$S$21&lt;&gt;"data missing", 'Waste results'!$S$57&lt;&gt;"data missing"), Calc!BC123*'Waste results'!$S$21+ Calc!BD123*'Waste results'!$S$57, "data missing"))),
IF(AND('Field information 2'!$M$5&lt;&gt;"", 'Field information 2'!$O$5&lt;&gt;"", 'Field information 2'!$Q$5&lt;&gt;""),
   IF(AND(Calc!BD123=0,Calc!BE123=0),
     IF('Waste results'!$S$21&lt;&gt;"data missing", Calc!BC123*'Waste results'!$S$21, "data missing"),
   IF(AND(Calc!BC123=0,Calc!BE123=0),
     IF('Waste results'!$S$57&lt;&gt;"data missing", Calc!BD123*'Waste results'!$S$57, "data missing"),
   IF(AND(Calc!BC123=0,Calc!BD123=0),
     IF('Waste results'!$S$93&lt;&gt;"data missing", Calc!BE123*'Waste results'!$S$93, "data missing"),
   IF(Calc!BE123=0,
     IF(OR('Waste results'!$S$21&lt;&gt;"data missing", 'Waste results'!$S$57&lt;&gt;"data missing"), Calc!BC123*'Waste results'!$S$21+ Calc!BD123*'Waste results'!$S$57, "data missing"),
   IF(Calc!BD123=0,
     IF(OR('Waste results'!$S$21&lt;&gt;"data missing", 'Waste results'!$S$93&lt;&gt;"data missing"), Calc!BC123*'Waste results'!$S$21+ Calc!BE123*'Waste results'!$S$93, "data missing"),
   IF(Calc!BC123=0,
     IF(OR('Waste results'!$S$57&lt;&gt;"data missing", 'Waste results'!$S$93&lt;&gt;"data missing"), Calc!BD123*'Waste results'!$S$57+Calc!BE123*'Waste results'!$S$93, "data missing"),
   IF(OR('Waste results'!$S$21&lt;&gt;"data missing", 'Waste results'!$S$57&lt;&gt;"data missing", 'Waste results'!$S$93&lt;&gt;"data missing"), Calc!BC123*'Waste results'!$S$21+Calc!BD123*'Waste results'!$S$57+ Calc!BE123*'Waste results'!$S$93, "data missing")))))))))))</f>
        <v/>
      </c>
      <c r="U125" s="7" t="str">
        <f ca="1">IF(B125="","",
IF(OR(ISBLANK('Soil results'!I$7),ISBLANK('Soil results'!I128)),"data missing",
IF(OR(AND('Soil results'!I$7="ammonium nitrate (ADAS)",'Soil results'!I128&gt;51),AND('Soil results'!I$7="modified Morgan (SAC)",'Soil results'!I128&gt;61)),0,
IF(OR(AND('Soil results'!I$7="ammonium nitrate (ADAS)",'Soil results'!I128&lt;25),AND('Soil results'!I$7="modified Morgan (SAC)",'Soil results'!I128&lt;19)),VLOOKUP(Calc!BI123,'Fertiliser recommendations'!$A$4:$AH$63,34,FALSE),
IF(OR(AND('Soil results'!I$7="ammonium nitrate (ADAS)",'Soil results'!I128&lt;=51),AND('Soil results'!I$7="modified Morgan (SAC)",'Soil results'!I128&lt;=61)),VLOOKUP(Calc!BI123,'Fertiliser recommendations'!$A$4:$AI$63,35,FALSE),
"")))))</f>
        <v/>
      </c>
      <c r="V125" s="91" t="str">
        <f t="shared" ca="1" si="37"/>
        <v/>
      </c>
      <c r="W125" s="9" t="str">
        <f ca="1">IF(B125="","",
IF(OR(T125="data missing",U125="data missing"),"data missing",
IF(Calc!BF123=0,"n/a",
IF(U125=0,"no requirement",
IF(T125&lt;0.1*U125,"no benefit",
IF(T125&lt;0.3*U125,"limited benefit",
IF(OR(T125&gt;1.5*U125,AND(Calc!BJ123="g",T125&gt;100)),"excessive",
"benefit")))))))</f>
        <v/>
      </c>
      <c r="X125" s="9"/>
      <c r="Y125" s="91" t="str">
        <f ca="1">IF(B125="","",
IF(AND('Field information 2'!$O$5="", 'Field information 2'!$Q$5=""),
   IF('Waste results'!$P$23&lt;&gt;"", Calc!BC123*'Waste results'!$P$23, "no data"),
IF('Field information 2'!$Q$5="",
   IF(Calc!BD123=0,
     IF('Waste results'!$P$23&lt;&gt;"", Calc!BC123*'Waste results'!$P$23, "no data"),
   IF(Calc!BC123=0,
     IF('Waste results'!$P$59&lt;&gt;"", Calc!BD123*'Waste results'!$P$59, "no data"),
   IF(OR('Waste results'!$P$23&lt;&gt;"", 'Waste results'!$P$59&lt;&gt;""), Calc!BC123*'Waste results'!$P$23+ Calc!BD123*'Waste results'!$P$59, "no data"))),
IF(AND('Field information 2'!$M$5&lt;&gt;"", 'Field information 2'!$O$5&lt;&gt;"", 'Field information 2'!$Q$5&lt;&gt;""),
   IF(AND(Calc!BD123=0,Calc!BE123=0),
     IF('Waste results'!$P$23&lt;&gt;"", Calc!BC123*'Waste results'!$P$23, "no data"),
   IF(AND(Calc!BC123=0,Calc!BE123=0),
     IF('Waste results'!$P$59&lt;&gt;"", Calc!BD123*'Waste results'!$P$59, "no data"),
   IF(AND(Calc!BC123=0,Calc!BD123=0),
     IF('Waste results'!$P$95&lt;&gt;"", Calc!BE123*'Waste results'!$P$95, "no data"),
   IF(Calc!BE123=0,
     IF(OR('Waste results'!$P$23&lt;&gt;"", 'Waste results'!$P$59&lt;&gt;""), Calc!BC123*'Waste results'!$P$23+ Calc!BD123*'Waste results'!$P$59, "no data"),
   IF(Calc!BD123=0,
     IF(OR('Waste results'!$P$23&lt;&gt;"", 'Waste results'!$P$95&lt;&gt;""), Calc!BC123*'Waste results'!$P$23+ Calc!BE123*'Waste results'!$P$95, "no data"),
   IF(Calc!BC123=0,
     IF(OR('Waste results'!$P$59&lt;&gt;"", 'Waste results'!$P$95&lt;&gt;""), Calc!BD123*'Waste results'!$P$59+Calc!BE123*'Waste results'!$P$95, "no data"),
   IF(OR('Waste results'!$P$23&lt;&gt;"", 'Waste results'!$P$59&lt;&gt;"", 'Waste results'!$P$95&lt;&gt;""), Calc!BC123*'Waste results'!$P$23+Calc!BD123*'Waste results'!$P$59+ Calc!BE123*'Waste results'!$P$95, "no data")))))))))))</f>
        <v/>
      </c>
      <c r="Z125" s="7" t="str">
        <f ca="1">IF(OR(ISBLANK('Soil results'!I$7),ISBLANK('Soil results'!I128),'Soil results'!B128=""),"",
VLOOKUP(Calc!BI123,'Fertiliser recommendations'!$A$4:$AM$63,39,FALSE))</f>
        <v/>
      </c>
      <c r="AA125" s="91" t="str">
        <f t="shared" ca="1" si="38"/>
        <v/>
      </c>
      <c r="AB125" s="9" t="str">
        <f t="shared" ca="1" si="39"/>
        <v/>
      </c>
      <c r="AC125" s="9"/>
      <c r="AD125" s="48" t="str">
        <f>IF(ISBLANK('Soil results'!F128),"",'Soil results'!F128)</f>
        <v/>
      </c>
      <c r="AE125" s="49" t="str">
        <f ca="1">IF(B125="","",
IF(AND(Calc!BJ123="g", VLOOKUP(LEFT($B125,LEN($B125)-2),'Field information 2'!$B$12:$P$111,9,FALSE)&lt;&gt;"yes"),
 IF(Calc!BG123="10-25% OM", 5.9, IF(Calc!BG123="&gt;25% OM", 5.5, 6.2)),
IF(OR(Calc!BJ123="a", VLOOKUP(LEFT($B125,LEN($B125)-2),'Field information 2'!$B$12:$P$111,9,FALSE)="yes"),
 IF(Calc!BG123="10-25% OM", 6.4, IF(Calc!BG123="&gt;25% OM", 6, 6.7)), "")))</f>
        <v/>
      </c>
      <c r="AF125" s="91" t="str">
        <f ca="1">IF(B125="","",
IF('Waste results'!$Q$33="","no (significant) liming properties",
IF('Waste results'!Q$33&gt;100,"no (significant) liming properties",
IF(AD125="","",
IF(AD125&gt;=AE125,0,ROUNDDOWN((AE125-AD125)*Calc!BK123*'Waste results'!$Q$33+0.2,0))))))</f>
        <v/>
      </c>
      <c r="AG125" s="9" t="str">
        <f ca="1">IF(B125="","",
IF(T125=0,"n/a",
IF(AD125="","data missing",
IF(AND(AD125&lt;5,AF125="no (significant) liming properties"),"no waste application - pH too low",
IF(AND(AD125&gt;5.1,AF125="no (significant) liming properties",Calc!BH123&gt;25, LEFT(Calc!BI123,4)="graz"),"ok",
IF(AND(AD125&lt;=5.2,AF125="no (significant) liming properties"),"liming highly recommended",
IF(AF125=0,"no waste application - liming not required",
IF(AF125&lt;Calc!BC123,"application rate too high - exceeds liming requirement",
"ok"))))))))</f>
        <v/>
      </c>
      <c r="AH125" s="9"/>
      <c r="AI125" s="91" t="str">
        <f ca="1">IF(B125="","",
IF(AND('Field information 2'!$O$5="", 'Field information 2'!$Q$5=""),
   IF('Waste results'!$P$10&lt;&gt;"data missing", Calc!BC123*'Waste results'!$P$10, "data missing"),
IF('Field information 2'!$Q$5="",
   IF(Calc!BD123=0,
     IF('Waste results'!$P$10&lt;&gt;"data missing", Calc!BC123*'Waste results'!$P$10, "data missing"),
   IF(Calc!BC123=0,
     IF('Waste results'!$P$45&lt;&gt;"data missing", Calc!BD123*'Waste results'!$P$45, "data missing"),
   IF(OR('Waste results'!$P$10&lt;&gt;"data missing", 'Waste results'!$P$45&lt;&gt;"data missing"), Calc!BC123*'Waste results'!$P$10+ Calc!BD123*'Waste results'!$P$45, "data missing"))),
IF(AND('Field information 2'!$M$5&lt;&gt;"", 'Field information 2'!$O$5&lt;&gt;"", 'Field information 2'!$Q$5&lt;&gt;""),
   IF(AND(Calc!BD123=0,Calc!BE123=0),
     IF('Waste results'!$P$10&lt;&gt;"data missing", Calc!BC123*'Waste results'!$P$10, "data missing"),
   IF(AND(Calc!BC123=0,Calc!BE123=0),
     IF('Waste results'!$P$45&lt;&gt;"data missing", Calc!BD123*'Waste results'!$P$45, "data missing"),
   IF(AND(Calc!BC123=0,Calc!BD123=0),
     IF('Waste results'!$P$82&lt;&gt;"data missing", Calc!BE123*'Waste results'!$P$82, "data missing"),
   IF(Calc!BE123=0,
     IF(OR('Waste results'!$P$10&lt;&gt;"data missing", 'Waste results'!$P$45&lt;&gt;"data missing"), Calc!BC123*'Waste results'!$P$10+ Calc!BD123*'Waste results'!$P$45, "data missing"),
   IF(Calc!BD123=0,
     IF(OR('Waste results'!$P$10&lt;&gt;"data missing", 'Waste results'!$P$82&lt;&gt;"data missing"), Calc!BC123*'Waste results'!$P$10+ Calc!BE123*'Waste results'!$P$82, "data missing"),
   IF(Calc!BC123=0,
     IF(OR('Waste results'!$P$45&lt;&gt;"data missing", 'Waste results'!$P$82&lt;&gt;"data missing"), Calc!BD123*'Waste results'!$P$45+Calc!BE123*'Waste results'!$P$82, "data missing"),
   IF(OR('Waste results'!$P$10&lt;&gt;"data missing", 'Waste results'!$P$45&lt;&gt;"data missing", 'Waste results'!$P$82&lt;&gt;"data missing"), Calc!BC123*'Waste results'!$P$10+Calc!BD123*'Waste results'!$P$45+ Calc!BE123*'Waste results'!$P$82, "data missing")))))))))))</f>
        <v/>
      </c>
      <c r="AJ125" s="237" t="str">
        <f ca="1">IF(B125="","",
IF(AI125="data missing","data missing",
IF(Calc!BF123=0,"n/a",
IF(AND(Calc!BH123&gt;=8,AI125&lt;500),"no benefit",
IF(OR(AND(Calc!BH123&lt;=4,AI125&gt;=500),AND(Calc!BH123&lt;8,AI125&gt;5000)),"benefit",
"limited benefit")))))</f>
        <v/>
      </c>
      <c r="AK125" s="9"/>
      <c r="AL125" s="238" t="str">
        <f ca="1">IF(B125="","",
IF(AND('Field information 2'!$O$5="", 'Field information 2'!$Q$5=""),
   IF('Waste results'!$S$25&lt;&gt;"data missing", Calc!BC123*'Waste results'!$S$25, "data missing"),
IF('Field information 2'!$Q$5="",
   IF(Calc!BD123=0,
     IF('Waste results'!$S$25&lt;&gt;"data missing", Calc!BC123*'Waste results'!$S$25, "data missing"),
   IF(Calc!BC123=0,
     IF('Waste results'!$S$61&lt;&gt;"data missing", Calc!BD123*'Waste results'!$S$61, "data missing"),
   IF(OR('Waste results'!$S$25&lt;&gt;"data missing", 'Waste results'!$S$61&lt;&gt;"data missing"), Calc!BC123*'Waste results'!$S$25+ Calc!BD123*'Waste results'!$S$61, "data missing"))),
IF(AND('Field information 2'!$M$5&lt;&gt;"", 'Field information 2'!$O$5&lt;&gt;"", 'Field information 2'!$Q$5&lt;&gt;""),
   IF(AND(Calc!BD123=0,Calc!BE123=0),
     IF('Waste results'!$S$25&lt;&gt;"data missing", Calc!BC123*'Waste results'!$S$25, "data missing"),
   IF(AND(Calc!BC123=0,Calc!BE123=0),
     IF('Waste results'!$S$61&lt;&gt;"data missing", Calc!BD123*'Waste results'!$S$61, "data missing"),
   IF(AND(Calc!BC123=0,Calc!BD123=0),
     IF('Waste results'!$S$97&lt;&gt;"data missing", Calc!BE123*'Waste results'!$S$97, "data missing"),
   IF(Calc!BE123=0,
     IF(OR('Waste results'!$S$25&lt;&gt;"data missing", 'Waste results'!$S$61&lt;&gt;"data missing"), Calc!BC123*'Waste results'!$S$25+ Calc!BD123*'Waste results'!$S$61, "data missing"),
   IF(Calc!BD123=0,
     IF(OR('Waste results'!$S$25&lt;&gt;"data missing", 'Waste results'!$S$97&lt;&gt;"data missing"), Calc!BC123*'Waste results'!$S$25+ Calc!BE123*'Waste results'!$S$97, "data missing"),
   IF(Calc!BC123=0,
     IF(OR('Waste results'!$S$61&lt;&gt;"data missing", 'Waste results'!$S$97&lt;&gt;"data missing"), Calc!BD123*'Waste results'!$S$61+Calc!BE123*'Waste results'!$S$97, "data missing"),
   IF(OR('Waste results'!$S$25&lt;&gt;"data missing", 'Waste results'!$S$61&lt;&gt;"data missing", 'Waste results'!$S$97&lt;&gt;"data missing"), Calc!BC123*'Waste results'!$S$25+Calc!BD123*'Waste results'!$S$61+ Calc!BE123*'Waste results'!$S$97, "data missing")))))))))))</f>
        <v/>
      </c>
      <c r="AM125" s="239" t="str">
        <f ca="1">IF($B125="","",
IF(ISBLANK('Soil results'!K128),"data missing",'Soil results'!K128))</f>
        <v/>
      </c>
      <c r="AN125" s="239" t="str">
        <f t="shared" ca="1" si="40"/>
        <v/>
      </c>
      <c r="AO125" s="9" t="str">
        <f t="shared" ca="1" si="41"/>
        <v/>
      </c>
      <c r="AP125" s="9"/>
      <c r="AQ125" s="240" t="str">
        <f ca="1">IF(B125="","",
IF(AND('Field information 2'!$O$5="", 'Field information 2'!$Q$5=""),
   IF('Waste results'!$S$26&lt;&gt;"data missing", Calc!BC123*'Waste results'!$S$26, "data missing"),
IF('Field information 2'!$Q$5="",
   IF(Calc!BD123=0,
     IF('Waste results'!$S$26&lt;&gt;"data missing", Calc!BC123*'Waste results'!$S$26, "data missing"),
   IF(Calc!BC123=0,
     IF('Waste results'!$S$62&lt;&gt;"data missing", Calc!BD123*'Waste results'!$S$62, "data missing"),
   IF(OR('Waste results'!$S$26&lt;&gt;"data missing", 'Waste results'!$S$62&lt;&gt;"data missing"), Calc!BC123*'Waste results'!$S$26+ Calc!BD123*'Waste results'!$S$62, "data missing"))),
IF(AND('Field information 2'!$M$5&lt;&gt;"", 'Field information 2'!$O$5&lt;&gt;"", 'Field information 2'!$Q$5&lt;&gt;""),
   IF(AND(Calc!BD123=0,Calc!BE123=0),
     IF('Waste results'!$S$26&lt;&gt;"data missing", Calc!BC123*'Waste results'!$S$26, "data missing"),
   IF(AND(Calc!BC123=0,Calc!BE123=0),
     IF('Waste results'!$S$62&lt;&gt;"data missing", Calc!BD123*'Waste results'!$S$62, "data missing"),
   IF(AND(Calc!BC123=0,Calc!BD123=0),
     IF('Waste results'!$S$98&lt;&gt;"data missing", Calc!BE123*'Waste results'!$S$98, "data missing"),
   IF(Calc!BE123=0,
     IF(OR('Waste results'!$S$26&lt;&gt;"data missing", 'Waste results'!$S$62&lt;&gt;"data missing"), Calc!BC123*'Waste results'!$S$26+ Calc!BD123*'Waste results'!$S$62, "data missing"),
   IF(Calc!BD123=0,
     IF(OR('Waste results'!$S$26&lt;&gt;"data missing", 'Waste results'!$S$98&lt;&gt;"data missing"), Calc!BC123*'Waste results'!$S$26+ Calc!BE123*'Waste results'!$S$98, "data missing"),
   IF(Calc!BC123=0,
     IF(OR('Waste results'!$S$62&lt;&gt;"data missing", 'Waste results'!$S$98&lt;&gt;"data missing"), Calc!BD123*'Waste results'!$S$62+Calc!BE123*'Waste results'!$S$98, "data missing"),
   IF(OR('Waste results'!$S$26&lt;&gt;"data missing", 'Waste results'!$S$62&lt;&gt;"data missing", 'Waste results'!$S$98&lt;&gt;"data missing"), Calc!BC123*'Waste results'!$S$26+Calc!BD123*'Waste results'!$S$62+ Calc!BE123*'Waste results'!$S$98, "data missing")))))))))))</f>
        <v/>
      </c>
      <c r="AR125" s="241" t="str">
        <f ca="1">IF($B125="","",
IF(ISBLANK('Soil results'!L128),"data missing",'Soil results'!L128))</f>
        <v/>
      </c>
      <c r="AS125" s="241" t="str">
        <f t="shared" ca="1" si="42"/>
        <v/>
      </c>
      <c r="AT125" s="66" t="str">
        <f t="shared" ca="1" si="43"/>
        <v/>
      </c>
      <c r="AU125" s="9"/>
      <c r="AV125" s="238" t="str">
        <f ca="1">IF(B125="","",
IF(AND('Field information 2'!$O$5="", 'Field information 2'!$Q$5=""),
   IF('Waste results'!$S$27&lt;&gt;"data missing", Calc!BC123*'Waste results'!$S$27, "data missing"),
IF('Field information 2'!$Q$5="",
   IF(Calc!BD123=0,
     IF('Waste results'!$S$27&lt;&gt;"data missing", Calc!BC123*'Waste results'!$S$27, "data missing"),
   IF(Calc!BC123=0,
     IF('Waste results'!$S$63&lt;&gt;"data missing", Calc!BD123*'Waste results'!$S$63, "data missing"),
   IF(OR('Waste results'!$S$27&lt;&gt;"data missing", 'Waste results'!$S$63&lt;&gt;"data missing"), Calc!BC123*'Waste results'!$S$27+ Calc!BD123*'Waste results'!$S$63, "data missing"))),
IF(AND('Field information 2'!$M$5&lt;&gt;"", 'Field information 2'!$O$5&lt;&gt;"", 'Field information 2'!$Q$5&lt;&gt;""),
   IF(AND(Calc!BD123=0,Calc!BE123=0),
     IF('Waste results'!$S$27&lt;&gt;"data missing", Calc!BC123*'Waste results'!$S$27, "data missing"),
   IF(AND(Calc!BC123=0,Calc!BE123=0),
     IF('Waste results'!$S$63&lt;&gt;"data missing", Calc!BD123*'Waste results'!$S$63, "data missing"),
   IF(AND(Calc!BC123=0,Calc!BD123=0),
     IF('Waste results'!$S$99&lt;&gt;"data missing", Calc!BE123*'Waste results'!$S$99, "data missing"),
   IF(Calc!BE123=0,
     IF(OR('Waste results'!$S$27&lt;&gt;"data missing", 'Waste results'!$S$63&lt;&gt;"data missing"), Calc!BC123*'Waste results'!$S$27+ Calc!BD123*'Waste results'!$S$63, "data missing"),
   IF(Calc!BD123=0,
     IF(OR('Waste results'!$S$27&lt;&gt;"data missing", 'Waste results'!$S$99&lt;&gt;"data missing"), Calc!BC123*'Waste results'!$S$27+ Calc!BE123*'Waste results'!$S$99, "data missing"),
   IF(Calc!BC123=0,
     IF(OR('Waste results'!$S$63&lt;&gt;"data missing", 'Waste results'!$S$99&lt;&gt;"data missing"), Calc!BD123*'Waste results'!$S$63+Calc!BE123*'Waste results'!$S$99, "data missing"),
   IF(OR('Waste results'!$S$27&lt;&gt;"data missing", 'Waste results'!$S$63&lt;&gt;"data missing", 'Waste results'!$S$99&lt;&gt;"data missing"), Calc!BC123*'Waste results'!$S$27+Calc!BD123*'Waste results'!$S$63+ Calc!BE123*'Waste results'!$S$99, "data missing")))))))))))</f>
        <v/>
      </c>
      <c r="AW125" s="239" t="str">
        <f ca="1">IF($B125="","",
IF(ISBLANK('Soil results'!M128),"data missing",'Soil results'!M128))</f>
        <v/>
      </c>
      <c r="AX125" s="239" t="str">
        <f t="shared" ca="1" si="44"/>
        <v/>
      </c>
      <c r="AY125" s="9" t="str">
        <f ca="1">IF(B125="","",
IF(AV125=0,"n/a",
IF(OR(AV125="data missing",AW125="data missing"),"data missing",
IF(AV125&gt;7.5,"application rate too high - permissible rate exceeds limit",
IF('Soil results'!$F128&lt;=5.5,
  IF(AW125&gt;80,"no application - soil conc. already above limit",
  IF(AX125&gt;80,"application rate too high - soil conc. will exceed limit",
  IF(AW125&gt;80*0.9,"soil conc. is at or above 90% of the limit",
  IF(10*AV125*1000/3000+AW125&gt;80,"soil limit likely to be exceeded in 10yrs",
  IF(50*AV125*1000/3000+AW125&gt;80,"soil limit likely to be exceeded in 50yrs","ok"))))),
IF('Soil results'!$F128&lt;=6,
  IF(AW125&gt;100,"no application - soil conc. already above limit",
  IF(AX125&gt;100,"application rate too high - soil conc. will exceed limit",
  IF(AW125&gt;100*0.9,"soil conc. is at or above 90% of the limit",
  IF(10*AV125*1000/3000+AW125&gt;100,"soil limit likely to be exceeded in 10yrs",
  IF(50*AV125*1000/3000+AW125&gt;100,"soil limit likely to be exceeded in 50yrs","ok"))))),
IF('Soil results'!$F128&lt;=7,
  IF(AW125&gt;135,"no application - soil conc. already above limit",
  IF(AX125&gt;135,"application rate too high - soil conc. will exceed limit",
  IF(AW125&gt;135*0.9,"soil conc. is at or above 90% of the limit",
  IF(10*AV125*1000/3000+AW125&gt;135,"soil limit likely to be exceeded in 10yrs",
  IF(50*AV125*1000/3000+AW125&gt;135,"soil limit likely to be exceeded in 50yrs","ok"))))),
IF('Soil results'!$F128&gt;7,
  IF(AW125&gt;200,"no application - soil conc. already above limit",
  IF(AX125&gt;200,"application too high - soil conc. will exceed limit",
  IF(AW125&gt;200*0.9,"soil conc. is at or above 90% of the limit",
  IF(10*AV125*1000/3000+AW125&gt;200,"soil limit likely to be exceeded in 10yrs",
  IF(50*AV125*1000/3000+AW125&gt;200,"soil limit likely to be exceeded in 50yrs","ok")))))
))))))))</f>
        <v/>
      </c>
      <c r="AZ125" s="9"/>
      <c r="BA125" s="238" t="str">
        <f ca="1">IF(B125="","",
IF(AND('Field information 2'!$O$5="", 'Field information 2'!$Q$5=""),
   IF('Waste results'!$S$28&lt;&gt;"data missing", Calc!BC123*'Waste results'!$S$28, "data missing"),
IF('Field information 2'!$Q$5="",
   IF(Calc!BD123=0,
     IF('Waste results'!$S$28&lt;&gt;"data missing", Calc!BC123*'Waste results'!$S$28, "data missing"),
   IF(Calc!BC123=0,
     IF('Waste results'!$S$64&lt;&gt;"data missing", Calc!BD123*'Waste results'!$S$64, "data missing"),
   IF(OR('Waste results'!$S$28&lt;&gt;"data missing", 'Waste results'!$S$64&lt;&gt;"data missing"), Calc!BC123*'Waste results'!$S$28+ Calc!BD123*'Waste results'!$S$64, "data missing"))),
IF(AND('Field information 2'!$M$5&lt;&gt;"", 'Field information 2'!$O$5&lt;&gt;"", 'Field information 2'!$Q$5&lt;&gt;""),
   IF(AND(Calc!BD123=0,Calc!BE123=0),
     IF('Waste results'!$S$28&lt;&gt;"data missing", Calc!BC123*'Waste results'!$S$28, "data missing"),
   IF(AND(Calc!BC123=0,Calc!BE123=0),
     IF('Waste results'!$S$64&lt;&gt;"data missing", Calc!BD123*'Waste results'!$S$64, "data missing"),
   IF(AND(Calc!BC123=0,Calc!BD123=0),
     IF('Waste results'!$S$100&lt;&gt;"data missing", Calc!BE123*'Waste results'!$S$100, "data missing"),
   IF(Calc!BE123=0,
     IF(OR('Waste results'!$S$28&lt;&gt;"data missing", 'Waste results'!$S$64&lt;&gt;"data missing"), Calc!BC123*'Waste results'!$S$28+ Calc!BD123*'Waste results'!$S$64, "data missing"),
   IF(Calc!BD123=0,
     IF(OR('Waste results'!$S$28&lt;&gt;"data missing", 'Waste results'!$S$100&lt;&gt;"data missing"), Calc!BC123*'Waste results'!$S$28+ Calc!BE123*'Waste results'!$S$100, "data missing"),
   IF(Calc!BC123=0,
     IF(OR('Waste results'!$S$64&lt;&gt;"data missing", 'Waste results'!$S$100&lt;&gt;"data missing"), Calc!BD123*'Waste results'!$S$64+Calc!BE123*'Waste results'!$S$100, "data missing"),
   IF(OR('Waste results'!$S$28&lt;&gt;"data missing", 'Waste results'!$S$64&lt;&gt;"data missing", 'Waste results'!$S$100&lt;&gt;"data missing"), Calc!BC123*'Waste results'!$S$28+Calc!BD123*'Waste results'!$S$64+ Calc!BE123*'Waste results'!$S$100, "data missing")))))))))))</f>
        <v/>
      </c>
      <c r="BB125" s="239" t="str">
        <f ca="1">IF($B125="","",
IF(ISBLANK('Soil results'!N128),"data missing",'Soil results'!N128))</f>
        <v/>
      </c>
      <c r="BC125" s="239" t="str">
        <f t="shared" ca="1" si="45"/>
        <v/>
      </c>
      <c r="BD125" s="9" t="str">
        <f t="shared" ca="1" si="46"/>
        <v/>
      </c>
      <c r="BE125" s="9"/>
      <c r="BF125" s="238" t="str">
        <f ca="1">IF(B125="","",
IF(AND('Field information 2'!$O$5="", 'Field information 2'!$Q$5=""),
   IF('Waste results'!$S$29&lt;&gt;"data missing", Calc!BC123*'Waste results'!$S$29, "data missing"),
IF('Field information 2'!$Q$5="",
   IF(Calc!BD123=0,
     IF('Waste results'!$S$29&lt;&gt;"data missing", Calc!BC123*'Waste results'!$S$29, "data missing"),
   IF(Calc!BC123=0,
     IF('Waste results'!$S$65&lt;&gt;"data missing", Calc!BD123*'Waste results'!$S$65, "data missing"),
   IF(OR('Waste results'!$S$29&lt;&gt;"data missing", 'Waste results'!$S$65&lt;&gt;"data missing"), Calc!BC123*'Waste results'!$S$29+ Calc!BD123*'Waste results'!$S$65, "data missing"))),
IF(AND('Field information 2'!$M$5&lt;&gt;"", 'Field information 2'!$O$5&lt;&gt;"", 'Field information 2'!$Q$5&lt;&gt;""),
   IF(AND(Calc!BD123=0,Calc!BE123=0),
     IF('Waste results'!$S$29&lt;&gt;"data missing", Calc!BC123*'Waste results'!$S$29, "data missing"),
   IF(AND(Calc!BC123=0,Calc!BE123=0),
     IF('Waste results'!$S$65&lt;&gt;"data missing", Calc!BD123*'Waste results'!$S$65, "data missing"),
   IF(AND(Calc!BC123=0,Calc!BD123=0),
     IF('Waste results'!$S$101&lt;&gt;"data missing", Calc!BE123*'Waste results'!$S$101, "data missing"),
   IF(Calc!BE123=0,
     IF(OR('Waste results'!$S$29&lt;&gt;"data missing", 'Waste results'!$S$65&lt;&gt;"data missing"), Calc!BC123*'Waste results'!$S$29+ Calc!BD123*'Waste results'!$S$65, "data missing"),
   IF(Calc!BD123=0,
     IF(OR('Waste results'!$S$29&lt;&gt;"data missing", 'Waste results'!$S$101&lt;&gt;"data missing"), Calc!BC123*'Waste results'!$S$29+ Calc!BE123*'Waste results'!$S$101, "data missing"),
   IF(Calc!BC123=0,
     IF(OR('Waste results'!$S$65&lt;&gt;"data missing", 'Waste results'!$S$101&lt;&gt;"data missing"), Calc!BD123*'Waste results'!$S$65+Calc!BE123*'Waste results'!$S$101, "data missing"),
   IF(OR('Waste results'!$S$29&lt;&gt;"data missing", 'Waste results'!$S$65&lt;&gt;"data missing", 'Waste results'!$S$101&lt;&gt;"data missing"), Calc!BC123*'Waste results'!$S$29+Calc!BD123*'Waste results'!$S$65+ Calc!BE123*'Waste results'!$S$101, "data missing")))))))))))</f>
        <v/>
      </c>
      <c r="BG125" s="239" t="str">
        <f ca="1">IF($B125="","",
IF(ISBLANK('Soil results'!O128),"data missing",'Soil results'!O128))</f>
        <v/>
      </c>
      <c r="BH125" s="239" t="str">
        <f t="shared" ca="1" si="47"/>
        <v/>
      </c>
      <c r="BI125" s="9" t="str">
        <f ca="1">IF(B125="","",
IF(BF125=0,"n/a",
IF(OR(BF125="data missing",BG125="data missing"),"data missing",
IF(BF125&gt;3,"application rate too high - permissible rate exceeds limit",
IF('Soil results'!F128&lt;=5.5,
  IF(BG125&gt;50,"no application - soil conc. already above limit",
  IF(BH125&gt;50,"application rate too high - soil conc. will exceed limit",
  IF(BG125&gt;50*0.9,"soil conc. is at or above 90% of the limit",
  IF(10*BF125*1000/3000+BG125&gt;50,"soil limit likely to be exceeded in 10yrs",
  IF(50*BF125*1000/3000+BG125&gt;50,"soil limit likely to be exceeded in 50yrs","ok"))))),
IF('Soil results'!F128&lt;=6,
  IF(BG125&gt;60,"no application - soil conc. already above limit",
  IF(BH125&gt;60,"application rate too high - soil conc. will exceed limit",
  IF(BG125&gt;60*0.9,"soil conc. is at or above 90% of the limit",
  IF(10*BF125*1000/3000+BG125&gt;60,"soil limit likely to be exceeded in 10yrs",
  IF(50*BF125*1000/3000+BG125&gt;60,"soil limit likely to be exceeded in 50yrs","ok"))))),
IF('Soil results'!F128&lt;=7,
  IF(BG125&gt;75,"no application - soil conc. already above limit",
  IF(BH125&gt;75,"application rate too high - soil conc. will exceed limit",
  IF(BG125&gt;75*0.9,"soil conc. is at or above 90% of the limit",
  IF(10*BF125*1000/3000+BG125&gt;75,"soil limit likely to be exceeded in 10yrs",
  IF(50*BF125*1000/3000+BG125&gt;75,"soil limit likely to be exceeded in 50yrs","ok"))))),
IF('Soil results'!F128&gt;7,
  IF(BG125&gt;100,"no application - soil conc. already above limit",
  IF(BH125&gt;100,"application rate too high - soil conc. will exceed limit",
  IF(BG125&gt;100*0.9,"soil conc. is at or above 90% of the limit",
  IF(10*BF125*1000/3000+BG125&gt;100,"soil limit likely to be exceeded in 10yrs",
  IF(50*BF125*1000/3000+BG125&gt;100,"soil limit likely to beexceeded in 50yrs","ok")))))
))))))))</f>
        <v/>
      </c>
      <c r="BJ125" s="9"/>
      <c r="BK125" s="240" t="str">
        <f ca="1">IF(B125="","",
IF(AND('Field information 2'!$O$5="", 'Field information 2'!$Q$5=""),
   IF('Waste results'!$S$30&lt;&gt;"data missing", Calc!BC123*'Waste results'!$S$30, "data missing"),
IF('Field information 2'!$Q$5="",
   IF(Calc!BD123=0,
     IF('Waste results'!$S$30&lt;&gt;"data missing", Calc!BC123*'Waste results'!$S$30, "data missing"),
   IF(Calc!BC123=0,
     IF('Waste results'!$S$66&lt;&gt;"data missing", Calc!BD123*'Waste results'!$S$66, "data missing"),
   IF(OR('Waste results'!$S$30&lt;&gt;"data missing", 'Waste results'!$S$66&lt;&gt;"data missing"), Calc!BC123*'Waste results'!$S$30+ Calc!BD123*'Waste results'!$S$66, "data missing"))),
IF(AND('Field information 2'!$M$5&lt;&gt;"", 'Field information 2'!$O$5&lt;&gt;"", 'Field information 2'!$Q$5&lt;&gt;""),
   IF(AND(Calc!BD123=0,Calc!BE123=0),
     IF('Waste results'!$S$30&lt;&gt;"data missing", Calc!BC123*'Waste results'!$S$30, "data missing"),
   IF(AND(Calc!BC123=0,Calc!BE123=0),
     IF('Waste results'!$S$66&lt;&gt;"data missing", Calc!BD123*'Waste results'!$S$66, "data missing"),
   IF(AND(Calc!BC123=0,Calc!BD123=0),
     IF('Waste results'!$S$102&lt;&gt;"data missing", Calc!BE123*'Waste results'!$S$102, "data missing"),
   IF(Calc!BE123=0,
     IF(OR('Waste results'!$S$30&lt;&gt;"data missing", 'Waste results'!$S$66&lt;&gt;"data missing"), Calc!BC123*'Waste results'!$S$30+ Calc!BD123*'Waste results'!$S$66, "data missing"),
   IF(Calc!BD123=0,
     IF(OR('Waste results'!$S$30&lt;&gt;"data missing", 'Waste results'!$S$102&lt;&gt;"data missing"), Calc!BC123*'Waste results'!$S$30+ Calc!BE123*'Waste results'!$S$102, "data missing"),
   IF(Calc!BC123=0,
     IF(OR('Waste results'!$S$66&lt;&gt;"data missing", 'Waste results'!$S$102&lt;&gt;"data missing"), Calc!BD123*'Waste results'!$S$66+Calc!BE123*'Waste results'!$S$102, "data missing"),
   IF(OR('Waste results'!$S$30&lt;&gt;"data missing", 'Waste results'!$S$66&lt;&gt;"data missing", 'Waste results'!$S$102&lt;&gt;"data missing"), Calc!BC123*'Waste results'!$S$30+Calc!BD123*'Waste results'!$S$66+ Calc!BE123*'Waste results'!$S$102, "data missing")))))))))))</f>
        <v/>
      </c>
      <c r="BL125" s="241" t="str">
        <f ca="1">IF($B125="","",
IF(ISBLANK('Soil results'!P128),"data missing",'Soil results'!P128))</f>
        <v/>
      </c>
      <c r="BM125" s="241" t="str">
        <f t="shared" ca="1" si="48"/>
        <v/>
      </c>
      <c r="BN125" s="66" t="str">
        <f t="shared" ca="1" si="49"/>
        <v/>
      </c>
      <c r="BO125" s="9"/>
      <c r="BP125" s="238" t="str">
        <f ca="1">IF(B125="","",
IF(AND('Field information 2'!$O$5="", 'Field information 2'!$Q$5=""),
   IF('Waste results'!$S$31&lt;&gt;"data missing", Calc!BC123*'Waste results'!$S$31, "data missing"),
IF('Field information 2'!$Q$5="",
   IF(Calc!BD123=0,
     IF('Waste results'!$S$31&lt;&gt;"data missing", Calc!BC123*'Waste results'!$S$31, "data missing"),
   IF(Calc!BC123=0,
     IF('Waste results'!$S$67&lt;&gt;"data missing", Calc!BD123*'Waste results'!$S$67, "data missing"),
   IF(OR('Waste results'!$S$31&lt;&gt;"data missing", 'Waste results'!$S$67&lt;&gt;"data missing"), Calc!BC123*'Waste results'!$S$31+ Calc!BD123*'Waste results'!$S$67, "data missing"))),
IF(AND('Field information 2'!$M$5&lt;&gt;"", 'Field information 2'!$O$5&lt;&gt;"", 'Field information 2'!$Q$5&lt;&gt;""),
   IF(AND(Calc!BD123=0,Calc!BE123=0),
     IF('Waste results'!$S$31&lt;&gt;"data missing", Calc!BC123*'Waste results'!$S$31, "data missing"),
   IF(AND(Calc!BC123=0,Calc!BE123=0),
     IF('Waste results'!$S$67&lt;&gt;"data missing", Calc!BD123*'Waste results'!$S$67, "data missing"),
   IF(AND(Calc!BC123=0,Calc!BD123=0),
     IF('Waste results'!$S$103&lt;&gt;"data missing", Calc!BE123*'Waste results'!$S$103, "data missing"),
   IF(Calc!BE123=0,
     IF(OR('Waste results'!$S$31&lt;&gt;"data missing", 'Waste results'!$S$67&lt;&gt;"data missing"), Calc!BC123*'Waste results'!$S$31+ Calc!BD123*'Waste results'!$S$67, "data missing"),
   IF(Calc!BD123=0,
     IF(OR('Waste results'!$S$31&lt;&gt;"data missing", 'Waste results'!$S$103&lt;&gt;"data missing"), Calc!BC123*'Waste results'!$S$31+ Calc!BE123*'Waste results'!$S$103, "data missing"),
   IF(Calc!BC123=0,
     IF(OR('Waste results'!$S$67&lt;&gt;"data missing", 'Waste results'!$S$103&lt;&gt;"data missing"), Calc!BD123*'Waste results'!$S$67+Calc!BE123*'Waste results'!$S$103, "data missing"),
   IF(OR('Waste results'!$S$31&lt;&gt;"data missing", 'Waste results'!$S$67&lt;&gt;"data missing", 'Waste results'!$S$103&lt;&gt;"data missing"), Calc!BC123*'Waste results'!$S$31+Calc!BD123*'Waste results'!$S$67+ Calc!BE123*'Waste results'!$S$103, "data missing")))))))))))</f>
        <v/>
      </c>
      <c r="BQ125" s="239" t="str">
        <f ca="1">IF($B125="","",
IF(ISBLANK('Soil results'!Q128),"data missing",'Soil results'!Q128))</f>
        <v/>
      </c>
      <c r="BR125" s="239" t="str">
        <f t="shared" ca="1" si="50"/>
        <v/>
      </c>
      <c r="BS125" s="9" t="str">
        <f ca="1">IF(B125="","",
IF(BP125=0,"n/a",
IF(OR(BP125="data missing",BQ125=""),"data missing",
IF(BP125&gt;15,"application rate too high - permissible rate exceeds limit",
IF('Soil results'!F128&lt;=5.5,
  IF(BQ125&gt;200,"no application - soil conc. already above limit",
  IF(BR125&gt;200,"application rate too high - soil conc. will exceed limit",
  IF(BQ125&gt;200*0.9,"soil conc. is at or above 90% of the limit",
  IF(10*BP125*1000/3000+BQ125&gt;200,"soil limit likely to be exceeded in 10yrs",
  IF(50*BP125*1000/3000+BQ125&gt;200,"soil limit likely to be exceeded in 50yrs","ok"))))),
IF('Soil results'!F128&lt;=6,
  IF(BQ125&gt;250,"no application - soil conc. already above limit",
  IF(BR125&gt;250,"application rate too high - soil conc. will exceed limit",
  IF(BQ125&gt;250*0.9,"soil conc. is at or above 90% of the limit",
  IF(10*BP125*1000/3000+BQ125&gt;250,"soil limit likely to be exceeded in 10yrs",
  IF(50*BP125*1000/3000+BQ125&gt;250,"soil limit likely to be exceeded in 50yrs","ok"))))),
IF('Soil results'!F128&lt;=7,
  IF(BQ125&gt;300,"no application - soil conc. already above limit",
  IF(BR125&gt;300,"application rate too high - soil conc. will exceed limit",
  IF(BQ125&gt;300*0.9,"soil conc. is at or above 90% of the limit",
  IF(10*BP125*1000/3000+BQ125&gt;300,"soil limit likey to be exceeded in 10yrs",
  IF(50*BP125*1000/3000+BQ125&gt;300,"soil limit likely to be exceeded in 50yrs","ok"))))),
IF('Soil results'!F128&gt;7,
  IF(BQ125&gt;450,"no application - soil conc. already above limit",
  IF(BR125&gt;450,"application rate too high - soil conc. will exceed limit",
  IF(AW125&gt;450*0.9,"soil conc. is at or above 90% of the limit",
  IF(10*BP125*1000/3000+BQ125&gt;450,"soil limit likely to be exceeded in 10yrs",
  IF(50*BP125*1000/3000+BQ125&gt;450,"soil limit likely to be exceeded in 50yrs","ok")))))
))))))))</f>
        <v/>
      </c>
    </row>
    <row r="126" spans="2:71" ht="15" x14ac:dyDescent="0.25">
      <c r="B126" s="236" t="str">
        <f ca="1">'Soil results'!B129</f>
        <v/>
      </c>
      <c r="C126" s="91" t="str">
        <f ca="1">IF(B126="","",
IF(AND('Field information 2'!$O$5="", 'Field information 2'!$Q$5=""),
   IF('Waste results'!$S$12&lt;&gt;"data missing", Calc!BC124*'Waste results'!$S$12, "data missing"),
IF('Field information 2'!$Q$5="",
   IF(Calc!BD124=0,
     IF('Waste results'!$S$12&lt;&gt;"data missing", Calc!BC124*'Waste results'!$S$12, "data missing"),
   IF(Calc!BC124=0,
     IF('Waste results'!$S$48&lt;&gt;"data missing", Calc!BD124*'Waste results'!$S$48, "data missing"),
   IF(OR('Waste results'!$S$12&lt;&gt;"data missing", 'Waste results'!$S$48&lt;&gt;"data missing"), Calc!BC124*'Waste results'!$S$12+ Calc!BD124*'Waste results'!$S$48, "data missing"))),
IF(AND('Field information 2'!$M$5&lt;&gt;"", 'Field information 2'!$O$5&lt;&gt;"", 'Field information 2'!$Q$5&lt;&gt;""),
   IF(AND(Calc!BD124=0,Calc!BE124=0),
     IF('Waste results'!$S$12&lt;&gt;"data missing", Calc!BC124*'Waste results'!$S$12, "data missing"),
   IF(AND(Calc!BC124=0,Calc!BE124=0),
     IF('Waste results'!$S$48&lt;&gt;"data missing", Calc!BD124*'Waste results'!$S$48, "data missing"),
   IF(AND(Calc!BC124=0,Calc!BD124=0),
     IF('Waste results'!$S$84&lt;&gt;"data missing", Calc!BE124*'Waste results'!$S$84, "data missing"),
   IF(Calc!BE124=0,
     IF(OR('Waste results'!$S$12&lt;&gt;"data missing", 'Waste results'!$S$48&lt;&gt;"data missing"), Calc!BC124*'Waste results'!$S$12+ Calc!BD124*'Waste results'!$S$48, "data missing"),
   IF(Calc!BD124=0,
     IF(OR('Waste results'!$S$12&lt;&gt;"data missing", 'Waste results'!$S$84&lt;&gt;"data missing"), Calc!BC124*'Waste results'!$S$12+ Calc!BE124*'Waste results'!$S$84, "data missing"),
   IF(Calc!BC124=0,
     IF(OR('Waste results'!$S$48&lt;&gt;"data missing", 'Waste results'!$S$84&lt;&gt;"data missing"), Calc!BD124*'Waste results'!$S$48+Calc!BE124*'Waste results'!$S$84, "data missing"),
   IF(OR('Waste results'!$S$12&lt;&gt;"data missing", 'Waste results'!$S$48&lt;&gt;"data missing", 'Waste results'!$S$84&lt;&gt;"data missing"), Calc!BC124*'Waste results'!$S$12+Calc!BD124*'Waste results'!$S$48+ Calc!BE124*'Waste results'!$S$84, "data missing")))))))))))</f>
        <v/>
      </c>
      <c r="D126" s="161" t="str">
        <f ca="1">IF(B126="","",
IF(Calc!BG124="","soil texture missing",
IF(OR(Calc!BG124="SL; SZL; ZL",Calc!BG124="SCL; CL; ZCL; SC; ZC; C"),VLOOKUP(Calc!BI124,'Fertiliser recommendations'!$A$4:$C$63,3,FALSE),
IF(Calc!BG124="S; LS",VLOOKUP(Calc!BI124,'Fertiliser recommendations'!$A$4:$C$63,3,FALSE)+VLOOKUP(Calc!BI124,'Fertiliser recommendations'!$A$4:$D$63,4,FALSE),
IF(Calc!BG124="10-25% OM",VLOOKUP(Calc!BI124,'Fertiliser recommendations'!$A$4:$C$63,3,FALSE)+VLOOKUP(Calc!BI124,'Fertiliser recommendations'!$A$4:$E$63,5,FALSE),
IF(Calc!BG124="&gt;25% OM",VLOOKUP(Calc!BI124,'Fertiliser recommendations'!$A$4:$C$63,3,FALSE)+VLOOKUP(Calc!BI124,'Fertiliser recommendations'!$A$4:$F$63,6,FALSE),
""))))))</f>
        <v/>
      </c>
      <c r="E126" s="91" t="str">
        <f t="shared" ca="1" si="34"/>
        <v/>
      </c>
      <c r="F126" s="9" t="str">
        <f ca="1">IF(B126="","",
IF(OR(C126="data missing",D126="soil texture missing"),"data missing",
IF(Calc!BF124=0,"n/a",
IF(C126&lt;0.1*D126,"no benefit",
IF(C126&lt;0.3*D126,"limited benefit",
IF(C126&gt;250,"exceeds limit",
IF(OR(AND(D126=0,C126&gt;75),C126&gt;1.25*D126),"excessive",
IF(D126=0, "no requirement",
"benefit"))))))))</f>
        <v/>
      </c>
      <c r="G126" s="9"/>
      <c r="H126" s="91" t="str">
        <f ca="1">IF(B126="","",
IF(AND('Field information 2'!$O$5="", 'Field information 2'!$Q$5=""),
   IF('Waste results'!$S$17&lt;&gt;"data missing", Calc!BC124*'Waste results'!$S$17, "data missing"),
IF('Field information 2'!$Q$5="",
   IF(Calc!BD124=0,
     IF('Waste results'!$S$17&lt;&gt;"data missing", Calc!BC124*'Waste results'!$S$17, "data missing"),
   IF(Calc!BC124=0,
     IF('Waste results'!$S$53&lt;&gt;"data missing", Calc!BD124*'Waste results'!$S$53, "data missing"),
   IF(OR('Waste results'!$S$17&lt;&gt;"data missing", 'Waste results'!$S$53&lt;&gt;"data missing"), Calc!BC124*'Waste results'!$S$17+ Calc!BD124*'Waste results'!$S$53, "data missing"))),
IF(AND('Field information 2'!$M$5&lt;&gt;"", 'Field information 2'!$O$5&lt;&gt;"", 'Field information 2'!$Q$5&lt;&gt;""),
   IF(AND(Calc!BD124=0,Calc!BE124=0),
     IF('Waste results'!$S$17&lt;&gt;"data missing", Calc!BC124*'Waste results'!$S$17, "data missing"),
   IF(AND(Calc!BC124=0,Calc!BE124=0),
     IF('Waste results'!$S$53&lt;&gt;"data missing", Calc!BD124*'Waste results'!$S$53, "data missing"),
   IF(AND(Calc!BC124=0,Calc!BD124=0),
     IF('Waste results'!$S$89&lt;&gt;"data missing", Calc!BE124*'Waste results'!$S$89, "data missing"),
   IF(Calc!BE124=0,
     IF(OR('Waste results'!$S$17&lt;&gt;"data missing", 'Waste results'!$S$53&lt;&gt;"data missing"), Calc!BC124*'Waste results'!$S$17+ Calc!BD124*'Waste results'!$S$53, "data missing"),
   IF(Calc!BD124=0,
     IF(OR('Waste results'!$S$17&lt;&gt;"data missing", 'Waste results'!$S$89&lt;&gt;"data missing"), Calc!BC124*'Waste results'!$S$17+ Calc!BE124*'Waste results'!$S$89, "data missing"),
   IF(Calc!BC124=0,
     IF(OR('Waste results'!$S$53&lt;&gt;"data missing", 'Waste results'!$S$89&lt;&gt;"data missing"), Calc!BD124*'Waste results'!$S$53+Calc!BE124*'Waste results'!$S$89, "data missing"),
   IF(OR('Waste results'!$S$17&lt;&gt;"data missing", 'Waste results'!$S$53&lt;&gt;"data missing", 'Waste results'!$S$89&lt;&gt;"data missing"), Calc!BC124*'Waste results'!$S$17+Calc!BD124*'Waste results'!$S$53+ Calc!BE124*'Waste results'!$S$89, "data missing")))))))))))</f>
        <v/>
      </c>
      <c r="I126" s="195" t="str">
        <f ca="1">IF(B126="","",
IF(OR(ISBLANK('Soil results'!G129), ISBLANK('Soil results'!G$7)),"data missing",
IF(OR(AND('Soil results'!G$7="Olsen (ADAS)",'Soil results'!G129&lt;16),AND('Soil results'!G$7="modified Morgan (SAC)",'Soil results'!G129&lt;4.5)),50,100)))</f>
        <v/>
      </c>
      <c r="J126" s="49" t="str">
        <f ca="1">IF(B126="","",
IF(OR(ISBLANK('Soil results'!G$7),ISBLANK('Soil results'!G129)),"data missing",
IF(OR(AND('Soil results'!G$7="Olsen (ADAS)",'Soil results'!G129&gt;45),AND('Soil results'!G$7="modified Morgan (SAC)",'Soil results'!G129&gt;30)),0,
IF(OR(AND('Soil results'!G$7="Olsen (ADAS)",'Soil results'!G129&gt;=16,'Soil results'!G129&lt;=20),AND('Soil results'!G$7="modified Morgan (SAC)",'Soil results'!G129&gt;=4.5,'Soil results'!G129&lt;=9.4)),VLOOKUP(Calc!BI124,'Fertiliser recommendations'!$A$4:$I$63,9,FALSE),
IF(OR(AND('Soil results'!G$7="Olsen (ADAS)",'Soil results'!G129&lt;10),AND('Soil results'!G$7="modified Morgan (SAC)",'Soil results'!G129&lt;1.8)),VLOOKUP(Calc!BI124,'Fertiliser recommendations'!$A$4:$I$63,9,FALSE)+VLOOKUP(Calc!BI124,'Fertiliser recommendations'!$A$4:$J$63,10,FALSE),
IF(OR(AND('Soil results'!G$7="Olsen (ADAS)",'Soil results'!G129&lt;16),AND('Soil results'!G$7="modified Morgan (SAC)",'Soil results'!G129&lt;4.5)),VLOOKUP(Calc!BI124,'Fertiliser recommendations'!$A$4:$I$63,9,FALSE)+VLOOKUP(Calc!BI124,'Fertiliser recommendations'!$A$4:$K$63,11,FALSE),
IF(OR(AND('Soil results'!G$7="Olsen (ADAS)",'Soil results'!G129&lt;26),AND('Soil results'!G$7="modified Morgan (SAC)",'Soil results'!G129&lt;13.5)),VLOOKUP(Calc!BI124,'Fertiliser recommendations'!$A$4:$I$63,9,FALSE)+VLOOKUP(Calc!BI124,'Fertiliser recommendations'!$A$4:$L$63,12,FALSE),
IF(OR(AND('Soil results'!G$7="Olsen (ADAS)",'Soil results'!G129&lt;=45),AND('Soil results'!G$7="modified Morgan (SAC)",'Soil results'!G129&lt;=30)),VLOOKUP(Calc!BI124,'Fertiliser recommendations'!$A$4:$I$63,9,FALSE)+VLOOKUP(Calc!BI124,'Fertiliser recommendations'!$A$4:$M$63,13,FALSE),
""))))))))</f>
        <v/>
      </c>
      <c r="K126" s="161" t="str">
        <f t="shared" ca="1" si="35"/>
        <v/>
      </c>
      <c r="L126" s="47" t="str">
        <f ca="1">IF(OR(ISBLANK('Soil results'!G$7),ISBLANK('Soil results'!G129),B126="", H126="data missing"),"",
IF('Soil results'!G$7="Olsen (ADAS)",
IF(((H126*Calc!BM124/2.291-(VLOOKUP(Calc!BI124,'Fertiliser recommendations'!$A$4:$I$63,9,FALSE))/2.291)*10/(400/2.291)+'Soil results'!G129)&lt;10,"0 (VL)",
IF(((H126*Calc!BM124/2.291-(VLOOKUP(Calc!BI124,'Fertiliser recommendations'!$A$4:$I$63,9,FALSE))/2.291)*10/(400/2.291)+'Soil results'!G129)&lt;16,"1 (L)",
IF(((H126*Calc!BM124/2.291-(VLOOKUP(Calc!BI124,'Fertiliser recommendations'!$A$4:$I$63,9,FALSE))/2.291)*10/(400/2.291)+'Soil results'!G129)&lt;21,"2 (M-)",
IF(((H126*Calc!BM124/2.291-(VLOOKUP(Calc!BI124,'Fertiliser recommendations'!$A$4:$I$63,9,FALSE))/2.291)*10/(400/2.291)+'Soil results'!G129)&lt;26,"2 (M+)",
IF(((H126*Calc!BM124/2.291-(VLOOKUP(Calc!BI124,'Fertiliser recommendations'!$A$4:$I$63,9,FALSE))/2.291)*10/(400/2.291)+'Soil results'!G129)&lt;45,"3 (H)","&gt;3 (VH)"))))),
IF('Soil results'!G$7="modified Morgan (SAC)",
IF('Soil results'!G129&gt;=6,
IF(((H126*Calc!BM124/2.291-(VLOOKUP(Calc!BI124,'Fertiliser recommendations'!$A$4:$I$63,9,FALSE))/2.291)*5/(147/2.291)+'Soil results'!G129)&lt;9.5,"2 (M-)",
IF(((H126*Calc!BM124/2.291-(VLOOKUP(Calc!BI124,'Fertiliser recommendations'!$A$4:$I$63,9,FALSE))/2.291)*5/(147/2.291)+'Soil results'!G129)&lt;13.5,"2 (M+)",
IF(((H126*Calc!BM124/2.291-(VLOOKUP(Calc!BI124,'Fertiliser recommendations'!$A$4:$I$63,9,FALSE))/2.291)*5/(147/2.291)+'Soil results'!G129)&lt;30,"3 (H)","4 (VH)"))),
IF(((H126*Calc!BM124/2.291-(VLOOKUP(Calc!BI124,'Fertiliser recommendations'!$A$4:$I$63,9,FALSE))/2.291)*5/(346/2.291)+'Soil results'!G129)&lt;1.8,"0 (VL)",
IF(((H126*Calc!BM124/2.291-(VLOOKUP(Calc!BI124,'Fertiliser recommendations'!$A$4:$I$63,9,FALSE))/2.291)*5/(147/2.291)+'Soil results'!G129)&lt;4.5,"1 (L)","2 (M-)"))))))</f>
        <v/>
      </c>
      <c r="M126" s="9" t="str">
        <f ca="1">IF(B126="","",
IF(OR(H126="data missing",I126="data missing",J126="data missing"),"data missing",
IF(Calc!BF124=0,"n/a",
IF(OR(AND('Soil results'!G$7="Olsen (ADAS)",'Soil results'!G129&gt;45),AND('Soil results'!G$7="modified Morgan (SAC)",'Soil results'!G129&gt;30)),
IF(H126&gt;2,"too high, not acceptable","no requirement"),IF(OR(AND('Soil results'!G$7="Olsen (ADAS)",'Soil results'!G129&gt;25),AND('Soil results'!G$7="modified Morgan (SAC)",'Soil results'!G129&gt;13.4)),
IF(H126*(I126/100)&lt;0.1*J126,"no benefit",
IF(H126*(I126/100)&lt;0.3*J126,"limited benefit",
IF(H126*(I126/100)&lt;1.1*J126,"benefit",
IF(H126*(I126/100)&lt;0.7*VLOOKUP(Calc!BI124,'Fertiliser recommendations'!$A$4:$I$63,9,FALSE),"excessive","too high, not acceptable")))),
IF(OR(AND('Soil results'!G$7="Olsen (ADAS)",'Soil results'!G129&gt;20),AND('Soil results'!G$7="modified Morgan (SAC)",'Soil results'!G129&gt;9.4)),
IF(H126*Calc!BM124*(I126/100)&lt;0.1*J126,"no benefit",
IF(H126*Calc!BM124*(I126/100)&lt;0.3*J126,"limited benefit",
IF(H126*Calc!BM124*(I126/100)&lt;1.1*J126,"benefit",
IF(L126="3 (H)","too high, not acceptable","excessive")))),
IF(OR(AND('Soil results'!G$7="Olsen (ADAS)",'Soil results'!G129&gt;15),AND('Soil results'!G$7="modified Morgan (SAC)",'Soil results'!G129&gt;4.4)),
IF(H126*Calc!BM124*(I126/100)&lt;0.1*VLOOKUP(Calc!BI124,'Fertiliser recommendations'!$A$4:$I$63,9,FALSE),"no benefit",
IF(H126*Calc!BM124*(I126/100)&lt;0.3*VLOOKUP(Calc!BI124,'Fertiliser recommendations'!$A$4:$I$63,9,FALSE),"limited benefit",
IF(H126*Calc!BM124*(I126/100)&lt;1.1*VLOOKUP(Calc!BI124,'Fertiliser recommendations'!$A$4:$I$63,9,FALSE),"benefit",
IF(L126="3 (H)", "too high, not acceptable", "excessive")))),
IF(OR(AND('Soil results'!G$7="Olsen (ADAS)",'Soil results'!G129&lt;=15),AND('Soil results'!G$7="modified Morgan (SAC)",'Soil results'!G129&lt;=4.4)),
IF(H126*Calc!BM124*(I126/100)&lt;0.1*VLOOKUP(Calc!BI124,'Fertiliser recommendations'!$A$4:$I$63,9,FALSE),"no benefit",
IF(H126*Calc!BM124*(I126/100)&lt;0.3*VLOOKUP(Calc!BI124,'Fertiliser recommendations'!$A$4:$I$63,9,FALSE),"limited benefit",
IF(H126*Calc!BM124*(I126/100)&lt;1.1*J126,"benefit","excessive")))))))))))</f>
        <v/>
      </c>
      <c r="N126" s="9"/>
      <c r="O126" s="91" t="str">
        <f ca="1">IF(B126="","",
IF(AND('Field information 2'!$O$5="", 'Field information 2'!$Q$5=""),
   IF('Waste results'!$S$19&lt;&gt;"data missing", Calc!BC124*'Waste results'!$S$19, "data missing"),
IF('Field information 2'!$Q$5="",
   IF(Calc!BD124=0,
     IF('Waste results'!$S$19&lt;&gt;"data missing", Calc!BC124*'Waste results'!$S$19, "data missing"),
   IF(Calc!BC124=0,
     IF('Waste results'!$S$55&lt;&gt;"data missing", Calc!BD124*'Waste results'!$S$55, "data missing"),
   IF(OR('Waste results'!$S$19&lt;&gt;"data missing", 'Waste results'!$S$55&lt;&gt;"data missing"), Calc!BC124*'Waste results'!$S$19+ Calc!BD124*'Waste results'!$S$55, "data missing"))),
IF(AND('Field information 2'!$M$5&lt;&gt;"", 'Field information 2'!$O$5&lt;&gt;"", 'Field information 2'!$Q$5&lt;&gt;""),
   IF(AND(Calc!BD124=0,Calc!BE124=0),
     IF('Waste results'!$S$19&lt;&gt;"data missing", Calc!BC124*'Waste results'!$S$19, "data missing"),
   IF(AND(Calc!BC124=0,Calc!BE124=0),
     IF('Waste results'!$S$55&lt;&gt;"data missing", Calc!BD124*'Waste results'!$S$55, "data missing"),
   IF(AND(Calc!BC124=0,Calc!BD124=0),
     IF('Waste results'!$S$91&lt;&gt;"data missing", Calc!BE124*'Waste results'!$S$91, "data missing"),
   IF(Calc!BE124=0,
     IF(OR('Waste results'!$S$19&lt;&gt;"data missing", 'Waste results'!$S$55&lt;&gt;"data missing"), Calc!BC124*'Waste results'!$S$19+ Calc!BD124*'Waste results'!$S$55, "data missing"),
   IF(Calc!BD124=0,
     IF(OR('Waste results'!$S$19&lt;&gt;"data missing", 'Waste results'!$S$91&lt;&gt;"data missing"), Calc!BC124*'Waste results'!$S$19+ Calc!BE124*'Waste results'!$S$91, "data missing"),
   IF(Calc!BC124=0,
     IF(OR('Waste results'!$S$55&lt;&gt;"data missing", 'Waste results'!$S$91&lt;&gt;"data missing"), Calc!BD124*'Waste results'!$S$55+Calc!BE124*'Waste results'!$S$91, "data missing"),
   IF(OR('Waste results'!$S$19&lt;&gt;"data missing", 'Waste results'!$S$55&lt;&gt;"data missing", 'Waste results'!$S$91&lt;&gt;"data missing"), Calc!BC124*'Waste results'!$S$19+Calc!BD124*'Waste results'!$S$55+ Calc!BE124*'Waste results'!$S$91, "data missing")))))))))))</f>
        <v/>
      </c>
      <c r="P126" s="91" t="str">
        <f ca="1">IF(B126="","",
IF(OR(ISBLANK('Soil results'!H$7),ISBLANK('Soil results'!H129)),"data missing",
IF(OR(AND('Soil results'!H$7="ammonium nitrate (ADAS)",'Soil results'!H129&gt;400),AND('Soil results'!H$7="modified Morgan (SAC)",'Soil results'!H129&gt;400)),0,
IF(OR(AND('Soil results'!H$7="ammonium nitrate (ADAS)",'Soil results'!H129&gt;=121,'Soil results'!H129&lt;=180),AND('Soil results'!H$7="modified Morgan (SAC)",'Soil results'!H129&gt;=76,'Soil results'!H129&lt;=140)),VLOOKUP(Calc!BI124,'Fertiliser recommendations'!$A$4:$Z$63,26,FALSE),
IF(OR(AND('Soil results'!H$7="ammonium nitrate (ADAS)",'Soil results'!H129&lt;61),AND('Soil results'!H$7="modified Morgan (SAC)",'Soil results'!H129&lt;40)),VLOOKUP(Calc!BI124,'Fertiliser recommendations'!$A$4:$Z$63,26,FALSE)+VLOOKUP(Calc!BI124,'Fertiliser recommendations'!$A$4:$AA$63,27,FALSE),
IF(OR(AND('Soil results'!H$7="ammonium nitrate (ADAS)",'Soil results'!H129&lt;121),AND('Soil results'!H$7="modified Morgan (SAC)",'Soil results'!H129&lt;76)),VLOOKUP(Calc!BI124,'Fertiliser recommendations'!$A$4:$Z$63,26,FALSE)+VLOOKUP(Calc!BI124,'Fertiliser recommendations'!$A$4:$AB$63,28,FALSE),
IF(OR(AND('Soil results'!H$7="ammonium nitrate (ADAS)",'Soil results'!H129&lt;241),AND('Soil results'!H$7="modified Morgan (SAC)",'Soil results'!H129&lt;201)),VLOOKUP(Calc!BI124,'Fertiliser recommendations'!$A$4:$Z$63,26,FALSE)+VLOOKUP(Calc!BI124,'Fertiliser recommendations'!$A$4:$AC$63,29,FALSE),
IF(OR(AND('Soil results'!H$7="ammonium nitrate (ADAS)",'Soil results'!H129&lt;=400),AND('Soil results'!H$7="modified Morgan (SAC)",'Soil results'!H129&lt;=400)),VLOOKUP(Calc!BI124,'Fertiliser recommendations'!$A$4:$Z$63,26,FALSE)+VLOOKUP(Calc!BI124,'Fertiliser recommendations'!$A$4:$AD$63,30,FALSE),
"??"))))))))</f>
        <v/>
      </c>
      <c r="Q126" s="91" t="str">
        <f t="shared" ca="1" si="36"/>
        <v/>
      </c>
      <c r="R126" s="9" t="str">
        <f ca="1">IF(B126="","",
IF(OR(O126="data missing",P126="data missing"),"data missing",
IF(Calc!BF124=0,"n/a",
IF(P126=0, "no requirement",
IF(O126&lt;0.1*P126,"no benefit",
IF(O126&lt;0.3*P126,"limited benefit",
IF(O126&gt;1.25*P126,"excessive",
"benefit")))))))</f>
        <v/>
      </c>
      <c r="S126" s="9"/>
      <c r="T126" s="91" t="str">
        <f ca="1">IF(B126="","",
IF(AND('Field information 2'!$O$5="", 'Field information 2'!$Q$5=""),
   IF('Waste results'!$S$21&lt;&gt;"data missing", Calc!BC124*'Waste results'!$S$21, "data missing"),
IF('Field information 2'!$Q$5="",
   IF(Calc!BD124=0,
     IF('Waste results'!$S$21&lt;&gt;"data missing", Calc!BC124*'Waste results'!$S$21, "data missing"),
   IF(Calc!BC124=0,
     IF('Waste results'!$S$57&lt;&gt;"data missing", Calc!BD124*'Waste results'!$S$57, "data missing"),
   IF(OR('Waste results'!$S$21&lt;&gt;"data missing", 'Waste results'!$S$57&lt;&gt;"data missing"), Calc!BC124*'Waste results'!$S$21+ Calc!BD124*'Waste results'!$S$57, "data missing"))),
IF(AND('Field information 2'!$M$5&lt;&gt;"", 'Field information 2'!$O$5&lt;&gt;"", 'Field information 2'!$Q$5&lt;&gt;""),
   IF(AND(Calc!BD124=0,Calc!BE124=0),
     IF('Waste results'!$S$21&lt;&gt;"data missing", Calc!BC124*'Waste results'!$S$21, "data missing"),
   IF(AND(Calc!BC124=0,Calc!BE124=0),
     IF('Waste results'!$S$57&lt;&gt;"data missing", Calc!BD124*'Waste results'!$S$57, "data missing"),
   IF(AND(Calc!BC124=0,Calc!BD124=0),
     IF('Waste results'!$S$93&lt;&gt;"data missing", Calc!BE124*'Waste results'!$S$93, "data missing"),
   IF(Calc!BE124=0,
     IF(OR('Waste results'!$S$21&lt;&gt;"data missing", 'Waste results'!$S$57&lt;&gt;"data missing"), Calc!BC124*'Waste results'!$S$21+ Calc!BD124*'Waste results'!$S$57, "data missing"),
   IF(Calc!BD124=0,
     IF(OR('Waste results'!$S$21&lt;&gt;"data missing", 'Waste results'!$S$93&lt;&gt;"data missing"), Calc!BC124*'Waste results'!$S$21+ Calc!BE124*'Waste results'!$S$93, "data missing"),
   IF(Calc!BC124=0,
     IF(OR('Waste results'!$S$57&lt;&gt;"data missing", 'Waste results'!$S$93&lt;&gt;"data missing"), Calc!BD124*'Waste results'!$S$57+Calc!BE124*'Waste results'!$S$93, "data missing"),
   IF(OR('Waste results'!$S$21&lt;&gt;"data missing", 'Waste results'!$S$57&lt;&gt;"data missing", 'Waste results'!$S$93&lt;&gt;"data missing"), Calc!BC124*'Waste results'!$S$21+Calc!BD124*'Waste results'!$S$57+ Calc!BE124*'Waste results'!$S$93, "data missing")))))))))))</f>
        <v/>
      </c>
      <c r="U126" s="7" t="str">
        <f ca="1">IF(B126="","",
IF(OR(ISBLANK('Soil results'!I$7),ISBLANK('Soil results'!I129)),"data missing",
IF(OR(AND('Soil results'!I$7="ammonium nitrate (ADAS)",'Soil results'!I129&gt;51),AND('Soil results'!I$7="modified Morgan (SAC)",'Soil results'!I129&gt;61)),0,
IF(OR(AND('Soil results'!I$7="ammonium nitrate (ADAS)",'Soil results'!I129&lt;25),AND('Soil results'!I$7="modified Morgan (SAC)",'Soil results'!I129&lt;19)),VLOOKUP(Calc!BI124,'Fertiliser recommendations'!$A$4:$AH$63,34,FALSE),
IF(OR(AND('Soil results'!I$7="ammonium nitrate (ADAS)",'Soil results'!I129&lt;=51),AND('Soil results'!I$7="modified Morgan (SAC)",'Soil results'!I129&lt;=61)),VLOOKUP(Calc!BI124,'Fertiliser recommendations'!$A$4:$AI$63,35,FALSE),
"")))))</f>
        <v/>
      </c>
      <c r="V126" s="91" t="str">
        <f t="shared" ca="1" si="37"/>
        <v/>
      </c>
      <c r="W126" s="9" t="str">
        <f ca="1">IF(B126="","",
IF(OR(T126="data missing",U126="data missing"),"data missing",
IF(Calc!BF124=0,"n/a",
IF(U126=0,"no requirement",
IF(T126&lt;0.1*U126,"no benefit",
IF(T126&lt;0.3*U126,"limited benefit",
IF(OR(T126&gt;1.5*U126,AND(Calc!BJ124="g",T126&gt;100)),"excessive",
"benefit")))))))</f>
        <v/>
      </c>
      <c r="X126" s="9"/>
      <c r="Y126" s="91" t="str">
        <f ca="1">IF(B126="","",
IF(AND('Field information 2'!$O$5="", 'Field information 2'!$Q$5=""),
   IF('Waste results'!$P$23&lt;&gt;"", Calc!BC124*'Waste results'!$P$23, "no data"),
IF('Field information 2'!$Q$5="",
   IF(Calc!BD124=0,
     IF('Waste results'!$P$23&lt;&gt;"", Calc!BC124*'Waste results'!$P$23, "no data"),
   IF(Calc!BC124=0,
     IF('Waste results'!$P$59&lt;&gt;"", Calc!BD124*'Waste results'!$P$59, "no data"),
   IF(OR('Waste results'!$P$23&lt;&gt;"", 'Waste results'!$P$59&lt;&gt;""), Calc!BC124*'Waste results'!$P$23+ Calc!BD124*'Waste results'!$P$59, "no data"))),
IF(AND('Field information 2'!$M$5&lt;&gt;"", 'Field information 2'!$O$5&lt;&gt;"", 'Field information 2'!$Q$5&lt;&gt;""),
   IF(AND(Calc!BD124=0,Calc!BE124=0),
     IF('Waste results'!$P$23&lt;&gt;"", Calc!BC124*'Waste results'!$P$23, "no data"),
   IF(AND(Calc!BC124=0,Calc!BE124=0),
     IF('Waste results'!$P$59&lt;&gt;"", Calc!BD124*'Waste results'!$P$59, "no data"),
   IF(AND(Calc!BC124=0,Calc!BD124=0),
     IF('Waste results'!$P$95&lt;&gt;"", Calc!BE124*'Waste results'!$P$95, "no data"),
   IF(Calc!BE124=0,
     IF(OR('Waste results'!$P$23&lt;&gt;"", 'Waste results'!$P$59&lt;&gt;""), Calc!BC124*'Waste results'!$P$23+ Calc!BD124*'Waste results'!$P$59, "no data"),
   IF(Calc!BD124=0,
     IF(OR('Waste results'!$P$23&lt;&gt;"", 'Waste results'!$P$95&lt;&gt;""), Calc!BC124*'Waste results'!$P$23+ Calc!BE124*'Waste results'!$P$95, "no data"),
   IF(Calc!BC124=0,
     IF(OR('Waste results'!$P$59&lt;&gt;"", 'Waste results'!$P$95&lt;&gt;""), Calc!BD124*'Waste results'!$P$59+Calc!BE124*'Waste results'!$P$95, "no data"),
   IF(OR('Waste results'!$P$23&lt;&gt;"", 'Waste results'!$P$59&lt;&gt;"", 'Waste results'!$P$95&lt;&gt;""), Calc!BC124*'Waste results'!$P$23+Calc!BD124*'Waste results'!$P$59+ Calc!BE124*'Waste results'!$P$95, "no data")))))))))))</f>
        <v/>
      </c>
      <c r="Z126" s="7" t="str">
        <f ca="1">IF(OR(ISBLANK('Soil results'!I$7),ISBLANK('Soil results'!I129),'Soil results'!B129=""),"",
VLOOKUP(Calc!BI124,'Fertiliser recommendations'!$A$4:$AM$63,39,FALSE))</f>
        <v/>
      </c>
      <c r="AA126" s="91" t="str">
        <f t="shared" ca="1" si="38"/>
        <v/>
      </c>
      <c r="AB126" s="9" t="str">
        <f t="shared" ca="1" si="39"/>
        <v/>
      </c>
      <c r="AC126" s="9"/>
      <c r="AD126" s="48" t="str">
        <f>IF(ISBLANK('Soil results'!F129),"",'Soil results'!F129)</f>
        <v/>
      </c>
      <c r="AE126" s="49" t="str">
        <f ca="1">IF(B126="","",
IF(AND(Calc!BJ124="g", VLOOKUP(LEFT($B126,LEN($B126)-2),'Field information 2'!$B$12:$P$111,9,FALSE)&lt;&gt;"yes"),
 IF(Calc!BG124="10-25% OM", 5.9, IF(Calc!BG124="&gt;25% OM", 5.5, 6.2)),
IF(OR(Calc!BJ124="a", VLOOKUP(LEFT($B126,LEN($B126)-2),'Field information 2'!$B$12:$P$111,9,FALSE)="yes"),
 IF(Calc!BG124="10-25% OM", 6.4, IF(Calc!BG124="&gt;25% OM", 6, 6.7)), "")))</f>
        <v/>
      </c>
      <c r="AF126" s="91" t="str">
        <f ca="1">IF(B126="","",
IF('Waste results'!$Q$33="","no (significant) liming properties",
IF('Waste results'!Q$33&gt;100,"no (significant) liming properties",
IF(AD126="","",
IF(AD126&gt;=AE126,0,ROUNDDOWN((AE126-AD126)*Calc!BK124*'Waste results'!$Q$33+0.2,0))))))</f>
        <v/>
      </c>
      <c r="AG126" s="9" t="str">
        <f ca="1">IF(B126="","",
IF(T126=0,"n/a",
IF(AD126="","data missing",
IF(AND(AD126&lt;5,AF126="no (significant) liming properties"),"no waste application - pH too low",
IF(AND(AD126&gt;5.1,AF126="no (significant) liming properties",Calc!BH124&gt;25, LEFT(Calc!BI124,4)="graz"),"ok",
IF(AND(AD126&lt;=5.2,AF126="no (significant) liming properties"),"liming highly recommended",
IF(AF126=0,"no waste application - liming not required",
IF(AF126&lt;Calc!BC124,"application rate too high - exceeds liming requirement",
"ok"))))))))</f>
        <v/>
      </c>
      <c r="AH126" s="9"/>
      <c r="AI126" s="91" t="str">
        <f ca="1">IF(B126="","",
IF(AND('Field information 2'!$O$5="", 'Field information 2'!$Q$5=""),
   IF('Waste results'!$P$10&lt;&gt;"data missing", Calc!BC124*'Waste results'!$P$10, "data missing"),
IF('Field information 2'!$Q$5="",
   IF(Calc!BD124=0,
     IF('Waste results'!$P$10&lt;&gt;"data missing", Calc!BC124*'Waste results'!$P$10, "data missing"),
   IF(Calc!BC124=0,
     IF('Waste results'!$P$45&lt;&gt;"data missing", Calc!BD124*'Waste results'!$P$45, "data missing"),
   IF(OR('Waste results'!$P$10&lt;&gt;"data missing", 'Waste results'!$P$45&lt;&gt;"data missing"), Calc!BC124*'Waste results'!$P$10+ Calc!BD124*'Waste results'!$P$45, "data missing"))),
IF(AND('Field information 2'!$M$5&lt;&gt;"", 'Field information 2'!$O$5&lt;&gt;"", 'Field information 2'!$Q$5&lt;&gt;""),
   IF(AND(Calc!BD124=0,Calc!BE124=0),
     IF('Waste results'!$P$10&lt;&gt;"data missing", Calc!BC124*'Waste results'!$P$10, "data missing"),
   IF(AND(Calc!BC124=0,Calc!BE124=0),
     IF('Waste results'!$P$45&lt;&gt;"data missing", Calc!BD124*'Waste results'!$P$45, "data missing"),
   IF(AND(Calc!BC124=0,Calc!BD124=0),
     IF('Waste results'!$P$82&lt;&gt;"data missing", Calc!BE124*'Waste results'!$P$82, "data missing"),
   IF(Calc!BE124=0,
     IF(OR('Waste results'!$P$10&lt;&gt;"data missing", 'Waste results'!$P$45&lt;&gt;"data missing"), Calc!BC124*'Waste results'!$P$10+ Calc!BD124*'Waste results'!$P$45, "data missing"),
   IF(Calc!BD124=0,
     IF(OR('Waste results'!$P$10&lt;&gt;"data missing", 'Waste results'!$P$82&lt;&gt;"data missing"), Calc!BC124*'Waste results'!$P$10+ Calc!BE124*'Waste results'!$P$82, "data missing"),
   IF(Calc!BC124=0,
     IF(OR('Waste results'!$P$45&lt;&gt;"data missing", 'Waste results'!$P$82&lt;&gt;"data missing"), Calc!BD124*'Waste results'!$P$45+Calc!BE124*'Waste results'!$P$82, "data missing"),
   IF(OR('Waste results'!$P$10&lt;&gt;"data missing", 'Waste results'!$P$45&lt;&gt;"data missing", 'Waste results'!$P$82&lt;&gt;"data missing"), Calc!BC124*'Waste results'!$P$10+Calc!BD124*'Waste results'!$P$45+ Calc!BE124*'Waste results'!$P$82, "data missing")))))))))))</f>
        <v/>
      </c>
      <c r="AJ126" s="237" t="str">
        <f ca="1">IF(B126="","",
IF(AI126="data missing","data missing",
IF(Calc!BF124=0,"n/a",
IF(AND(Calc!BH124&gt;=8,AI126&lt;500),"no benefit",
IF(OR(AND(Calc!BH124&lt;=4,AI126&gt;=500),AND(Calc!BH124&lt;8,AI126&gt;5000)),"benefit",
"limited benefit")))))</f>
        <v/>
      </c>
      <c r="AK126" s="9"/>
      <c r="AL126" s="238" t="str">
        <f ca="1">IF(B126="","",
IF(AND('Field information 2'!$O$5="", 'Field information 2'!$Q$5=""),
   IF('Waste results'!$S$25&lt;&gt;"data missing", Calc!BC124*'Waste results'!$S$25, "data missing"),
IF('Field information 2'!$Q$5="",
   IF(Calc!BD124=0,
     IF('Waste results'!$S$25&lt;&gt;"data missing", Calc!BC124*'Waste results'!$S$25, "data missing"),
   IF(Calc!BC124=0,
     IF('Waste results'!$S$61&lt;&gt;"data missing", Calc!BD124*'Waste results'!$S$61, "data missing"),
   IF(OR('Waste results'!$S$25&lt;&gt;"data missing", 'Waste results'!$S$61&lt;&gt;"data missing"), Calc!BC124*'Waste results'!$S$25+ Calc!BD124*'Waste results'!$S$61, "data missing"))),
IF(AND('Field information 2'!$M$5&lt;&gt;"", 'Field information 2'!$O$5&lt;&gt;"", 'Field information 2'!$Q$5&lt;&gt;""),
   IF(AND(Calc!BD124=0,Calc!BE124=0),
     IF('Waste results'!$S$25&lt;&gt;"data missing", Calc!BC124*'Waste results'!$S$25, "data missing"),
   IF(AND(Calc!BC124=0,Calc!BE124=0),
     IF('Waste results'!$S$61&lt;&gt;"data missing", Calc!BD124*'Waste results'!$S$61, "data missing"),
   IF(AND(Calc!BC124=0,Calc!BD124=0),
     IF('Waste results'!$S$97&lt;&gt;"data missing", Calc!BE124*'Waste results'!$S$97, "data missing"),
   IF(Calc!BE124=0,
     IF(OR('Waste results'!$S$25&lt;&gt;"data missing", 'Waste results'!$S$61&lt;&gt;"data missing"), Calc!BC124*'Waste results'!$S$25+ Calc!BD124*'Waste results'!$S$61, "data missing"),
   IF(Calc!BD124=0,
     IF(OR('Waste results'!$S$25&lt;&gt;"data missing", 'Waste results'!$S$97&lt;&gt;"data missing"), Calc!BC124*'Waste results'!$S$25+ Calc!BE124*'Waste results'!$S$97, "data missing"),
   IF(Calc!BC124=0,
     IF(OR('Waste results'!$S$61&lt;&gt;"data missing", 'Waste results'!$S$97&lt;&gt;"data missing"), Calc!BD124*'Waste results'!$S$61+Calc!BE124*'Waste results'!$S$97, "data missing"),
   IF(OR('Waste results'!$S$25&lt;&gt;"data missing", 'Waste results'!$S$61&lt;&gt;"data missing", 'Waste results'!$S$97&lt;&gt;"data missing"), Calc!BC124*'Waste results'!$S$25+Calc!BD124*'Waste results'!$S$61+ Calc!BE124*'Waste results'!$S$97, "data missing")))))))))))</f>
        <v/>
      </c>
      <c r="AM126" s="239" t="str">
        <f ca="1">IF($B126="","",
IF(ISBLANK('Soil results'!K129),"data missing",'Soil results'!K129))</f>
        <v/>
      </c>
      <c r="AN126" s="239" t="str">
        <f t="shared" ca="1" si="40"/>
        <v/>
      </c>
      <c r="AO126" s="9" t="str">
        <f t="shared" ca="1" si="41"/>
        <v/>
      </c>
      <c r="AP126" s="9"/>
      <c r="AQ126" s="240" t="str">
        <f ca="1">IF(B126="","",
IF(AND('Field information 2'!$O$5="", 'Field information 2'!$Q$5=""),
   IF('Waste results'!$S$26&lt;&gt;"data missing", Calc!BC124*'Waste results'!$S$26, "data missing"),
IF('Field information 2'!$Q$5="",
   IF(Calc!BD124=0,
     IF('Waste results'!$S$26&lt;&gt;"data missing", Calc!BC124*'Waste results'!$S$26, "data missing"),
   IF(Calc!BC124=0,
     IF('Waste results'!$S$62&lt;&gt;"data missing", Calc!BD124*'Waste results'!$S$62, "data missing"),
   IF(OR('Waste results'!$S$26&lt;&gt;"data missing", 'Waste results'!$S$62&lt;&gt;"data missing"), Calc!BC124*'Waste results'!$S$26+ Calc!BD124*'Waste results'!$S$62, "data missing"))),
IF(AND('Field information 2'!$M$5&lt;&gt;"", 'Field information 2'!$O$5&lt;&gt;"", 'Field information 2'!$Q$5&lt;&gt;""),
   IF(AND(Calc!BD124=0,Calc!BE124=0),
     IF('Waste results'!$S$26&lt;&gt;"data missing", Calc!BC124*'Waste results'!$S$26, "data missing"),
   IF(AND(Calc!BC124=0,Calc!BE124=0),
     IF('Waste results'!$S$62&lt;&gt;"data missing", Calc!BD124*'Waste results'!$S$62, "data missing"),
   IF(AND(Calc!BC124=0,Calc!BD124=0),
     IF('Waste results'!$S$98&lt;&gt;"data missing", Calc!BE124*'Waste results'!$S$98, "data missing"),
   IF(Calc!BE124=0,
     IF(OR('Waste results'!$S$26&lt;&gt;"data missing", 'Waste results'!$S$62&lt;&gt;"data missing"), Calc!BC124*'Waste results'!$S$26+ Calc!BD124*'Waste results'!$S$62, "data missing"),
   IF(Calc!BD124=0,
     IF(OR('Waste results'!$S$26&lt;&gt;"data missing", 'Waste results'!$S$98&lt;&gt;"data missing"), Calc!BC124*'Waste results'!$S$26+ Calc!BE124*'Waste results'!$S$98, "data missing"),
   IF(Calc!BC124=0,
     IF(OR('Waste results'!$S$62&lt;&gt;"data missing", 'Waste results'!$S$98&lt;&gt;"data missing"), Calc!BD124*'Waste results'!$S$62+Calc!BE124*'Waste results'!$S$98, "data missing"),
   IF(OR('Waste results'!$S$26&lt;&gt;"data missing", 'Waste results'!$S$62&lt;&gt;"data missing", 'Waste results'!$S$98&lt;&gt;"data missing"), Calc!BC124*'Waste results'!$S$26+Calc!BD124*'Waste results'!$S$62+ Calc!BE124*'Waste results'!$S$98, "data missing")))))))))))</f>
        <v/>
      </c>
      <c r="AR126" s="241" t="str">
        <f ca="1">IF($B126="","",
IF(ISBLANK('Soil results'!L129),"data missing",'Soil results'!L129))</f>
        <v/>
      </c>
      <c r="AS126" s="241" t="str">
        <f t="shared" ca="1" si="42"/>
        <v/>
      </c>
      <c r="AT126" s="66" t="str">
        <f t="shared" ca="1" si="43"/>
        <v/>
      </c>
      <c r="AU126" s="9"/>
      <c r="AV126" s="238" t="str">
        <f ca="1">IF(B126="","",
IF(AND('Field information 2'!$O$5="", 'Field information 2'!$Q$5=""),
   IF('Waste results'!$S$27&lt;&gt;"data missing", Calc!BC124*'Waste results'!$S$27, "data missing"),
IF('Field information 2'!$Q$5="",
   IF(Calc!BD124=0,
     IF('Waste results'!$S$27&lt;&gt;"data missing", Calc!BC124*'Waste results'!$S$27, "data missing"),
   IF(Calc!BC124=0,
     IF('Waste results'!$S$63&lt;&gt;"data missing", Calc!BD124*'Waste results'!$S$63, "data missing"),
   IF(OR('Waste results'!$S$27&lt;&gt;"data missing", 'Waste results'!$S$63&lt;&gt;"data missing"), Calc!BC124*'Waste results'!$S$27+ Calc!BD124*'Waste results'!$S$63, "data missing"))),
IF(AND('Field information 2'!$M$5&lt;&gt;"", 'Field information 2'!$O$5&lt;&gt;"", 'Field information 2'!$Q$5&lt;&gt;""),
   IF(AND(Calc!BD124=0,Calc!BE124=0),
     IF('Waste results'!$S$27&lt;&gt;"data missing", Calc!BC124*'Waste results'!$S$27, "data missing"),
   IF(AND(Calc!BC124=0,Calc!BE124=0),
     IF('Waste results'!$S$63&lt;&gt;"data missing", Calc!BD124*'Waste results'!$S$63, "data missing"),
   IF(AND(Calc!BC124=0,Calc!BD124=0),
     IF('Waste results'!$S$99&lt;&gt;"data missing", Calc!BE124*'Waste results'!$S$99, "data missing"),
   IF(Calc!BE124=0,
     IF(OR('Waste results'!$S$27&lt;&gt;"data missing", 'Waste results'!$S$63&lt;&gt;"data missing"), Calc!BC124*'Waste results'!$S$27+ Calc!BD124*'Waste results'!$S$63, "data missing"),
   IF(Calc!BD124=0,
     IF(OR('Waste results'!$S$27&lt;&gt;"data missing", 'Waste results'!$S$99&lt;&gt;"data missing"), Calc!BC124*'Waste results'!$S$27+ Calc!BE124*'Waste results'!$S$99, "data missing"),
   IF(Calc!BC124=0,
     IF(OR('Waste results'!$S$63&lt;&gt;"data missing", 'Waste results'!$S$99&lt;&gt;"data missing"), Calc!BD124*'Waste results'!$S$63+Calc!BE124*'Waste results'!$S$99, "data missing"),
   IF(OR('Waste results'!$S$27&lt;&gt;"data missing", 'Waste results'!$S$63&lt;&gt;"data missing", 'Waste results'!$S$99&lt;&gt;"data missing"), Calc!BC124*'Waste results'!$S$27+Calc!BD124*'Waste results'!$S$63+ Calc!BE124*'Waste results'!$S$99, "data missing")))))))))))</f>
        <v/>
      </c>
      <c r="AW126" s="239" t="str">
        <f ca="1">IF($B126="","",
IF(ISBLANK('Soil results'!M129),"data missing",'Soil results'!M129))</f>
        <v/>
      </c>
      <c r="AX126" s="239" t="str">
        <f t="shared" ca="1" si="44"/>
        <v/>
      </c>
      <c r="AY126" s="9" t="str">
        <f ca="1">IF(B126="","",
IF(AV126=0,"n/a",
IF(OR(AV126="data missing",AW126="data missing"),"data missing",
IF(AV126&gt;7.5,"application rate too high - permissible rate exceeds limit",
IF('Soil results'!$F129&lt;=5.5,
  IF(AW126&gt;80,"no application - soil conc. already above limit",
  IF(AX126&gt;80,"application rate too high - soil conc. will exceed limit",
  IF(AW126&gt;80*0.9,"soil conc. is at or above 90% of the limit",
  IF(10*AV126*1000/3000+AW126&gt;80,"soil limit likely to be exceeded in 10yrs",
  IF(50*AV126*1000/3000+AW126&gt;80,"soil limit likely to be exceeded in 50yrs","ok"))))),
IF('Soil results'!$F129&lt;=6,
  IF(AW126&gt;100,"no application - soil conc. already above limit",
  IF(AX126&gt;100,"application rate too high - soil conc. will exceed limit",
  IF(AW126&gt;100*0.9,"soil conc. is at or above 90% of the limit",
  IF(10*AV126*1000/3000+AW126&gt;100,"soil limit likely to be exceeded in 10yrs",
  IF(50*AV126*1000/3000+AW126&gt;100,"soil limit likely to be exceeded in 50yrs","ok"))))),
IF('Soil results'!$F129&lt;=7,
  IF(AW126&gt;135,"no application - soil conc. already above limit",
  IF(AX126&gt;135,"application rate too high - soil conc. will exceed limit",
  IF(AW126&gt;135*0.9,"soil conc. is at or above 90% of the limit",
  IF(10*AV126*1000/3000+AW126&gt;135,"soil limit likely to be exceeded in 10yrs",
  IF(50*AV126*1000/3000+AW126&gt;135,"soil limit likely to be exceeded in 50yrs","ok"))))),
IF('Soil results'!$F129&gt;7,
  IF(AW126&gt;200,"no application - soil conc. already above limit",
  IF(AX126&gt;200,"application too high - soil conc. will exceed limit",
  IF(AW126&gt;200*0.9,"soil conc. is at or above 90% of the limit",
  IF(10*AV126*1000/3000+AW126&gt;200,"soil limit likely to be exceeded in 10yrs",
  IF(50*AV126*1000/3000+AW126&gt;200,"soil limit likely to be exceeded in 50yrs","ok")))))
))))))))</f>
        <v/>
      </c>
      <c r="AZ126" s="9"/>
      <c r="BA126" s="238" t="str">
        <f ca="1">IF(B126="","",
IF(AND('Field information 2'!$O$5="", 'Field information 2'!$Q$5=""),
   IF('Waste results'!$S$28&lt;&gt;"data missing", Calc!BC124*'Waste results'!$S$28, "data missing"),
IF('Field information 2'!$Q$5="",
   IF(Calc!BD124=0,
     IF('Waste results'!$S$28&lt;&gt;"data missing", Calc!BC124*'Waste results'!$S$28, "data missing"),
   IF(Calc!BC124=0,
     IF('Waste results'!$S$64&lt;&gt;"data missing", Calc!BD124*'Waste results'!$S$64, "data missing"),
   IF(OR('Waste results'!$S$28&lt;&gt;"data missing", 'Waste results'!$S$64&lt;&gt;"data missing"), Calc!BC124*'Waste results'!$S$28+ Calc!BD124*'Waste results'!$S$64, "data missing"))),
IF(AND('Field information 2'!$M$5&lt;&gt;"", 'Field information 2'!$O$5&lt;&gt;"", 'Field information 2'!$Q$5&lt;&gt;""),
   IF(AND(Calc!BD124=0,Calc!BE124=0),
     IF('Waste results'!$S$28&lt;&gt;"data missing", Calc!BC124*'Waste results'!$S$28, "data missing"),
   IF(AND(Calc!BC124=0,Calc!BE124=0),
     IF('Waste results'!$S$64&lt;&gt;"data missing", Calc!BD124*'Waste results'!$S$64, "data missing"),
   IF(AND(Calc!BC124=0,Calc!BD124=0),
     IF('Waste results'!$S$100&lt;&gt;"data missing", Calc!BE124*'Waste results'!$S$100, "data missing"),
   IF(Calc!BE124=0,
     IF(OR('Waste results'!$S$28&lt;&gt;"data missing", 'Waste results'!$S$64&lt;&gt;"data missing"), Calc!BC124*'Waste results'!$S$28+ Calc!BD124*'Waste results'!$S$64, "data missing"),
   IF(Calc!BD124=0,
     IF(OR('Waste results'!$S$28&lt;&gt;"data missing", 'Waste results'!$S$100&lt;&gt;"data missing"), Calc!BC124*'Waste results'!$S$28+ Calc!BE124*'Waste results'!$S$100, "data missing"),
   IF(Calc!BC124=0,
     IF(OR('Waste results'!$S$64&lt;&gt;"data missing", 'Waste results'!$S$100&lt;&gt;"data missing"), Calc!BD124*'Waste results'!$S$64+Calc!BE124*'Waste results'!$S$100, "data missing"),
   IF(OR('Waste results'!$S$28&lt;&gt;"data missing", 'Waste results'!$S$64&lt;&gt;"data missing", 'Waste results'!$S$100&lt;&gt;"data missing"), Calc!BC124*'Waste results'!$S$28+Calc!BD124*'Waste results'!$S$64+ Calc!BE124*'Waste results'!$S$100, "data missing")))))))))))</f>
        <v/>
      </c>
      <c r="BB126" s="239" t="str">
        <f ca="1">IF($B126="","",
IF(ISBLANK('Soil results'!N129),"data missing",'Soil results'!N129))</f>
        <v/>
      </c>
      <c r="BC126" s="239" t="str">
        <f t="shared" ca="1" si="45"/>
        <v/>
      </c>
      <c r="BD126" s="9" t="str">
        <f t="shared" ca="1" si="46"/>
        <v/>
      </c>
      <c r="BE126" s="9"/>
      <c r="BF126" s="238" t="str">
        <f ca="1">IF(B126="","",
IF(AND('Field information 2'!$O$5="", 'Field information 2'!$Q$5=""),
   IF('Waste results'!$S$29&lt;&gt;"data missing", Calc!BC124*'Waste results'!$S$29, "data missing"),
IF('Field information 2'!$Q$5="",
   IF(Calc!BD124=0,
     IF('Waste results'!$S$29&lt;&gt;"data missing", Calc!BC124*'Waste results'!$S$29, "data missing"),
   IF(Calc!BC124=0,
     IF('Waste results'!$S$65&lt;&gt;"data missing", Calc!BD124*'Waste results'!$S$65, "data missing"),
   IF(OR('Waste results'!$S$29&lt;&gt;"data missing", 'Waste results'!$S$65&lt;&gt;"data missing"), Calc!BC124*'Waste results'!$S$29+ Calc!BD124*'Waste results'!$S$65, "data missing"))),
IF(AND('Field information 2'!$M$5&lt;&gt;"", 'Field information 2'!$O$5&lt;&gt;"", 'Field information 2'!$Q$5&lt;&gt;""),
   IF(AND(Calc!BD124=0,Calc!BE124=0),
     IF('Waste results'!$S$29&lt;&gt;"data missing", Calc!BC124*'Waste results'!$S$29, "data missing"),
   IF(AND(Calc!BC124=0,Calc!BE124=0),
     IF('Waste results'!$S$65&lt;&gt;"data missing", Calc!BD124*'Waste results'!$S$65, "data missing"),
   IF(AND(Calc!BC124=0,Calc!BD124=0),
     IF('Waste results'!$S$101&lt;&gt;"data missing", Calc!BE124*'Waste results'!$S$101, "data missing"),
   IF(Calc!BE124=0,
     IF(OR('Waste results'!$S$29&lt;&gt;"data missing", 'Waste results'!$S$65&lt;&gt;"data missing"), Calc!BC124*'Waste results'!$S$29+ Calc!BD124*'Waste results'!$S$65, "data missing"),
   IF(Calc!BD124=0,
     IF(OR('Waste results'!$S$29&lt;&gt;"data missing", 'Waste results'!$S$101&lt;&gt;"data missing"), Calc!BC124*'Waste results'!$S$29+ Calc!BE124*'Waste results'!$S$101, "data missing"),
   IF(Calc!BC124=0,
     IF(OR('Waste results'!$S$65&lt;&gt;"data missing", 'Waste results'!$S$101&lt;&gt;"data missing"), Calc!BD124*'Waste results'!$S$65+Calc!BE124*'Waste results'!$S$101, "data missing"),
   IF(OR('Waste results'!$S$29&lt;&gt;"data missing", 'Waste results'!$S$65&lt;&gt;"data missing", 'Waste results'!$S$101&lt;&gt;"data missing"), Calc!BC124*'Waste results'!$S$29+Calc!BD124*'Waste results'!$S$65+ Calc!BE124*'Waste results'!$S$101, "data missing")))))))))))</f>
        <v/>
      </c>
      <c r="BG126" s="239" t="str">
        <f ca="1">IF($B126="","",
IF(ISBLANK('Soil results'!O129),"data missing",'Soil results'!O129))</f>
        <v/>
      </c>
      <c r="BH126" s="239" t="str">
        <f t="shared" ca="1" si="47"/>
        <v/>
      </c>
      <c r="BI126" s="9" t="str">
        <f ca="1">IF(B126="","",
IF(BF126=0,"n/a",
IF(OR(BF126="data missing",BG126="data missing"),"data missing",
IF(BF126&gt;3,"application rate too high - permissible rate exceeds limit",
IF('Soil results'!F129&lt;=5.5,
  IF(BG126&gt;50,"no application - soil conc. already above limit",
  IF(BH126&gt;50,"application rate too high - soil conc. will exceed limit",
  IF(BG126&gt;50*0.9,"soil conc. is at or above 90% of the limit",
  IF(10*BF126*1000/3000+BG126&gt;50,"soil limit likely to be exceeded in 10yrs",
  IF(50*BF126*1000/3000+BG126&gt;50,"soil limit likely to be exceeded in 50yrs","ok"))))),
IF('Soil results'!F129&lt;=6,
  IF(BG126&gt;60,"no application - soil conc. already above limit",
  IF(BH126&gt;60,"application rate too high - soil conc. will exceed limit",
  IF(BG126&gt;60*0.9,"soil conc. is at or above 90% of the limit",
  IF(10*BF126*1000/3000+BG126&gt;60,"soil limit likely to be exceeded in 10yrs",
  IF(50*BF126*1000/3000+BG126&gt;60,"soil limit likely to be exceeded in 50yrs","ok"))))),
IF('Soil results'!F129&lt;=7,
  IF(BG126&gt;75,"no application - soil conc. already above limit",
  IF(BH126&gt;75,"application rate too high - soil conc. will exceed limit",
  IF(BG126&gt;75*0.9,"soil conc. is at or above 90% of the limit",
  IF(10*BF126*1000/3000+BG126&gt;75,"soil limit likely to be exceeded in 10yrs",
  IF(50*BF126*1000/3000+BG126&gt;75,"soil limit likely to be exceeded in 50yrs","ok"))))),
IF('Soil results'!F129&gt;7,
  IF(BG126&gt;100,"no application - soil conc. already above limit",
  IF(BH126&gt;100,"application rate too high - soil conc. will exceed limit",
  IF(BG126&gt;100*0.9,"soil conc. is at or above 90% of the limit",
  IF(10*BF126*1000/3000+BG126&gt;100,"soil limit likely to be exceeded in 10yrs",
  IF(50*BF126*1000/3000+BG126&gt;100,"soil limit likely to beexceeded in 50yrs","ok")))))
))))))))</f>
        <v/>
      </c>
      <c r="BJ126" s="9"/>
      <c r="BK126" s="240" t="str">
        <f ca="1">IF(B126="","",
IF(AND('Field information 2'!$O$5="", 'Field information 2'!$Q$5=""),
   IF('Waste results'!$S$30&lt;&gt;"data missing", Calc!BC124*'Waste results'!$S$30, "data missing"),
IF('Field information 2'!$Q$5="",
   IF(Calc!BD124=0,
     IF('Waste results'!$S$30&lt;&gt;"data missing", Calc!BC124*'Waste results'!$S$30, "data missing"),
   IF(Calc!BC124=0,
     IF('Waste results'!$S$66&lt;&gt;"data missing", Calc!BD124*'Waste results'!$S$66, "data missing"),
   IF(OR('Waste results'!$S$30&lt;&gt;"data missing", 'Waste results'!$S$66&lt;&gt;"data missing"), Calc!BC124*'Waste results'!$S$30+ Calc!BD124*'Waste results'!$S$66, "data missing"))),
IF(AND('Field information 2'!$M$5&lt;&gt;"", 'Field information 2'!$O$5&lt;&gt;"", 'Field information 2'!$Q$5&lt;&gt;""),
   IF(AND(Calc!BD124=0,Calc!BE124=0),
     IF('Waste results'!$S$30&lt;&gt;"data missing", Calc!BC124*'Waste results'!$S$30, "data missing"),
   IF(AND(Calc!BC124=0,Calc!BE124=0),
     IF('Waste results'!$S$66&lt;&gt;"data missing", Calc!BD124*'Waste results'!$S$66, "data missing"),
   IF(AND(Calc!BC124=0,Calc!BD124=0),
     IF('Waste results'!$S$102&lt;&gt;"data missing", Calc!BE124*'Waste results'!$S$102, "data missing"),
   IF(Calc!BE124=0,
     IF(OR('Waste results'!$S$30&lt;&gt;"data missing", 'Waste results'!$S$66&lt;&gt;"data missing"), Calc!BC124*'Waste results'!$S$30+ Calc!BD124*'Waste results'!$S$66, "data missing"),
   IF(Calc!BD124=0,
     IF(OR('Waste results'!$S$30&lt;&gt;"data missing", 'Waste results'!$S$102&lt;&gt;"data missing"), Calc!BC124*'Waste results'!$S$30+ Calc!BE124*'Waste results'!$S$102, "data missing"),
   IF(Calc!BC124=0,
     IF(OR('Waste results'!$S$66&lt;&gt;"data missing", 'Waste results'!$S$102&lt;&gt;"data missing"), Calc!BD124*'Waste results'!$S$66+Calc!BE124*'Waste results'!$S$102, "data missing"),
   IF(OR('Waste results'!$S$30&lt;&gt;"data missing", 'Waste results'!$S$66&lt;&gt;"data missing", 'Waste results'!$S$102&lt;&gt;"data missing"), Calc!BC124*'Waste results'!$S$30+Calc!BD124*'Waste results'!$S$66+ Calc!BE124*'Waste results'!$S$102, "data missing")))))))))))</f>
        <v/>
      </c>
      <c r="BL126" s="241" t="str">
        <f ca="1">IF($B126="","",
IF(ISBLANK('Soil results'!P129),"data missing",'Soil results'!P129))</f>
        <v/>
      </c>
      <c r="BM126" s="241" t="str">
        <f t="shared" ca="1" si="48"/>
        <v/>
      </c>
      <c r="BN126" s="66" t="str">
        <f t="shared" ca="1" si="49"/>
        <v/>
      </c>
      <c r="BO126" s="9"/>
      <c r="BP126" s="238" t="str">
        <f ca="1">IF(B126="","",
IF(AND('Field information 2'!$O$5="", 'Field information 2'!$Q$5=""),
   IF('Waste results'!$S$31&lt;&gt;"data missing", Calc!BC124*'Waste results'!$S$31, "data missing"),
IF('Field information 2'!$Q$5="",
   IF(Calc!BD124=0,
     IF('Waste results'!$S$31&lt;&gt;"data missing", Calc!BC124*'Waste results'!$S$31, "data missing"),
   IF(Calc!BC124=0,
     IF('Waste results'!$S$67&lt;&gt;"data missing", Calc!BD124*'Waste results'!$S$67, "data missing"),
   IF(OR('Waste results'!$S$31&lt;&gt;"data missing", 'Waste results'!$S$67&lt;&gt;"data missing"), Calc!BC124*'Waste results'!$S$31+ Calc!BD124*'Waste results'!$S$67, "data missing"))),
IF(AND('Field information 2'!$M$5&lt;&gt;"", 'Field information 2'!$O$5&lt;&gt;"", 'Field information 2'!$Q$5&lt;&gt;""),
   IF(AND(Calc!BD124=0,Calc!BE124=0),
     IF('Waste results'!$S$31&lt;&gt;"data missing", Calc!BC124*'Waste results'!$S$31, "data missing"),
   IF(AND(Calc!BC124=0,Calc!BE124=0),
     IF('Waste results'!$S$67&lt;&gt;"data missing", Calc!BD124*'Waste results'!$S$67, "data missing"),
   IF(AND(Calc!BC124=0,Calc!BD124=0),
     IF('Waste results'!$S$103&lt;&gt;"data missing", Calc!BE124*'Waste results'!$S$103, "data missing"),
   IF(Calc!BE124=0,
     IF(OR('Waste results'!$S$31&lt;&gt;"data missing", 'Waste results'!$S$67&lt;&gt;"data missing"), Calc!BC124*'Waste results'!$S$31+ Calc!BD124*'Waste results'!$S$67, "data missing"),
   IF(Calc!BD124=0,
     IF(OR('Waste results'!$S$31&lt;&gt;"data missing", 'Waste results'!$S$103&lt;&gt;"data missing"), Calc!BC124*'Waste results'!$S$31+ Calc!BE124*'Waste results'!$S$103, "data missing"),
   IF(Calc!BC124=0,
     IF(OR('Waste results'!$S$67&lt;&gt;"data missing", 'Waste results'!$S$103&lt;&gt;"data missing"), Calc!BD124*'Waste results'!$S$67+Calc!BE124*'Waste results'!$S$103, "data missing"),
   IF(OR('Waste results'!$S$31&lt;&gt;"data missing", 'Waste results'!$S$67&lt;&gt;"data missing", 'Waste results'!$S$103&lt;&gt;"data missing"), Calc!BC124*'Waste results'!$S$31+Calc!BD124*'Waste results'!$S$67+ Calc!BE124*'Waste results'!$S$103, "data missing")))))))))))</f>
        <v/>
      </c>
      <c r="BQ126" s="239" t="str">
        <f ca="1">IF($B126="","",
IF(ISBLANK('Soil results'!Q129),"data missing",'Soil results'!Q129))</f>
        <v/>
      </c>
      <c r="BR126" s="239" t="str">
        <f t="shared" ca="1" si="50"/>
        <v/>
      </c>
      <c r="BS126" s="9" t="str">
        <f ca="1">IF(B126="","",
IF(BP126=0,"n/a",
IF(OR(BP126="data missing",BQ126=""),"data missing",
IF(BP126&gt;15,"application rate too high - permissible rate exceeds limit",
IF('Soil results'!F129&lt;=5.5,
  IF(BQ126&gt;200,"no application - soil conc. already above limit",
  IF(BR126&gt;200,"application rate too high - soil conc. will exceed limit",
  IF(BQ126&gt;200*0.9,"soil conc. is at or above 90% of the limit",
  IF(10*BP126*1000/3000+BQ126&gt;200,"soil limit likely to be exceeded in 10yrs",
  IF(50*BP126*1000/3000+BQ126&gt;200,"soil limit likely to be exceeded in 50yrs","ok"))))),
IF('Soil results'!F129&lt;=6,
  IF(BQ126&gt;250,"no application - soil conc. already above limit",
  IF(BR126&gt;250,"application rate too high - soil conc. will exceed limit",
  IF(BQ126&gt;250*0.9,"soil conc. is at or above 90% of the limit",
  IF(10*BP126*1000/3000+BQ126&gt;250,"soil limit likely to be exceeded in 10yrs",
  IF(50*BP126*1000/3000+BQ126&gt;250,"soil limit likely to be exceeded in 50yrs","ok"))))),
IF('Soil results'!F129&lt;=7,
  IF(BQ126&gt;300,"no application - soil conc. already above limit",
  IF(BR126&gt;300,"application rate too high - soil conc. will exceed limit",
  IF(BQ126&gt;300*0.9,"soil conc. is at or above 90% of the limit",
  IF(10*BP126*1000/3000+BQ126&gt;300,"soil limit likey to be exceeded in 10yrs",
  IF(50*BP126*1000/3000+BQ126&gt;300,"soil limit likely to be exceeded in 50yrs","ok"))))),
IF('Soil results'!F129&gt;7,
  IF(BQ126&gt;450,"no application - soil conc. already above limit",
  IF(BR126&gt;450,"application rate too high - soil conc. will exceed limit",
  IF(AW126&gt;450*0.9,"soil conc. is at or above 90% of the limit",
  IF(10*BP126*1000/3000+BQ126&gt;450,"soil limit likely to be exceeded in 10yrs",
  IF(50*BP126*1000/3000+BQ126&gt;450,"soil limit likely to be exceeded in 50yrs","ok")))))
))))))))</f>
        <v/>
      </c>
    </row>
    <row r="127" spans="2:71" ht="15" x14ac:dyDescent="0.25">
      <c r="B127" s="236" t="str">
        <f ca="1">'Soil results'!B130</f>
        <v/>
      </c>
      <c r="C127" s="91" t="str">
        <f ca="1">IF(B127="","",
IF(AND('Field information 2'!$O$5="", 'Field information 2'!$Q$5=""),
   IF('Waste results'!$S$12&lt;&gt;"data missing", Calc!BC125*'Waste results'!$S$12, "data missing"),
IF('Field information 2'!$Q$5="",
   IF(Calc!BD125=0,
     IF('Waste results'!$S$12&lt;&gt;"data missing", Calc!BC125*'Waste results'!$S$12, "data missing"),
   IF(Calc!BC125=0,
     IF('Waste results'!$S$48&lt;&gt;"data missing", Calc!BD125*'Waste results'!$S$48, "data missing"),
   IF(OR('Waste results'!$S$12&lt;&gt;"data missing", 'Waste results'!$S$48&lt;&gt;"data missing"), Calc!BC125*'Waste results'!$S$12+ Calc!BD125*'Waste results'!$S$48, "data missing"))),
IF(AND('Field information 2'!$M$5&lt;&gt;"", 'Field information 2'!$O$5&lt;&gt;"", 'Field information 2'!$Q$5&lt;&gt;""),
   IF(AND(Calc!BD125=0,Calc!BE125=0),
     IF('Waste results'!$S$12&lt;&gt;"data missing", Calc!BC125*'Waste results'!$S$12, "data missing"),
   IF(AND(Calc!BC125=0,Calc!BE125=0),
     IF('Waste results'!$S$48&lt;&gt;"data missing", Calc!BD125*'Waste results'!$S$48, "data missing"),
   IF(AND(Calc!BC125=0,Calc!BD125=0),
     IF('Waste results'!$S$84&lt;&gt;"data missing", Calc!BE125*'Waste results'!$S$84, "data missing"),
   IF(Calc!BE125=0,
     IF(OR('Waste results'!$S$12&lt;&gt;"data missing", 'Waste results'!$S$48&lt;&gt;"data missing"), Calc!BC125*'Waste results'!$S$12+ Calc!BD125*'Waste results'!$S$48, "data missing"),
   IF(Calc!BD125=0,
     IF(OR('Waste results'!$S$12&lt;&gt;"data missing", 'Waste results'!$S$84&lt;&gt;"data missing"), Calc!BC125*'Waste results'!$S$12+ Calc!BE125*'Waste results'!$S$84, "data missing"),
   IF(Calc!BC125=0,
     IF(OR('Waste results'!$S$48&lt;&gt;"data missing", 'Waste results'!$S$84&lt;&gt;"data missing"), Calc!BD125*'Waste results'!$S$48+Calc!BE125*'Waste results'!$S$84, "data missing"),
   IF(OR('Waste results'!$S$12&lt;&gt;"data missing", 'Waste results'!$S$48&lt;&gt;"data missing", 'Waste results'!$S$84&lt;&gt;"data missing"), Calc!BC125*'Waste results'!$S$12+Calc!BD125*'Waste results'!$S$48+ Calc!BE125*'Waste results'!$S$84, "data missing")))))))))))</f>
        <v/>
      </c>
      <c r="D127" s="161" t="str">
        <f ca="1">IF(B127="","",
IF(Calc!BG125="","soil texture missing",
IF(OR(Calc!BG125="SL; SZL; ZL",Calc!BG125="SCL; CL; ZCL; SC; ZC; C"),VLOOKUP(Calc!BI125,'Fertiliser recommendations'!$A$4:$C$63,3,FALSE),
IF(Calc!BG125="S; LS",VLOOKUP(Calc!BI125,'Fertiliser recommendations'!$A$4:$C$63,3,FALSE)+VLOOKUP(Calc!BI125,'Fertiliser recommendations'!$A$4:$D$63,4,FALSE),
IF(Calc!BG125="10-25% OM",VLOOKUP(Calc!BI125,'Fertiliser recommendations'!$A$4:$C$63,3,FALSE)+VLOOKUP(Calc!BI125,'Fertiliser recommendations'!$A$4:$E$63,5,FALSE),
IF(Calc!BG125="&gt;25% OM",VLOOKUP(Calc!BI125,'Fertiliser recommendations'!$A$4:$C$63,3,FALSE)+VLOOKUP(Calc!BI125,'Fertiliser recommendations'!$A$4:$F$63,6,FALSE),
""))))))</f>
        <v/>
      </c>
      <c r="E127" s="91" t="str">
        <f t="shared" ca="1" si="34"/>
        <v/>
      </c>
      <c r="F127" s="9" t="str">
        <f ca="1">IF(B127="","",
IF(OR(C127="data missing",D127="soil texture missing"),"data missing",
IF(Calc!BF125=0,"n/a",
IF(C127&lt;0.1*D127,"no benefit",
IF(C127&lt;0.3*D127,"limited benefit",
IF(C127&gt;250,"exceeds limit",
IF(OR(AND(D127=0,C127&gt;75),C127&gt;1.25*D127),"excessive",
IF(D127=0, "no requirement",
"benefit"))))))))</f>
        <v/>
      </c>
      <c r="G127" s="9"/>
      <c r="H127" s="91" t="str">
        <f ca="1">IF(B127="","",
IF(AND('Field information 2'!$O$5="", 'Field information 2'!$Q$5=""),
   IF('Waste results'!$S$17&lt;&gt;"data missing", Calc!BC125*'Waste results'!$S$17, "data missing"),
IF('Field information 2'!$Q$5="",
   IF(Calc!BD125=0,
     IF('Waste results'!$S$17&lt;&gt;"data missing", Calc!BC125*'Waste results'!$S$17, "data missing"),
   IF(Calc!BC125=0,
     IF('Waste results'!$S$53&lt;&gt;"data missing", Calc!BD125*'Waste results'!$S$53, "data missing"),
   IF(OR('Waste results'!$S$17&lt;&gt;"data missing", 'Waste results'!$S$53&lt;&gt;"data missing"), Calc!BC125*'Waste results'!$S$17+ Calc!BD125*'Waste results'!$S$53, "data missing"))),
IF(AND('Field information 2'!$M$5&lt;&gt;"", 'Field information 2'!$O$5&lt;&gt;"", 'Field information 2'!$Q$5&lt;&gt;""),
   IF(AND(Calc!BD125=0,Calc!BE125=0),
     IF('Waste results'!$S$17&lt;&gt;"data missing", Calc!BC125*'Waste results'!$S$17, "data missing"),
   IF(AND(Calc!BC125=0,Calc!BE125=0),
     IF('Waste results'!$S$53&lt;&gt;"data missing", Calc!BD125*'Waste results'!$S$53, "data missing"),
   IF(AND(Calc!BC125=0,Calc!BD125=0),
     IF('Waste results'!$S$89&lt;&gt;"data missing", Calc!BE125*'Waste results'!$S$89, "data missing"),
   IF(Calc!BE125=0,
     IF(OR('Waste results'!$S$17&lt;&gt;"data missing", 'Waste results'!$S$53&lt;&gt;"data missing"), Calc!BC125*'Waste results'!$S$17+ Calc!BD125*'Waste results'!$S$53, "data missing"),
   IF(Calc!BD125=0,
     IF(OR('Waste results'!$S$17&lt;&gt;"data missing", 'Waste results'!$S$89&lt;&gt;"data missing"), Calc!BC125*'Waste results'!$S$17+ Calc!BE125*'Waste results'!$S$89, "data missing"),
   IF(Calc!BC125=0,
     IF(OR('Waste results'!$S$53&lt;&gt;"data missing", 'Waste results'!$S$89&lt;&gt;"data missing"), Calc!BD125*'Waste results'!$S$53+Calc!BE125*'Waste results'!$S$89, "data missing"),
   IF(OR('Waste results'!$S$17&lt;&gt;"data missing", 'Waste results'!$S$53&lt;&gt;"data missing", 'Waste results'!$S$89&lt;&gt;"data missing"), Calc!BC125*'Waste results'!$S$17+Calc!BD125*'Waste results'!$S$53+ Calc!BE125*'Waste results'!$S$89, "data missing")))))))))))</f>
        <v/>
      </c>
      <c r="I127" s="195" t="str">
        <f ca="1">IF(B127="","",
IF(OR(ISBLANK('Soil results'!G130), ISBLANK('Soil results'!G$7)),"data missing",
IF(OR(AND('Soil results'!G$7="Olsen (ADAS)",'Soil results'!G130&lt;16),AND('Soil results'!G$7="modified Morgan (SAC)",'Soil results'!G130&lt;4.5)),50,100)))</f>
        <v/>
      </c>
      <c r="J127" s="49" t="str">
        <f ca="1">IF(B127="","",
IF(OR(ISBLANK('Soil results'!G$7),ISBLANK('Soil results'!G130)),"data missing",
IF(OR(AND('Soil results'!G$7="Olsen (ADAS)",'Soil results'!G130&gt;45),AND('Soil results'!G$7="modified Morgan (SAC)",'Soil results'!G130&gt;30)),0,
IF(OR(AND('Soil results'!G$7="Olsen (ADAS)",'Soil results'!G130&gt;=16,'Soil results'!G130&lt;=20),AND('Soil results'!G$7="modified Morgan (SAC)",'Soil results'!G130&gt;=4.5,'Soil results'!G130&lt;=9.4)),VLOOKUP(Calc!BI125,'Fertiliser recommendations'!$A$4:$I$63,9,FALSE),
IF(OR(AND('Soil results'!G$7="Olsen (ADAS)",'Soil results'!G130&lt;10),AND('Soil results'!G$7="modified Morgan (SAC)",'Soil results'!G130&lt;1.8)),VLOOKUP(Calc!BI125,'Fertiliser recommendations'!$A$4:$I$63,9,FALSE)+VLOOKUP(Calc!BI125,'Fertiliser recommendations'!$A$4:$J$63,10,FALSE),
IF(OR(AND('Soil results'!G$7="Olsen (ADAS)",'Soil results'!G130&lt;16),AND('Soil results'!G$7="modified Morgan (SAC)",'Soil results'!G130&lt;4.5)),VLOOKUP(Calc!BI125,'Fertiliser recommendations'!$A$4:$I$63,9,FALSE)+VLOOKUP(Calc!BI125,'Fertiliser recommendations'!$A$4:$K$63,11,FALSE),
IF(OR(AND('Soil results'!G$7="Olsen (ADAS)",'Soil results'!G130&lt;26),AND('Soil results'!G$7="modified Morgan (SAC)",'Soil results'!G130&lt;13.5)),VLOOKUP(Calc!BI125,'Fertiliser recommendations'!$A$4:$I$63,9,FALSE)+VLOOKUP(Calc!BI125,'Fertiliser recommendations'!$A$4:$L$63,12,FALSE),
IF(OR(AND('Soil results'!G$7="Olsen (ADAS)",'Soil results'!G130&lt;=45),AND('Soil results'!G$7="modified Morgan (SAC)",'Soil results'!G130&lt;=30)),VLOOKUP(Calc!BI125,'Fertiliser recommendations'!$A$4:$I$63,9,FALSE)+VLOOKUP(Calc!BI125,'Fertiliser recommendations'!$A$4:$M$63,13,FALSE),
""))))))))</f>
        <v/>
      </c>
      <c r="K127" s="161" t="str">
        <f t="shared" ca="1" si="35"/>
        <v/>
      </c>
      <c r="L127" s="47" t="str">
        <f ca="1">IF(OR(ISBLANK('Soil results'!G$7),ISBLANK('Soil results'!G130),B127="", H127="data missing"),"",
IF('Soil results'!G$7="Olsen (ADAS)",
IF(((H127*Calc!BM125/2.291-(VLOOKUP(Calc!BI125,'Fertiliser recommendations'!$A$4:$I$63,9,FALSE))/2.291)*10/(400/2.291)+'Soil results'!G130)&lt;10,"0 (VL)",
IF(((H127*Calc!BM125/2.291-(VLOOKUP(Calc!BI125,'Fertiliser recommendations'!$A$4:$I$63,9,FALSE))/2.291)*10/(400/2.291)+'Soil results'!G130)&lt;16,"1 (L)",
IF(((H127*Calc!BM125/2.291-(VLOOKUP(Calc!BI125,'Fertiliser recommendations'!$A$4:$I$63,9,FALSE))/2.291)*10/(400/2.291)+'Soil results'!G130)&lt;21,"2 (M-)",
IF(((H127*Calc!BM125/2.291-(VLOOKUP(Calc!BI125,'Fertiliser recommendations'!$A$4:$I$63,9,FALSE))/2.291)*10/(400/2.291)+'Soil results'!G130)&lt;26,"2 (M+)",
IF(((H127*Calc!BM125/2.291-(VLOOKUP(Calc!BI125,'Fertiliser recommendations'!$A$4:$I$63,9,FALSE))/2.291)*10/(400/2.291)+'Soil results'!G130)&lt;45,"3 (H)","&gt;3 (VH)"))))),
IF('Soil results'!G$7="modified Morgan (SAC)",
IF('Soil results'!G130&gt;=6,
IF(((H127*Calc!BM125/2.291-(VLOOKUP(Calc!BI125,'Fertiliser recommendations'!$A$4:$I$63,9,FALSE))/2.291)*5/(147/2.291)+'Soil results'!G130)&lt;9.5,"2 (M-)",
IF(((H127*Calc!BM125/2.291-(VLOOKUP(Calc!BI125,'Fertiliser recommendations'!$A$4:$I$63,9,FALSE))/2.291)*5/(147/2.291)+'Soil results'!G130)&lt;13.5,"2 (M+)",
IF(((H127*Calc!BM125/2.291-(VLOOKUP(Calc!BI125,'Fertiliser recommendations'!$A$4:$I$63,9,FALSE))/2.291)*5/(147/2.291)+'Soil results'!G130)&lt;30,"3 (H)","4 (VH)"))),
IF(((H127*Calc!BM125/2.291-(VLOOKUP(Calc!BI125,'Fertiliser recommendations'!$A$4:$I$63,9,FALSE))/2.291)*5/(346/2.291)+'Soil results'!G130)&lt;1.8,"0 (VL)",
IF(((H127*Calc!BM125/2.291-(VLOOKUP(Calc!BI125,'Fertiliser recommendations'!$A$4:$I$63,9,FALSE))/2.291)*5/(147/2.291)+'Soil results'!G130)&lt;4.5,"1 (L)","2 (M-)"))))))</f>
        <v/>
      </c>
      <c r="M127" s="9" t="str">
        <f ca="1">IF(B127="","",
IF(OR(H127="data missing",I127="data missing",J127="data missing"),"data missing",
IF(Calc!BF125=0,"n/a",
IF(OR(AND('Soil results'!G$7="Olsen (ADAS)",'Soil results'!G130&gt;45),AND('Soil results'!G$7="modified Morgan (SAC)",'Soil results'!G130&gt;30)),
IF(H127&gt;2,"too high, not acceptable","no requirement"),IF(OR(AND('Soil results'!G$7="Olsen (ADAS)",'Soil results'!G130&gt;25),AND('Soil results'!G$7="modified Morgan (SAC)",'Soil results'!G130&gt;13.4)),
IF(H127*(I127/100)&lt;0.1*J127,"no benefit",
IF(H127*(I127/100)&lt;0.3*J127,"limited benefit",
IF(H127*(I127/100)&lt;1.1*J127,"benefit",
IF(H127*(I127/100)&lt;0.7*VLOOKUP(Calc!BI125,'Fertiliser recommendations'!$A$4:$I$63,9,FALSE),"excessive","too high, not acceptable")))),
IF(OR(AND('Soil results'!G$7="Olsen (ADAS)",'Soil results'!G130&gt;20),AND('Soil results'!G$7="modified Morgan (SAC)",'Soil results'!G130&gt;9.4)),
IF(H127*Calc!BM125*(I127/100)&lt;0.1*J127,"no benefit",
IF(H127*Calc!BM125*(I127/100)&lt;0.3*J127,"limited benefit",
IF(H127*Calc!BM125*(I127/100)&lt;1.1*J127,"benefit",
IF(L127="3 (H)","too high, not acceptable","excessive")))),
IF(OR(AND('Soil results'!G$7="Olsen (ADAS)",'Soil results'!G130&gt;15),AND('Soil results'!G$7="modified Morgan (SAC)",'Soil results'!G130&gt;4.4)),
IF(H127*Calc!BM125*(I127/100)&lt;0.1*VLOOKUP(Calc!BI125,'Fertiliser recommendations'!$A$4:$I$63,9,FALSE),"no benefit",
IF(H127*Calc!BM125*(I127/100)&lt;0.3*VLOOKUP(Calc!BI125,'Fertiliser recommendations'!$A$4:$I$63,9,FALSE),"limited benefit",
IF(H127*Calc!BM125*(I127/100)&lt;1.1*VLOOKUP(Calc!BI125,'Fertiliser recommendations'!$A$4:$I$63,9,FALSE),"benefit",
IF(L127="3 (H)", "too high, not acceptable", "excessive")))),
IF(OR(AND('Soil results'!G$7="Olsen (ADAS)",'Soil results'!G130&lt;=15),AND('Soil results'!G$7="modified Morgan (SAC)",'Soil results'!G130&lt;=4.4)),
IF(H127*Calc!BM125*(I127/100)&lt;0.1*VLOOKUP(Calc!BI125,'Fertiliser recommendations'!$A$4:$I$63,9,FALSE),"no benefit",
IF(H127*Calc!BM125*(I127/100)&lt;0.3*VLOOKUP(Calc!BI125,'Fertiliser recommendations'!$A$4:$I$63,9,FALSE),"limited benefit",
IF(H127*Calc!BM125*(I127/100)&lt;1.1*J127,"benefit","excessive")))))))))))</f>
        <v/>
      </c>
      <c r="N127" s="9"/>
      <c r="O127" s="91" t="str">
        <f ca="1">IF(B127="","",
IF(AND('Field information 2'!$O$5="", 'Field information 2'!$Q$5=""),
   IF('Waste results'!$S$19&lt;&gt;"data missing", Calc!BC125*'Waste results'!$S$19, "data missing"),
IF('Field information 2'!$Q$5="",
   IF(Calc!BD125=0,
     IF('Waste results'!$S$19&lt;&gt;"data missing", Calc!BC125*'Waste results'!$S$19, "data missing"),
   IF(Calc!BC125=0,
     IF('Waste results'!$S$55&lt;&gt;"data missing", Calc!BD125*'Waste results'!$S$55, "data missing"),
   IF(OR('Waste results'!$S$19&lt;&gt;"data missing", 'Waste results'!$S$55&lt;&gt;"data missing"), Calc!BC125*'Waste results'!$S$19+ Calc!BD125*'Waste results'!$S$55, "data missing"))),
IF(AND('Field information 2'!$M$5&lt;&gt;"", 'Field information 2'!$O$5&lt;&gt;"", 'Field information 2'!$Q$5&lt;&gt;""),
   IF(AND(Calc!BD125=0,Calc!BE125=0),
     IF('Waste results'!$S$19&lt;&gt;"data missing", Calc!BC125*'Waste results'!$S$19, "data missing"),
   IF(AND(Calc!BC125=0,Calc!BE125=0),
     IF('Waste results'!$S$55&lt;&gt;"data missing", Calc!BD125*'Waste results'!$S$55, "data missing"),
   IF(AND(Calc!BC125=0,Calc!BD125=0),
     IF('Waste results'!$S$91&lt;&gt;"data missing", Calc!BE125*'Waste results'!$S$91, "data missing"),
   IF(Calc!BE125=0,
     IF(OR('Waste results'!$S$19&lt;&gt;"data missing", 'Waste results'!$S$55&lt;&gt;"data missing"), Calc!BC125*'Waste results'!$S$19+ Calc!BD125*'Waste results'!$S$55, "data missing"),
   IF(Calc!BD125=0,
     IF(OR('Waste results'!$S$19&lt;&gt;"data missing", 'Waste results'!$S$91&lt;&gt;"data missing"), Calc!BC125*'Waste results'!$S$19+ Calc!BE125*'Waste results'!$S$91, "data missing"),
   IF(Calc!BC125=0,
     IF(OR('Waste results'!$S$55&lt;&gt;"data missing", 'Waste results'!$S$91&lt;&gt;"data missing"), Calc!BD125*'Waste results'!$S$55+Calc!BE125*'Waste results'!$S$91, "data missing"),
   IF(OR('Waste results'!$S$19&lt;&gt;"data missing", 'Waste results'!$S$55&lt;&gt;"data missing", 'Waste results'!$S$91&lt;&gt;"data missing"), Calc!BC125*'Waste results'!$S$19+Calc!BD125*'Waste results'!$S$55+ Calc!BE125*'Waste results'!$S$91, "data missing")))))))))))</f>
        <v/>
      </c>
      <c r="P127" s="91" t="str">
        <f ca="1">IF(B127="","",
IF(OR(ISBLANK('Soil results'!H$7),ISBLANK('Soil results'!H130)),"data missing",
IF(OR(AND('Soil results'!H$7="ammonium nitrate (ADAS)",'Soil results'!H130&gt;400),AND('Soil results'!H$7="modified Morgan (SAC)",'Soil results'!H130&gt;400)),0,
IF(OR(AND('Soil results'!H$7="ammonium nitrate (ADAS)",'Soil results'!H130&gt;=121,'Soil results'!H130&lt;=180),AND('Soil results'!H$7="modified Morgan (SAC)",'Soil results'!H130&gt;=76,'Soil results'!H130&lt;=140)),VLOOKUP(Calc!BI125,'Fertiliser recommendations'!$A$4:$Z$63,26,FALSE),
IF(OR(AND('Soil results'!H$7="ammonium nitrate (ADAS)",'Soil results'!H130&lt;61),AND('Soil results'!H$7="modified Morgan (SAC)",'Soil results'!H130&lt;40)),VLOOKUP(Calc!BI125,'Fertiliser recommendations'!$A$4:$Z$63,26,FALSE)+VLOOKUP(Calc!BI125,'Fertiliser recommendations'!$A$4:$AA$63,27,FALSE),
IF(OR(AND('Soil results'!H$7="ammonium nitrate (ADAS)",'Soil results'!H130&lt;121),AND('Soil results'!H$7="modified Morgan (SAC)",'Soil results'!H130&lt;76)),VLOOKUP(Calc!BI125,'Fertiliser recommendations'!$A$4:$Z$63,26,FALSE)+VLOOKUP(Calc!BI125,'Fertiliser recommendations'!$A$4:$AB$63,28,FALSE),
IF(OR(AND('Soil results'!H$7="ammonium nitrate (ADAS)",'Soil results'!H130&lt;241),AND('Soil results'!H$7="modified Morgan (SAC)",'Soil results'!H130&lt;201)),VLOOKUP(Calc!BI125,'Fertiliser recommendations'!$A$4:$Z$63,26,FALSE)+VLOOKUP(Calc!BI125,'Fertiliser recommendations'!$A$4:$AC$63,29,FALSE),
IF(OR(AND('Soil results'!H$7="ammonium nitrate (ADAS)",'Soil results'!H130&lt;=400),AND('Soil results'!H$7="modified Morgan (SAC)",'Soil results'!H130&lt;=400)),VLOOKUP(Calc!BI125,'Fertiliser recommendations'!$A$4:$Z$63,26,FALSE)+VLOOKUP(Calc!BI125,'Fertiliser recommendations'!$A$4:$AD$63,30,FALSE),
"??"))))))))</f>
        <v/>
      </c>
      <c r="Q127" s="91" t="str">
        <f t="shared" ca="1" si="36"/>
        <v/>
      </c>
      <c r="R127" s="9" t="str">
        <f ca="1">IF(B127="","",
IF(OR(O127="data missing",P127="data missing"),"data missing",
IF(Calc!BF125=0,"n/a",
IF(P127=0, "no requirement",
IF(O127&lt;0.1*P127,"no benefit",
IF(O127&lt;0.3*P127,"limited benefit",
IF(O127&gt;1.25*P127,"excessive",
"benefit")))))))</f>
        <v/>
      </c>
      <c r="S127" s="9"/>
      <c r="T127" s="91" t="str">
        <f ca="1">IF(B127="","",
IF(AND('Field information 2'!$O$5="", 'Field information 2'!$Q$5=""),
   IF('Waste results'!$S$21&lt;&gt;"data missing", Calc!BC125*'Waste results'!$S$21, "data missing"),
IF('Field information 2'!$Q$5="",
   IF(Calc!BD125=0,
     IF('Waste results'!$S$21&lt;&gt;"data missing", Calc!BC125*'Waste results'!$S$21, "data missing"),
   IF(Calc!BC125=0,
     IF('Waste results'!$S$57&lt;&gt;"data missing", Calc!BD125*'Waste results'!$S$57, "data missing"),
   IF(OR('Waste results'!$S$21&lt;&gt;"data missing", 'Waste results'!$S$57&lt;&gt;"data missing"), Calc!BC125*'Waste results'!$S$21+ Calc!BD125*'Waste results'!$S$57, "data missing"))),
IF(AND('Field information 2'!$M$5&lt;&gt;"", 'Field information 2'!$O$5&lt;&gt;"", 'Field information 2'!$Q$5&lt;&gt;""),
   IF(AND(Calc!BD125=0,Calc!BE125=0),
     IF('Waste results'!$S$21&lt;&gt;"data missing", Calc!BC125*'Waste results'!$S$21, "data missing"),
   IF(AND(Calc!BC125=0,Calc!BE125=0),
     IF('Waste results'!$S$57&lt;&gt;"data missing", Calc!BD125*'Waste results'!$S$57, "data missing"),
   IF(AND(Calc!BC125=0,Calc!BD125=0),
     IF('Waste results'!$S$93&lt;&gt;"data missing", Calc!BE125*'Waste results'!$S$93, "data missing"),
   IF(Calc!BE125=0,
     IF(OR('Waste results'!$S$21&lt;&gt;"data missing", 'Waste results'!$S$57&lt;&gt;"data missing"), Calc!BC125*'Waste results'!$S$21+ Calc!BD125*'Waste results'!$S$57, "data missing"),
   IF(Calc!BD125=0,
     IF(OR('Waste results'!$S$21&lt;&gt;"data missing", 'Waste results'!$S$93&lt;&gt;"data missing"), Calc!BC125*'Waste results'!$S$21+ Calc!BE125*'Waste results'!$S$93, "data missing"),
   IF(Calc!BC125=0,
     IF(OR('Waste results'!$S$57&lt;&gt;"data missing", 'Waste results'!$S$93&lt;&gt;"data missing"), Calc!BD125*'Waste results'!$S$57+Calc!BE125*'Waste results'!$S$93, "data missing"),
   IF(OR('Waste results'!$S$21&lt;&gt;"data missing", 'Waste results'!$S$57&lt;&gt;"data missing", 'Waste results'!$S$93&lt;&gt;"data missing"), Calc!BC125*'Waste results'!$S$21+Calc!BD125*'Waste results'!$S$57+ Calc!BE125*'Waste results'!$S$93, "data missing")))))))))))</f>
        <v/>
      </c>
      <c r="U127" s="7" t="str">
        <f ca="1">IF(B127="","",
IF(OR(ISBLANK('Soil results'!I$7),ISBLANK('Soil results'!I130)),"data missing",
IF(OR(AND('Soil results'!I$7="ammonium nitrate (ADAS)",'Soil results'!I130&gt;51),AND('Soil results'!I$7="modified Morgan (SAC)",'Soil results'!I130&gt;61)),0,
IF(OR(AND('Soil results'!I$7="ammonium nitrate (ADAS)",'Soil results'!I130&lt;25),AND('Soil results'!I$7="modified Morgan (SAC)",'Soil results'!I130&lt;19)),VLOOKUP(Calc!BI125,'Fertiliser recommendations'!$A$4:$AH$63,34,FALSE),
IF(OR(AND('Soil results'!I$7="ammonium nitrate (ADAS)",'Soil results'!I130&lt;=51),AND('Soil results'!I$7="modified Morgan (SAC)",'Soil results'!I130&lt;=61)),VLOOKUP(Calc!BI125,'Fertiliser recommendations'!$A$4:$AI$63,35,FALSE),
"")))))</f>
        <v/>
      </c>
      <c r="V127" s="91" t="str">
        <f t="shared" ca="1" si="37"/>
        <v/>
      </c>
      <c r="W127" s="9" t="str">
        <f ca="1">IF(B127="","",
IF(OR(T127="data missing",U127="data missing"),"data missing",
IF(Calc!BF125=0,"n/a",
IF(U127=0,"no requirement",
IF(T127&lt;0.1*U127,"no benefit",
IF(T127&lt;0.3*U127,"limited benefit",
IF(OR(T127&gt;1.5*U127,AND(Calc!BJ125="g",T127&gt;100)),"excessive",
"benefit")))))))</f>
        <v/>
      </c>
      <c r="X127" s="9"/>
      <c r="Y127" s="91" t="str">
        <f ca="1">IF(B127="","",
IF(AND('Field information 2'!$O$5="", 'Field information 2'!$Q$5=""),
   IF('Waste results'!$P$23&lt;&gt;"", Calc!BC125*'Waste results'!$P$23, "no data"),
IF('Field information 2'!$Q$5="",
   IF(Calc!BD125=0,
     IF('Waste results'!$P$23&lt;&gt;"", Calc!BC125*'Waste results'!$P$23, "no data"),
   IF(Calc!BC125=0,
     IF('Waste results'!$P$59&lt;&gt;"", Calc!BD125*'Waste results'!$P$59, "no data"),
   IF(OR('Waste results'!$P$23&lt;&gt;"", 'Waste results'!$P$59&lt;&gt;""), Calc!BC125*'Waste results'!$P$23+ Calc!BD125*'Waste results'!$P$59, "no data"))),
IF(AND('Field information 2'!$M$5&lt;&gt;"", 'Field information 2'!$O$5&lt;&gt;"", 'Field information 2'!$Q$5&lt;&gt;""),
   IF(AND(Calc!BD125=0,Calc!BE125=0),
     IF('Waste results'!$P$23&lt;&gt;"", Calc!BC125*'Waste results'!$P$23, "no data"),
   IF(AND(Calc!BC125=0,Calc!BE125=0),
     IF('Waste results'!$P$59&lt;&gt;"", Calc!BD125*'Waste results'!$P$59, "no data"),
   IF(AND(Calc!BC125=0,Calc!BD125=0),
     IF('Waste results'!$P$95&lt;&gt;"", Calc!BE125*'Waste results'!$P$95, "no data"),
   IF(Calc!BE125=0,
     IF(OR('Waste results'!$P$23&lt;&gt;"", 'Waste results'!$P$59&lt;&gt;""), Calc!BC125*'Waste results'!$P$23+ Calc!BD125*'Waste results'!$P$59, "no data"),
   IF(Calc!BD125=0,
     IF(OR('Waste results'!$P$23&lt;&gt;"", 'Waste results'!$P$95&lt;&gt;""), Calc!BC125*'Waste results'!$P$23+ Calc!BE125*'Waste results'!$P$95, "no data"),
   IF(Calc!BC125=0,
     IF(OR('Waste results'!$P$59&lt;&gt;"", 'Waste results'!$P$95&lt;&gt;""), Calc!BD125*'Waste results'!$P$59+Calc!BE125*'Waste results'!$P$95, "no data"),
   IF(OR('Waste results'!$P$23&lt;&gt;"", 'Waste results'!$P$59&lt;&gt;"", 'Waste results'!$P$95&lt;&gt;""), Calc!BC125*'Waste results'!$P$23+Calc!BD125*'Waste results'!$P$59+ Calc!BE125*'Waste results'!$P$95, "no data")))))))))))</f>
        <v/>
      </c>
      <c r="Z127" s="7" t="str">
        <f ca="1">IF(OR(ISBLANK('Soil results'!I$7),ISBLANK('Soil results'!I130),'Soil results'!B130=""),"",
VLOOKUP(Calc!BI125,'Fertiliser recommendations'!$A$4:$AM$63,39,FALSE))</f>
        <v/>
      </c>
      <c r="AA127" s="91" t="str">
        <f t="shared" ca="1" si="38"/>
        <v/>
      </c>
      <c r="AB127" s="9" t="str">
        <f t="shared" ca="1" si="39"/>
        <v/>
      </c>
      <c r="AC127" s="9"/>
      <c r="AD127" s="48" t="str">
        <f>IF(ISBLANK('Soil results'!F130),"",'Soil results'!F130)</f>
        <v/>
      </c>
      <c r="AE127" s="49" t="str">
        <f ca="1">IF(B127="","",
IF(AND(Calc!BJ125="g", VLOOKUP(LEFT($B127,LEN($B127)-2),'Field information 2'!$B$12:$P$111,9,FALSE)&lt;&gt;"yes"),
 IF(Calc!BG125="10-25% OM", 5.9, IF(Calc!BG125="&gt;25% OM", 5.5, 6.2)),
IF(OR(Calc!BJ125="a", VLOOKUP(LEFT($B127,LEN($B127)-2),'Field information 2'!$B$12:$P$111,9,FALSE)="yes"),
 IF(Calc!BG125="10-25% OM", 6.4, IF(Calc!BG125="&gt;25% OM", 6, 6.7)), "")))</f>
        <v/>
      </c>
      <c r="AF127" s="91" t="str">
        <f ca="1">IF(B127="","",
IF('Waste results'!$Q$33="","no (significant) liming properties",
IF('Waste results'!Q$33&gt;100,"no (significant) liming properties",
IF(AD127="","",
IF(AD127&gt;=AE127,0,ROUNDDOWN((AE127-AD127)*Calc!BK125*'Waste results'!$Q$33+0.2,0))))))</f>
        <v/>
      </c>
      <c r="AG127" s="9" t="str">
        <f ca="1">IF(B127="","",
IF(T127=0,"n/a",
IF(AD127="","data missing",
IF(AND(AD127&lt;5,AF127="no (significant) liming properties"),"no waste application - pH too low",
IF(AND(AD127&gt;5.1,AF127="no (significant) liming properties",Calc!BH125&gt;25, LEFT(Calc!BI125,4)="graz"),"ok",
IF(AND(AD127&lt;=5.2,AF127="no (significant) liming properties"),"liming highly recommended",
IF(AF127=0,"no waste application - liming not required",
IF(AF127&lt;Calc!BC125,"application rate too high - exceeds liming requirement",
"ok"))))))))</f>
        <v/>
      </c>
      <c r="AH127" s="9"/>
      <c r="AI127" s="91" t="str">
        <f ca="1">IF(B127="","",
IF(AND('Field information 2'!$O$5="", 'Field information 2'!$Q$5=""),
   IF('Waste results'!$P$10&lt;&gt;"data missing", Calc!BC125*'Waste results'!$P$10, "data missing"),
IF('Field information 2'!$Q$5="",
   IF(Calc!BD125=0,
     IF('Waste results'!$P$10&lt;&gt;"data missing", Calc!BC125*'Waste results'!$P$10, "data missing"),
   IF(Calc!BC125=0,
     IF('Waste results'!$P$45&lt;&gt;"data missing", Calc!BD125*'Waste results'!$P$45, "data missing"),
   IF(OR('Waste results'!$P$10&lt;&gt;"data missing", 'Waste results'!$P$45&lt;&gt;"data missing"), Calc!BC125*'Waste results'!$P$10+ Calc!BD125*'Waste results'!$P$45, "data missing"))),
IF(AND('Field information 2'!$M$5&lt;&gt;"", 'Field information 2'!$O$5&lt;&gt;"", 'Field information 2'!$Q$5&lt;&gt;""),
   IF(AND(Calc!BD125=0,Calc!BE125=0),
     IF('Waste results'!$P$10&lt;&gt;"data missing", Calc!BC125*'Waste results'!$P$10, "data missing"),
   IF(AND(Calc!BC125=0,Calc!BE125=0),
     IF('Waste results'!$P$45&lt;&gt;"data missing", Calc!BD125*'Waste results'!$P$45, "data missing"),
   IF(AND(Calc!BC125=0,Calc!BD125=0),
     IF('Waste results'!$P$82&lt;&gt;"data missing", Calc!BE125*'Waste results'!$P$82, "data missing"),
   IF(Calc!BE125=0,
     IF(OR('Waste results'!$P$10&lt;&gt;"data missing", 'Waste results'!$P$45&lt;&gt;"data missing"), Calc!BC125*'Waste results'!$P$10+ Calc!BD125*'Waste results'!$P$45, "data missing"),
   IF(Calc!BD125=0,
     IF(OR('Waste results'!$P$10&lt;&gt;"data missing", 'Waste results'!$P$82&lt;&gt;"data missing"), Calc!BC125*'Waste results'!$P$10+ Calc!BE125*'Waste results'!$P$82, "data missing"),
   IF(Calc!BC125=0,
     IF(OR('Waste results'!$P$45&lt;&gt;"data missing", 'Waste results'!$P$82&lt;&gt;"data missing"), Calc!BD125*'Waste results'!$P$45+Calc!BE125*'Waste results'!$P$82, "data missing"),
   IF(OR('Waste results'!$P$10&lt;&gt;"data missing", 'Waste results'!$P$45&lt;&gt;"data missing", 'Waste results'!$P$82&lt;&gt;"data missing"), Calc!BC125*'Waste results'!$P$10+Calc!BD125*'Waste results'!$P$45+ Calc!BE125*'Waste results'!$P$82, "data missing")))))))))))</f>
        <v/>
      </c>
      <c r="AJ127" s="237" t="str">
        <f ca="1">IF(B127="","",
IF(AI127="data missing","data missing",
IF(Calc!BF125=0,"n/a",
IF(AND(Calc!BH125&gt;=8,AI127&lt;500),"no benefit",
IF(OR(AND(Calc!BH125&lt;=4,AI127&gt;=500),AND(Calc!BH125&lt;8,AI127&gt;5000)),"benefit",
"limited benefit")))))</f>
        <v/>
      </c>
      <c r="AK127" s="9"/>
      <c r="AL127" s="238" t="str">
        <f ca="1">IF(B127="","",
IF(AND('Field information 2'!$O$5="", 'Field information 2'!$Q$5=""),
   IF('Waste results'!$S$25&lt;&gt;"data missing", Calc!BC125*'Waste results'!$S$25, "data missing"),
IF('Field information 2'!$Q$5="",
   IF(Calc!BD125=0,
     IF('Waste results'!$S$25&lt;&gt;"data missing", Calc!BC125*'Waste results'!$S$25, "data missing"),
   IF(Calc!BC125=0,
     IF('Waste results'!$S$61&lt;&gt;"data missing", Calc!BD125*'Waste results'!$S$61, "data missing"),
   IF(OR('Waste results'!$S$25&lt;&gt;"data missing", 'Waste results'!$S$61&lt;&gt;"data missing"), Calc!BC125*'Waste results'!$S$25+ Calc!BD125*'Waste results'!$S$61, "data missing"))),
IF(AND('Field information 2'!$M$5&lt;&gt;"", 'Field information 2'!$O$5&lt;&gt;"", 'Field information 2'!$Q$5&lt;&gt;""),
   IF(AND(Calc!BD125=0,Calc!BE125=0),
     IF('Waste results'!$S$25&lt;&gt;"data missing", Calc!BC125*'Waste results'!$S$25, "data missing"),
   IF(AND(Calc!BC125=0,Calc!BE125=0),
     IF('Waste results'!$S$61&lt;&gt;"data missing", Calc!BD125*'Waste results'!$S$61, "data missing"),
   IF(AND(Calc!BC125=0,Calc!BD125=0),
     IF('Waste results'!$S$97&lt;&gt;"data missing", Calc!BE125*'Waste results'!$S$97, "data missing"),
   IF(Calc!BE125=0,
     IF(OR('Waste results'!$S$25&lt;&gt;"data missing", 'Waste results'!$S$61&lt;&gt;"data missing"), Calc!BC125*'Waste results'!$S$25+ Calc!BD125*'Waste results'!$S$61, "data missing"),
   IF(Calc!BD125=0,
     IF(OR('Waste results'!$S$25&lt;&gt;"data missing", 'Waste results'!$S$97&lt;&gt;"data missing"), Calc!BC125*'Waste results'!$S$25+ Calc!BE125*'Waste results'!$S$97, "data missing"),
   IF(Calc!BC125=0,
     IF(OR('Waste results'!$S$61&lt;&gt;"data missing", 'Waste results'!$S$97&lt;&gt;"data missing"), Calc!BD125*'Waste results'!$S$61+Calc!BE125*'Waste results'!$S$97, "data missing"),
   IF(OR('Waste results'!$S$25&lt;&gt;"data missing", 'Waste results'!$S$61&lt;&gt;"data missing", 'Waste results'!$S$97&lt;&gt;"data missing"), Calc!BC125*'Waste results'!$S$25+Calc!BD125*'Waste results'!$S$61+ Calc!BE125*'Waste results'!$S$97, "data missing")))))))))))</f>
        <v/>
      </c>
      <c r="AM127" s="239" t="str">
        <f ca="1">IF($B127="","",
IF(ISBLANK('Soil results'!K130),"data missing",'Soil results'!K130))</f>
        <v/>
      </c>
      <c r="AN127" s="239" t="str">
        <f t="shared" ca="1" si="40"/>
        <v/>
      </c>
      <c r="AO127" s="9" t="str">
        <f t="shared" ca="1" si="41"/>
        <v/>
      </c>
      <c r="AP127" s="9"/>
      <c r="AQ127" s="240" t="str">
        <f ca="1">IF(B127="","",
IF(AND('Field information 2'!$O$5="", 'Field information 2'!$Q$5=""),
   IF('Waste results'!$S$26&lt;&gt;"data missing", Calc!BC125*'Waste results'!$S$26, "data missing"),
IF('Field information 2'!$Q$5="",
   IF(Calc!BD125=0,
     IF('Waste results'!$S$26&lt;&gt;"data missing", Calc!BC125*'Waste results'!$S$26, "data missing"),
   IF(Calc!BC125=0,
     IF('Waste results'!$S$62&lt;&gt;"data missing", Calc!BD125*'Waste results'!$S$62, "data missing"),
   IF(OR('Waste results'!$S$26&lt;&gt;"data missing", 'Waste results'!$S$62&lt;&gt;"data missing"), Calc!BC125*'Waste results'!$S$26+ Calc!BD125*'Waste results'!$S$62, "data missing"))),
IF(AND('Field information 2'!$M$5&lt;&gt;"", 'Field information 2'!$O$5&lt;&gt;"", 'Field information 2'!$Q$5&lt;&gt;""),
   IF(AND(Calc!BD125=0,Calc!BE125=0),
     IF('Waste results'!$S$26&lt;&gt;"data missing", Calc!BC125*'Waste results'!$S$26, "data missing"),
   IF(AND(Calc!BC125=0,Calc!BE125=0),
     IF('Waste results'!$S$62&lt;&gt;"data missing", Calc!BD125*'Waste results'!$S$62, "data missing"),
   IF(AND(Calc!BC125=0,Calc!BD125=0),
     IF('Waste results'!$S$98&lt;&gt;"data missing", Calc!BE125*'Waste results'!$S$98, "data missing"),
   IF(Calc!BE125=0,
     IF(OR('Waste results'!$S$26&lt;&gt;"data missing", 'Waste results'!$S$62&lt;&gt;"data missing"), Calc!BC125*'Waste results'!$S$26+ Calc!BD125*'Waste results'!$S$62, "data missing"),
   IF(Calc!BD125=0,
     IF(OR('Waste results'!$S$26&lt;&gt;"data missing", 'Waste results'!$S$98&lt;&gt;"data missing"), Calc!BC125*'Waste results'!$S$26+ Calc!BE125*'Waste results'!$S$98, "data missing"),
   IF(Calc!BC125=0,
     IF(OR('Waste results'!$S$62&lt;&gt;"data missing", 'Waste results'!$S$98&lt;&gt;"data missing"), Calc!BD125*'Waste results'!$S$62+Calc!BE125*'Waste results'!$S$98, "data missing"),
   IF(OR('Waste results'!$S$26&lt;&gt;"data missing", 'Waste results'!$S$62&lt;&gt;"data missing", 'Waste results'!$S$98&lt;&gt;"data missing"), Calc!BC125*'Waste results'!$S$26+Calc!BD125*'Waste results'!$S$62+ Calc!BE125*'Waste results'!$S$98, "data missing")))))))))))</f>
        <v/>
      </c>
      <c r="AR127" s="241" t="str">
        <f ca="1">IF($B127="","",
IF(ISBLANK('Soil results'!L130),"data missing",'Soil results'!L130))</f>
        <v/>
      </c>
      <c r="AS127" s="241" t="str">
        <f t="shared" ca="1" si="42"/>
        <v/>
      </c>
      <c r="AT127" s="66" t="str">
        <f t="shared" ca="1" si="43"/>
        <v/>
      </c>
      <c r="AU127" s="9"/>
      <c r="AV127" s="238" t="str">
        <f ca="1">IF(B127="","",
IF(AND('Field information 2'!$O$5="", 'Field information 2'!$Q$5=""),
   IF('Waste results'!$S$27&lt;&gt;"data missing", Calc!BC125*'Waste results'!$S$27, "data missing"),
IF('Field information 2'!$Q$5="",
   IF(Calc!BD125=0,
     IF('Waste results'!$S$27&lt;&gt;"data missing", Calc!BC125*'Waste results'!$S$27, "data missing"),
   IF(Calc!BC125=0,
     IF('Waste results'!$S$63&lt;&gt;"data missing", Calc!BD125*'Waste results'!$S$63, "data missing"),
   IF(OR('Waste results'!$S$27&lt;&gt;"data missing", 'Waste results'!$S$63&lt;&gt;"data missing"), Calc!BC125*'Waste results'!$S$27+ Calc!BD125*'Waste results'!$S$63, "data missing"))),
IF(AND('Field information 2'!$M$5&lt;&gt;"", 'Field information 2'!$O$5&lt;&gt;"", 'Field information 2'!$Q$5&lt;&gt;""),
   IF(AND(Calc!BD125=0,Calc!BE125=0),
     IF('Waste results'!$S$27&lt;&gt;"data missing", Calc!BC125*'Waste results'!$S$27, "data missing"),
   IF(AND(Calc!BC125=0,Calc!BE125=0),
     IF('Waste results'!$S$63&lt;&gt;"data missing", Calc!BD125*'Waste results'!$S$63, "data missing"),
   IF(AND(Calc!BC125=0,Calc!BD125=0),
     IF('Waste results'!$S$99&lt;&gt;"data missing", Calc!BE125*'Waste results'!$S$99, "data missing"),
   IF(Calc!BE125=0,
     IF(OR('Waste results'!$S$27&lt;&gt;"data missing", 'Waste results'!$S$63&lt;&gt;"data missing"), Calc!BC125*'Waste results'!$S$27+ Calc!BD125*'Waste results'!$S$63, "data missing"),
   IF(Calc!BD125=0,
     IF(OR('Waste results'!$S$27&lt;&gt;"data missing", 'Waste results'!$S$99&lt;&gt;"data missing"), Calc!BC125*'Waste results'!$S$27+ Calc!BE125*'Waste results'!$S$99, "data missing"),
   IF(Calc!BC125=0,
     IF(OR('Waste results'!$S$63&lt;&gt;"data missing", 'Waste results'!$S$99&lt;&gt;"data missing"), Calc!BD125*'Waste results'!$S$63+Calc!BE125*'Waste results'!$S$99, "data missing"),
   IF(OR('Waste results'!$S$27&lt;&gt;"data missing", 'Waste results'!$S$63&lt;&gt;"data missing", 'Waste results'!$S$99&lt;&gt;"data missing"), Calc!BC125*'Waste results'!$S$27+Calc!BD125*'Waste results'!$S$63+ Calc!BE125*'Waste results'!$S$99, "data missing")))))))))))</f>
        <v/>
      </c>
      <c r="AW127" s="239" t="str">
        <f ca="1">IF($B127="","",
IF(ISBLANK('Soil results'!M130),"data missing",'Soil results'!M130))</f>
        <v/>
      </c>
      <c r="AX127" s="239" t="str">
        <f t="shared" ca="1" si="44"/>
        <v/>
      </c>
      <c r="AY127" s="9" t="str">
        <f ca="1">IF(B127="","",
IF(AV127=0,"n/a",
IF(OR(AV127="data missing",AW127="data missing"),"data missing",
IF(AV127&gt;7.5,"application rate too high - permissible rate exceeds limit",
IF('Soil results'!$F130&lt;=5.5,
  IF(AW127&gt;80,"no application - soil conc. already above limit",
  IF(AX127&gt;80,"application rate too high - soil conc. will exceed limit",
  IF(AW127&gt;80*0.9,"soil conc. is at or above 90% of the limit",
  IF(10*AV127*1000/3000+AW127&gt;80,"soil limit likely to be exceeded in 10yrs",
  IF(50*AV127*1000/3000+AW127&gt;80,"soil limit likely to be exceeded in 50yrs","ok"))))),
IF('Soil results'!$F130&lt;=6,
  IF(AW127&gt;100,"no application - soil conc. already above limit",
  IF(AX127&gt;100,"application rate too high - soil conc. will exceed limit",
  IF(AW127&gt;100*0.9,"soil conc. is at or above 90% of the limit",
  IF(10*AV127*1000/3000+AW127&gt;100,"soil limit likely to be exceeded in 10yrs",
  IF(50*AV127*1000/3000+AW127&gt;100,"soil limit likely to be exceeded in 50yrs","ok"))))),
IF('Soil results'!$F130&lt;=7,
  IF(AW127&gt;135,"no application - soil conc. already above limit",
  IF(AX127&gt;135,"application rate too high - soil conc. will exceed limit",
  IF(AW127&gt;135*0.9,"soil conc. is at or above 90% of the limit",
  IF(10*AV127*1000/3000+AW127&gt;135,"soil limit likely to be exceeded in 10yrs",
  IF(50*AV127*1000/3000+AW127&gt;135,"soil limit likely to be exceeded in 50yrs","ok"))))),
IF('Soil results'!$F130&gt;7,
  IF(AW127&gt;200,"no application - soil conc. already above limit",
  IF(AX127&gt;200,"application too high - soil conc. will exceed limit",
  IF(AW127&gt;200*0.9,"soil conc. is at or above 90% of the limit",
  IF(10*AV127*1000/3000+AW127&gt;200,"soil limit likely to be exceeded in 10yrs",
  IF(50*AV127*1000/3000+AW127&gt;200,"soil limit likely to be exceeded in 50yrs","ok")))))
))))))))</f>
        <v/>
      </c>
      <c r="AZ127" s="9"/>
      <c r="BA127" s="238" t="str">
        <f ca="1">IF(B127="","",
IF(AND('Field information 2'!$O$5="", 'Field information 2'!$Q$5=""),
   IF('Waste results'!$S$28&lt;&gt;"data missing", Calc!BC125*'Waste results'!$S$28, "data missing"),
IF('Field information 2'!$Q$5="",
   IF(Calc!BD125=0,
     IF('Waste results'!$S$28&lt;&gt;"data missing", Calc!BC125*'Waste results'!$S$28, "data missing"),
   IF(Calc!BC125=0,
     IF('Waste results'!$S$64&lt;&gt;"data missing", Calc!BD125*'Waste results'!$S$64, "data missing"),
   IF(OR('Waste results'!$S$28&lt;&gt;"data missing", 'Waste results'!$S$64&lt;&gt;"data missing"), Calc!BC125*'Waste results'!$S$28+ Calc!BD125*'Waste results'!$S$64, "data missing"))),
IF(AND('Field information 2'!$M$5&lt;&gt;"", 'Field information 2'!$O$5&lt;&gt;"", 'Field information 2'!$Q$5&lt;&gt;""),
   IF(AND(Calc!BD125=0,Calc!BE125=0),
     IF('Waste results'!$S$28&lt;&gt;"data missing", Calc!BC125*'Waste results'!$S$28, "data missing"),
   IF(AND(Calc!BC125=0,Calc!BE125=0),
     IF('Waste results'!$S$64&lt;&gt;"data missing", Calc!BD125*'Waste results'!$S$64, "data missing"),
   IF(AND(Calc!BC125=0,Calc!BD125=0),
     IF('Waste results'!$S$100&lt;&gt;"data missing", Calc!BE125*'Waste results'!$S$100, "data missing"),
   IF(Calc!BE125=0,
     IF(OR('Waste results'!$S$28&lt;&gt;"data missing", 'Waste results'!$S$64&lt;&gt;"data missing"), Calc!BC125*'Waste results'!$S$28+ Calc!BD125*'Waste results'!$S$64, "data missing"),
   IF(Calc!BD125=0,
     IF(OR('Waste results'!$S$28&lt;&gt;"data missing", 'Waste results'!$S$100&lt;&gt;"data missing"), Calc!BC125*'Waste results'!$S$28+ Calc!BE125*'Waste results'!$S$100, "data missing"),
   IF(Calc!BC125=0,
     IF(OR('Waste results'!$S$64&lt;&gt;"data missing", 'Waste results'!$S$100&lt;&gt;"data missing"), Calc!BD125*'Waste results'!$S$64+Calc!BE125*'Waste results'!$S$100, "data missing"),
   IF(OR('Waste results'!$S$28&lt;&gt;"data missing", 'Waste results'!$S$64&lt;&gt;"data missing", 'Waste results'!$S$100&lt;&gt;"data missing"), Calc!BC125*'Waste results'!$S$28+Calc!BD125*'Waste results'!$S$64+ Calc!BE125*'Waste results'!$S$100, "data missing")))))))))))</f>
        <v/>
      </c>
      <c r="BB127" s="239" t="str">
        <f ca="1">IF($B127="","",
IF(ISBLANK('Soil results'!N130),"data missing",'Soil results'!N130))</f>
        <v/>
      </c>
      <c r="BC127" s="239" t="str">
        <f t="shared" ca="1" si="45"/>
        <v/>
      </c>
      <c r="BD127" s="9" t="str">
        <f t="shared" ca="1" si="46"/>
        <v/>
      </c>
      <c r="BE127" s="9"/>
      <c r="BF127" s="238" t="str">
        <f ca="1">IF(B127="","",
IF(AND('Field information 2'!$O$5="", 'Field information 2'!$Q$5=""),
   IF('Waste results'!$S$29&lt;&gt;"data missing", Calc!BC125*'Waste results'!$S$29, "data missing"),
IF('Field information 2'!$Q$5="",
   IF(Calc!BD125=0,
     IF('Waste results'!$S$29&lt;&gt;"data missing", Calc!BC125*'Waste results'!$S$29, "data missing"),
   IF(Calc!BC125=0,
     IF('Waste results'!$S$65&lt;&gt;"data missing", Calc!BD125*'Waste results'!$S$65, "data missing"),
   IF(OR('Waste results'!$S$29&lt;&gt;"data missing", 'Waste results'!$S$65&lt;&gt;"data missing"), Calc!BC125*'Waste results'!$S$29+ Calc!BD125*'Waste results'!$S$65, "data missing"))),
IF(AND('Field information 2'!$M$5&lt;&gt;"", 'Field information 2'!$O$5&lt;&gt;"", 'Field information 2'!$Q$5&lt;&gt;""),
   IF(AND(Calc!BD125=0,Calc!BE125=0),
     IF('Waste results'!$S$29&lt;&gt;"data missing", Calc!BC125*'Waste results'!$S$29, "data missing"),
   IF(AND(Calc!BC125=0,Calc!BE125=0),
     IF('Waste results'!$S$65&lt;&gt;"data missing", Calc!BD125*'Waste results'!$S$65, "data missing"),
   IF(AND(Calc!BC125=0,Calc!BD125=0),
     IF('Waste results'!$S$101&lt;&gt;"data missing", Calc!BE125*'Waste results'!$S$101, "data missing"),
   IF(Calc!BE125=0,
     IF(OR('Waste results'!$S$29&lt;&gt;"data missing", 'Waste results'!$S$65&lt;&gt;"data missing"), Calc!BC125*'Waste results'!$S$29+ Calc!BD125*'Waste results'!$S$65, "data missing"),
   IF(Calc!BD125=0,
     IF(OR('Waste results'!$S$29&lt;&gt;"data missing", 'Waste results'!$S$101&lt;&gt;"data missing"), Calc!BC125*'Waste results'!$S$29+ Calc!BE125*'Waste results'!$S$101, "data missing"),
   IF(Calc!BC125=0,
     IF(OR('Waste results'!$S$65&lt;&gt;"data missing", 'Waste results'!$S$101&lt;&gt;"data missing"), Calc!BD125*'Waste results'!$S$65+Calc!BE125*'Waste results'!$S$101, "data missing"),
   IF(OR('Waste results'!$S$29&lt;&gt;"data missing", 'Waste results'!$S$65&lt;&gt;"data missing", 'Waste results'!$S$101&lt;&gt;"data missing"), Calc!BC125*'Waste results'!$S$29+Calc!BD125*'Waste results'!$S$65+ Calc!BE125*'Waste results'!$S$101, "data missing")))))))))))</f>
        <v/>
      </c>
      <c r="BG127" s="239" t="str">
        <f ca="1">IF($B127="","",
IF(ISBLANK('Soil results'!O130),"data missing",'Soil results'!O130))</f>
        <v/>
      </c>
      <c r="BH127" s="239" t="str">
        <f t="shared" ca="1" si="47"/>
        <v/>
      </c>
      <c r="BI127" s="9" t="str">
        <f ca="1">IF(B127="","",
IF(BF127=0,"n/a",
IF(OR(BF127="data missing",BG127="data missing"),"data missing",
IF(BF127&gt;3,"application rate too high - permissible rate exceeds limit",
IF('Soil results'!F130&lt;=5.5,
  IF(BG127&gt;50,"no application - soil conc. already above limit",
  IF(BH127&gt;50,"application rate too high - soil conc. will exceed limit",
  IF(BG127&gt;50*0.9,"soil conc. is at or above 90% of the limit",
  IF(10*BF127*1000/3000+BG127&gt;50,"soil limit likely to be exceeded in 10yrs",
  IF(50*BF127*1000/3000+BG127&gt;50,"soil limit likely to be exceeded in 50yrs","ok"))))),
IF('Soil results'!F130&lt;=6,
  IF(BG127&gt;60,"no application - soil conc. already above limit",
  IF(BH127&gt;60,"application rate too high - soil conc. will exceed limit",
  IF(BG127&gt;60*0.9,"soil conc. is at or above 90% of the limit",
  IF(10*BF127*1000/3000+BG127&gt;60,"soil limit likely to be exceeded in 10yrs",
  IF(50*BF127*1000/3000+BG127&gt;60,"soil limit likely to be exceeded in 50yrs","ok"))))),
IF('Soil results'!F130&lt;=7,
  IF(BG127&gt;75,"no application - soil conc. already above limit",
  IF(BH127&gt;75,"application rate too high - soil conc. will exceed limit",
  IF(BG127&gt;75*0.9,"soil conc. is at or above 90% of the limit",
  IF(10*BF127*1000/3000+BG127&gt;75,"soil limit likely to be exceeded in 10yrs",
  IF(50*BF127*1000/3000+BG127&gt;75,"soil limit likely to be exceeded in 50yrs","ok"))))),
IF('Soil results'!F130&gt;7,
  IF(BG127&gt;100,"no application - soil conc. already above limit",
  IF(BH127&gt;100,"application rate too high - soil conc. will exceed limit",
  IF(BG127&gt;100*0.9,"soil conc. is at or above 90% of the limit",
  IF(10*BF127*1000/3000+BG127&gt;100,"soil limit likely to be exceeded in 10yrs",
  IF(50*BF127*1000/3000+BG127&gt;100,"soil limit likely to beexceeded in 50yrs","ok")))))
))))))))</f>
        <v/>
      </c>
      <c r="BJ127" s="9"/>
      <c r="BK127" s="240" t="str">
        <f ca="1">IF(B127="","",
IF(AND('Field information 2'!$O$5="", 'Field information 2'!$Q$5=""),
   IF('Waste results'!$S$30&lt;&gt;"data missing", Calc!BC125*'Waste results'!$S$30, "data missing"),
IF('Field information 2'!$Q$5="",
   IF(Calc!BD125=0,
     IF('Waste results'!$S$30&lt;&gt;"data missing", Calc!BC125*'Waste results'!$S$30, "data missing"),
   IF(Calc!BC125=0,
     IF('Waste results'!$S$66&lt;&gt;"data missing", Calc!BD125*'Waste results'!$S$66, "data missing"),
   IF(OR('Waste results'!$S$30&lt;&gt;"data missing", 'Waste results'!$S$66&lt;&gt;"data missing"), Calc!BC125*'Waste results'!$S$30+ Calc!BD125*'Waste results'!$S$66, "data missing"))),
IF(AND('Field information 2'!$M$5&lt;&gt;"", 'Field information 2'!$O$5&lt;&gt;"", 'Field information 2'!$Q$5&lt;&gt;""),
   IF(AND(Calc!BD125=0,Calc!BE125=0),
     IF('Waste results'!$S$30&lt;&gt;"data missing", Calc!BC125*'Waste results'!$S$30, "data missing"),
   IF(AND(Calc!BC125=0,Calc!BE125=0),
     IF('Waste results'!$S$66&lt;&gt;"data missing", Calc!BD125*'Waste results'!$S$66, "data missing"),
   IF(AND(Calc!BC125=0,Calc!BD125=0),
     IF('Waste results'!$S$102&lt;&gt;"data missing", Calc!BE125*'Waste results'!$S$102, "data missing"),
   IF(Calc!BE125=0,
     IF(OR('Waste results'!$S$30&lt;&gt;"data missing", 'Waste results'!$S$66&lt;&gt;"data missing"), Calc!BC125*'Waste results'!$S$30+ Calc!BD125*'Waste results'!$S$66, "data missing"),
   IF(Calc!BD125=0,
     IF(OR('Waste results'!$S$30&lt;&gt;"data missing", 'Waste results'!$S$102&lt;&gt;"data missing"), Calc!BC125*'Waste results'!$S$30+ Calc!BE125*'Waste results'!$S$102, "data missing"),
   IF(Calc!BC125=0,
     IF(OR('Waste results'!$S$66&lt;&gt;"data missing", 'Waste results'!$S$102&lt;&gt;"data missing"), Calc!BD125*'Waste results'!$S$66+Calc!BE125*'Waste results'!$S$102, "data missing"),
   IF(OR('Waste results'!$S$30&lt;&gt;"data missing", 'Waste results'!$S$66&lt;&gt;"data missing", 'Waste results'!$S$102&lt;&gt;"data missing"), Calc!BC125*'Waste results'!$S$30+Calc!BD125*'Waste results'!$S$66+ Calc!BE125*'Waste results'!$S$102, "data missing")))))))))))</f>
        <v/>
      </c>
      <c r="BL127" s="241" t="str">
        <f ca="1">IF($B127="","",
IF(ISBLANK('Soil results'!P130),"data missing",'Soil results'!P130))</f>
        <v/>
      </c>
      <c r="BM127" s="241" t="str">
        <f t="shared" ca="1" si="48"/>
        <v/>
      </c>
      <c r="BN127" s="66" t="str">
        <f t="shared" ca="1" si="49"/>
        <v/>
      </c>
      <c r="BO127" s="9"/>
      <c r="BP127" s="238" t="str">
        <f ca="1">IF(B127="","",
IF(AND('Field information 2'!$O$5="", 'Field information 2'!$Q$5=""),
   IF('Waste results'!$S$31&lt;&gt;"data missing", Calc!BC125*'Waste results'!$S$31, "data missing"),
IF('Field information 2'!$Q$5="",
   IF(Calc!BD125=0,
     IF('Waste results'!$S$31&lt;&gt;"data missing", Calc!BC125*'Waste results'!$S$31, "data missing"),
   IF(Calc!BC125=0,
     IF('Waste results'!$S$67&lt;&gt;"data missing", Calc!BD125*'Waste results'!$S$67, "data missing"),
   IF(OR('Waste results'!$S$31&lt;&gt;"data missing", 'Waste results'!$S$67&lt;&gt;"data missing"), Calc!BC125*'Waste results'!$S$31+ Calc!BD125*'Waste results'!$S$67, "data missing"))),
IF(AND('Field information 2'!$M$5&lt;&gt;"", 'Field information 2'!$O$5&lt;&gt;"", 'Field information 2'!$Q$5&lt;&gt;""),
   IF(AND(Calc!BD125=0,Calc!BE125=0),
     IF('Waste results'!$S$31&lt;&gt;"data missing", Calc!BC125*'Waste results'!$S$31, "data missing"),
   IF(AND(Calc!BC125=0,Calc!BE125=0),
     IF('Waste results'!$S$67&lt;&gt;"data missing", Calc!BD125*'Waste results'!$S$67, "data missing"),
   IF(AND(Calc!BC125=0,Calc!BD125=0),
     IF('Waste results'!$S$103&lt;&gt;"data missing", Calc!BE125*'Waste results'!$S$103, "data missing"),
   IF(Calc!BE125=0,
     IF(OR('Waste results'!$S$31&lt;&gt;"data missing", 'Waste results'!$S$67&lt;&gt;"data missing"), Calc!BC125*'Waste results'!$S$31+ Calc!BD125*'Waste results'!$S$67, "data missing"),
   IF(Calc!BD125=0,
     IF(OR('Waste results'!$S$31&lt;&gt;"data missing", 'Waste results'!$S$103&lt;&gt;"data missing"), Calc!BC125*'Waste results'!$S$31+ Calc!BE125*'Waste results'!$S$103, "data missing"),
   IF(Calc!BC125=0,
     IF(OR('Waste results'!$S$67&lt;&gt;"data missing", 'Waste results'!$S$103&lt;&gt;"data missing"), Calc!BD125*'Waste results'!$S$67+Calc!BE125*'Waste results'!$S$103, "data missing"),
   IF(OR('Waste results'!$S$31&lt;&gt;"data missing", 'Waste results'!$S$67&lt;&gt;"data missing", 'Waste results'!$S$103&lt;&gt;"data missing"), Calc!BC125*'Waste results'!$S$31+Calc!BD125*'Waste results'!$S$67+ Calc!BE125*'Waste results'!$S$103, "data missing")))))))))))</f>
        <v/>
      </c>
      <c r="BQ127" s="239" t="str">
        <f ca="1">IF($B127="","",
IF(ISBLANK('Soil results'!Q130),"data missing",'Soil results'!Q130))</f>
        <v/>
      </c>
      <c r="BR127" s="239" t="str">
        <f t="shared" ca="1" si="50"/>
        <v/>
      </c>
      <c r="BS127" s="9" t="str">
        <f ca="1">IF(B127="","",
IF(BP127=0,"n/a",
IF(OR(BP127="data missing",BQ127=""),"data missing",
IF(BP127&gt;15,"application rate too high - permissible rate exceeds limit",
IF('Soil results'!F130&lt;=5.5,
  IF(BQ127&gt;200,"no application - soil conc. already above limit",
  IF(BR127&gt;200,"application rate too high - soil conc. will exceed limit",
  IF(BQ127&gt;200*0.9,"soil conc. is at or above 90% of the limit",
  IF(10*BP127*1000/3000+BQ127&gt;200,"soil limit likely to be exceeded in 10yrs",
  IF(50*BP127*1000/3000+BQ127&gt;200,"soil limit likely to be exceeded in 50yrs","ok"))))),
IF('Soil results'!F130&lt;=6,
  IF(BQ127&gt;250,"no application - soil conc. already above limit",
  IF(BR127&gt;250,"application rate too high - soil conc. will exceed limit",
  IF(BQ127&gt;250*0.9,"soil conc. is at or above 90% of the limit",
  IF(10*BP127*1000/3000+BQ127&gt;250,"soil limit likely to be exceeded in 10yrs",
  IF(50*BP127*1000/3000+BQ127&gt;250,"soil limit likely to be exceeded in 50yrs","ok"))))),
IF('Soil results'!F130&lt;=7,
  IF(BQ127&gt;300,"no application - soil conc. already above limit",
  IF(BR127&gt;300,"application rate too high - soil conc. will exceed limit",
  IF(BQ127&gt;300*0.9,"soil conc. is at or above 90% of the limit",
  IF(10*BP127*1000/3000+BQ127&gt;300,"soil limit likey to be exceeded in 10yrs",
  IF(50*BP127*1000/3000+BQ127&gt;300,"soil limit likely to be exceeded in 50yrs","ok"))))),
IF('Soil results'!F130&gt;7,
  IF(BQ127&gt;450,"no application - soil conc. already above limit",
  IF(BR127&gt;450,"application rate too high - soil conc. will exceed limit",
  IF(AW127&gt;450*0.9,"soil conc. is at or above 90% of the limit",
  IF(10*BP127*1000/3000+BQ127&gt;450,"soil limit likely to be exceeded in 10yrs",
  IF(50*BP127*1000/3000+BQ127&gt;450,"soil limit likely to be exceeded in 50yrs","ok")))))
))))))))</f>
        <v/>
      </c>
    </row>
    <row r="128" spans="2:71" ht="15" x14ac:dyDescent="0.25">
      <c r="B128" s="236" t="str">
        <f ca="1">'Soil results'!B131</f>
        <v/>
      </c>
      <c r="C128" s="91" t="str">
        <f ca="1">IF(B128="","",
IF(AND('Field information 2'!$O$5="", 'Field information 2'!$Q$5=""),
   IF('Waste results'!$S$12&lt;&gt;"data missing", Calc!BC126*'Waste results'!$S$12, "data missing"),
IF('Field information 2'!$Q$5="",
   IF(Calc!BD126=0,
     IF('Waste results'!$S$12&lt;&gt;"data missing", Calc!BC126*'Waste results'!$S$12, "data missing"),
   IF(Calc!BC126=0,
     IF('Waste results'!$S$48&lt;&gt;"data missing", Calc!BD126*'Waste results'!$S$48, "data missing"),
   IF(OR('Waste results'!$S$12&lt;&gt;"data missing", 'Waste results'!$S$48&lt;&gt;"data missing"), Calc!BC126*'Waste results'!$S$12+ Calc!BD126*'Waste results'!$S$48, "data missing"))),
IF(AND('Field information 2'!$M$5&lt;&gt;"", 'Field information 2'!$O$5&lt;&gt;"", 'Field information 2'!$Q$5&lt;&gt;""),
   IF(AND(Calc!BD126=0,Calc!BE126=0),
     IF('Waste results'!$S$12&lt;&gt;"data missing", Calc!BC126*'Waste results'!$S$12, "data missing"),
   IF(AND(Calc!BC126=0,Calc!BE126=0),
     IF('Waste results'!$S$48&lt;&gt;"data missing", Calc!BD126*'Waste results'!$S$48, "data missing"),
   IF(AND(Calc!BC126=0,Calc!BD126=0),
     IF('Waste results'!$S$84&lt;&gt;"data missing", Calc!BE126*'Waste results'!$S$84, "data missing"),
   IF(Calc!BE126=0,
     IF(OR('Waste results'!$S$12&lt;&gt;"data missing", 'Waste results'!$S$48&lt;&gt;"data missing"), Calc!BC126*'Waste results'!$S$12+ Calc!BD126*'Waste results'!$S$48, "data missing"),
   IF(Calc!BD126=0,
     IF(OR('Waste results'!$S$12&lt;&gt;"data missing", 'Waste results'!$S$84&lt;&gt;"data missing"), Calc!BC126*'Waste results'!$S$12+ Calc!BE126*'Waste results'!$S$84, "data missing"),
   IF(Calc!BC126=0,
     IF(OR('Waste results'!$S$48&lt;&gt;"data missing", 'Waste results'!$S$84&lt;&gt;"data missing"), Calc!BD126*'Waste results'!$S$48+Calc!BE126*'Waste results'!$S$84, "data missing"),
   IF(OR('Waste results'!$S$12&lt;&gt;"data missing", 'Waste results'!$S$48&lt;&gt;"data missing", 'Waste results'!$S$84&lt;&gt;"data missing"), Calc!BC126*'Waste results'!$S$12+Calc!BD126*'Waste results'!$S$48+ Calc!BE126*'Waste results'!$S$84, "data missing")))))))))))</f>
        <v/>
      </c>
      <c r="D128" s="161" t="str">
        <f ca="1">IF(B128="","",
IF(Calc!BG126="","soil texture missing",
IF(OR(Calc!BG126="SL; SZL; ZL",Calc!BG126="SCL; CL; ZCL; SC; ZC; C"),VLOOKUP(Calc!BI126,'Fertiliser recommendations'!$A$4:$C$63,3,FALSE),
IF(Calc!BG126="S; LS",VLOOKUP(Calc!BI126,'Fertiliser recommendations'!$A$4:$C$63,3,FALSE)+VLOOKUP(Calc!BI126,'Fertiliser recommendations'!$A$4:$D$63,4,FALSE),
IF(Calc!BG126="10-25% OM",VLOOKUP(Calc!BI126,'Fertiliser recommendations'!$A$4:$C$63,3,FALSE)+VLOOKUP(Calc!BI126,'Fertiliser recommendations'!$A$4:$E$63,5,FALSE),
IF(Calc!BG126="&gt;25% OM",VLOOKUP(Calc!BI126,'Fertiliser recommendations'!$A$4:$C$63,3,FALSE)+VLOOKUP(Calc!BI126,'Fertiliser recommendations'!$A$4:$F$63,6,FALSE),
""))))))</f>
        <v/>
      </c>
      <c r="E128" s="91" t="str">
        <f t="shared" ca="1" si="34"/>
        <v/>
      </c>
      <c r="F128" s="9" t="str">
        <f ca="1">IF(B128="","",
IF(OR(C128="data missing",D128="soil texture missing"),"data missing",
IF(Calc!BF126=0,"n/a",
IF(C128&lt;0.1*D128,"no benefit",
IF(C128&lt;0.3*D128,"limited benefit",
IF(C128&gt;250,"exceeds limit",
IF(OR(AND(D128=0,C128&gt;75),C128&gt;1.25*D128),"excessive",
IF(D128=0, "no requirement",
"benefit"))))))))</f>
        <v/>
      </c>
      <c r="G128" s="9"/>
      <c r="H128" s="91" t="str">
        <f ca="1">IF(B128="","",
IF(AND('Field information 2'!$O$5="", 'Field information 2'!$Q$5=""),
   IF('Waste results'!$S$17&lt;&gt;"data missing", Calc!BC126*'Waste results'!$S$17, "data missing"),
IF('Field information 2'!$Q$5="",
   IF(Calc!BD126=0,
     IF('Waste results'!$S$17&lt;&gt;"data missing", Calc!BC126*'Waste results'!$S$17, "data missing"),
   IF(Calc!BC126=0,
     IF('Waste results'!$S$53&lt;&gt;"data missing", Calc!BD126*'Waste results'!$S$53, "data missing"),
   IF(OR('Waste results'!$S$17&lt;&gt;"data missing", 'Waste results'!$S$53&lt;&gt;"data missing"), Calc!BC126*'Waste results'!$S$17+ Calc!BD126*'Waste results'!$S$53, "data missing"))),
IF(AND('Field information 2'!$M$5&lt;&gt;"", 'Field information 2'!$O$5&lt;&gt;"", 'Field information 2'!$Q$5&lt;&gt;""),
   IF(AND(Calc!BD126=0,Calc!BE126=0),
     IF('Waste results'!$S$17&lt;&gt;"data missing", Calc!BC126*'Waste results'!$S$17, "data missing"),
   IF(AND(Calc!BC126=0,Calc!BE126=0),
     IF('Waste results'!$S$53&lt;&gt;"data missing", Calc!BD126*'Waste results'!$S$53, "data missing"),
   IF(AND(Calc!BC126=0,Calc!BD126=0),
     IF('Waste results'!$S$89&lt;&gt;"data missing", Calc!BE126*'Waste results'!$S$89, "data missing"),
   IF(Calc!BE126=0,
     IF(OR('Waste results'!$S$17&lt;&gt;"data missing", 'Waste results'!$S$53&lt;&gt;"data missing"), Calc!BC126*'Waste results'!$S$17+ Calc!BD126*'Waste results'!$S$53, "data missing"),
   IF(Calc!BD126=0,
     IF(OR('Waste results'!$S$17&lt;&gt;"data missing", 'Waste results'!$S$89&lt;&gt;"data missing"), Calc!BC126*'Waste results'!$S$17+ Calc!BE126*'Waste results'!$S$89, "data missing"),
   IF(Calc!BC126=0,
     IF(OR('Waste results'!$S$53&lt;&gt;"data missing", 'Waste results'!$S$89&lt;&gt;"data missing"), Calc!BD126*'Waste results'!$S$53+Calc!BE126*'Waste results'!$S$89, "data missing"),
   IF(OR('Waste results'!$S$17&lt;&gt;"data missing", 'Waste results'!$S$53&lt;&gt;"data missing", 'Waste results'!$S$89&lt;&gt;"data missing"), Calc!BC126*'Waste results'!$S$17+Calc!BD126*'Waste results'!$S$53+ Calc!BE126*'Waste results'!$S$89, "data missing")))))))))))</f>
        <v/>
      </c>
      <c r="I128" s="195" t="str">
        <f ca="1">IF(B128="","",
IF(OR(ISBLANK('Soil results'!G131), ISBLANK('Soil results'!G$7)),"data missing",
IF(OR(AND('Soil results'!G$7="Olsen (ADAS)",'Soil results'!G131&lt;16),AND('Soil results'!G$7="modified Morgan (SAC)",'Soil results'!G131&lt;4.5)),50,100)))</f>
        <v/>
      </c>
      <c r="J128" s="49" t="str">
        <f ca="1">IF(B128="","",
IF(OR(ISBLANK('Soil results'!G$7),ISBLANK('Soil results'!G131)),"data missing",
IF(OR(AND('Soil results'!G$7="Olsen (ADAS)",'Soil results'!G131&gt;45),AND('Soil results'!G$7="modified Morgan (SAC)",'Soil results'!G131&gt;30)),0,
IF(OR(AND('Soil results'!G$7="Olsen (ADAS)",'Soil results'!G131&gt;=16,'Soil results'!G131&lt;=20),AND('Soil results'!G$7="modified Morgan (SAC)",'Soil results'!G131&gt;=4.5,'Soil results'!G131&lt;=9.4)),VLOOKUP(Calc!BI126,'Fertiliser recommendations'!$A$4:$I$63,9,FALSE),
IF(OR(AND('Soil results'!G$7="Olsen (ADAS)",'Soil results'!G131&lt;10),AND('Soil results'!G$7="modified Morgan (SAC)",'Soil results'!G131&lt;1.8)),VLOOKUP(Calc!BI126,'Fertiliser recommendations'!$A$4:$I$63,9,FALSE)+VLOOKUP(Calc!BI126,'Fertiliser recommendations'!$A$4:$J$63,10,FALSE),
IF(OR(AND('Soil results'!G$7="Olsen (ADAS)",'Soil results'!G131&lt;16),AND('Soil results'!G$7="modified Morgan (SAC)",'Soil results'!G131&lt;4.5)),VLOOKUP(Calc!BI126,'Fertiliser recommendations'!$A$4:$I$63,9,FALSE)+VLOOKUP(Calc!BI126,'Fertiliser recommendations'!$A$4:$K$63,11,FALSE),
IF(OR(AND('Soil results'!G$7="Olsen (ADAS)",'Soil results'!G131&lt;26),AND('Soil results'!G$7="modified Morgan (SAC)",'Soil results'!G131&lt;13.5)),VLOOKUP(Calc!BI126,'Fertiliser recommendations'!$A$4:$I$63,9,FALSE)+VLOOKUP(Calc!BI126,'Fertiliser recommendations'!$A$4:$L$63,12,FALSE),
IF(OR(AND('Soil results'!G$7="Olsen (ADAS)",'Soil results'!G131&lt;=45),AND('Soil results'!G$7="modified Morgan (SAC)",'Soil results'!G131&lt;=30)),VLOOKUP(Calc!BI126,'Fertiliser recommendations'!$A$4:$I$63,9,FALSE)+VLOOKUP(Calc!BI126,'Fertiliser recommendations'!$A$4:$M$63,13,FALSE),
""))))))))</f>
        <v/>
      </c>
      <c r="K128" s="161" t="str">
        <f t="shared" ca="1" si="35"/>
        <v/>
      </c>
      <c r="L128" s="47" t="str">
        <f ca="1">IF(OR(ISBLANK('Soil results'!G$7),ISBLANK('Soil results'!G131),B128="", H128="data missing"),"",
IF('Soil results'!G$7="Olsen (ADAS)",
IF(((H128*Calc!BM126/2.291-(VLOOKUP(Calc!BI126,'Fertiliser recommendations'!$A$4:$I$63,9,FALSE))/2.291)*10/(400/2.291)+'Soil results'!G131)&lt;10,"0 (VL)",
IF(((H128*Calc!BM126/2.291-(VLOOKUP(Calc!BI126,'Fertiliser recommendations'!$A$4:$I$63,9,FALSE))/2.291)*10/(400/2.291)+'Soil results'!G131)&lt;16,"1 (L)",
IF(((H128*Calc!BM126/2.291-(VLOOKUP(Calc!BI126,'Fertiliser recommendations'!$A$4:$I$63,9,FALSE))/2.291)*10/(400/2.291)+'Soil results'!G131)&lt;21,"2 (M-)",
IF(((H128*Calc!BM126/2.291-(VLOOKUP(Calc!BI126,'Fertiliser recommendations'!$A$4:$I$63,9,FALSE))/2.291)*10/(400/2.291)+'Soil results'!G131)&lt;26,"2 (M+)",
IF(((H128*Calc!BM126/2.291-(VLOOKUP(Calc!BI126,'Fertiliser recommendations'!$A$4:$I$63,9,FALSE))/2.291)*10/(400/2.291)+'Soil results'!G131)&lt;45,"3 (H)","&gt;3 (VH)"))))),
IF('Soil results'!G$7="modified Morgan (SAC)",
IF('Soil results'!G131&gt;=6,
IF(((H128*Calc!BM126/2.291-(VLOOKUP(Calc!BI126,'Fertiliser recommendations'!$A$4:$I$63,9,FALSE))/2.291)*5/(147/2.291)+'Soil results'!G131)&lt;9.5,"2 (M-)",
IF(((H128*Calc!BM126/2.291-(VLOOKUP(Calc!BI126,'Fertiliser recommendations'!$A$4:$I$63,9,FALSE))/2.291)*5/(147/2.291)+'Soil results'!G131)&lt;13.5,"2 (M+)",
IF(((H128*Calc!BM126/2.291-(VLOOKUP(Calc!BI126,'Fertiliser recommendations'!$A$4:$I$63,9,FALSE))/2.291)*5/(147/2.291)+'Soil results'!G131)&lt;30,"3 (H)","4 (VH)"))),
IF(((H128*Calc!BM126/2.291-(VLOOKUP(Calc!BI126,'Fertiliser recommendations'!$A$4:$I$63,9,FALSE))/2.291)*5/(346/2.291)+'Soil results'!G131)&lt;1.8,"0 (VL)",
IF(((H128*Calc!BM126/2.291-(VLOOKUP(Calc!BI126,'Fertiliser recommendations'!$A$4:$I$63,9,FALSE))/2.291)*5/(147/2.291)+'Soil results'!G131)&lt;4.5,"1 (L)","2 (M-)"))))))</f>
        <v/>
      </c>
      <c r="M128" s="9" t="str">
        <f ca="1">IF(B128="","",
IF(OR(H128="data missing",I128="data missing",J128="data missing"),"data missing",
IF(Calc!BF126=0,"n/a",
IF(OR(AND('Soil results'!G$7="Olsen (ADAS)",'Soil results'!G131&gt;45),AND('Soil results'!G$7="modified Morgan (SAC)",'Soil results'!G131&gt;30)),
IF(H128&gt;2,"too high, not acceptable","no requirement"),IF(OR(AND('Soil results'!G$7="Olsen (ADAS)",'Soil results'!G131&gt;25),AND('Soil results'!G$7="modified Morgan (SAC)",'Soil results'!G131&gt;13.4)),
IF(H128*(I128/100)&lt;0.1*J128,"no benefit",
IF(H128*(I128/100)&lt;0.3*J128,"limited benefit",
IF(H128*(I128/100)&lt;1.1*J128,"benefit",
IF(H128*(I128/100)&lt;0.7*VLOOKUP(Calc!BI126,'Fertiliser recommendations'!$A$4:$I$63,9,FALSE),"excessive","too high, not acceptable")))),
IF(OR(AND('Soil results'!G$7="Olsen (ADAS)",'Soil results'!G131&gt;20),AND('Soil results'!G$7="modified Morgan (SAC)",'Soil results'!G131&gt;9.4)),
IF(H128*Calc!BM126*(I128/100)&lt;0.1*J128,"no benefit",
IF(H128*Calc!BM126*(I128/100)&lt;0.3*J128,"limited benefit",
IF(H128*Calc!BM126*(I128/100)&lt;1.1*J128,"benefit",
IF(L128="3 (H)","too high, not acceptable","excessive")))),
IF(OR(AND('Soil results'!G$7="Olsen (ADAS)",'Soil results'!G131&gt;15),AND('Soil results'!G$7="modified Morgan (SAC)",'Soil results'!G131&gt;4.4)),
IF(H128*Calc!BM126*(I128/100)&lt;0.1*VLOOKUP(Calc!BI126,'Fertiliser recommendations'!$A$4:$I$63,9,FALSE),"no benefit",
IF(H128*Calc!BM126*(I128/100)&lt;0.3*VLOOKUP(Calc!BI126,'Fertiliser recommendations'!$A$4:$I$63,9,FALSE),"limited benefit",
IF(H128*Calc!BM126*(I128/100)&lt;1.1*VLOOKUP(Calc!BI126,'Fertiliser recommendations'!$A$4:$I$63,9,FALSE),"benefit",
IF(L128="3 (H)", "too high, not acceptable", "excessive")))),
IF(OR(AND('Soil results'!G$7="Olsen (ADAS)",'Soil results'!G131&lt;=15),AND('Soil results'!G$7="modified Morgan (SAC)",'Soil results'!G131&lt;=4.4)),
IF(H128*Calc!BM126*(I128/100)&lt;0.1*VLOOKUP(Calc!BI126,'Fertiliser recommendations'!$A$4:$I$63,9,FALSE),"no benefit",
IF(H128*Calc!BM126*(I128/100)&lt;0.3*VLOOKUP(Calc!BI126,'Fertiliser recommendations'!$A$4:$I$63,9,FALSE),"limited benefit",
IF(H128*Calc!BM126*(I128/100)&lt;1.1*J128,"benefit","excessive")))))))))))</f>
        <v/>
      </c>
      <c r="N128" s="9"/>
      <c r="O128" s="91" t="str">
        <f ca="1">IF(B128="","",
IF(AND('Field information 2'!$O$5="", 'Field information 2'!$Q$5=""),
   IF('Waste results'!$S$19&lt;&gt;"data missing", Calc!BC126*'Waste results'!$S$19, "data missing"),
IF('Field information 2'!$Q$5="",
   IF(Calc!BD126=0,
     IF('Waste results'!$S$19&lt;&gt;"data missing", Calc!BC126*'Waste results'!$S$19, "data missing"),
   IF(Calc!BC126=0,
     IF('Waste results'!$S$55&lt;&gt;"data missing", Calc!BD126*'Waste results'!$S$55, "data missing"),
   IF(OR('Waste results'!$S$19&lt;&gt;"data missing", 'Waste results'!$S$55&lt;&gt;"data missing"), Calc!BC126*'Waste results'!$S$19+ Calc!BD126*'Waste results'!$S$55, "data missing"))),
IF(AND('Field information 2'!$M$5&lt;&gt;"", 'Field information 2'!$O$5&lt;&gt;"", 'Field information 2'!$Q$5&lt;&gt;""),
   IF(AND(Calc!BD126=0,Calc!BE126=0),
     IF('Waste results'!$S$19&lt;&gt;"data missing", Calc!BC126*'Waste results'!$S$19, "data missing"),
   IF(AND(Calc!BC126=0,Calc!BE126=0),
     IF('Waste results'!$S$55&lt;&gt;"data missing", Calc!BD126*'Waste results'!$S$55, "data missing"),
   IF(AND(Calc!BC126=0,Calc!BD126=0),
     IF('Waste results'!$S$91&lt;&gt;"data missing", Calc!BE126*'Waste results'!$S$91, "data missing"),
   IF(Calc!BE126=0,
     IF(OR('Waste results'!$S$19&lt;&gt;"data missing", 'Waste results'!$S$55&lt;&gt;"data missing"), Calc!BC126*'Waste results'!$S$19+ Calc!BD126*'Waste results'!$S$55, "data missing"),
   IF(Calc!BD126=0,
     IF(OR('Waste results'!$S$19&lt;&gt;"data missing", 'Waste results'!$S$91&lt;&gt;"data missing"), Calc!BC126*'Waste results'!$S$19+ Calc!BE126*'Waste results'!$S$91, "data missing"),
   IF(Calc!BC126=0,
     IF(OR('Waste results'!$S$55&lt;&gt;"data missing", 'Waste results'!$S$91&lt;&gt;"data missing"), Calc!BD126*'Waste results'!$S$55+Calc!BE126*'Waste results'!$S$91, "data missing"),
   IF(OR('Waste results'!$S$19&lt;&gt;"data missing", 'Waste results'!$S$55&lt;&gt;"data missing", 'Waste results'!$S$91&lt;&gt;"data missing"), Calc!BC126*'Waste results'!$S$19+Calc!BD126*'Waste results'!$S$55+ Calc!BE126*'Waste results'!$S$91, "data missing")))))))))))</f>
        <v/>
      </c>
      <c r="P128" s="91" t="str">
        <f ca="1">IF(B128="","",
IF(OR(ISBLANK('Soil results'!H$7),ISBLANK('Soil results'!H131)),"data missing",
IF(OR(AND('Soil results'!H$7="ammonium nitrate (ADAS)",'Soil results'!H131&gt;400),AND('Soil results'!H$7="modified Morgan (SAC)",'Soil results'!H131&gt;400)),0,
IF(OR(AND('Soil results'!H$7="ammonium nitrate (ADAS)",'Soil results'!H131&gt;=121,'Soil results'!H131&lt;=180),AND('Soil results'!H$7="modified Morgan (SAC)",'Soil results'!H131&gt;=76,'Soil results'!H131&lt;=140)),VLOOKUP(Calc!BI126,'Fertiliser recommendations'!$A$4:$Z$63,26,FALSE),
IF(OR(AND('Soil results'!H$7="ammonium nitrate (ADAS)",'Soil results'!H131&lt;61),AND('Soil results'!H$7="modified Morgan (SAC)",'Soil results'!H131&lt;40)),VLOOKUP(Calc!BI126,'Fertiliser recommendations'!$A$4:$Z$63,26,FALSE)+VLOOKUP(Calc!BI126,'Fertiliser recommendations'!$A$4:$AA$63,27,FALSE),
IF(OR(AND('Soil results'!H$7="ammonium nitrate (ADAS)",'Soil results'!H131&lt;121),AND('Soil results'!H$7="modified Morgan (SAC)",'Soil results'!H131&lt;76)),VLOOKUP(Calc!BI126,'Fertiliser recommendations'!$A$4:$Z$63,26,FALSE)+VLOOKUP(Calc!BI126,'Fertiliser recommendations'!$A$4:$AB$63,28,FALSE),
IF(OR(AND('Soil results'!H$7="ammonium nitrate (ADAS)",'Soil results'!H131&lt;241),AND('Soil results'!H$7="modified Morgan (SAC)",'Soil results'!H131&lt;201)),VLOOKUP(Calc!BI126,'Fertiliser recommendations'!$A$4:$Z$63,26,FALSE)+VLOOKUP(Calc!BI126,'Fertiliser recommendations'!$A$4:$AC$63,29,FALSE),
IF(OR(AND('Soil results'!H$7="ammonium nitrate (ADAS)",'Soil results'!H131&lt;=400),AND('Soil results'!H$7="modified Morgan (SAC)",'Soil results'!H131&lt;=400)),VLOOKUP(Calc!BI126,'Fertiliser recommendations'!$A$4:$Z$63,26,FALSE)+VLOOKUP(Calc!BI126,'Fertiliser recommendations'!$A$4:$AD$63,30,FALSE),
"??"))))))))</f>
        <v/>
      </c>
      <c r="Q128" s="91" t="str">
        <f t="shared" ca="1" si="36"/>
        <v/>
      </c>
      <c r="R128" s="9" t="str">
        <f ca="1">IF(B128="","",
IF(OR(O128="data missing",P128="data missing"),"data missing",
IF(Calc!BF126=0,"n/a",
IF(P128=0, "no requirement",
IF(O128&lt;0.1*P128,"no benefit",
IF(O128&lt;0.3*P128,"limited benefit",
IF(O128&gt;1.25*P128,"excessive",
"benefit")))))))</f>
        <v/>
      </c>
      <c r="S128" s="9"/>
      <c r="T128" s="91" t="str">
        <f ca="1">IF(B128="","",
IF(AND('Field information 2'!$O$5="", 'Field information 2'!$Q$5=""),
   IF('Waste results'!$S$21&lt;&gt;"data missing", Calc!BC126*'Waste results'!$S$21, "data missing"),
IF('Field information 2'!$Q$5="",
   IF(Calc!BD126=0,
     IF('Waste results'!$S$21&lt;&gt;"data missing", Calc!BC126*'Waste results'!$S$21, "data missing"),
   IF(Calc!BC126=0,
     IF('Waste results'!$S$57&lt;&gt;"data missing", Calc!BD126*'Waste results'!$S$57, "data missing"),
   IF(OR('Waste results'!$S$21&lt;&gt;"data missing", 'Waste results'!$S$57&lt;&gt;"data missing"), Calc!BC126*'Waste results'!$S$21+ Calc!BD126*'Waste results'!$S$57, "data missing"))),
IF(AND('Field information 2'!$M$5&lt;&gt;"", 'Field information 2'!$O$5&lt;&gt;"", 'Field information 2'!$Q$5&lt;&gt;""),
   IF(AND(Calc!BD126=0,Calc!BE126=0),
     IF('Waste results'!$S$21&lt;&gt;"data missing", Calc!BC126*'Waste results'!$S$21, "data missing"),
   IF(AND(Calc!BC126=0,Calc!BE126=0),
     IF('Waste results'!$S$57&lt;&gt;"data missing", Calc!BD126*'Waste results'!$S$57, "data missing"),
   IF(AND(Calc!BC126=0,Calc!BD126=0),
     IF('Waste results'!$S$93&lt;&gt;"data missing", Calc!BE126*'Waste results'!$S$93, "data missing"),
   IF(Calc!BE126=0,
     IF(OR('Waste results'!$S$21&lt;&gt;"data missing", 'Waste results'!$S$57&lt;&gt;"data missing"), Calc!BC126*'Waste results'!$S$21+ Calc!BD126*'Waste results'!$S$57, "data missing"),
   IF(Calc!BD126=0,
     IF(OR('Waste results'!$S$21&lt;&gt;"data missing", 'Waste results'!$S$93&lt;&gt;"data missing"), Calc!BC126*'Waste results'!$S$21+ Calc!BE126*'Waste results'!$S$93, "data missing"),
   IF(Calc!BC126=0,
     IF(OR('Waste results'!$S$57&lt;&gt;"data missing", 'Waste results'!$S$93&lt;&gt;"data missing"), Calc!BD126*'Waste results'!$S$57+Calc!BE126*'Waste results'!$S$93, "data missing"),
   IF(OR('Waste results'!$S$21&lt;&gt;"data missing", 'Waste results'!$S$57&lt;&gt;"data missing", 'Waste results'!$S$93&lt;&gt;"data missing"), Calc!BC126*'Waste results'!$S$21+Calc!BD126*'Waste results'!$S$57+ Calc!BE126*'Waste results'!$S$93, "data missing")))))))))))</f>
        <v/>
      </c>
      <c r="U128" s="7" t="str">
        <f ca="1">IF(B128="","",
IF(OR(ISBLANK('Soil results'!I$7),ISBLANK('Soil results'!I131)),"data missing",
IF(OR(AND('Soil results'!I$7="ammonium nitrate (ADAS)",'Soil results'!I131&gt;51),AND('Soil results'!I$7="modified Morgan (SAC)",'Soil results'!I131&gt;61)),0,
IF(OR(AND('Soil results'!I$7="ammonium nitrate (ADAS)",'Soil results'!I131&lt;25),AND('Soil results'!I$7="modified Morgan (SAC)",'Soil results'!I131&lt;19)),VLOOKUP(Calc!BI126,'Fertiliser recommendations'!$A$4:$AH$63,34,FALSE),
IF(OR(AND('Soil results'!I$7="ammonium nitrate (ADAS)",'Soil results'!I131&lt;=51),AND('Soil results'!I$7="modified Morgan (SAC)",'Soil results'!I131&lt;=61)),VLOOKUP(Calc!BI126,'Fertiliser recommendations'!$A$4:$AI$63,35,FALSE),
"")))))</f>
        <v/>
      </c>
      <c r="V128" s="91" t="str">
        <f t="shared" ca="1" si="37"/>
        <v/>
      </c>
      <c r="W128" s="9" t="str">
        <f ca="1">IF(B128="","",
IF(OR(T128="data missing",U128="data missing"),"data missing",
IF(Calc!BF126=0,"n/a",
IF(U128=0,"no requirement",
IF(T128&lt;0.1*U128,"no benefit",
IF(T128&lt;0.3*U128,"limited benefit",
IF(OR(T128&gt;1.5*U128,AND(Calc!BJ126="g",T128&gt;100)),"excessive",
"benefit")))))))</f>
        <v/>
      </c>
      <c r="X128" s="9"/>
      <c r="Y128" s="91" t="str">
        <f ca="1">IF(B128="","",
IF(AND('Field information 2'!$O$5="", 'Field information 2'!$Q$5=""),
   IF('Waste results'!$P$23&lt;&gt;"", Calc!BC126*'Waste results'!$P$23, "no data"),
IF('Field information 2'!$Q$5="",
   IF(Calc!BD126=0,
     IF('Waste results'!$P$23&lt;&gt;"", Calc!BC126*'Waste results'!$P$23, "no data"),
   IF(Calc!BC126=0,
     IF('Waste results'!$P$59&lt;&gt;"", Calc!BD126*'Waste results'!$P$59, "no data"),
   IF(OR('Waste results'!$P$23&lt;&gt;"", 'Waste results'!$P$59&lt;&gt;""), Calc!BC126*'Waste results'!$P$23+ Calc!BD126*'Waste results'!$P$59, "no data"))),
IF(AND('Field information 2'!$M$5&lt;&gt;"", 'Field information 2'!$O$5&lt;&gt;"", 'Field information 2'!$Q$5&lt;&gt;""),
   IF(AND(Calc!BD126=0,Calc!BE126=0),
     IF('Waste results'!$P$23&lt;&gt;"", Calc!BC126*'Waste results'!$P$23, "no data"),
   IF(AND(Calc!BC126=0,Calc!BE126=0),
     IF('Waste results'!$P$59&lt;&gt;"", Calc!BD126*'Waste results'!$P$59, "no data"),
   IF(AND(Calc!BC126=0,Calc!BD126=0),
     IF('Waste results'!$P$95&lt;&gt;"", Calc!BE126*'Waste results'!$P$95, "no data"),
   IF(Calc!BE126=0,
     IF(OR('Waste results'!$P$23&lt;&gt;"", 'Waste results'!$P$59&lt;&gt;""), Calc!BC126*'Waste results'!$P$23+ Calc!BD126*'Waste results'!$P$59, "no data"),
   IF(Calc!BD126=0,
     IF(OR('Waste results'!$P$23&lt;&gt;"", 'Waste results'!$P$95&lt;&gt;""), Calc!BC126*'Waste results'!$P$23+ Calc!BE126*'Waste results'!$P$95, "no data"),
   IF(Calc!BC126=0,
     IF(OR('Waste results'!$P$59&lt;&gt;"", 'Waste results'!$P$95&lt;&gt;""), Calc!BD126*'Waste results'!$P$59+Calc!BE126*'Waste results'!$P$95, "no data"),
   IF(OR('Waste results'!$P$23&lt;&gt;"", 'Waste results'!$P$59&lt;&gt;"", 'Waste results'!$P$95&lt;&gt;""), Calc!BC126*'Waste results'!$P$23+Calc!BD126*'Waste results'!$P$59+ Calc!BE126*'Waste results'!$P$95, "no data")))))))))))</f>
        <v/>
      </c>
      <c r="Z128" s="7" t="str">
        <f ca="1">IF(OR(ISBLANK('Soil results'!I$7),ISBLANK('Soil results'!I131),'Soil results'!B131=""),"",
VLOOKUP(Calc!BI126,'Fertiliser recommendations'!$A$4:$AM$63,39,FALSE))</f>
        <v/>
      </c>
      <c r="AA128" s="91" t="str">
        <f t="shared" ca="1" si="38"/>
        <v/>
      </c>
      <c r="AB128" s="9" t="str">
        <f t="shared" ca="1" si="39"/>
        <v/>
      </c>
      <c r="AC128" s="9"/>
      <c r="AD128" s="48" t="str">
        <f>IF(ISBLANK('Soil results'!F131),"",'Soil results'!F131)</f>
        <v/>
      </c>
      <c r="AE128" s="49" t="str">
        <f ca="1">IF(B128="","",
IF(AND(Calc!BJ126="g", VLOOKUP(LEFT($B128,LEN($B128)-2),'Field information 2'!$B$12:$P$111,9,FALSE)&lt;&gt;"yes"),
 IF(Calc!BG126="10-25% OM", 5.9, IF(Calc!BG126="&gt;25% OM", 5.5, 6.2)),
IF(OR(Calc!BJ126="a", VLOOKUP(LEFT($B128,LEN($B128)-2),'Field information 2'!$B$12:$P$111,9,FALSE)="yes"),
 IF(Calc!BG126="10-25% OM", 6.4, IF(Calc!BG126="&gt;25% OM", 6, 6.7)), "")))</f>
        <v/>
      </c>
      <c r="AF128" s="91" t="str">
        <f ca="1">IF(B128="","",
IF('Waste results'!$Q$33="","no (significant) liming properties",
IF('Waste results'!Q$33&gt;100,"no (significant) liming properties",
IF(AD128="","",
IF(AD128&gt;=AE128,0,ROUNDDOWN((AE128-AD128)*Calc!BK126*'Waste results'!$Q$33+0.2,0))))))</f>
        <v/>
      </c>
      <c r="AG128" s="9" t="str">
        <f ca="1">IF(B128="","",
IF(T128=0,"n/a",
IF(AD128="","data missing",
IF(AND(AD128&lt;5,AF128="no (significant) liming properties"),"no waste application - pH too low",
IF(AND(AD128&gt;5.1,AF128="no (significant) liming properties",Calc!BH126&gt;25, LEFT(Calc!BI126,4)="graz"),"ok",
IF(AND(AD128&lt;=5.2,AF128="no (significant) liming properties"),"liming highly recommended",
IF(AF128=0,"no waste application - liming not required",
IF(AF128&lt;Calc!BC126,"application rate too high - exceeds liming requirement",
"ok"))))))))</f>
        <v/>
      </c>
      <c r="AH128" s="9"/>
      <c r="AI128" s="91" t="str">
        <f ca="1">IF(B128="","",
IF(AND('Field information 2'!$O$5="", 'Field information 2'!$Q$5=""),
   IF('Waste results'!$P$10&lt;&gt;"data missing", Calc!BC126*'Waste results'!$P$10, "data missing"),
IF('Field information 2'!$Q$5="",
   IF(Calc!BD126=0,
     IF('Waste results'!$P$10&lt;&gt;"data missing", Calc!BC126*'Waste results'!$P$10, "data missing"),
   IF(Calc!BC126=0,
     IF('Waste results'!$P$45&lt;&gt;"data missing", Calc!BD126*'Waste results'!$P$45, "data missing"),
   IF(OR('Waste results'!$P$10&lt;&gt;"data missing", 'Waste results'!$P$45&lt;&gt;"data missing"), Calc!BC126*'Waste results'!$P$10+ Calc!BD126*'Waste results'!$P$45, "data missing"))),
IF(AND('Field information 2'!$M$5&lt;&gt;"", 'Field information 2'!$O$5&lt;&gt;"", 'Field information 2'!$Q$5&lt;&gt;""),
   IF(AND(Calc!BD126=0,Calc!BE126=0),
     IF('Waste results'!$P$10&lt;&gt;"data missing", Calc!BC126*'Waste results'!$P$10, "data missing"),
   IF(AND(Calc!BC126=0,Calc!BE126=0),
     IF('Waste results'!$P$45&lt;&gt;"data missing", Calc!BD126*'Waste results'!$P$45, "data missing"),
   IF(AND(Calc!BC126=0,Calc!BD126=0),
     IF('Waste results'!$P$82&lt;&gt;"data missing", Calc!BE126*'Waste results'!$P$82, "data missing"),
   IF(Calc!BE126=0,
     IF(OR('Waste results'!$P$10&lt;&gt;"data missing", 'Waste results'!$P$45&lt;&gt;"data missing"), Calc!BC126*'Waste results'!$P$10+ Calc!BD126*'Waste results'!$P$45, "data missing"),
   IF(Calc!BD126=0,
     IF(OR('Waste results'!$P$10&lt;&gt;"data missing", 'Waste results'!$P$82&lt;&gt;"data missing"), Calc!BC126*'Waste results'!$P$10+ Calc!BE126*'Waste results'!$P$82, "data missing"),
   IF(Calc!BC126=0,
     IF(OR('Waste results'!$P$45&lt;&gt;"data missing", 'Waste results'!$P$82&lt;&gt;"data missing"), Calc!BD126*'Waste results'!$P$45+Calc!BE126*'Waste results'!$P$82, "data missing"),
   IF(OR('Waste results'!$P$10&lt;&gt;"data missing", 'Waste results'!$P$45&lt;&gt;"data missing", 'Waste results'!$P$82&lt;&gt;"data missing"), Calc!BC126*'Waste results'!$P$10+Calc!BD126*'Waste results'!$P$45+ Calc!BE126*'Waste results'!$P$82, "data missing")))))))))))</f>
        <v/>
      </c>
      <c r="AJ128" s="237" t="str">
        <f ca="1">IF(B128="","",
IF(AI128="data missing","data missing",
IF(Calc!BF126=0,"n/a",
IF(AND(Calc!BH126&gt;=8,AI128&lt;500),"no benefit",
IF(OR(AND(Calc!BH126&lt;=4,AI128&gt;=500),AND(Calc!BH126&lt;8,AI128&gt;5000)),"benefit",
"limited benefit")))))</f>
        <v/>
      </c>
      <c r="AK128" s="9"/>
      <c r="AL128" s="238" t="str">
        <f ca="1">IF(B128="","",
IF(AND('Field information 2'!$O$5="", 'Field information 2'!$Q$5=""),
   IF('Waste results'!$S$25&lt;&gt;"data missing", Calc!BC126*'Waste results'!$S$25, "data missing"),
IF('Field information 2'!$Q$5="",
   IF(Calc!BD126=0,
     IF('Waste results'!$S$25&lt;&gt;"data missing", Calc!BC126*'Waste results'!$S$25, "data missing"),
   IF(Calc!BC126=0,
     IF('Waste results'!$S$61&lt;&gt;"data missing", Calc!BD126*'Waste results'!$S$61, "data missing"),
   IF(OR('Waste results'!$S$25&lt;&gt;"data missing", 'Waste results'!$S$61&lt;&gt;"data missing"), Calc!BC126*'Waste results'!$S$25+ Calc!BD126*'Waste results'!$S$61, "data missing"))),
IF(AND('Field information 2'!$M$5&lt;&gt;"", 'Field information 2'!$O$5&lt;&gt;"", 'Field information 2'!$Q$5&lt;&gt;""),
   IF(AND(Calc!BD126=0,Calc!BE126=0),
     IF('Waste results'!$S$25&lt;&gt;"data missing", Calc!BC126*'Waste results'!$S$25, "data missing"),
   IF(AND(Calc!BC126=0,Calc!BE126=0),
     IF('Waste results'!$S$61&lt;&gt;"data missing", Calc!BD126*'Waste results'!$S$61, "data missing"),
   IF(AND(Calc!BC126=0,Calc!BD126=0),
     IF('Waste results'!$S$97&lt;&gt;"data missing", Calc!BE126*'Waste results'!$S$97, "data missing"),
   IF(Calc!BE126=0,
     IF(OR('Waste results'!$S$25&lt;&gt;"data missing", 'Waste results'!$S$61&lt;&gt;"data missing"), Calc!BC126*'Waste results'!$S$25+ Calc!BD126*'Waste results'!$S$61, "data missing"),
   IF(Calc!BD126=0,
     IF(OR('Waste results'!$S$25&lt;&gt;"data missing", 'Waste results'!$S$97&lt;&gt;"data missing"), Calc!BC126*'Waste results'!$S$25+ Calc!BE126*'Waste results'!$S$97, "data missing"),
   IF(Calc!BC126=0,
     IF(OR('Waste results'!$S$61&lt;&gt;"data missing", 'Waste results'!$S$97&lt;&gt;"data missing"), Calc!BD126*'Waste results'!$S$61+Calc!BE126*'Waste results'!$S$97, "data missing"),
   IF(OR('Waste results'!$S$25&lt;&gt;"data missing", 'Waste results'!$S$61&lt;&gt;"data missing", 'Waste results'!$S$97&lt;&gt;"data missing"), Calc!BC126*'Waste results'!$S$25+Calc!BD126*'Waste results'!$S$61+ Calc!BE126*'Waste results'!$S$97, "data missing")))))))))))</f>
        <v/>
      </c>
      <c r="AM128" s="239" t="str">
        <f ca="1">IF($B128="","",
IF(ISBLANK('Soil results'!K131),"data missing",'Soil results'!K131))</f>
        <v/>
      </c>
      <c r="AN128" s="239" t="str">
        <f t="shared" ca="1" si="40"/>
        <v/>
      </c>
      <c r="AO128" s="9" t="str">
        <f t="shared" ca="1" si="41"/>
        <v/>
      </c>
      <c r="AP128" s="9"/>
      <c r="AQ128" s="240" t="str">
        <f ca="1">IF(B128="","",
IF(AND('Field information 2'!$O$5="", 'Field information 2'!$Q$5=""),
   IF('Waste results'!$S$26&lt;&gt;"data missing", Calc!BC126*'Waste results'!$S$26, "data missing"),
IF('Field information 2'!$Q$5="",
   IF(Calc!BD126=0,
     IF('Waste results'!$S$26&lt;&gt;"data missing", Calc!BC126*'Waste results'!$S$26, "data missing"),
   IF(Calc!BC126=0,
     IF('Waste results'!$S$62&lt;&gt;"data missing", Calc!BD126*'Waste results'!$S$62, "data missing"),
   IF(OR('Waste results'!$S$26&lt;&gt;"data missing", 'Waste results'!$S$62&lt;&gt;"data missing"), Calc!BC126*'Waste results'!$S$26+ Calc!BD126*'Waste results'!$S$62, "data missing"))),
IF(AND('Field information 2'!$M$5&lt;&gt;"", 'Field information 2'!$O$5&lt;&gt;"", 'Field information 2'!$Q$5&lt;&gt;""),
   IF(AND(Calc!BD126=0,Calc!BE126=0),
     IF('Waste results'!$S$26&lt;&gt;"data missing", Calc!BC126*'Waste results'!$S$26, "data missing"),
   IF(AND(Calc!BC126=0,Calc!BE126=0),
     IF('Waste results'!$S$62&lt;&gt;"data missing", Calc!BD126*'Waste results'!$S$62, "data missing"),
   IF(AND(Calc!BC126=0,Calc!BD126=0),
     IF('Waste results'!$S$98&lt;&gt;"data missing", Calc!BE126*'Waste results'!$S$98, "data missing"),
   IF(Calc!BE126=0,
     IF(OR('Waste results'!$S$26&lt;&gt;"data missing", 'Waste results'!$S$62&lt;&gt;"data missing"), Calc!BC126*'Waste results'!$S$26+ Calc!BD126*'Waste results'!$S$62, "data missing"),
   IF(Calc!BD126=0,
     IF(OR('Waste results'!$S$26&lt;&gt;"data missing", 'Waste results'!$S$98&lt;&gt;"data missing"), Calc!BC126*'Waste results'!$S$26+ Calc!BE126*'Waste results'!$S$98, "data missing"),
   IF(Calc!BC126=0,
     IF(OR('Waste results'!$S$62&lt;&gt;"data missing", 'Waste results'!$S$98&lt;&gt;"data missing"), Calc!BD126*'Waste results'!$S$62+Calc!BE126*'Waste results'!$S$98, "data missing"),
   IF(OR('Waste results'!$S$26&lt;&gt;"data missing", 'Waste results'!$S$62&lt;&gt;"data missing", 'Waste results'!$S$98&lt;&gt;"data missing"), Calc!BC126*'Waste results'!$S$26+Calc!BD126*'Waste results'!$S$62+ Calc!BE126*'Waste results'!$S$98, "data missing")))))))))))</f>
        <v/>
      </c>
      <c r="AR128" s="241" t="str">
        <f ca="1">IF($B128="","",
IF(ISBLANK('Soil results'!L131),"data missing",'Soil results'!L131))</f>
        <v/>
      </c>
      <c r="AS128" s="241" t="str">
        <f t="shared" ca="1" si="42"/>
        <v/>
      </c>
      <c r="AT128" s="66" t="str">
        <f t="shared" ca="1" si="43"/>
        <v/>
      </c>
      <c r="AU128" s="9"/>
      <c r="AV128" s="238" t="str">
        <f ca="1">IF(B128="","",
IF(AND('Field information 2'!$O$5="", 'Field information 2'!$Q$5=""),
   IF('Waste results'!$S$27&lt;&gt;"data missing", Calc!BC126*'Waste results'!$S$27, "data missing"),
IF('Field information 2'!$Q$5="",
   IF(Calc!BD126=0,
     IF('Waste results'!$S$27&lt;&gt;"data missing", Calc!BC126*'Waste results'!$S$27, "data missing"),
   IF(Calc!BC126=0,
     IF('Waste results'!$S$63&lt;&gt;"data missing", Calc!BD126*'Waste results'!$S$63, "data missing"),
   IF(OR('Waste results'!$S$27&lt;&gt;"data missing", 'Waste results'!$S$63&lt;&gt;"data missing"), Calc!BC126*'Waste results'!$S$27+ Calc!BD126*'Waste results'!$S$63, "data missing"))),
IF(AND('Field information 2'!$M$5&lt;&gt;"", 'Field information 2'!$O$5&lt;&gt;"", 'Field information 2'!$Q$5&lt;&gt;""),
   IF(AND(Calc!BD126=0,Calc!BE126=0),
     IF('Waste results'!$S$27&lt;&gt;"data missing", Calc!BC126*'Waste results'!$S$27, "data missing"),
   IF(AND(Calc!BC126=0,Calc!BE126=0),
     IF('Waste results'!$S$63&lt;&gt;"data missing", Calc!BD126*'Waste results'!$S$63, "data missing"),
   IF(AND(Calc!BC126=0,Calc!BD126=0),
     IF('Waste results'!$S$99&lt;&gt;"data missing", Calc!BE126*'Waste results'!$S$99, "data missing"),
   IF(Calc!BE126=0,
     IF(OR('Waste results'!$S$27&lt;&gt;"data missing", 'Waste results'!$S$63&lt;&gt;"data missing"), Calc!BC126*'Waste results'!$S$27+ Calc!BD126*'Waste results'!$S$63, "data missing"),
   IF(Calc!BD126=0,
     IF(OR('Waste results'!$S$27&lt;&gt;"data missing", 'Waste results'!$S$99&lt;&gt;"data missing"), Calc!BC126*'Waste results'!$S$27+ Calc!BE126*'Waste results'!$S$99, "data missing"),
   IF(Calc!BC126=0,
     IF(OR('Waste results'!$S$63&lt;&gt;"data missing", 'Waste results'!$S$99&lt;&gt;"data missing"), Calc!BD126*'Waste results'!$S$63+Calc!BE126*'Waste results'!$S$99, "data missing"),
   IF(OR('Waste results'!$S$27&lt;&gt;"data missing", 'Waste results'!$S$63&lt;&gt;"data missing", 'Waste results'!$S$99&lt;&gt;"data missing"), Calc!BC126*'Waste results'!$S$27+Calc!BD126*'Waste results'!$S$63+ Calc!BE126*'Waste results'!$S$99, "data missing")))))))))))</f>
        <v/>
      </c>
      <c r="AW128" s="239" t="str">
        <f ca="1">IF($B128="","",
IF(ISBLANK('Soil results'!M131),"data missing",'Soil results'!M131))</f>
        <v/>
      </c>
      <c r="AX128" s="239" t="str">
        <f t="shared" ca="1" si="44"/>
        <v/>
      </c>
      <c r="AY128" s="9" t="str">
        <f ca="1">IF(B128="","",
IF(AV128=0,"n/a",
IF(OR(AV128="data missing",AW128="data missing"),"data missing",
IF(AV128&gt;7.5,"application rate too high - permissible rate exceeds limit",
IF('Soil results'!$F131&lt;=5.5,
  IF(AW128&gt;80,"no application - soil conc. already above limit",
  IF(AX128&gt;80,"application rate too high - soil conc. will exceed limit",
  IF(AW128&gt;80*0.9,"soil conc. is at or above 90% of the limit",
  IF(10*AV128*1000/3000+AW128&gt;80,"soil limit likely to be exceeded in 10yrs",
  IF(50*AV128*1000/3000+AW128&gt;80,"soil limit likely to be exceeded in 50yrs","ok"))))),
IF('Soil results'!$F131&lt;=6,
  IF(AW128&gt;100,"no application - soil conc. already above limit",
  IF(AX128&gt;100,"application rate too high - soil conc. will exceed limit",
  IF(AW128&gt;100*0.9,"soil conc. is at or above 90% of the limit",
  IF(10*AV128*1000/3000+AW128&gt;100,"soil limit likely to be exceeded in 10yrs",
  IF(50*AV128*1000/3000+AW128&gt;100,"soil limit likely to be exceeded in 50yrs","ok"))))),
IF('Soil results'!$F131&lt;=7,
  IF(AW128&gt;135,"no application - soil conc. already above limit",
  IF(AX128&gt;135,"application rate too high - soil conc. will exceed limit",
  IF(AW128&gt;135*0.9,"soil conc. is at or above 90% of the limit",
  IF(10*AV128*1000/3000+AW128&gt;135,"soil limit likely to be exceeded in 10yrs",
  IF(50*AV128*1000/3000+AW128&gt;135,"soil limit likely to be exceeded in 50yrs","ok"))))),
IF('Soil results'!$F131&gt;7,
  IF(AW128&gt;200,"no application - soil conc. already above limit",
  IF(AX128&gt;200,"application too high - soil conc. will exceed limit",
  IF(AW128&gt;200*0.9,"soil conc. is at or above 90% of the limit",
  IF(10*AV128*1000/3000+AW128&gt;200,"soil limit likely to be exceeded in 10yrs",
  IF(50*AV128*1000/3000+AW128&gt;200,"soil limit likely to be exceeded in 50yrs","ok")))))
))))))))</f>
        <v/>
      </c>
      <c r="AZ128" s="9"/>
      <c r="BA128" s="238" t="str">
        <f ca="1">IF(B128="","",
IF(AND('Field information 2'!$O$5="", 'Field information 2'!$Q$5=""),
   IF('Waste results'!$S$28&lt;&gt;"data missing", Calc!BC126*'Waste results'!$S$28, "data missing"),
IF('Field information 2'!$Q$5="",
   IF(Calc!BD126=0,
     IF('Waste results'!$S$28&lt;&gt;"data missing", Calc!BC126*'Waste results'!$S$28, "data missing"),
   IF(Calc!BC126=0,
     IF('Waste results'!$S$64&lt;&gt;"data missing", Calc!BD126*'Waste results'!$S$64, "data missing"),
   IF(OR('Waste results'!$S$28&lt;&gt;"data missing", 'Waste results'!$S$64&lt;&gt;"data missing"), Calc!BC126*'Waste results'!$S$28+ Calc!BD126*'Waste results'!$S$64, "data missing"))),
IF(AND('Field information 2'!$M$5&lt;&gt;"", 'Field information 2'!$O$5&lt;&gt;"", 'Field information 2'!$Q$5&lt;&gt;""),
   IF(AND(Calc!BD126=0,Calc!BE126=0),
     IF('Waste results'!$S$28&lt;&gt;"data missing", Calc!BC126*'Waste results'!$S$28, "data missing"),
   IF(AND(Calc!BC126=0,Calc!BE126=0),
     IF('Waste results'!$S$64&lt;&gt;"data missing", Calc!BD126*'Waste results'!$S$64, "data missing"),
   IF(AND(Calc!BC126=0,Calc!BD126=0),
     IF('Waste results'!$S$100&lt;&gt;"data missing", Calc!BE126*'Waste results'!$S$100, "data missing"),
   IF(Calc!BE126=0,
     IF(OR('Waste results'!$S$28&lt;&gt;"data missing", 'Waste results'!$S$64&lt;&gt;"data missing"), Calc!BC126*'Waste results'!$S$28+ Calc!BD126*'Waste results'!$S$64, "data missing"),
   IF(Calc!BD126=0,
     IF(OR('Waste results'!$S$28&lt;&gt;"data missing", 'Waste results'!$S$100&lt;&gt;"data missing"), Calc!BC126*'Waste results'!$S$28+ Calc!BE126*'Waste results'!$S$100, "data missing"),
   IF(Calc!BC126=0,
     IF(OR('Waste results'!$S$64&lt;&gt;"data missing", 'Waste results'!$S$100&lt;&gt;"data missing"), Calc!BD126*'Waste results'!$S$64+Calc!BE126*'Waste results'!$S$100, "data missing"),
   IF(OR('Waste results'!$S$28&lt;&gt;"data missing", 'Waste results'!$S$64&lt;&gt;"data missing", 'Waste results'!$S$100&lt;&gt;"data missing"), Calc!BC126*'Waste results'!$S$28+Calc!BD126*'Waste results'!$S$64+ Calc!BE126*'Waste results'!$S$100, "data missing")))))))))))</f>
        <v/>
      </c>
      <c r="BB128" s="239" t="str">
        <f ca="1">IF($B128="","",
IF(ISBLANK('Soil results'!N131),"data missing",'Soil results'!N131))</f>
        <v/>
      </c>
      <c r="BC128" s="239" t="str">
        <f t="shared" ca="1" si="45"/>
        <v/>
      </c>
      <c r="BD128" s="9" t="str">
        <f t="shared" ca="1" si="46"/>
        <v/>
      </c>
      <c r="BE128" s="9"/>
      <c r="BF128" s="238" t="str">
        <f ca="1">IF(B128="","",
IF(AND('Field information 2'!$O$5="", 'Field information 2'!$Q$5=""),
   IF('Waste results'!$S$29&lt;&gt;"data missing", Calc!BC126*'Waste results'!$S$29, "data missing"),
IF('Field information 2'!$Q$5="",
   IF(Calc!BD126=0,
     IF('Waste results'!$S$29&lt;&gt;"data missing", Calc!BC126*'Waste results'!$S$29, "data missing"),
   IF(Calc!BC126=0,
     IF('Waste results'!$S$65&lt;&gt;"data missing", Calc!BD126*'Waste results'!$S$65, "data missing"),
   IF(OR('Waste results'!$S$29&lt;&gt;"data missing", 'Waste results'!$S$65&lt;&gt;"data missing"), Calc!BC126*'Waste results'!$S$29+ Calc!BD126*'Waste results'!$S$65, "data missing"))),
IF(AND('Field information 2'!$M$5&lt;&gt;"", 'Field information 2'!$O$5&lt;&gt;"", 'Field information 2'!$Q$5&lt;&gt;""),
   IF(AND(Calc!BD126=0,Calc!BE126=0),
     IF('Waste results'!$S$29&lt;&gt;"data missing", Calc!BC126*'Waste results'!$S$29, "data missing"),
   IF(AND(Calc!BC126=0,Calc!BE126=0),
     IF('Waste results'!$S$65&lt;&gt;"data missing", Calc!BD126*'Waste results'!$S$65, "data missing"),
   IF(AND(Calc!BC126=0,Calc!BD126=0),
     IF('Waste results'!$S$101&lt;&gt;"data missing", Calc!BE126*'Waste results'!$S$101, "data missing"),
   IF(Calc!BE126=0,
     IF(OR('Waste results'!$S$29&lt;&gt;"data missing", 'Waste results'!$S$65&lt;&gt;"data missing"), Calc!BC126*'Waste results'!$S$29+ Calc!BD126*'Waste results'!$S$65, "data missing"),
   IF(Calc!BD126=0,
     IF(OR('Waste results'!$S$29&lt;&gt;"data missing", 'Waste results'!$S$101&lt;&gt;"data missing"), Calc!BC126*'Waste results'!$S$29+ Calc!BE126*'Waste results'!$S$101, "data missing"),
   IF(Calc!BC126=0,
     IF(OR('Waste results'!$S$65&lt;&gt;"data missing", 'Waste results'!$S$101&lt;&gt;"data missing"), Calc!BD126*'Waste results'!$S$65+Calc!BE126*'Waste results'!$S$101, "data missing"),
   IF(OR('Waste results'!$S$29&lt;&gt;"data missing", 'Waste results'!$S$65&lt;&gt;"data missing", 'Waste results'!$S$101&lt;&gt;"data missing"), Calc!BC126*'Waste results'!$S$29+Calc!BD126*'Waste results'!$S$65+ Calc!BE126*'Waste results'!$S$101, "data missing")))))))))))</f>
        <v/>
      </c>
      <c r="BG128" s="239" t="str">
        <f ca="1">IF($B128="","",
IF(ISBLANK('Soil results'!O131),"data missing",'Soil results'!O131))</f>
        <v/>
      </c>
      <c r="BH128" s="239" t="str">
        <f t="shared" ca="1" si="47"/>
        <v/>
      </c>
      <c r="BI128" s="9" t="str">
        <f ca="1">IF(B128="","",
IF(BF128=0,"n/a",
IF(OR(BF128="data missing",BG128="data missing"),"data missing",
IF(BF128&gt;3,"application rate too high - permissible rate exceeds limit",
IF('Soil results'!F131&lt;=5.5,
  IF(BG128&gt;50,"no application - soil conc. already above limit",
  IF(BH128&gt;50,"application rate too high - soil conc. will exceed limit",
  IF(BG128&gt;50*0.9,"soil conc. is at or above 90% of the limit",
  IF(10*BF128*1000/3000+BG128&gt;50,"soil limit likely to be exceeded in 10yrs",
  IF(50*BF128*1000/3000+BG128&gt;50,"soil limit likely to be exceeded in 50yrs","ok"))))),
IF('Soil results'!F131&lt;=6,
  IF(BG128&gt;60,"no application - soil conc. already above limit",
  IF(BH128&gt;60,"application rate too high - soil conc. will exceed limit",
  IF(BG128&gt;60*0.9,"soil conc. is at or above 90% of the limit",
  IF(10*BF128*1000/3000+BG128&gt;60,"soil limit likely to be exceeded in 10yrs",
  IF(50*BF128*1000/3000+BG128&gt;60,"soil limit likely to be exceeded in 50yrs","ok"))))),
IF('Soil results'!F131&lt;=7,
  IF(BG128&gt;75,"no application - soil conc. already above limit",
  IF(BH128&gt;75,"application rate too high - soil conc. will exceed limit",
  IF(BG128&gt;75*0.9,"soil conc. is at or above 90% of the limit",
  IF(10*BF128*1000/3000+BG128&gt;75,"soil limit likely to be exceeded in 10yrs",
  IF(50*BF128*1000/3000+BG128&gt;75,"soil limit likely to be exceeded in 50yrs","ok"))))),
IF('Soil results'!F131&gt;7,
  IF(BG128&gt;100,"no application - soil conc. already above limit",
  IF(BH128&gt;100,"application rate too high - soil conc. will exceed limit",
  IF(BG128&gt;100*0.9,"soil conc. is at or above 90% of the limit",
  IF(10*BF128*1000/3000+BG128&gt;100,"soil limit likely to be exceeded in 10yrs",
  IF(50*BF128*1000/3000+BG128&gt;100,"soil limit likely to beexceeded in 50yrs","ok")))))
))))))))</f>
        <v/>
      </c>
      <c r="BJ128" s="9"/>
      <c r="BK128" s="240" t="str">
        <f ca="1">IF(B128="","",
IF(AND('Field information 2'!$O$5="", 'Field information 2'!$Q$5=""),
   IF('Waste results'!$S$30&lt;&gt;"data missing", Calc!BC126*'Waste results'!$S$30, "data missing"),
IF('Field information 2'!$Q$5="",
   IF(Calc!BD126=0,
     IF('Waste results'!$S$30&lt;&gt;"data missing", Calc!BC126*'Waste results'!$S$30, "data missing"),
   IF(Calc!BC126=0,
     IF('Waste results'!$S$66&lt;&gt;"data missing", Calc!BD126*'Waste results'!$S$66, "data missing"),
   IF(OR('Waste results'!$S$30&lt;&gt;"data missing", 'Waste results'!$S$66&lt;&gt;"data missing"), Calc!BC126*'Waste results'!$S$30+ Calc!BD126*'Waste results'!$S$66, "data missing"))),
IF(AND('Field information 2'!$M$5&lt;&gt;"", 'Field information 2'!$O$5&lt;&gt;"", 'Field information 2'!$Q$5&lt;&gt;""),
   IF(AND(Calc!BD126=0,Calc!BE126=0),
     IF('Waste results'!$S$30&lt;&gt;"data missing", Calc!BC126*'Waste results'!$S$30, "data missing"),
   IF(AND(Calc!BC126=0,Calc!BE126=0),
     IF('Waste results'!$S$66&lt;&gt;"data missing", Calc!BD126*'Waste results'!$S$66, "data missing"),
   IF(AND(Calc!BC126=0,Calc!BD126=0),
     IF('Waste results'!$S$102&lt;&gt;"data missing", Calc!BE126*'Waste results'!$S$102, "data missing"),
   IF(Calc!BE126=0,
     IF(OR('Waste results'!$S$30&lt;&gt;"data missing", 'Waste results'!$S$66&lt;&gt;"data missing"), Calc!BC126*'Waste results'!$S$30+ Calc!BD126*'Waste results'!$S$66, "data missing"),
   IF(Calc!BD126=0,
     IF(OR('Waste results'!$S$30&lt;&gt;"data missing", 'Waste results'!$S$102&lt;&gt;"data missing"), Calc!BC126*'Waste results'!$S$30+ Calc!BE126*'Waste results'!$S$102, "data missing"),
   IF(Calc!BC126=0,
     IF(OR('Waste results'!$S$66&lt;&gt;"data missing", 'Waste results'!$S$102&lt;&gt;"data missing"), Calc!BD126*'Waste results'!$S$66+Calc!BE126*'Waste results'!$S$102, "data missing"),
   IF(OR('Waste results'!$S$30&lt;&gt;"data missing", 'Waste results'!$S$66&lt;&gt;"data missing", 'Waste results'!$S$102&lt;&gt;"data missing"), Calc!BC126*'Waste results'!$S$30+Calc!BD126*'Waste results'!$S$66+ Calc!BE126*'Waste results'!$S$102, "data missing")))))))))))</f>
        <v/>
      </c>
      <c r="BL128" s="241" t="str">
        <f ca="1">IF($B128="","",
IF(ISBLANK('Soil results'!P131),"data missing",'Soil results'!P131))</f>
        <v/>
      </c>
      <c r="BM128" s="241" t="str">
        <f t="shared" ca="1" si="48"/>
        <v/>
      </c>
      <c r="BN128" s="66" t="str">
        <f t="shared" ca="1" si="49"/>
        <v/>
      </c>
      <c r="BO128" s="9"/>
      <c r="BP128" s="238" t="str">
        <f ca="1">IF(B128="","",
IF(AND('Field information 2'!$O$5="", 'Field information 2'!$Q$5=""),
   IF('Waste results'!$S$31&lt;&gt;"data missing", Calc!BC126*'Waste results'!$S$31, "data missing"),
IF('Field information 2'!$Q$5="",
   IF(Calc!BD126=0,
     IF('Waste results'!$S$31&lt;&gt;"data missing", Calc!BC126*'Waste results'!$S$31, "data missing"),
   IF(Calc!BC126=0,
     IF('Waste results'!$S$67&lt;&gt;"data missing", Calc!BD126*'Waste results'!$S$67, "data missing"),
   IF(OR('Waste results'!$S$31&lt;&gt;"data missing", 'Waste results'!$S$67&lt;&gt;"data missing"), Calc!BC126*'Waste results'!$S$31+ Calc!BD126*'Waste results'!$S$67, "data missing"))),
IF(AND('Field information 2'!$M$5&lt;&gt;"", 'Field information 2'!$O$5&lt;&gt;"", 'Field information 2'!$Q$5&lt;&gt;""),
   IF(AND(Calc!BD126=0,Calc!BE126=0),
     IF('Waste results'!$S$31&lt;&gt;"data missing", Calc!BC126*'Waste results'!$S$31, "data missing"),
   IF(AND(Calc!BC126=0,Calc!BE126=0),
     IF('Waste results'!$S$67&lt;&gt;"data missing", Calc!BD126*'Waste results'!$S$67, "data missing"),
   IF(AND(Calc!BC126=0,Calc!BD126=0),
     IF('Waste results'!$S$103&lt;&gt;"data missing", Calc!BE126*'Waste results'!$S$103, "data missing"),
   IF(Calc!BE126=0,
     IF(OR('Waste results'!$S$31&lt;&gt;"data missing", 'Waste results'!$S$67&lt;&gt;"data missing"), Calc!BC126*'Waste results'!$S$31+ Calc!BD126*'Waste results'!$S$67, "data missing"),
   IF(Calc!BD126=0,
     IF(OR('Waste results'!$S$31&lt;&gt;"data missing", 'Waste results'!$S$103&lt;&gt;"data missing"), Calc!BC126*'Waste results'!$S$31+ Calc!BE126*'Waste results'!$S$103, "data missing"),
   IF(Calc!BC126=0,
     IF(OR('Waste results'!$S$67&lt;&gt;"data missing", 'Waste results'!$S$103&lt;&gt;"data missing"), Calc!BD126*'Waste results'!$S$67+Calc!BE126*'Waste results'!$S$103, "data missing"),
   IF(OR('Waste results'!$S$31&lt;&gt;"data missing", 'Waste results'!$S$67&lt;&gt;"data missing", 'Waste results'!$S$103&lt;&gt;"data missing"), Calc!BC126*'Waste results'!$S$31+Calc!BD126*'Waste results'!$S$67+ Calc!BE126*'Waste results'!$S$103, "data missing")))))))))))</f>
        <v/>
      </c>
      <c r="BQ128" s="239" t="str">
        <f ca="1">IF($B128="","",
IF(ISBLANK('Soil results'!Q131),"data missing",'Soil results'!Q131))</f>
        <v/>
      </c>
      <c r="BR128" s="239" t="str">
        <f t="shared" ca="1" si="50"/>
        <v/>
      </c>
      <c r="BS128" s="9" t="str">
        <f ca="1">IF(B128="","",
IF(BP128=0,"n/a",
IF(OR(BP128="data missing",BQ128=""),"data missing",
IF(BP128&gt;15,"application rate too high - permissible rate exceeds limit",
IF('Soil results'!F131&lt;=5.5,
  IF(BQ128&gt;200,"no application - soil conc. already above limit",
  IF(BR128&gt;200,"application rate too high - soil conc. will exceed limit",
  IF(BQ128&gt;200*0.9,"soil conc. is at or above 90% of the limit",
  IF(10*BP128*1000/3000+BQ128&gt;200,"soil limit likely to be exceeded in 10yrs",
  IF(50*BP128*1000/3000+BQ128&gt;200,"soil limit likely to be exceeded in 50yrs","ok"))))),
IF('Soil results'!F131&lt;=6,
  IF(BQ128&gt;250,"no application - soil conc. already above limit",
  IF(BR128&gt;250,"application rate too high - soil conc. will exceed limit",
  IF(BQ128&gt;250*0.9,"soil conc. is at or above 90% of the limit",
  IF(10*BP128*1000/3000+BQ128&gt;250,"soil limit likely to be exceeded in 10yrs",
  IF(50*BP128*1000/3000+BQ128&gt;250,"soil limit likely to be exceeded in 50yrs","ok"))))),
IF('Soil results'!F131&lt;=7,
  IF(BQ128&gt;300,"no application - soil conc. already above limit",
  IF(BR128&gt;300,"application rate too high - soil conc. will exceed limit",
  IF(BQ128&gt;300*0.9,"soil conc. is at or above 90% of the limit",
  IF(10*BP128*1000/3000+BQ128&gt;300,"soil limit likey to be exceeded in 10yrs",
  IF(50*BP128*1000/3000+BQ128&gt;300,"soil limit likely to be exceeded in 50yrs","ok"))))),
IF('Soil results'!F131&gt;7,
  IF(BQ128&gt;450,"no application - soil conc. already above limit",
  IF(BR128&gt;450,"application rate too high - soil conc. will exceed limit",
  IF(AW128&gt;450*0.9,"soil conc. is at or above 90% of the limit",
  IF(10*BP128*1000/3000+BQ128&gt;450,"soil limit likely to be exceeded in 10yrs",
  IF(50*BP128*1000/3000+BQ128&gt;450,"soil limit likely to be exceeded in 50yrs","ok")))))
))))))))</f>
        <v/>
      </c>
    </row>
    <row r="129" spans="2:71" ht="15" x14ac:dyDescent="0.25">
      <c r="B129" s="236" t="str">
        <f ca="1">'Soil results'!B132</f>
        <v/>
      </c>
      <c r="C129" s="91" t="str">
        <f ca="1">IF(B129="","",
IF(AND('Field information 2'!$O$5="", 'Field information 2'!$Q$5=""),
   IF('Waste results'!$S$12&lt;&gt;"data missing", Calc!BC127*'Waste results'!$S$12, "data missing"),
IF('Field information 2'!$Q$5="",
   IF(Calc!BD127=0,
     IF('Waste results'!$S$12&lt;&gt;"data missing", Calc!BC127*'Waste results'!$S$12, "data missing"),
   IF(Calc!BC127=0,
     IF('Waste results'!$S$48&lt;&gt;"data missing", Calc!BD127*'Waste results'!$S$48, "data missing"),
   IF(OR('Waste results'!$S$12&lt;&gt;"data missing", 'Waste results'!$S$48&lt;&gt;"data missing"), Calc!BC127*'Waste results'!$S$12+ Calc!BD127*'Waste results'!$S$48, "data missing"))),
IF(AND('Field information 2'!$M$5&lt;&gt;"", 'Field information 2'!$O$5&lt;&gt;"", 'Field information 2'!$Q$5&lt;&gt;""),
   IF(AND(Calc!BD127=0,Calc!BE127=0),
     IF('Waste results'!$S$12&lt;&gt;"data missing", Calc!BC127*'Waste results'!$S$12, "data missing"),
   IF(AND(Calc!BC127=0,Calc!BE127=0),
     IF('Waste results'!$S$48&lt;&gt;"data missing", Calc!BD127*'Waste results'!$S$48, "data missing"),
   IF(AND(Calc!BC127=0,Calc!BD127=0),
     IF('Waste results'!$S$84&lt;&gt;"data missing", Calc!BE127*'Waste results'!$S$84, "data missing"),
   IF(Calc!BE127=0,
     IF(OR('Waste results'!$S$12&lt;&gt;"data missing", 'Waste results'!$S$48&lt;&gt;"data missing"), Calc!BC127*'Waste results'!$S$12+ Calc!BD127*'Waste results'!$S$48, "data missing"),
   IF(Calc!BD127=0,
     IF(OR('Waste results'!$S$12&lt;&gt;"data missing", 'Waste results'!$S$84&lt;&gt;"data missing"), Calc!BC127*'Waste results'!$S$12+ Calc!BE127*'Waste results'!$S$84, "data missing"),
   IF(Calc!BC127=0,
     IF(OR('Waste results'!$S$48&lt;&gt;"data missing", 'Waste results'!$S$84&lt;&gt;"data missing"), Calc!BD127*'Waste results'!$S$48+Calc!BE127*'Waste results'!$S$84, "data missing"),
   IF(OR('Waste results'!$S$12&lt;&gt;"data missing", 'Waste results'!$S$48&lt;&gt;"data missing", 'Waste results'!$S$84&lt;&gt;"data missing"), Calc!BC127*'Waste results'!$S$12+Calc!BD127*'Waste results'!$S$48+ Calc!BE127*'Waste results'!$S$84, "data missing")))))))))))</f>
        <v/>
      </c>
      <c r="D129" s="161" t="str">
        <f ca="1">IF(B129="","",
IF(Calc!BG127="","soil texture missing",
IF(OR(Calc!BG127="SL; SZL; ZL",Calc!BG127="SCL; CL; ZCL; SC; ZC; C"),VLOOKUP(Calc!BI127,'Fertiliser recommendations'!$A$4:$C$63,3,FALSE),
IF(Calc!BG127="S; LS",VLOOKUP(Calc!BI127,'Fertiliser recommendations'!$A$4:$C$63,3,FALSE)+VLOOKUP(Calc!BI127,'Fertiliser recommendations'!$A$4:$D$63,4,FALSE),
IF(Calc!BG127="10-25% OM",VLOOKUP(Calc!BI127,'Fertiliser recommendations'!$A$4:$C$63,3,FALSE)+VLOOKUP(Calc!BI127,'Fertiliser recommendations'!$A$4:$E$63,5,FALSE),
IF(Calc!BG127="&gt;25% OM",VLOOKUP(Calc!BI127,'Fertiliser recommendations'!$A$4:$C$63,3,FALSE)+VLOOKUP(Calc!BI127,'Fertiliser recommendations'!$A$4:$F$63,6,FALSE),
""))))))</f>
        <v/>
      </c>
      <c r="E129" s="91" t="str">
        <f t="shared" ca="1" si="34"/>
        <v/>
      </c>
      <c r="F129" s="9" t="str">
        <f ca="1">IF(B129="","",
IF(OR(C129="data missing",D129="soil texture missing"),"data missing",
IF(Calc!BF127=0,"n/a",
IF(C129&lt;0.1*D129,"no benefit",
IF(C129&lt;0.3*D129,"limited benefit",
IF(C129&gt;250,"exceeds limit",
IF(OR(AND(D129=0,C129&gt;75),C129&gt;1.25*D129),"excessive",
IF(D129=0, "no requirement",
"benefit"))))))))</f>
        <v/>
      </c>
      <c r="G129" s="9"/>
      <c r="H129" s="91" t="str">
        <f ca="1">IF(B129="","",
IF(AND('Field information 2'!$O$5="", 'Field information 2'!$Q$5=""),
   IF('Waste results'!$S$17&lt;&gt;"data missing", Calc!BC127*'Waste results'!$S$17, "data missing"),
IF('Field information 2'!$Q$5="",
   IF(Calc!BD127=0,
     IF('Waste results'!$S$17&lt;&gt;"data missing", Calc!BC127*'Waste results'!$S$17, "data missing"),
   IF(Calc!BC127=0,
     IF('Waste results'!$S$53&lt;&gt;"data missing", Calc!BD127*'Waste results'!$S$53, "data missing"),
   IF(OR('Waste results'!$S$17&lt;&gt;"data missing", 'Waste results'!$S$53&lt;&gt;"data missing"), Calc!BC127*'Waste results'!$S$17+ Calc!BD127*'Waste results'!$S$53, "data missing"))),
IF(AND('Field information 2'!$M$5&lt;&gt;"", 'Field information 2'!$O$5&lt;&gt;"", 'Field information 2'!$Q$5&lt;&gt;""),
   IF(AND(Calc!BD127=0,Calc!BE127=0),
     IF('Waste results'!$S$17&lt;&gt;"data missing", Calc!BC127*'Waste results'!$S$17, "data missing"),
   IF(AND(Calc!BC127=0,Calc!BE127=0),
     IF('Waste results'!$S$53&lt;&gt;"data missing", Calc!BD127*'Waste results'!$S$53, "data missing"),
   IF(AND(Calc!BC127=0,Calc!BD127=0),
     IF('Waste results'!$S$89&lt;&gt;"data missing", Calc!BE127*'Waste results'!$S$89, "data missing"),
   IF(Calc!BE127=0,
     IF(OR('Waste results'!$S$17&lt;&gt;"data missing", 'Waste results'!$S$53&lt;&gt;"data missing"), Calc!BC127*'Waste results'!$S$17+ Calc!BD127*'Waste results'!$S$53, "data missing"),
   IF(Calc!BD127=0,
     IF(OR('Waste results'!$S$17&lt;&gt;"data missing", 'Waste results'!$S$89&lt;&gt;"data missing"), Calc!BC127*'Waste results'!$S$17+ Calc!BE127*'Waste results'!$S$89, "data missing"),
   IF(Calc!BC127=0,
     IF(OR('Waste results'!$S$53&lt;&gt;"data missing", 'Waste results'!$S$89&lt;&gt;"data missing"), Calc!BD127*'Waste results'!$S$53+Calc!BE127*'Waste results'!$S$89, "data missing"),
   IF(OR('Waste results'!$S$17&lt;&gt;"data missing", 'Waste results'!$S$53&lt;&gt;"data missing", 'Waste results'!$S$89&lt;&gt;"data missing"), Calc!BC127*'Waste results'!$S$17+Calc!BD127*'Waste results'!$S$53+ Calc!BE127*'Waste results'!$S$89, "data missing")))))))))))</f>
        <v/>
      </c>
      <c r="I129" s="195" t="str">
        <f ca="1">IF(B129="","",
IF(OR(ISBLANK('Soil results'!G132), ISBLANK('Soil results'!G$7)),"data missing",
IF(OR(AND('Soil results'!G$7="Olsen (ADAS)",'Soil results'!G132&lt;16),AND('Soil results'!G$7="modified Morgan (SAC)",'Soil results'!G132&lt;4.5)),50,100)))</f>
        <v/>
      </c>
      <c r="J129" s="49" t="str">
        <f ca="1">IF(B129="","",
IF(OR(ISBLANK('Soil results'!G$7),ISBLANK('Soil results'!G132)),"data missing",
IF(OR(AND('Soil results'!G$7="Olsen (ADAS)",'Soil results'!G132&gt;45),AND('Soil results'!G$7="modified Morgan (SAC)",'Soil results'!G132&gt;30)),0,
IF(OR(AND('Soil results'!G$7="Olsen (ADAS)",'Soil results'!G132&gt;=16,'Soil results'!G132&lt;=20),AND('Soil results'!G$7="modified Morgan (SAC)",'Soil results'!G132&gt;=4.5,'Soil results'!G132&lt;=9.4)),VLOOKUP(Calc!BI127,'Fertiliser recommendations'!$A$4:$I$63,9,FALSE),
IF(OR(AND('Soil results'!G$7="Olsen (ADAS)",'Soil results'!G132&lt;10),AND('Soil results'!G$7="modified Morgan (SAC)",'Soil results'!G132&lt;1.8)),VLOOKUP(Calc!BI127,'Fertiliser recommendations'!$A$4:$I$63,9,FALSE)+VLOOKUP(Calc!BI127,'Fertiliser recommendations'!$A$4:$J$63,10,FALSE),
IF(OR(AND('Soil results'!G$7="Olsen (ADAS)",'Soil results'!G132&lt;16),AND('Soil results'!G$7="modified Morgan (SAC)",'Soil results'!G132&lt;4.5)),VLOOKUP(Calc!BI127,'Fertiliser recommendations'!$A$4:$I$63,9,FALSE)+VLOOKUP(Calc!BI127,'Fertiliser recommendations'!$A$4:$K$63,11,FALSE),
IF(OR(AND('Soil results'!G$7="Olsen (ADAS)",'Soil results'!G132&lt;26),AND('Soil results'!G$7="modified Morgan (SAC)",'Soil results'!G132&lt;13.5)),VLOOKUP(Calc!BI127,'Fertiliser recommendations'!$A$4:$I$63,9,FALSE)+VLOOKUP(Calc!BI127,'Fertiliser recommendations'!$A$4:$L$63,12,FALSE),
IF(OR(AND('Soil results'!G$7="Olsen (ADAS)",'Soil results'!G132&lt;=45),AND('Soil results'!G$7="modified Morgan (SAC)",'Soil results'!G132&lt;=30)),VLOOKUP(Calc!BI127,'Fertiliser recommendations'!$A$4:$I$63,9,FALSE)+VLOOKUP(Calc!BI127,'Fertiliser recommendations'!$A$4:$M$63,13,FALSE),
""))))))))</f>
        <v/>
      </c>
      <c r="K129" s="161" t="str">
        <f t="shared" ca="1" si="35"/>
        <v/>
      </c>
      <c r="L129" s="47" t="str">
        <f ca="1">IF(OR(ISBLANK('Soil results'!G$7),ISBLANK('Soil results'!G132),B129="", H129="data missing"),"",
IF('Soil results'!G$7="Olsen (ADAS)",
IF(((H129*Calc!BM127/2.291-(VLOOKUP(Calc!BI127,'Fertiliser recommendations'!$A$4:$I$63,9,FALSE))/2.291)*10/(400/2.291)+'Soil results'!G132)&lt;10,"0 (VL)",
IF(((H129*Calc!BM127/2.291-(VLOOKUP(Calc!BI127,'Fertiliser recommendations'!$A$4:$I$63,9,FALSE))/2.291)*10/(400/2.291)+'Soil results'!G132)&lt;16,"1 (L)",
IF(((H129*Calc!BM127/2.291-(VLOOKUP(Calc!BI127,'Fertiliser recommendations'!$A$4:$I$63,9,FALSE))/2.291)*10/(400/2.291)+'Soil results'!G132)&lt;21,"2 (M-)",
IF(((H129*Calc!BM127/2.291-(VLOOKUP(Calc!BI127,'Fertiliser recommendations'!$A$4:$I$63,9,FALSE))/2.291)*10/(400/2.291)+'Soil results'!G132)&lt;26,"2 (M+)",
IF(((H129*Calc!BM127/2.291-(VLOOKUP(Calc!BI127,'Fertiliser recommendations'!$A$4:$I$63,9,FALSE))/2.291)*10/(400/2.291)+'Soil results'!G132)&lt;45,"3 (H)","&gt;3 (VH)"))))),
IF('Soil results'!G$7="modified Morgan (SAC)",
IF('Soil results'!G132&gt;=6,
IF(((H129*Calc!BM127/2.291-(VLOOKUP(Calc!BI127,'Fertiliser recommendations'!$A$4:$I$63,9,FALSE))/2.291)*5/(147/2.291)+'Soil results'!G132)&lt;9.5,"2 (M-)",
IF(((H129*Calc!BM127/2.291-(VLOOKUP(Calc!BI127,'Fertiliser recommendations'!$A$4:$I$63,9,FALSE))/2.291)*5/(147/2.291)+'Soil results'!G132)&lt;13.5,"2 (M+)",
IF(((H129*Calc!BM127/2.291-(VLOOKUP(Calc!BI127,'Fertiliser recommendations'!$A$4:$I$63,9,FALSE))/2.291)*5/(147/2.291)+'Soil results'!G132)&lt;30,"3 (H)","4 (VH)"))),
IF(((H129*Calc!BM127/2.291-(VLOOKUP(Calc!BI127,'Fertiliser recommendations'!$A$4:$I$63,9,FALSE))/2.291)*5/(346/2.291)+'Soil results'!G132)&lt;1.8,"0 (VL)",
IF(((H129*Calc!BM127/2.291-(VLOOKUP(Calc!BI127,'Fertiliser recommendations'!$A$4:$I$63,9,FALSE))/2.291)*5/(147/2.291)+'Soil results'!G132)&lt;4.5,"1 (L)","2 (M-)"))))))</f>
        <v/>
      </c>
      <c r="M129" s="9" t="str">
        <f ca="1">IF(B129="","",
IF(OR(H129="data missing",I129="data missing",J129="data missing"),"data missing",
IF(Calc!BF127=0,"n/a",
IF(OR(AND('Soil results'!G$7="Olsen (ADAS)",'Soil results'!G132&gt;45),AND('Soil results'!G$7="modified Morgan (SAC)",'Soil results'!G132&gt;30)),
IF(H129&gt;2,"too high, not acceptable","no requirement"),IF(OR(AND('Soil results'!G$7="Olsen (ADAS)",'Soil results'!G132&gt;25),AND('Soil results'!G$7="modified Morgan (SAC)",'Soil results'!G132&gt;13.4)),
IF(H129*(I129/100)&lt;0.1*J129,"no benefit",
IF(H129*(I129/100)&lt;0.3*J129,"limited benefit",
IF(H129*(I129/100)&lt;1.1*J129,"benefit",
IF(H129*(I129/100)&lt;0.7*VLOOKUP(Calc!BI127,'Fertiliser recommendations'!$A$4:$I$63,9,FALSE),"excessive","too high, not acceptable")))),
IF(OR(AND('Soil results'!G$7="Olsen (ADAS)",'Soil results'!G132&gt;20),AND('Soil results'!G$7="modified Morgan (SAC)",'Soil results'!G132&gt;9.4)),
IF(H129*Calc!BM127*(I129/100)&lt;0.1*J129,"no benefit",
IF(H129*Calc!BM127*(I129/100)&lt;0.3*J129,"limited benefit",
IF(H129*Calc!BM127*(I129/100)&lt;1.1*J129,"benefit",
IF(L129="3 (H)","too high, not acceptable","excessive")))),
IF(OR(AND('Soil results'!G$7="Olsen (ADAS)",'Soil results'!G132&gt;15),AND('Soil results'!G$7="modified Morgan (SAC)",'Soil results'!G132&gt;4.4)),
IF(H129*Calc!BM127*(I129/100)&lt;0.1*VLOOKUP(Calc!BI127,'Fertiliser recommendations'!$A$4:$I$63,9,FALSE),"no benefit",
IF(H129*Calc!BM127*(I129/100)&lt;0.3*VLOOKUP(Calc!BI127,'Fertiliser recommendations'!$A$4:$I$63,9,FALSE),"limited benefit",
IF(H129*Calc!BM127*(I129/100)&lt;1.1*VLOOKUP(Calc!BI127,'Fertiliser recommendations'!$A$4:$I$63,9,FALSE),"benefit",
IF(L129="3 (H)", "too high, not acceptable", "excessive")))),
IF(OR(AND('Soil results'!G$7="Olsen (ADAS)",'Soil results'!G132&lt;=15),AND('Soil results'!G$7="modified Morgan (SAC)",'Soil results'!G132&lt;=4.4)),
IF(H129*Calc!BM127*(I129/100)&lt;0.1*VLOOKUP(Calc!BI127,'Fertiliser recommendations'!$A$4:$I$63,9,FALSE),"no benefit",
IF(H129*Calc!BM127*(I129/100)&lt;0.3*VLOOKUP(Calc!BI127,'Fertiliser recommendations'!$A$4:$I$63,9,FALSE),"limited benefit",
IF(H129*Calc!BM127*(I129/100)&lt;1.1*J129,"benefit","excessive")))))))))))</f>
        <v/>
      </c>
      <c r="N129" s="9"/>
      <c r="O129" s="91" t="str">
        <f ca="1">IF(B129="","",
IF(AND('Field information 2'!$O$5="", 'Field information 2'!$Q$5=""),
   IF('Waste results'!$S$19&lt;&gt;"data missing", Calc!BC127*'Waste results'!$S$19, "data missing"),
IF('Field information 2'!$Q$5="",
   IF(Calc!BD127=0,
     IF('Waste results'!$S$19&lt;&gt;"data missing", Calc!BC127*'Waste results'!$S$19, "data missing"),
   IF(Calc!BC127=0,
     IF('Waste results'!$S$55&lt;&gt;"data missing", Calc!BD127*'Waste results'!$S$55, "data missing"),
   IF(OR('Waste results'!$S$19&lt;&gt;"data missing", 'Waste results'!$S$55&lt;&gt;"data missing"), Calc!BC127*'Waste results'!$S$19+ Calc!BD127*'Waste results'!$S$55, "data missing"))),
IF(AND('Field information 2'!$M$5&lt;&gt;"", 'Field information 2'!$O$5&lt;&gt;"", 'Field information 2'!$Q$5&lt;&gt;""),
   IF(AND(Calc!BD127=0,Calc!BE127=0),
     IF('Waste results'!$S$19&lt;&gt;"data missing", Calc!BC127*'Waste results'!$S$19, "data missing"),
   IF(AND(Calc!BC127=0,Calc!BE127=0),
     IF('Waste results'!$S$55&lt;&gt;"data missing", Calc!BD127*'Waste results'!$S$55, "data missing"),
   IF(AND(Calc!BC127=0,Calc!BD127=0),
     IF('Waste results'!$S$91&lt;&gt;"data missing", Calc!BE127*'Waste results'!$S$91, "data missing"),
   IF(Calc!BE127=0,
     IF(OR('Waste results'!$S$19&lt;&gt;"data missing", 'Waste results'!$S$55&lt;&gt;"data missing"), Calc!BC127*'Waste results'!$S$19+ Calc!BD127*'Waste results'!$S$55, "data missing"),
   IF(Calc!BD127=0,
     IF(OR('Waste results'!$S$19&lt;&gt;"data missing", 'Waste results'!$S$91&lt;&gt;"data missing"), Calc!BC127*'Waste results'!$S$19+ Calc!BE127*'Waste results'!$S$91, "data missing"),
   IF(Calc!BC127=0,
     IF(OR('Waste results'!$S$55&lt;&gt;"data missing", 'Waste results'!$S$91&lt;&gt;"data missing"), Calc!BD127*'Waste results'!$S$55+Calc!BE127*'Waste results'!$S$91, "data missing"),
   IF(OR('Waste results'!$S$19&lt;&gt;"data missing", 'Waste results'!$S$55&lt;&gt;"data missing", 'Waste results'!$S$91&lt;&gt;"data missing"), Calc!BC127*'Waste results'!$S$19+Calc!BD127*'Waste results'!$S$55+ Calc!BE127*'Waste results'!$S$91, "data missing")))))))))))</f>
        <v/>
      </c>
      <c r="P129" s="91" t="str">
        <f ca="1">IF(B129="","",
IF(OR(ISBLANK('Soil results'!H$7),ISBLANK('Soil results'!H132)),"data missing",
IF(OR(AND('Soil results'!H$7="ammonium nitrate (ADAS)",'Soil results'!H132&gt;400),AND('Soil results'!H$7="modified Morgan (SAC)",'Soil results'!H132&gt;400)),0,
IF(OR(AND('Soil results'!H$7="ammonium nitrate (ADAS)",'Soil results'!H132&gt;=121,'Soil results'!H132&lt;=180),AND('Soil results'!H$7="modified Morgan (SAC)",'Soil results'!H132&gt;=76,'Soil results'!H132&lt;=140)),VLOOKUP(Calc!BI127,'Fertiliser recommendations'!$A$4:$Z$63,26,FALSE),
IF(OR(AND('Soil results'!H$7="ammonium nitrate (ADAS)",'Soil results'!H132&lt;61),AND('Soil results'!H$7="modified Morgan (SAC)",'Soil results'!H132&lt;40)),VLOOKUP(Calc!BI127,'Fertiliser recommendations'!$A$4:$Z$63,26,FALSE)+VLOOKUP(Calc!BI127,'Fertiliser recommendations'!$A$4:$AA$63,27,FALSE),
IF(OR(AND('Soil results'!H$7="ammonium nitrate (ADAS)",'Soil results'!H132&lt;121),AND('Soil results'!H$7="modified Morgan (SAC)",'Soil results'!H132&lt;76)),VLOOKUP(Calc!BI127,'Fertiliser recommendations'!$A$4:$Z$63,26,FALSE)+VLOOKUP(Calc!BI127,'Fertiliser recommendations'!$A$4:$AB$63,28,FALSE),
IF(OR(AND('Soil results'!H$7="ammonium nitrate (ADAS)",'Soil results'!H132&lt;241),AND('Soil results'!H$7="modified Morgan (SAC)",'Soil results'!H132&lt;201)),VLOOKUP(Calc!BI127,'Fertiliser recommendations'!$A$4:$Z$63,26,FALSE)+VLOOKUP(Calc!BI127,'Fertiliser recommendations'!$A$4:$AC$63,29,FALSE),
IF(OR(AND('Soil results'!H$7="ammonium nitrate (ADAS)",'Soil results'!H132&lt;=400),AND('Soil results'!H$7="modified Morgan (SAC)",'Soil results'!H132&lt;=400)),VLOOKUP(Calc!BI127,'Fertiliser recommendations'!$A$4:$Z$63,26,FALSE)+VLOOKUP(Calc!BI127,'Fertiliser recommendations'!$A$4:$AD$63,30,FALSE),
"??"))))))))</f>
        <v/>
      </c>
      <c r="Q129" s="91" t="str">
        <f t="shared" ca="1" si="36"/>
        <v/>
      </c>
      <c r="R129" s="9" t="str">
        <f ca="1">IF(B129="","",
IF(OR(O129="data missing",P129="data missing"),"data missing",
IF(Calc!BF127=0,"n/a",
IF(P129=0, "no requirement",
IF(O129&lt;0.1*P129,"no benefit",
IF(O129&lt;0.3*P129,"limited benefit",
IF(O129&gt;1.25*P129,"excessive",
"benefit")))))))</f>
        <v/>
      </c>
      <c r="S129" s="9"/>
      <c r="T129" s="91" t="str">
        <f ca="1">IF(B129="","",
IF(AND('Field information 2'!$O$5="", 'Field information 2'!$Q$5=""),
   IF('Waste results'!$S$21&lt;&gt;"data missing", Calc!BC127*'Waste results'!$S$21, "data missing"),
IF('Field information 2'!$Q$5="",
   IF(Calc!BD127=0,
     IF('Waste results'!$S$21&lt;&gt;"data missing", Calc!BC127*'Waste results'!$S$21, "data missing"),
   IF(Calc!BC127=0,
     IF('Waste results'!$S$57&lt;&gt;"data missing", Calc!BD127*'Waste results'!$S$57, "data missing"),
   IF(OR('Waste results'!$S$21&lt;&gt;"data missing", 'Waste results'!$S$57&lt;&gt;"data missing"), Calc!BC127*'Waste results'!$S$21+ Calc!BD127*'Waste results'!$S$57, "data missing"))),
IF(AND('Field information 2'!$M$5&lt;&gt;"", 'Field information 2'!$O$5&lt;&gt;"", 'Field information 2'!$Q$5&lt;&gt;""),
   IF(AND(Calc!BD127=0,Calc!BE127=0),
     IF('Waste results'!$S$21&lt;&gt;"data missing", Calc!BC127*'Waste results'!$S$21, "data missing"),
   IF(AND(Calc!BC127=0,Calc!BE127=0),
     IF('Waste results'!$S$57&lt;&gt;"data missing", Calc!BD127*'Waste results'!$S$57, "data missing"),
   IF(AND(Calc!BC127=0,Calc!BD127=0),
     IF('Waste results'!$S$93&lt;&gt;"data missing", Calc!BE127*'Waste results'!$S$93, "data missing"),
   IF(Calc!BE127=0,
     IF(OR('Waste results'!$S$21&lt;&gt;"data missing", 'Waste results'!$S$57&lt;&gt;"data missing"), Calc!BC127*'Waste results'!$S$21+ Calc!BD127*'Waste results'!$S$57, "data missing"),
   IF(Calc!BD127=0,
     IF(OR('Waste results'!$S$21&lt;&gt;"data missing", 'Waste results'!$S$93&lt;&gt;"data missing"), Calc!BC127*'Waste results'!$S$21+ Calc!BE127*'Waste results'!$S$93, "data missing"),
   IF(Calc!BC127=0,
     IF(OR('Waste results'!$S$57&lt;&gt;"data missing", 'Waste results'!$S$93&lt;&gt;"data missing"), Calc!BD127*'Waste results'!$S$57+Calc!BE127*'Waste results'!$S$93, "data missing"),
   IF(OR('Waste results'!$S$21&lt;&gt;"data missing", 'Waste results'!$S$57&lt;&gt;"data missing", 'Waste results'!$S$93&lt;&gt;"data missing"), Calc!BC127*'Waste results'!$S$21+Calc!BD127*'Waste results'!$S$57+ Calc!BE127*'Waste results'!$S$93, "data missing")))))))))))</f>
        <v/>
      </c>
      <c r="U129" s="7" t="str">
        <f ca="1">IF(B129="","",
IF(OR(ISBLANK('Soil results'!I$7),ISBLANK('Soil results'!I132)),"data missing",
IF(OR(AND('Soil results'!I$7="ammonium nitrate (ADAS)",'Soil results'!I132&gt;51),AND('Soil results'!I$7="modified Morgan (SAC)",'Soil results'!I132&gt;61)),0,
IF(OR(AND('Soil results'!I$7="ammonium nitrate (ADAS)",'Soil results'!I132&lt;25),AND('Soil results'!I$7="modified Morgan (SAC)",'Soil results'!I132&lt;19)),VLOOKUP(Calc!BI127,'Fertiliser recommendations'!$A$4:$AH$63,34,FALSE),
IF(OR(AND('Soil results'!I$7="ammonium nitrate (ADAS)",'Soil results'!I132&lt;=51),AND('Soil results'!I$7="modified Morgan (SAC)",'Soil results'!I132&lt;=61)),VLOOKUP(Calc!BI127,'Fertiliser recommendations'!$A$4:$AI$63,35,FALSE),
"")))))</f>
        <v/>
      </c>
      <c r="V129" s="91" t="str">
        <f t="shared" ca="1" si="37"/>
        <v/>
      </c>
      <c r="W129" s="9" t="str">
        <f ca="1">IF(B129="","",
IF(OR(T129="data missing",U129="data missing"),"data missing",
IF(Calc!BF127=0,"n/a",
IF(U129=0,"no requirement",
IF(T129&lt;0.1*U129,"no benefit",
IF(T129&lt;0.3*U129,"limited benefit",
IF(OR(T129&gt;1.5*U129,AND(Calc!BJ127="g",T129&gt;100)),"excessive",
"benefit")))))))</f>
        <v/>
      </c>
      <c r="X129" s="9"/>
      <c r="Y129" s="91" t="str">
        <f ca="1">IF(B129="","",
IF(AND('Field information 2'!$O$5="", 'Field information 2'!$Q$5=""),
   IF('Waste results'!$P$23&lt;&gt;"", Calc!BC127*'Waste results'!$P$23, "no data"),
IF('Field information 2'!$Q$5="",
   IF(Calc!BD127=0,
     IF('Waste results'!$P$23&lt;&gt;"", Calc!BC127*'Waste results'!$P$23, "no data"),
   IF(Calc!BC127=0,
     IF('Waste results'!$P$59&lt;&gt;"", Calc!BD127*'Waste results'!$P$59, "no data"),
   IF(OR('Waste results'!$P$23&lt;&gt;"", 'Waste results'!$P$59&lt;&gt;""), Calc!BC127*'Waste results'!$P$23+ Calc!BD127*'Waste results'!$P$59, "no data"))),
IF(AND('Field information 2'!$M$5&lt;&gt;"", 'Field information 2'!$O$5&lt;&gt;"", 'Field information 2'!$Q$5&lt;&gt;""),
   IF(AND(Calc!BD127=0,Calc!BE127=0),
     IF('Waste results'!$P$23&lt;&gt;"", Calc!BC127*'Waste results'!$P$23, "no data"),
   IF(AND(Calc!BC127=0,Calc!BE127=0),
     IF('Waste results'!$P$59&lt;&gt;"", Calc!BD127*'Waste results'!$P$59, "no data"),
   IF(AND(Calc!BC127=0,Calc!BD127=0),
     IF('Waste results'!$P$95&lt;&gt;"", Calc!BE127*'Waste results'!$P$95, "no data"),
   IF(Calc!BE127=0,
     IF(OR('Waste results'!$P$23&lt;&gt;"", 'Waste results'!$P$59&lt;&gt;""), Calc!BC127*'Waste results'!$P$23+ Calc!BD127*'Waste results'!$P$59, "no data"),
   IF(Calc!BD127=0,
     IF(OR('Waste results'!$P$23&lt;&gt;"", 'Waste results'!$P$95&lt;&gt;""), Calc!BC127*'Waste results'!$P$23+ Calc!BE127*'Waste results'!$P$95, "no data"),
   IF(Calc!BC127=0,
     IF(OR('Waste results'!$P$59&lt;&gt;"", 'Waste results'!$P$95&lt;&gt;""), Calc!BD127*'Waste results'!$P$59+Calc!BE127*'Waste results'!$P$95, "no data"),
   IF(OR('Waste results'!$P$23&lt;&gt;"", 'Waste results'!$P$59&lt;&gt;"", 'Waste results'!$P$95&lt;&gt;""), Calc!BC127*'Waste results'!$P$23+Calc!BD127*'Waste results'!$P$59+ Calc!BE127*'Waste results'!$P$95, "no data")))))))))))</f>
        <v/>
      </c>
      <c r="Z129" s="7" t="str">
        <f ca="1">IF(OR(ISBLANK('Soil results'!I$7),ISBLANK('Soil results'!I132),'Soil results'!B132=""),"",
VLOOKUP(Calc!BI127,'Fertiliser recommendations'!$A$4:$AM$63,39,FALSE))</f>
        <v/>
      </c>
      <c r="AA129" s="91" t="str">
        <f t="shared" ca="1" si="38"/>
        <v/>
      </c>
      <c r="AB129" s="9" t="str">
        <f t="shared" ca="1" si="39"/>
        <v/>
      </c>
      <c r="AC129" s="9"/>
      <c r="AD129" s="48" t="str">
        <f>IF(ISBLANK('Soil results'!F132),"",'Soil results'!F132)</f>
        <v/>
      </c>
      <c r="AE129" s="49" t="str">
        <f ca="1">IF(B129="","",
IF(AND(Calc!BJ127="g", VLOOKUP(LEFT($B129,LEN($B129)-2),'Field information 2'!$B$12:$P$111,9,FALSE)&lt;&gt;"yes"),
 IF(Calc!BG127="10-25% OM", 5.9, IF(Calc!BG127="&gt;25% OM", 5.5, 6.2)),
IF(OR(Calc!BJ127="a", VLOOKUP(LEFT($B129,LEN($B129)-2),'Field information 2'!$B$12:$P$111,9,FALSE)="yes"),
 IF(Calc!BG127="10-25% OM", 6.4, IF(Calc!BG127="&gt;25% OM", 6, 6.7)), "")))</f>
        <v/>
      </c>
      <c r="AF129" s="91" t="str">
        <f ca="1">IF(B129="","",
IF('Waste results'!$Q$33="","no (significant) liming properties",
IF('Waste results'!Q$33&gt;100,"no (significant) liming properties",
IF(AD129="","",
IF(AD129&gt;=AE129,0,ROUNDDOWN((AE129-AD129)*Calc!BK127*'Waste results'!$Q$33+0.2,0))))))</f>
        <v/>
      </c>
      <c r="AG129" s="9" t="str">
        <f ca="1">IF(B129="","",
IF(T129=0,"n/a",
IF(AD129="","data missing",
IF(AND(AD129&lt;5,AF129="no (significant) liming properties"),"no waste application - pH too low",
IF(AND(AD129&gt;5.1,AF129="no (significant) liming properties",Calc!BH127&gt;25, LEFT(Calc!BI127,4)="graz"),"ok",
IF(AND(AD129&lt;=5.2,AF129="no (significant) liming properties"),"liming highly recommended",
IF(AF129=0,"no waste application - liming not required",
IF(AF129&lt;Calc!BC127,"application rate too high - exceeds liming requirement",
"ok"))))))))</f>
        <v/>
      </c>
      <c r="AH129" s="9"/>
      <c r="AI129" s="91" t="str">
        <f ca="1">IF(B129="","",
IF(AND('Field information 2'!$O$5="", 'Field information 2'!$Q$5=""),
   IF('Waste results'!$P$10&lt;&gt;"data missing", Calc!BC127*'Waste results'!$P$10, "data missing"),
IF('Field information 2'!$Q$5="",
   IF(Calc!BD127=0,
     IF('Waste results'!$P$10&lt;&gt;"data missing", Calc!BC127*'Waste results'!$P$10, "data missing"),
   IF(Calc!BC127=0,
     IF('Waste results'!$P$45&lt;&gt;"data missing", Calc!BD127*'Waste results'!$P$45, "data missing"),
   IF(OR('Waste results'!$P$10&lt;&gt;"data missing", 'Waste results'!$P$45&lt;&gt;"data missing"), Calc!BC127*'Waste results'!$P$10+ Calc!BD127*'Waste results'!$P$45, "data missing"))),
IF(AND('Field information 2'!$M$5&lt;&gt;"", 'Field information 2'!$O$5&lt;&gt;"", 'Field information 2'!$Q$5&lt;&gt;""),
   IF(AND(Calc!BD127=0,Calc!BE127=0),
     IF('Waste results'!$P$10&lt;&gt;"data missing", Calc!BC127*'Waste results'!$P$10, "data missing"),
   IF(AND(Calc!BC127=0,Calc!BE127=0),
     IF('Waste results'!$P$45&lt;&gt;"data missing", Calc!BD127*'Waste results'!$P$45, "data missing"),
   IF(AND(Calc!BC127=0,Calc!BD127=0),
     IF('Waste results'!$P$82&lt;&gt;"data missing", Calc!BE127*'Waste results'!$P$82, "data missing"),
   IF(Calc!BE127=0,
     IF(OR('Waste results'!$P$10&lt;&gt;"data missing", 'Waste results'!$P$45&lt;&gt;"data missing"), Calc!BC127*'Waste results'!$P$10+ Calc!BD127*'Waste results'!$P$45, "data missing"),
   IF(Calc!BD127=0,
     IF(OR('Waste results'!$P$10&lt;&gt;"data missing", 'Waste results'!$P$82&lt;&gt;"data missing"), Calc!BC127*'Waste results'!$P$10+ Calc!BE127*'Waste results'!$P$82, "data missing"),
   IF(Calc!BC127=0,
     IF(OR('Waste results'!$P$45&lt;&gt;"data missing", 'Waste results'!$P$82&lt;&gt;"data missing"), Calc!BD127*'Waste results'!$P$45+Calc!BE127*'Waste results'!$P$82, "data missing"),
   IF(OR('Waste results'!$P$10&lt;&gt;"data missing", 'Waste results'!$P$45&lt;&gt;"data missing", 'Waste results'!$P$82&lt;&gt;"data missing"), Calc!BC127*'Waste results'!$P$10+Calc!BD127*'Waste results'!$P$45+ Calc!BE127*'Waste results'!$P$82, "data missing")))))))))))</f>
        <v/>
      </c>
      <c r="AJ129" s="237" t="str">
        <f ca="1">IF(B129="","",
IF(AI129="data missing","data missing",
IF(Calc!BF127=0,"n/a",
IF(AND(Calc!BH127&gt;=8,AI129&lt;500),"no benefit",
IF(OR(AND(Calc!BH127&lt;=4,AI129&gt;=500),AND(Calc!BH127&lt;8,AI129&gt;5000)),"benefit",
"limited benefit")))))</f>
        <v/>
      </c>
      <c r="AK129" s="9"/>
      <c r="AL129" s="238" t="str">
        <f ca="1">IF(B129="","",
IF(AND('Field information 2'!$O$5="", 'Field information 2'!$Q$5=""),
   IF('Waste results'!$S$25&lt;&gt;"data missing", Calc!BC127*'Waste results'!$S$25, "data missing"),
IF('Field information 2'!$Q$5="",
   IF(Calc!BD127=0,
     IF('Waste results'!$S$25&lt;&gt;"data missing", Calc!BC127*'Waste results'!$S$25, "data missing"),
   IF(Calc!BC127=0,
     IF('Waste results'!$S$61&lt;&gt;"data missing", Calc!BD127*'Waste results'!$S$61, "data missing"),
   IF(OR('Waste results'!$S$25&lt;&gt;"data missing", 'Waste results'!$S$61&lt;&gt;"data missing"), Calc!BC127*'Waste results'!$S$25+ Calc!BD127*'Waste results'!$S$61, "data missing"))),
IF(AND('Field information 2'!$M$5&lt;&gt;"", 'Field information 2'!$O$5&lt;&gt;"", 'Field information 2'!$Q$5&lt;&gt;""),
   IF(AND(Calc!BD127=0,Calc!BE127=0),
     IF('Waste results'!$S$25&lt;&gt;"data missing", Calc!BC127*'Waste results'!$S$25, "data missing"),
   IF(AND(Calc!BC127=0,Calc!BE127=0),
     IF('Waste results'!$S$61&lt;&gt;"data missing", Calc!BD127*'Waste results'!$S$61, "data missing"),
   IF(AND(Calc!BC127=0,Calc!BD127=0),
     IF('Waste results'!$S$97&lt;&gt;"data missing", Calc!BE127*'Waste results'!$S$97, "data missing"),
   IF(Calc!BE127=0,
     IF(OR('Waste results'!$S$25&lt;&gt;"data missing", 'Waste results'!$S$61&lt;&gt;"data missing"), Calc!BC127*'Waste results'!$S$25+ Calc!BD127*'Waste results'!$S$61, "data missing"),
   IF(Calc!BD127=0,
     IF(OR('Waste results'!$S$25&lt;&gt;"data missing", 'Waste results'!$S$97&lt;&gt;"data missing"), Calc!BC127*'Waste results'!$S$25+ Calc!BE127*'Waste results'!$S$97, "data missing"),
   IF(Calc!BC127=0,
     IF(OR('Waste results'!$S$61&lt;&gt;"data missing", 'Waste results'!$S$97&lt;&gt;"data missing"), Calc!BD127*'Waste results'!$S$61+Calc!BE127*'Waste results'!$S$97, "data missing"),
   IF(OR('Waste results'!$S$25&lt;&gt;"data missing", 'Waste results'!$S$61&lt;&gt;"data missing", 'Waste results'!$S$97&lt;&gt;"data missing"), Calc!BC127*'Waste results'!$S$25+Calc!BD127*'Waste results'!$S$61+ Calc!BE127*'Waste results'!$S$97, "data missing")))))))))))</f>
        <v/>
      </c>
      <c r="AM129" s="239" t="str">
        <f ca="1">IF($B129="","",
IF(ISBLANK('Soil results'!K132),"data missing",'Soil results'!K132))</f>
        <v/>
      </c>
      <c r="AN129" s="239" t="str">
        <f t="shared" ca="1" si="40"/>
        <v/>
      </c>
      <c r="AO129" s="9" t="str">
        <f t="shared" ca="1" si="41"/>
        <v/>
      </c>
      <c r="AP129" s="9"/>
      <c r="AQ129" s="240" t="str">
        <f ca="1">IF(B129="","",
IF(AND('Field information 2'!$O$5="", 'Field information 2'!$Q$5=""),
   IF('Waste results'!$S$26&lt;&gt;"data missing", Calc!BC127*'Waste results'!$S$26, "data missing"),
IF('Field information 2'!$Q$5="",
   IF(Calc!BD127=0,
     IF('Waste results'!$S$26&lt;&gt;"data missing", Calc!BC127*'Waste results'!$S$26, "data missing"),
   IF(Calc!BC127=0,
     IF('Waste results'!$S$62&lt;&gt;"data missing", Calc!BD127*'Waste results'!$S$62, "data missing"),
   IF(OR('Waste results'!$S$26&lt;&gt;"data missing", 'Waste results'!$S$62&lt;&gt;"data missing"), Calc!BC127*'Waste results'!$S$26+ Calc!BD127*'Waste results'!$S$62, "data missing"))),
IF(AND('Field information 2'!$M$5&lt;&gt;"", 'Field information 2'!$O$5&lt;&gt;"", 'Field information 2'!$Q$5&lt;&gt;""),
   IF(AND(Calc!BD127=0,Calc!BE127=0),
     IF('Waste results'!$S$26&lt;&gt;"data missing", Calc!BC127*'Waste results'!$S$26, "data missing"),
   IF(AND(Calc!BC127=0,Calc!BE127=0),
     IF('Waste results'!$S$62&lt;&gt;"data missing", Calc!BD127*'Waste results'!$S$62, "data missing"),
   IF(AND(Calc!BC127=0,Calc!BD127=0),
     IF('Waste results'!$S$98&lt;&gt;"data missing", Calc!BE127*'Waste results'!$S$98, "data missing"),
   IF(Calc!BE127=0,
     IF(OR('Waste results'!$S$26&lt;&gt;"data missing", 'Waste results'!$S$62&lt;&gt;"data missing"), Calc!BC127*'Waste results'!$S$26+ Calc!BD127*'Waste results'!$S$62, "data missing"),
   IF(Calc!BD127=0,
     IF(OR('Waste results'!$S$26&lt;&gt;"data missing", 'Waste results'!$S$98&lt;&gt;"data missing"), Calc!BC127*'Waste results'!$S$26+ Calc!BE127*'Waste results'!$S$98, "data missing"),
   IF(Calc!BC127=0,
     IF(OR('Waste results'!$S$62&lt;&gt;"data missing", 'Waste results'!$S$98&lt;&gt;"data missing"), Calc!BD127*'Waste results'!$S$62+Calc!BE127*'Waste results'!$S$98, "data missing"),
   IF(OR('Waste results'!$S$26&lt;&gt;"data missing", 'Waste results'!$S$62&lt;&gt;"data missing", 'Waste results'!$S$98&lt;&gt;"data missing"), Calc!BC127*'Waste results'!$S$26+Calc!BD127*'Waste results'!$S$62+ Calc!BE127*'Waste results'!$S$98, "data missing")))))))))))</f>
        <v/>
      </c>
      <c r="AR129" s="241" t="str">
        <f ca="1">IF($B129="","",
IF(ISBLANK('Soil results'!L132),"data missing",'Soil results'!L132))</f>
        <v/>
      </c>
      <c r="AS129" s="241" t="str">
        <f t="shared" ca="1" si="42"/>
        <v/>
      </c>
      <c r="AT129" s="66" t="str">
        <f t="shared" ca="1" si="43"/>
        <v/>
      </c>
      <c r="AU129" s="9"/>
      <c r="AV129" s="238" t="str">
        <f ca="1">IF(B129="","",
IF(AND('Field information 2'!$O$5="", 'Field information 2'!$Q$5=""),
   IF('Waste results'!$S$27&lt;&gt;"data missing", Calc!BC127*'Waste results'!$S$27, "data missing"),
IF('Field information 2'!$Q$5="",
   IF(Calc!BD127=0,
     IF('Waste results'!$S$27&lt;&gt;"data missing", Calc!BC127*'Waste results'!$S$27, "data missing"),
   IF(Calc!BC127=0,
     IF('Waste results'!$S$63&lt;&gt;"data missing", Calc!BD127*'Waste results'!$S$63, "data missing"),
   IF(OR('Waste results'!$S$27&lt;&gt;"data missing", 'Waste results'!$S$63&lt;&gt;"data missing"), Calc!BC127*'Waste results'!$S$27+ Calc!BD127*'Waste results'!$S$63, "data missing"))),
IF(AND('Field information 2'!$M$5&lt;&gt;"", 'Field information 2'!$O$5&lt;&gt;"", 'Field information 2'!$Q$5&lt;&gt;""),
   IF(AND(Calc!BD127=0,Calc!BE127=0),
     IF('Waste results'!$S$27&lt;&gt;"data missing", Calc!BC127*'Waste results'!$S$27, "data missing"),
   IF(AND(Calc!BC127=0,Calc!BE127=0),
     IF('Waste results'!$S$63&lt;&gt;"data missing", Calc!BD127*'Waste results'!$S$63, "data missing"),
   IF(AND(Calc!BC127=0,Calc!BD127=0),
     IF('Waste results'!$S$99&lt;&gt;"data missing", Calc!BE127*'Waste results'!$S$99, "data missing"),
   IF(Calc!BE127=0,
     IF(OR('Waste results'!$S$27&lt;&gt;"data missing", 'Waste results'!$S$63&lt;&gt;"data missing"), Calc!BC127*'Waste results'!$S$27+ Calc!BD127*'Waste results'!$S$63, "data missing"),
   IF(Calc!BD127=0,
     IF(OR('Waste results'!$S$27&lt;&gt;"data missing", 'Waste results'!$S$99&lt;&gt;"data missing"), Calc!BC127*'Waste results'!$S$27+ Calc!BE127*'Waste results'!$S$99, "data missing"),
   IF(Calc!BC127=0,
     IF(OR('Waste results'!$S$63&lt;&gt;"data missing", 'Waste results'!$S$99&lt;&gt;"data missing"), Calc!BD127*'Waste results'!$S$63+Calc!BE127*'Waste results'!$S$99, "data missing"),
   IF(OR('Waste results'!$S$27&lt;&gt;"data missing", 'Waste results'!$S$63&lt;&gt;"data missing", 'Waste results'!$S$99&lt;&gt;"data missing"), Calc!BC127*'Waste results'!$S$27+Calc!BD127*'Waste results'!$S$63+ Calc!BE127*'Waste results'!$S$99, "data missing")))))))))))</f>
        <v/>
      </c>
      <c r="AW129" s="239" t="str">
        <f ca="1">IF($B129="","",
IF(ISBLANK('Soil results'!M132),"data missing",'Soil results'!M132))</f>
        <v/>
      </c>
      <c r="AX129" s="239" t="str">
        <f t="shared" ca="1" si="44"/>
        <v/>
      </c>
      <c r="AY129" s="9" t="str">
        <f ca="1">IF(B129="","",
IF(AV129=0,"n/a",
IF(OR(AV129="data missing",AW129="data missing"),"data missing",
IF(AV129&gt;7.5,"application rate too high - permissible rate exceeds limit",
IF('Soil results'!$F132&lt;=5.5,
  IF(AW129&gt;80,"no application - soil conc. already above limit",
  IF(AX129&gt;80,"application rate too high - soil conc. will exceed limit",
  IF(AW129&gt;80*0.9,"soil conc. is at or above 90% of the limit",
  IF(10*AV129*1000/3000+AW129&gt;80,"soil limit likely to be exceeded in 10yrs",
  IF(50*AV129*1000/3000+AW129&gt;80,"soil limit likely to be exceeded in 50yrs","ok"))))),
IF('Soil results'!$F132&lt;=6,
  IF(AW129&gt;100,"no application - soil conc. already above limit",
  IF(AX129&gt;100,"application rate too high - soil conc. will exceed limit",
  IF(AW129&gt;100*0.9,"soil conc. is at or above 90% of the limit",
  IF(10*AV129*1000/3000+AW129&gt;100,"soil limit likely to be exceeded in 10yrs",
  IF(50*AV129*1000/3000+AW129&gt;100,"soil limit likely to be exceeded in 50yrs","ok"))))),
IF('Soil results'!$F132&lt;=7,
  IF(AW129&gt;135,"no application - soil conc. already above limit",
  IF(AX129&gt;135,"application rate too high - soil conc. will exceed limit",
  IF(AW129&gt;135*0.9,"soil conc. is at or above 90% of the limit",
  IF(10*AV129*1000/3000+AW129&gt;135,"soil limit likely to be exceeded in 10yrs",
  IF(50*AV129*1000/3000+AW129&gt;135,"soil limit likely to be exceeded in 50yrs","ok"))))),
IF('Soil results'!$F132&gt;7,
  IF(AW129&gt;200,"no application - soil conc. already above limit",
  IF(AX129&gt;200,"application too high - soil conc. will exceed limit",
  IF(AW129&gt;200*0.9,"soil conc. is at or above 90% of the limit",
  IF(10*AV129*1000/3000+AW129&gt;200,"soil limit likely to be exceeded in 10yrs",
  IF(50*AV129*1000/3000+AW129&gt;200,"soil limit likely to be exceeded in 50yrs","ok")))))
))))))))</f>
        <v/>
      </c>
      <c r="AZ129" s="9"/>
      <c r="BA129" s="238" t="str">
        <f ca="1">IF(B129="","",
IF(AND('Field information 2'!$O$5="", 'Field information 2'!$Q$5=""),
   IF('Waste results'!$S$28&lt;&gt;"data missing", Calc!BC127*'Waste results'!$S$28, "data missing"),
IF('Field information 2'!$Q$5="",
   IF(Calc!BD127=0,
     IF('Waste results'!$S$28&lt;&gt;"data missing", Calc!BC127*'Waste results'!$S$28, "data missing"),
   IF(Calc!BC127=0,
     IF('Waste results'!$S$64&lt;&gt;"data missing", Calc!BD127*'Waste results'!$S$64, "data missing"),
   IF(OR('Waste results'!$S$28&lt;&gt;"data missing", 'Waste results'!$S$64&lt;&gt;"data missing"), Calc!BC127*'Waste results'!$S$28+ Calc!BD127*'Waste results'!$S$64, "data missing"))),
IF(AND('Field information 2'!$M$5&lt;&gt;"", 'Field information 2'!$O$5&lt;&gt;"", 'Field information 2'!$Q$5&lt;&gt;""),
   IF(AND(Calc!BD127=0,Calc!BE127=0),
     IF('Waste results'!$S$28&lt;&gt;"data missing", Calc!BC127*'Waste results'!$S$28, "data missing"),
   IF(AND(Calc!BC127=0,Calc!BE127=0),
     IF('Waste results'!$S$64&lt;&gt;"data missing", Calc!BD127*'Waste results'!$S$64, "data missing"),
   IF(AND(Calc!BC127=0,Calc!BD127=0),
     IF('Waste results'!$S$100&lt;&gt;"data missing", Calc!BE127*'Waste results'!$S$100, "data missing"),
   IF(Calc!BE127=0,
     IF(OR('Waste results'!$S$28&lt;&gt;"data missing", 'Waste results'!$S$64&lt;&gt;"data missing"), Calc!BC127*'Waste results'!$S$28+ Calc!BD127*'Waste results'!$S$64, "data missing"),
   IF(Calc!BD127=0,
     IF(OR('Waste results'!$S$28&lt;&gt;"data missing", 'Waste results'!$S$100&lt;&gt;"data missing"), Calc!BC127*'Waste results'!$S$28+ Calc!BE127*'Waste results'!$S$100, "data missing"),
   IF(Calc!BC127=0,
     IF(OR('Waste results'!$S$64&lt;&gt;"data missing", 'Waste results'!$S$100&lt;&gt;"data missing"), Calc!BD127*'Waste results'!$S$64+Calc!BE127*'Waste results'!$S$100, "data missing"),
   IF(OR('Waste results'!$S$28&lt;&gt;"data missing", 'Waste results'!$S$64&lt;&gt;"data missing", 'Waste results'!$S$100&lt;&gt;"data missing"), Calc!BC127*'Waste results'!$S$28+Calc!BD127*'Waste results'!$S$64+ Calc!BE127*'Waste results'!$S$100, "data missing")))))))))))</f>
        <v/>
      </c>
      <c r="BB129" s="239" t="str">
        <f ca="1">IF($B129="","",
IF(ISBLANK('Soil results'!N132),"data missing",'Soil results'!N132))</f>
        <v/>
      </c>
      <c r="BC129" s="239" t="str">
        <f t="shared" ca="1" si="45"/>
        <v/>
      </c>
      <c r="BD129" s="9" t="str">
        <f t="shared" ca="1" si="46"/>
        <v/>
      </c>
      <c r="BE129" s="9"/>
      <c r="BF129" s="238" t="str">
        <f ca="1">IF(B129="","",
IF(AND('Field information 2'!$O$5="", 'Field information 2'!$Q$5=""),
   IF('Waste results'!$S$29&lt;&gt;"data missing", Calc!BC127*'Waste results'!$S$29, "data missing"),
IF('Field information 2'!$Q$5="",
   IF(Calc!BD127=0,
     IF('Waste results'!$S$29&lt;&gt;"data missing", Calc!BC127*'Waste results'!$S$29, "data missing"),
   IF(Calc!BC127=0,
     IF('Waste results'!$S$65&lt;&gt;"data missing", Calc!BD127*'Waste results'!$S$65, "data missing"),
   IF(OR('Waste results'!$S$29&lt;&gt;"data missing", 'Waste results'!$S$65&lt;&gt;"data missing"), Calc!BC127*'Waste results'!$S$29+ Calc!BD127*'Waste results'!$S$65, "data missing"))),
IF(AND('Field information 2'!$M$5&lt;&gt;"", 'Field information 2'!$O$5&lt;&gt;"", 'Field information 2'!$Q$5&lt;&gt;""),
   IF(AND(Calc!BD127=0,Calc!BE127=0),
     IF('Waste results'!$S$29&lt;&gt;"data missing", Calc!BC127*'Waste results'!$S$29, "data missing"),
   IF(AND(Calc!BC127=0,Calc!BE127=0),
     IF('Waste results'!$S$65&lt;&gt;"data missing", Calc!BD127*'Waste results'!$S$65, "data missing"),
   IF(AND(Calc!BC127=0,Calc!BD127=0),
     IF('Waste results'!$S$101&lt;&gt;"data missing", Calc!BE127*'Waste results'!$S$101, "data missing"),
   IF(Calc!BE127=0,
     IF(OR('Waste results'!$S$29&lt;&gt;"data missing", 'Waste results'!$S$65&lt;&gt;"data missing"), Calc!BC127*'Waste results'!$S$29+ Calc!BD127*'Waste results'!$S$65, "data missing"),
   IF(Calc!BD127=0,
     IF(OR('Waste results'!$S$29&lt;&gt;"data missing", 'Waste results'!$S$101&lt;&gt;"data missing"), Calc!BC127*'Waste results'!$S$29+ Calc!BE127*'Waste results'!$S$101, "data missing"),
   IF(Calc!BC127=0,
     IF(OR('Waste results'!$S$65&lt;&gt;"data missing", 'Waste results'!$S$101&lt;&gt;"data missing"), Calc!BD127*'Waste results'!$S$65+Calc!BE127*'Waste results'!$S$101, "data missing"),
   IF(OR('Waste results'!$S$29&lt;&gt;"data missing", 'Waste results'!$S$65&lt;&gt;"data missing", 'Waste results'!$S$101&lt;&gt;"data missing"), Calc!BC127*'Waste results'!$S$29+Calc!BD127*'Waste results'!$S$65+ Calc!BE127*'Waste results'!$S$101, "data missing")))))))))))</f>
        <v/>
      </c>
      <c r="BG129" s="239" t="str">
        <f ca="1">IF($B129="","",
IF(ISBLANK('Soil results'!O132),"data missing",'Soil results'!O132))</f>
        <v/>
      </c>
      <c r="BH129" s="239" t="str">
        <f t="shared" ca="1" si="47"/>
        <v/>
      </c>
      <c r="BI129" s="9" t="str">
        <f ca="1">IF(B129="","",
IF(BF129=0,"n/a",
IF(OR(BF129="data missing",BG129="data missing"),"data missing",
IF(BF129&gt;3,"application rate too high - permissible rate exceeds limit",
IF('Soil results'!F132&lt;=5.5,
  IF(BG129&gt;50,"no application - soil conc. already above limit",
  IF(BH129&gt;50,"application rate too high - soil conc. will exceed limit",
  IF(BG129&gt;50*0.9,"soil conc. is at or above 90% of the limit",
  IF(10*BF129*1000/3000+BG129&gt;50,"soil limit likely to be exceeded in 10yrs",
  IF(50*BF129*1000/3000+BG129&gt;50,"soil limit likely to be exceeded in 50yrs","ok"))))),
IF('Soil results'!F132&lt;=6,
  IF(BG129&gt;60,"no application - soil conc. already above limit",
  IF(BH129&gt;60,"application rate too high - soil conc. will exceed limit",
  IF(BG129&gt;60*0.9,"soil conc. is at or above 90% of the limit",
  IF(10*BF129*1000/3000+BG129&gt;60,"soil limit likely to be exceeded in 10yrs",
  IF(50*BF129*1000/3000+BG129&gt;60,"soil limit likely to be exceeded in 50yrs","ok"))))),
IF('Soil results'!F132&lt;=7,
  IF(BG129&gt;75,"no application - soil conc. already above limit",
  IF(BH129&gt;75,"application rate too high - soil conc. will exceed limit",
  IF(BG129&gt;75*0.9,"soil conc. is at or above 90% of the limit",
  IF(10*BF129*1000/3000+BG129&gt;75,"soil limit likely to be exceeded in 10yrs",
  IF(50*BF129*1000/3000+BG129&gt;75,"soil limit likely to be exceeded in 50yrs","ok"))))),
IF('Soil results'!F132&gt;7,
  IF(BG129&gt;100,"no application - soil conc. already above limit",
  IF(BH129&gt;100,"application rate too high - soil conc. will exceed limit",
  IF(BG129&gt;100*0.9,"soil conc. is at or above 90% of the limit",
  IF(10*BF129*1000/3000+BG129&gt;100,"soil limit likely to be exceeded in 10yrs",
  IF(50*BF129*1000/3000+BG129&gt;100,"soil limit likely to beexceeded in 50yrs","ok")))))
))))))))</f>
        <v/>
      </c>
      <c r="BJ129" s="9"/>
      <c r="BK129" s="240" t="str">
        <f ca="1">IF(B129="","",
IF(AND('Field information 2'!$O$5="", 'Field information 2'!$Q$5=""),
   IF('Waste results'!$S$30&lt;&gt;"data missing", Calc!BC127*'Waste results'!$S$30, "data missing"),
IF('Field information 2'!$Q$5="",
   IF(Calc!BD127=0,
     IF('Waste results'!$S$30&lt;&gt;"data missing", Calc!BC127*'Waste results'!$S$30, "data missing"),
   IF(Calc!BC127=0,
     IF('Waste results'!$S$66&lt;&gt;"data missing", Calc!BD127*'Waste results'!$S$66, "data missing"),
   IF(OR('Waste results'!$S$30&lt;&gt;"data missing", 'Waste results'!$S$66&lt;&gt;"data missing"), Calc!BC127*'Waste results'!$S$30+ Calc!BD127*'Waste results'!$S$66, "data missing"))),
IF(AND('Field information 2'!$M$5&lt;&gt;"", 'Field information 2'!$O$5&lt;&gt;"", 'Field information 2'!$Q$5&lt;&gt;""),
   IF(AND(Calc!BD127=0,Calc!BE127=0),
     IF('Waste results'!$S$30&lt;&gt;"data missing", Calc!BC127*'Waste results'!$S$30, "data missing"),
   IF(AND(Calc!BC127=0,Calc!BE127=0),
     IF('Waste results'!$S$66&lt;&gt;"data missing", Calc!BD127*'Waste results'!$S$66, "data missing"),
   IF(AND(Calc!BC127=0,Calc!BD127=0),
     IF('Waste results'!$S$102&lt;&gt;"data missing", Calc!BE127*'Waste results'!$S$102, "data missing"),
   IF(Calc!BE127=0,
     IF(OR('Waste results'!$S$30&lt;&gt;"data missing", 'Waste results'!$S$66&lt;&gt;"data missing"), Calc!BC127*'Waste results'!$S$30+ Calc!BD127*'Waste results'!$S$66, "data missing"),
   IF(Calc!BD127=0,
     IF(OR('Waste results'!$S$30&lt;&gt;"data missing", 'Waste results'!$S$102&lt;&gt;"data missing"), Calc!BC127*'Waste results'!$S$30+ Calc!BE127*'Waste results'!$S$102, "data missing"),
   IF(Calc!BC127=0,
     IF(OR('Waste results'!$S$66&lt;&gt;"data missing", 'Waste results'!$S$102&lt;&gt;"data missing"), Calc!BD127*'Waste results'!$S$66+Calc!BE127*'Waste results'!$S$102, "data missing"),
   IF(OR('Waste results'!$S$30&lt;&gt;"data missing", 'Waste results'!$S$66&lt;&gt;"data missing", 'Waste results'!$S$102&lt;&gt;"data missing"), Calc!BC127*'Waste results'!$S$30+Calc!BD127*'Waste results'!$S$66+ Calc!BE127*'Waste results'!$S$102, "data missing")))))))))))</f>
        <v/>
      </c>
      <c r="BL129" s="241" t="str">
        <f ca="1">IF($B129="","",
IF(ISBLANK('Soil results'!P132),"data missing",'Soil results'!P132))</f>
        <v/>
      </c>
      <c r="BM129" s="241" t="str">
        <f t="shared" ca="1" si="48"/>
        <v/>
      </c>
      <c r="BN129" s="66" t="str">
        <f t="shared" ca="1" si="49"/>
        <v/>
      </c>
      <c r="BO129" s="9"/>
      <c r="BP129" s="238" t="str">
        <f ca="1">IF(B129="","",
IF(AND('Field information 2'!$O$5="", 'Field information 2'!$Q$5=""),
   IF('Waste results'!$S$31&lt;&gt;"data missing", Calc!BC127*'Waste results'!$S$31, "data missing"),
IF('Field information 2'!$Q$5="",
   IF(Calc!BD127=0,
     IF('Waste results'!$S$31&lt;&gt;"data missing", Calc!BC127*'Waste results'!$S$31, "data missing"),
   IF(Calc!BC127=0,
     IF('Waste results'!$S$67&lt;&gt;"data missing", Calc!BD127*'Waste results'!$S$67, "data missing"),
   IF(OR('Waste results'!$S$31&lt;&gt;"data missing", 'Waste results'!$S$67&lt;&gt;"data missing"), Calc!BC127*'Waste results'!$S$31+ Calc!BD127*'Waste results'!$S$67, "data missing"))),
IF(AND('Field information 2'!$M$5&lt;&gt;"", 'Field information 2'!$O$5&lt;&gt;"", 'Field information 2'!$Q$5&lt;&gt;""),
   IF(AND(Calc!BD127=0,Calc!BE127=0),
     IF('Waste results'!$S$31&lt;&gt;"data missing", Calc!BC127*'Waste results'!$S$31, "data missing"),
   IF(AND(Calc!BC127=0,Calc!BE127=0),
     IF('Waste results'!$S$67&lt;&gt;"data missing", Calc!BD127*'Waste results'!$S$67, "data missing"),
   IF(AND(Calc!BC127=0,Calc!BD127=0),
     IF('Waste results'!$S$103&lt;&gt;"data missing", Calc!BE127*'Waste results'!$S$103, "data missing"),
   IF(Calc!BE127=0,
     IF(OR('Waste results'!$S$31&lt;&gt;"data missing", 'Waste results'!$S$67&lt;&gt;"data missing"), Calc!BC127*'Waste results'!$S$31+ Calc!BD127*'Waste results'!$S$67, "data missing"),
   IF(Calc!BD127=0,
     IF(OR('Waste results'!$S$31&lt;&gt;"data missing", 'Waste results'!$S$103&lt;&gt;"data missing"), Calc!BC127*'Waste results'!$S$31+ Calc!BE127*'Waste results'!$S$103, "data missing"),
   IF(Calc!BC127=0,
     IF(OR('Waste results'!$S$67&lt;&gt;"data missing", 'Waste results'!$S$103&lt;&gt;"data missing"), Calc!BD127*'Waste results'!$S$67+Calc!BE127*'Waste results'!$S$103, "data missing"),
   IF(OR('Waste results'!$S$31&lt;&gt;"data missing", 'Waste results'!$S$67&lt;&gt;"data missing", 'Waste results'!$S$103&lt;&gt;"data missing"), Calc!BC127*'Waste results'!$S$31+Calc!BD127*'Waste results'!$S$67+ Calc!BE127*'Waste results'!$S$103, "data missing")))))))))))</f>
        <v/>
      </c>
      <c r="BQ129" s="239" t="str">
        <f ca="1">IF($B129="","",
IF(ISBLANK('Soil results'!Q132),"data missing",'Soil results'!Q132))</f>
        <v/>
      </c>
      <c r="BR129" s="239" t="str">
        <f t="shared" ca="1" si="50"/>
        <v/>
      </c>
      <c r="BS129" s="9" t="str">
        <f ca="1">IF(B129="","",
IF(BP129=0,"n/a",
IF(OR(BP129="data missing",BQ129=""),"data missing",
IF(BP129&gt;15,"application rate too high - permissible rate exceeds limit",
IF('Soil results'!F132&lt;=5.5,
  IF(BQ129&gt;200,"no application - soil conc. already above limit",
  IF(BR129&gt;200,"application rate too high - soil conc. will exceed limit",
  IF(BQ129&gt;200*0.9,"soil conc. is at or above 90% of the limit",
  IF(10*BP129*1000/3000+BQ129&gt;200,"soil limit likely to be exceeded in 10yrs",
  IF(50*BP129*1000/3000+BQ129&gt;200,"soil limit likely to be exceeded in 50yrs","ok"))))),
IF('Soil results'!F132&lt;=6,
  IF(BQ129&gt;250,"no application - soil conc. already above limit",
  IF(BR129&gt;250,"application rate too high - soil conc. will exceed limit",
  IF(BQ129&gt;250*0.9,"soil conc. is at or above 90% of the limit",
  IF(10*BP129*1000/3000+BQ129&gt;250,"soil limit likely to be exceeded in 10yrs",
  IF(50*BP129*1000/3000+BQ129&gt;250,"soil limit likely to be exceeded in 50yrs","ok"))))),
IF('Soil results'!F132&lt;=7,
  IF(BQ129&gt;300,"no application - soil conc. already above limit",
  IF(BR129&gt;300,"application rate too high - soil conc. will exceed limit",
  IF(BQ129&gt;300*0.9,"soil conc. is at or above 90% of the limit",
  IF(10*BP129*1000/3000+BQ129&gt;300,"soil limit likey to be exceeded in 10yrs",
  IF(50*BP129*1000/3000+BQ129&gt;300,"soil limit likely to be exceeded in 50yrs","ok"))))),
IF('Soil results'!F132&gt;7,
  IF(BQ129&gt;450,"no application - soil conc. already above limit",
  IF(BR129&gt;450,"application rate too high - soil conc. will exceed limit",
  IF(AW129&gt;450*0.9,"soil conc. is at or above 90% of the limit",
  IF(10*BP129*1000/3000+BQ129&gt;450,"soil limit likely to be exceeded in 10yrs",
  IF(50*BP129*1000/3000+BQ129&gt;450,"soil limit likely to be exceeded in 50yrs","ok")))))
))))))))</f>
        <v/>
      </c>
    </row>
    <row r="130" spans="2:71" ht="15" x14ac:dyDescent="0.25">
      <c r="B130" s="236" t="str">
        <f ca="1">'Soil results'!B133</f>
        <v/>
      </c>
      <c r="C130" s="91" t="str">
        <f ca="1">IF(B130="","",
IF(AND('Field information 2'!$O$5="", 'Field information 2'!$Q$5=""),
   IF('Waste results'!$S$12&lt;&gt;"data missing", Calc!BC128*'Waste results'!$S$12, "data missing"),
IF('Field information 2'!$Q$5="",
   IF(Calc!BD128=0,
     IF('Waste results'!$S$12&lt;&gt;"data missing", Calc!BC128*'Waste results'!$S$12, "data missing"),
   IF(Calc!BC128=0,
     IF('Waste results'!$S$48&lt;&gt;"data missing", Calc!BD128*'Waste results'!$S$48, "data missing"),
   IF(OR('Waste results'!$S$12&lt;&gt;"data missing", 'Waste results'!$S$48&lt;&gt;"data missing"), Calc!BC128*'Waste results'!$S$12+ Calc!BD128*'Waste results'!$S$48, "data missing"))),
IF(AND('Field information 2'!$M$5&lt;&gt;"", 'Field information 2'!$O$5&lt;&gt;"", 'Field information 2'!$Q$5&lt;&gt;""),
   IF(AND(Calc!BD128=0,Calc!BE128=0),
     IF('Waste results'!$S$12&lt;&gt;"data missing", Calc!BC128*'Waste results'!$S$12, "data missing"),
   IF(AND(Calc!BC128=0,Calc!BE128=0),
     IF('Waste results'!$S$48&lt;&gt;"data missing", Calc!BD128*'Waste results'!$S$48, "data missing"),
   IF(AND(Calc!BC128=0,Calc!BD128=0),
     IF('Waste results'!$S$84&lt;&gt;"data missing", Calc!BE128*'Waste results'!$S$84, "data missing"),
   IF(Calc!BE128=0,
     IF(OR('Waste results'!$S$12&lt;&gt;"data missing", 'Waste results'!$S$48&lt;&gt;"data missing"), Calc!BC128*'Waste results'!$S$12+ Calc!BD128*'Waste results'!$S$48, "data missing"),
   IF(Calc!BD128=0,
     IF(OR('Waste results'!$S$12&lt;&gt;"data missing", 'Waste results'!$S$84&lt;&gt;"data missing"), Calc!BC128*'Waste results'!$S$12+ Calc!BE128*'Waste results'!$S$84, "data missing"),
   IF(Calc!BC128=0,
     IF(OR('Waste results'!$S$48&lt;&gt;"data missing", 'Waste results'!$S$84&lt;&gt;"data missing"), Calc!BD128*'Waste results'!$S$48+Calc!BE128*'Waste results'!$S$84, "data missing"),
   IF(OR('Waste results'!$S$12&lt;&gt;"data missing", 'Waste results'!$S$48&lt;&gt;"data missing", 'Waste results'!$S$84&lt;&gt;"data missing"), Calc!BC128*'Waste results'!$S$12+Calc!BD128*'Waste results'!$S$48+ Calc!BE128*'Waste results'!$S$84, "data missing")))))))))))</f>
        <v/>
      </c>
      <c r="D130" s="161" t="str">
        <f ca="1">IF(B130="","",
IF(Calc!BG128="","soil texture missing",
IF(OR(Calc!BG128="SL; SZL; ZL",Calc!BG128="SCL; CL; ZCL; SC; ZC; C"),VLOOKUP(Calc!BI128,'Fertiliser recommendations'!$A$4:$C$63,3,FALSE),
IF(Calc!BG128="S; LS",VLOOKUP(Calc!BI128,'Fertiliser recommendations'!$A$4:$C$63,3,FALSE)+VLOOKUP(Calc!BI128,'Fertiliser recommendations'!$A$4:$D$63,4,FALSE),
IF(Calc!BG128="10-25% OM",VLOOKUP(Calc!BI128,'Fertiliser recommendations'!$A$4:$C$63,3,FALSE)+VLOOKUP(Calc!BI128,'Fertiliser recommendations'!$A$4:$E$63,5,FALSE),
IF(Calc!BG128="&gt;25% OM",VLOOKUP(Calc!BI128,'Fertiliser recommendations'!$A$4:$C$63,3,FALSE)+VLOOKUP(Calc!BI128,'Fertiliser recommendations'!$A$4:$F$63,6,FALSE),
""))))))</f>
        <v/>
      </c>
      <c r="E130" s="91" t="str">
        <f t="shared" ca="1" si="34"/>
        <v/>
      </c>
      <c r="F130" s="9" t="str">
        <f ca="1">IF(B130="","",
IF(OR(C130="data missing",D130="soil texture missing"),"data missing",
IF(Calc!BF128=0,"n/a",
IF(C130&lt;0.1*D130,"no benefit",
IF(C130&lt;0.3*D130,"limited benefit",
IF(C130&gt;250,"exceeds limit",
IF(OR(AND(D130=0,C130&gt;75),C130&gt;1.25*D130),"excessive",
IF(D130=0, "no requirement",
"benefit"))))))))</f>
        <v/>
      </c>
      <c r="G130" s="9"/>
      <c r="H130" s="91" t="str">
        <f ca="1">IF(B130="","",
IF(AND('Field information 2'!$O$5="", 'Field information 2'!$Q$5=""),
   IF('Waste results'!$S$17&lt;&gt;"data missing", Calc!BC128*'Waste results'!$S$17, "data missing"),
IF('Field information 2'!$Q$5="",
   IF(Calc!BD128=0,
     IF('Waste results'!$S$17&lt;&gt;"data missing", Calc!BC128*'Waste results'!$S$17, "data missing"),
   IF(Calc!BC128=0,
     IF('Waste results'!$S$53&lt;&gt;"data missing", Calc!BD128*'Waste results'!$S$53, "data missing"),
   IF(OR('Waste results'!$S$17&lt;&gt;"data missing", 'Waste results'!$S$53&lt;&gt;"data missing"), Calc!BC128*'Waste results'!$S$17+ Calc!BD128*'Waste results'!$S$53, "data missing"))),
IF(AND('Field information 2'!$M$5&lt;&gt;"", 'Field information 2'!$O$5&lt;&gt;"", 'Field information 2'!$Q$5&lt;&gt;""),
   IF(AND(Calc!BD128=0,Calc!BE128=0),
     IF('Waste results'!$S$17&lt;&gt;"data missing", Calc!BC128*'Waste results'!$S$17, "data missing"),
   IF(AND(Calc!BC128=0,Calc!BE128=0),
     IF('Waste results'!$S$53&lt;&gt;"data missing", Calc!BD128*'Waste results'!$S$53, "data missing"),
   IF(AND(Calc!BC128=0,Calc!BD128=0),
     IF('Waste results'!$S$89&lt;&gt;"data missing", Calc!BE128*'Waste results'!$S$89, "data missing"),
   IF(Calc!BE128=0,
     IF(OR('Waste results'!$S$17&lt;&gt;"data missing", 'Waste results'!$S$53&lt;&gt;"data missing"), Calc!BC128*'Waste results'!$S$17+ Calc!BD128*'Waste results'!$S$53, "data missing"),
   IF(Calc!BD128=0,
     IF(OR('Waste results'!$S$17&lt;&gt;"data missing", 'Waste results'!$S$89&lt;&gt;"data missing"), Calc!BC128*'Waste results'!$S$17+ Calc!BE128*'Waste results'!$S$89, "data missing"),
   IF(Calc!BC128=0,
     IF(OR('Waste results'!$S$53&lt;&gt;"data missing", 'Waste results'!$S$89&lt;&gt;"data missing"), Calc!BD128*'Waste results'!$S$53+Calc!BE128*'Waste results'!$S$89, "data missing"),
   IF(OR('Waste results'!$S$17&lt;&gt;"data missing", 'Waste results'!$S$53&lt;&gt;"data missing", 'Waste results'!$S$89&lt;&gt;"data missing"), Calc!BC128*'Waste results'!$S$17+Calc!BD128*'Waste results'!$S$53+ Calc!BE128*'Waste results'!$S$89, "data missing")))))))))))</f>
        <v/>
      </c>
      <c r="I130" s="195" t="str">
        <f ca="1">IF(B130="","",
IF(OR(ISBLANK('Soil results'!G133), ISBLANK('Soil results'!G$7)),"data missing",
IF(OR(AND('Soil results'!G$7="Olsen (ADAS)",'Soil results'!G133&lt;16),AND('Soil results'!G$7="modified Morgan (SAC)",'Soil results'!G133&lt;4.5)),50,100)))</f>
        <v/>
      </c>
      <c r="J130" s="49" t="str">
        <f ca="1">IF(B130="","",
IF(OR(ISBLANK('Soil results'!G$7),ISBLANK('Soil results'!G133)),"data missing",
IF(OR(AND('Soil results'!G$7="Olsen (ADAS)",'Soil results'!G133&gt;45),AND('Soil results'!G$7="modified Morgan (SAC)",'Soil results'!G133&gt;30)),0,
IF(OR(AND('Soil results'!G$7="Olsen (ADAS)",'Soil results'!G133&gt;=16,'Soil results'!G133&lt;=20),AND('Soil results'!G$7="modified Morgan (SAC)",'Soil results'!G133&gt;=4.5,'Soil results'!G133&lt;=9.4)),VLOOKUP(Calc!BI128,'Fertiliser recommendations'!$A$4:$I$63,9,FALSE),
IF(OR(AND('Soil results'!G$7="Olsen (ADAS)",'Soil results'!G133&lt;10),AND('Soil results'!G$7="modified Morgan (SAC)",'Soil results'!G133&lt;1.8)),VLOOKUP(Calc!BI128,'Fertiliser recommendations'!$A$4:$I$63,9,FALSE)+VLOOKUP(Calc!BI128,'Fertiliser recommendations'!$A$4:$J$63,10,FALSE),
IF(OR(AND('Soil results'!G$7="Olsen (ADAS)",'Soil results'!G133&lt;16),AND('Soil results'!G$7="modified Morgan (SAC)",'Soil results'!G133&lt;4.5)),VLOOKUP(Calc!BI128,'Fertiliser recommendations'!$A$4:$I$63,9,FALSE)+VLOOKUP(Calc!BI128,'Fertiliser recommendations'!$A$4:$K$63,11,FALSE),
IF(OR(AND('Soil results'!G$7="Olsen (ADAS)",'Soil results'!G133&lt;26),AND('Soil results'!G$7="modified Morgan (SAC)",'Soil results'!G133&lt;13.5)),VLOOKUP(Calc!BI128,'Fertiliser recommendations'!$A$4:$I$63,9,FALSE)+VLOOKUP(Calc!BI128,'Fertiliser recommendations'!$A$4:$L$63,12,FALSE),
IF(OR(AND('Soil results'!G$7="Olsen (ADAS)",'Soil results'!G133&lt;=45),AND('Soil results'!G$7="modified Morgan (SAC)",'Soil results'!G133&lt;=30)),VLOOKUP(Calc!BI128,'Fertiliser recommendations'!$A$4:$I$63,9,FALSE)+VLOOKUP(Calc!BI128,'Fertiliser recommendations'!$A$4:$M$63,13,FALSE),
""))))))))</f>
        <v/>
      </c>
      <c r="K130" s="161" t="str">
        <f t="shared" ca="1" si="35"/>
        <v/>
      </c>
      <c r="L130" s="47" t="str">
        <f ca="1">IF(OR(ISBLANK('Soil results'!G$7),ISBLANK('Soil results'!G133),B130="", H130="data missing"),"",
IF('Soil results'!G$7="Olsen (ADAS)",
IF(((H130*Calc!BM128/2.291-(VLOOKUP(Calc!BI128,'Fertiliser recommendations'!$A$4:$I$63,9,FALSE))/2.291)*10/(400/2.291)+'Soil results'!G133)&lt;10,"0 (VL)",
IF(((H130*Calc!BM128/2.291-(VLOOKUP(Calc!BI128,'Fertiliser recommendations'!$A$4:$I$63,9,FALSE))/2.291)*10/(400/2.291)+'Soil results'!G133)&lt;16,"1 (L)",
IF(((H130*Calc!BM128/2.291-(VLOOKUP(Calc!BI128,'Fertiliser recommendations'!$A$4:$I$63,9,FALSE))/2.291)*10/(400/2.291)+'Soil results'!G133)&lt;21,"2 (M-)",
IF(((H130*Calc!BM128/2.291-(VLOOKUP(Calc!BI128,'Fertiliser recommendations'!$A$4:$I$63,9,FALSE))/2.291)*10/(400/2.291)+'Soil results'!G133)&lt;26,"2 (M+)",
IF(((H130*Calc!BM128/2.291-(VLOOKUP(Calc!BI128,'Fertiliser recommendations'!$A$4:$I$63,9,FALSE))/2.291)*10/(400/2.291)+'Soil results'!G133)&lt;45,"3 (H)","&gt;3 (VH)"))))),
IF('Soil results'!G$7="modified Morgan (SAC)",
IF('Soil results'!G133&gt;=6,
IF(((H130*Calc!BM128/2.291-(VLOOKUP(Calc!BI128,'Fertiliser recommendations'!$A$4:$I$63,9,FALSE))/2.291)*5/(147/2.291)+'Soil results'!G133)&lt;9.5,"2 (M-)",
IF(((H130*Calc!BM128/2.291-(VLOOKUP(Calc!BI128,'Fertiliser recommendations'!$A$4:$I$63,9,FALSE))/2.291)*5/(147/2.291)+'Soil results'!G133)&lt;13.5,"2 (M+)",
IF(((H130*Calc!BM128/2.291-(VLOOKUP(Calc!BI128,'Fertiliser recommendations'!$A$4:$I$63,9,FALSE))/2.291)*5/(147/2.291)+'Soil results'!G133)&lt;30,"3 (H)","4 (VH)"))),
IF(((H130*Calc!BM128/2.291-(VLOOKUP(Calc!BI128,'Fertiliser recommendations'!$A$4:$I$63,9,FALSE))/2.291)*5/(346/2.291)+'Soil results'!G133)&lt;1.8,"0 (VL)",
IF(((H130*Calc!BM128/2.291-(VLOOKUP(Calc!BI128,'Fertiliser recommendations'!$A$4:$I$63,9,FALSE))/2.291)*5/(147/2.291)+'Soil results'!G133)&lt;4.5,"1 (L)","2 (M-)"))))))</f>
        <v/>
      </c>
      <c r="M130" s="9" t="str">
        <f ca="1">IF(B130="","",
IF(OR(H130="data missing",I130="data missing",J130="data missing"),"data missing",
IF(Calc!BF128=0,"n/a",
IF(OR(AND('Soil results'!G$7="Olsen (ADAS)",'Soil results'!G133&gt;45),AND('Soil results'!G$7="modified Morgan (SAC)",'Soil results'!G133&gt;30)),
IF(H130&gt;2,"too high, not acceptable","no requirement"),IF(OR(AND('Soil results'!G$7="Olsen (ADAS)",'Soil results'!G133&gt;25),AND('Soil results'!G$7="modified Morgan (SAC)",'Soil results'!G133&gt;13.4)),
IF(H130*(I130/100)&lt;0.1*J130,"no benefit",
IF(H130*(I130/100)&lt;0.3*J130,"limited benefit",
IF(H130*(I130/100)&lt;1.1*J130,"benefit",
IF(H130*(I130/100)&lt;0.7*VLOOKUP(Calc!BI128,'Fertiliser recommendations'!$A$4:$I$63,9,FALSE),"excessive","too high, not acceptable")))),
IF(OR(AND('Soil results'!G$7="Olsen (ADAS)",'Soil results'!G133&gt;20),AND('Soil results'!G$7="modified Morgan (SAC)",'Soil results'!G133&gt;9.4)),
IF(H130*Calc!BM128*(I130/100)&lt;0.1*J130,"no benefit",
IF(H130*Calc!BM128*(I130/100)&lt;0.3*J130,"limited benefit",
IF(H130*Calc!BM128*(I130/100)&lt;1.1*J130,"benefit",
IF(L130="3 (H)","too high, not acceptable","excessive")))),
IF(OR(AND('Soil results'!G$7="Olsen (ADAS)",'Soil results'!G133&gt;15),AND('Soil results'!G$7="modified Morgan (SAC)",'Soil results'!G133&gt;4.4)),
IF(H130*Calc!BM128*(I130/100)&lt;0.1*VLOOKUP(Calc!BI128,'Fertiliser recommendations'!$A$4:$I$63,9,FALSE),"no benefit",
IF(H130*Calc!BM128*(I130/100)&lt;0.3*VLOOKUP(Calc!BI128,'Fertiliser recommendations'!$A$4:$I$63,9,FALSE),"limited benefit",
IF(H130*Calc!BM128*(I130/100)&lt;1.1*VLOOKUP(Calc!BI128,'Fertiliser recommendations'!$A$4:$I$63,9,FALSE),"benefit",
IF(L130="3 (H)", "too high, not acceptable", "excessive")))),
IF(OR(AND('Soil results'!G$7="Olsen (ADAS)",'Soil results'!G133&lt;=15),AND('Soil results'!G$7="modified Morgan (SAC)",'Soil results'!G133&lt;=4.4)),
IF(H130*Calc!BM128*(I130/100)&lt;0.1*VLOOKUP(Calc!BI128,'Fertiliser recommendations'!$A$4:$I$63,9,FALSE),"no benefit",
IF(H130*Calc!BM128*(I130/100)&lt;0.3*VLOOKUP(Calc!BI128,'Fertiliser recommendations'!$A$4:$I$63,9,FALSE),"limited benefit",
IF(H130*Calc!BM128*(I130/100)&lt;1.1*J130,"benefit","excessive")))))))))))</f>
        <v/>
      </c>
      <c r="N130" s="9"/>
      <c r="O130" s="91" t="str">
        <f ca="1">IF(B130="","",
IF(AND('Field information 2'!$O$5="", 'Field information 2'!$Q$5=""),
   IF('Waste results'!$S$19&lt;&gt;"data missing", Calc!BC128*'Waste results'!$S$19, "data missing"),
IF('Field information 2'!$Q$5="",
   IF(Calc!BD128=0,
     IF('Waste results'!$S$19&lt;&gt;"data missing", Calc!BC128*'Waste results'!$S$19, "data missing"),
   IF(Calc!BC128=0,
     IF('Waste results'!$S$55&lt;&gt;"data missing", Calc!BD128*'Waste results'!$S$55, "data missing"),
   IF(OR('Waste results'!$S$19&lt;&gt;"data missing", 'Waste results'!$S$55&lt;&gt;"data missing"), Calc!BC128*'Waste results'!$S$19+ Calc!BD128*'Waste results'!$S$55, "data missing"))),
IF(AND('Field information 2'!$M$5&lt;&gt;"", 'Field information 2'!$O$5&lt;&gt;"", 'Field information 2'!$Q$5&lt;&gt;""),
   IF(AND(Calc!BD128=0,Calc!BE128=0),
     IF('Waste results'!$S$19&lt;&gt;"data missing", Calc!BC128*'Waste results'!$S$19, "data missing"),
   IF(AND(Calc!BC128=0,Calc!BE128=0),
     IF('Waste results'!$S$55&lt;&gt;"data missing", Calc!BD128*'Waste results'!$S$55, "data missing"),
   IF(AND(Calc!BC128=0,Calc!BD128=0),
     IF('Waste results'!$S$91&lt;&gt;"data missing", Calc!BE128*'Waste results'!$S$91, "data missing"),
   IF(Calc!BE128=0,
     IF(OR('Waste results'!$S$19&lt;&gt;"data missing", 'Waste results'!$S$55&lt;&gt;"data missing"), Calc!BC128*'Waste results'!$S$19+ Calc!BD128*'Waste results'!$S$55, "data missing"),
   IF(Calc!BD128=0,
     IF(OR('Waste results'!$S$19&lt;&gt;"data missing", 'Waste results'!$S$91&lt;&gt;"data missing"), Calc!BC128*'Waste results'!$S$19+ Calc!BE128*'Waste results'!$S$91, "data missing"),
   IF(Calc!BC128=0,
     IF(OR('Waste results'!$S$55&lt;&gt;"data missing", 'Waste results'!$S$91&lt;&gt;"data missing"), Calc!BD128*'Waste results'!$S$55+Calc!BE128*'Waste results'!$S$91, "data missing"),
   IF(OR('Waste results'!$S$19&lt;&gt;"data missing", 'Waste results'!$S$55&lt;&gt;"data missing", 'Waste results'!$S$91&lt;&gt;"data missing"), Calc!BC128*'Waste results'!$S$19+Calc!BD128*'Waste results'!$S$55+ Calc!BE128*'Waste results'!$S$91, "data missing")))))))))))</f>
        <v/>
      </c>
      <c r="P130" s="91" t="str">
        <f ca="1">IF(B130="","",
IF(OR(ISBLANK('Soil results'!H$7),ISBLANK('Soil results'!H133)),"data missing",
IF(OR(AND('Soil results'!H$7="ammonium nitrate (ADAS)",'Soil results'!H133&gt;400),AND('Soil results'!H$7="modified Morgan (SAC)",'Soil results'!H133&gt;400)),0,
IF(OR(AND('Soil results'!H$7="ammonium nitrate (ADAS)",'Soil results'!H133&gt;=121,'Soil results'!H133&lt;=180),AND('Soil results'!H$7="modified Morgan (SAC)",'Soil results'!H133&gt;=76,'Soil results'!H133&lt;=140)),VLOOKUP(Calc!BI128,'Fertiliser recommendations'!$A$4:$Z$63,26,FALSE),
IF(OR(AND('Soil results'!H$7="ammonium nitrate (ADAS)",'Soil results'!H133&lt;61),AND('Soil results'!H$7="modified Morgan (SAC)",'Soil results'!H133&lt;40)),VLOOKUP(Calc!BI128,'Fertiliser recommendations'!$A$4:$Z$63,26,FALSE)+VLOOKUP(Calc!BI128,'Fertiliser recommendations'!$A$4:$AA$63,27,FALSE),
IF(OR(AND('Soil results'!H$7="ammonium nitrate (ADAS)",'Soil results'!H133&lt;121),AND('Soil results'!H$7="modified Morgan (SAC)",'Soil results'!H133&lt;76)),VLOOKUP(Calc!BI128,'Fertiliser recommendations'!$A$4:$Z$63,26,FALSE)+VLOOKUP(Calc!BI128,'Fertiliser recommendations'!$A$4:$AB$63,28,FALSE),
IF(OR(AND('Soil results'!H$7="ammonium nitrate (ADAS)",'Soil results'!H133&lt;241),AND('Soil results'!H$7="modified Morgan (SAC)",'Soil results'!H133&lt;201)),VLOOKUP(Calc!BI128,'Fertiliser recommendations'!$A$4:$Z$63,26,FALSE)+VLOOKUP(Calc!BI128,'Fertiliser recommendations'!$A$4:$AC$63,29,FALSE),
IF(OR(AND('Soil results'!H$7="ammonium nitrate (ADAS)",'Soil results'!H133&lt;=400),AND('Soil results'!H$7="modified Morgan (SAC)",'Soil results'!H133&lt;=400)),VLOOKUP(Calc!BI128,'Fertiliser recommendations'!$A$4:$Z$63,26,FALSE)+VLOOKUP(Calc!BI128,'Fertiliser recommendations'!$A$4:$AD$63,30,FALSE),
"??"))))))))</f>
        <v/>
      </c>
      <c r="Q130" s="91" t="str">
        <f t="shared" ca="1" si="36"/>
        <v/>
      </c>
      <c r="R130" s="9" t="str">
        <f ca="1">IF(B130="","",
IF(OR(O130="data missing",P130="data missing"),"data missing",
IF(Calc!BF128=0,"n/a",
IF(P130=0, "no requirement",
IF(O130&lt;0.1*P130,"no benefit",
IF(O130&lt;0.3*P130,"limited benefit",
IF(O130&gt;1.25*P130,"excessive",
"benefit")))))))</f>
        <v/>
      </c>
      <c r="S130" s="9"/>
      <c r="T130" s="91" t="str">
        <f ca="1">IF(B130="","",
IF(AND('Field information 2'!$O$5="", 'Field information 2'!$Q$5=""),
   IF('Waste results'!$S$21&lt;&gt;"data missing", Calc!BC128*'Waste results'!$S$21, "data missing"),
IF('Field information 2'!$Q$5="",
   IF(Calc!BD128=0,
     IF('Waste results'!$S$21&lt;&gt;"data missing", Calc!BC128*'Waste results'!$S$21, "data missing"),
   IF(Calc!BC128=0,
     IF('Waste results'!$S$57&lt;&gt;"data missing", Calc!BD128*'Waste results'!$S$57, "data missing"),
   IF(OR('Waste results'!$S$21&lt;&gt;"data missing", 'Waste results'!$S$57&lt;&gt;"data missing"), Calc!BC128*'Waste results'!$S$21+ Calc!BD128*'Waste results'!$S$57, "data missing"))),
IF(AND('Field information 2'!$M$5&lt;&gt;"", 'Field information 2'!$O$5&lt;&gt;"", 'Field information 2'!$Q$5&lt;&gt;""),
   IF(AND(Calc!BD128=0,Calc!BE128=0),
     IF('Waste results'!$S$21&lt;&gt;"data missing", Calc!BC128*'Waste results'!$S$21, "data missing"),
   IF(AND(Calc!BC128=0,Calc!BE128=0),
     IF('Waste results'!$S$57&lt;&gt;"data missing", Calc!BD128*'Waste results'!$S$57, "data missing"),
   IF(AND(Calc!BC128=0,Calc!BD128=0),
     IF('Waste results'!$S$93&lt;&gt;"data missing", Calc!BE128*'Waste results'!$S$93, "data missing"),
   IF(Calc!BE128=0,
     IF(OR('Waste results'!$S$21&lt;&gt;"data missing", 'Waste results'!$S$57&lt;&gt;"data missing"), Calc!BC128*'Waste results'!$S$21+ Calc!BD128*'Waste results'!$S$57, "data missing"),
   IF(Calc!BD128=0,
     IF(OR('Waste results'!$S$21&lt;&gt;"data missing", 'Waste results'!$S$93&lt;&gt;"data missing"), Calc!BC128*'Waste results'!$S$21+ Calc!BE128*'Waste results'!$S$93, "data missing"),
   IF(Calc!BC128=0,
     IF(OR('Waste results'!$S$57&lt;&gt;"data missing", 'Waste results'!$S$93&lt;&gt;"data missing"), Calc!BD128*'Waste results'!$S$57+Calc!BE128*'Waste results'!$S$93, "data missing"),
   IF(OR('Waste results'!$S$21&lt;&gt;"data missing", 'Waste results'!$S$57&lt;&gt;"data missing", 'Waste results'!$S$93&lt;&gt;"data missing"), Calc!BC128*'Waste results'!$S$21+Calc!BD128*'Waste results'!$S$57+ Calc!BE128*'Waste results'!$S$93, "data missing")))))))))))</f>
        <v/>
      </c>
      <c r="U130" s="7" t="str">
        <f ca="1">IF(B130="","",
IF(OR(ISBLANK('Soil results'!I$7),ISBLANK('Soil results'!I133)),"data missing",
IF(OR(AND('Soil results'!I$7="ammonium nitrate (ADAS)",'Soil results'!I133&gt;51),AND('Soil results'!I$7="modified Morgan (SAC)",'Soil results'!I133&gt;61)),0,
IF(OR(AND('Soil results'!I$7="ammonium nitrate (ADAS)",'Soil results'!I133&lt;25),AND('Soil results'!I$7="modified Morgan (SAC)",'Soil results'!I133&lt;19)),VLOOKUP(Calc!BI128,'Fertiliser recommendations'!$A$4:$AH$63,34,FALSE),
IF(OR(AND('Soil results'!I$7="ammonium nitrate (ADAS)",'Soil results'!I133&lt;=51),AND('Soil results'!I$7="modified Morgan (SAC)",'Soil results'!I133&lt;=61)),VLOOKUP(Calc!BI128,'Fertiliser recommendations'!$A$4:$AI$63,35,FALSE),
"")))))</f>
        <v/>
      </c>
      <c r="V130" s="91" t="str">
        <f t="shared" ca="1" si="37"/>
        <v/>
      </c>
      <c r="W130" s="9" t="str">
        <f ca="1">IF(B130="","",
IF(OR(T130="data missing",U130="data missing"),"data missing",
IF(Calc!BF128=0,"n/a",
IF(U130=0,"no requirement",
IF(T130&lt;0.1*U130,"no benefit",
IF(T130&lt;0.3*U130,"limited benefit",
IF(OR(T130&gt;1.5*U130,AND(Calc!BJ128="g",T130&gt;100)),"excessive",
"benefit")))))))</f>
        <v/>
      </c>
      <c r="X130" s="9"/>
      <c r="Y130" s="91" t="str">
        <f ca="1">IF(B130="","",
IF(AND('Field information 2'!$O$5="", 'Field information 2'!$Q$5=""),
   IF('Waste results'!$P$23&lt;&gt;"", Calc!BC128*'Waste results'!$P$23, "no data"),
IF('Field information 2'!$Q$5="",
   IF(Calc!BD128=0,
     IF('Waste results'!$P$23&lt;&gt;"", Calc!BC128*'Waste results'!$P$23, "no data"),
   IF(Calc!BC128=0,
     IF('Waste results'!$P$59&lt;&gt;"", Calc!BD128*'Waste results'!$P$59, "no data"),
   IF(OR('Waste results'!$P$23&lt;&gt;"", 'Waste results'!$P$59&lt;&gt;""), Calc!BC128*'Waste results'!$P$23+ Calc!BD128*'Waste results'!$P$59, "no data"))),
IF(AND('Field information 2'!$M$5&lt;&gt;"", 'Field information 2'!$O$5&lt;&gt;"", 'Field information 2'!$Q$5&lt;&gt;""),
   IF(AND(Calc!BD128=0,Calc!BE128=0),
     IF('Waste results'!$P$23&lt;&gt;"", Calc!BC128*'Waste results'!$P$23, "no data"),
   IF(AND(Calc!BC128=0,Calc!BE128=0),
     IF('Waste results'!$P$59&lt;&gt;"", Calc!BD128*'Waste results'!$P$59, "no data"),
   IF(AND(Calc!BC128=0,Calc!BD128=0),
     IF('Waste results'!$P$95&lt;&gt;"", Calc!BE128*'Waste results'!$P$95, "no data"),
   IF(Calc!BE128=0,
     IF(OR('Waste results'!$P$23&lt;&gt;"", 'Waste results'!$P$59&lt;&gt;""), Calc!BC128*'Waste results'!$P$23+ Calc!BD128*'Waste results'!$P$59, "no data"),
   IF(Calc!BD128=0,
     IF(OR('Waste results'!$P$23&lt;&gt;"", 'Waste results'!$P$95&lt;&gt;""), Calc!BC128*'Waste results'!$P$23+ Calc!BE128*'Waste results'!$P$95, "no data"),
   IF(Calc!BC128=0,
     IF(OR('Waste results'!$P$59&lt;&gt;"", 'Waste results'!$P$95&lt;&gt;""), Calc!BD128*'Waste results'!$P$59+Calc!BE128*'Waste results'!$P$95, "no data"),
   IF(OR('Waste results'!$P$23&lt;&gt;"", 'Waste results'!$P$59&lt;&gt;"", 'Waste results'!$P$95&lt;&gt;""), Calc!BC128*'Waste results'!$P$23+Calc!BD128*'Waste results'!$P$59+ Calc!BE128*'Waste results'!$P$95, "no data")))))))))))</f>
        <v/>
      </c>
      <c r="Z130" s="7" t="str">
        <f ca="1">IF(OR(ISBLANK('Soil results'!I$7),ISBLANK('Soil results'!I133),'Soil results'!B133=""),"",
VLOOKUP(Calc!BI128,'Fertiliser recommendations'!$A$4:$AM$63,39,FALSE))</f>
        <v/>
      </c>
      <c r="AA130" s="91" t="str">
        <f t="shared" ca="1" si="38"/>
        <v/>
      </c>
      <c r="AB130" s="9" t="str">
        <f t="shared" ca="1" si="39"/>
        <v/>
      </c>
      <c r="AC130" s="9"/>
      <c r="AD130" s="48" t="str">
        <f>IF(ISBLANK('Soil results'!F133),"",'Soil results'!F133)</f>
        <v/>
      </c>
      <c r="AE130" s="49" t="str">
        <f ca="1">IF(B130="","",
IF(AND(Calc!BJ128="g", VLOOKUP(LEFT($B130,LEN($B130)-2),'Field information 2'!$B$12:$P$111,9,FALSE)&lt;&gt;"yes"),
 IF(Calc!BG128="10-25% OM", 5.9, IF(Calc!BG128="&gt;25% OM", 5.5, 6.2)),
IF(OR(Calc!BJ128="a", VLOOKUP(LEFT($B130,LEN($B130)-2),'Field information 2'!$B$12:$P$111,9,FALSE)="yes"),
 IF(Calc!BG128="10-25% OM", 6.4, IF(Calc!BG128="&gt;25% OM", 6, 6.7)), "")))</f>
        <v/>
      </c>
      <c r="AF130" s="91" t="str">
        <f ca="1">IF(B130="","",
IF('Waste results'!$Q$33="","no (significant) liming properties",
IF('Waste results'!Q$33&gt;100,"no (significant) liming properties",
IF(AD130="","",
IF(AD130&gt;=AE130,0,ROUNDDOWN((AE130-AD130)*Calc!BK128*'Waste results'!$Q$33+0.2,0))))))</f>
        <v/>
      </c>
      <c r="AG130" s="9" t="str">
        <f ca="1">IF(B130="","",
IF(T130=0,"n/a",
IF(AD130="","data missing",
IF(AND(AD130&lt;5,AF130="no (significant) liming properties"),"no waste application - pH too low",
IF(AND(AD130&gt;5.1,AF130="no (significant) liming properties",Calc!BH128&gt;25, LEFT(Calc!BI128,4)="graz"),"ok",
IF(AND(AD130&lt;=5.2,AF130="no (significant) liming properties"),"liming highly recommended",
IF(AF130=0,"no waste application - liming not required",
IF(AF130&lt;Calc!BC128,"application rate too high - exceeds liming requirement",
"ok"))))))))</f>
        <v/>
      </c>
      <c r="AH130" s="9"/>
      <c r="AI130" s="91" t="str">
        <f ca="1">IF(B130="","",
IF(AND('Field information 2'!$O$5="", 'Field information 2'!$Q$5=""),
   IF('Waste results'!$P$10&lt;&gt;"data missing", Calc!BC128*'Waste results'!$P$10, "data missing"),
IF('Field information 2'!$Q$5="",
   IF(Calc!BD128=0,
     IF('Waste results'!$P$10&lt;&gt;"data missing", Calc!BC128*'Waste results'!$P$10, "data missing"),
   IF(Calc!BC128=0,
     IF('Waste results'!$P$45&lt;&gt;"data missing", Calc!BD128*'Waste results'!$P$45, "data missing"),
   IF(OR('Waste results'!$P$10&lt;&gt;"data missing", 'Waste results'!$P$45&lt;&gt;"data missing"), Calc!BC128*'Waste results'!$P$10+ Calc!BD128*'Waste results'!$P$45, "data missing"))),
IF(AND('Field information 2'!$M$5&lt;&gt;"", 'Field information 2'!$O$5&lt;&gt;"", 'Field information 2'!$Q$5&lt;&gt;""),
   IF(AND(Calc!BD128=0,Calc!BE128=0),
     IF('Waste results'!$P$10&lt;&gt;"data missing", Calc!BC128*'Waste results'!$P$10, "data missing"),
   IF(AND(Calc!BC128=0,Calc!BE128=0),
     IF('Waste results'!$P$45&lt;&gt;"data missing", Calc!BD128*'Waste results'!$P$45, "data missing"),
   IF(AND(Calc!BC128=0,Calc!BD128=0),
     IF('Waste results'!$P$82&lt;&gt;"data missing", Calc!BE128*'Waste results'!$P$82, "data missing"),
   IF(Calc!BE128=0,
     IF(OR('Waste results'!$P$10&lt;&gt;"data missing", 'Waste results'!$P$45&lt;&gt;"data missing"), Calc!BC128*'Waste results'!$P$10+ Calc!BD128*'Waste results'!$P$45, "data missing"),
   IF(Calc!BD128=0,
     IF(OR('Waste results'!$P$10&lt;&gt;"data missing", 'Waste results'!$P$82&lt;&gt;"data missing"), Calc!BC128*'Waste results'!$P$10+ Calc!BE128*'Waste results'!$P$82, "data missing"),
   IF(Calc!BC128=0,
     IF(OR('Waste results'!$P$45&lt;&gt;"data missing", 'Waste results'!$P$82&lt;&gt;"data missing"), Calc!BD128*'Waste results'!$P$45+Calc!BE128*'Waste results'!$P$82, "data missing"),
   IF(OR('Waste results'!$P$10&lt;&gt;"data missing", 'Waste results'!$P$45&lt;&gt;"data missing", 'Waste results'!$P$82&lt;&gt;"data missing"), Calc!BC128*'Waste results'!$P$10+Calc!BD128*'Waste results'!$P$45+ Calc!BE128*'Waste results'!$P$82, "data missing")))))))))))</f>
        <v/>
      </c>
      <c r="AJ130" s="237" t="str">
        <f ca="1">IF(B130="","",
IF(AI130="data missing","data missing",
IF(Calc!BF128=0,"n/a",
IF(AND(Calc!BH128&gt;=8,AI130&lt;500),"no benefit",
IF(OR(AND(Calc!BH128&lt;=4,AI130&gt;=500),AND(Calc!BH128&lt;8,AI130&gt;5000)),"benefit",
"limited benefit")))))</f>
        <v/>
      </c>
      <c r="AK130" s="9"/>
      <c r="AL130" s="238" t="str">
        <f ca="1">IF(B130="","",
IF(AND('Field information 2'!$O$5="", 'Field information 2'!$Q$5=""),
   IF('Waste results'!$S$25&lt;&gt;"data missing", Calc!BC128*'Waste results'!$S$25, "data missing"),
IF('Field information 2'!$Q$5="",
   IF(Calc!BD128=0,
     IF('Waste results'!$S$25&lt;&gt;"data missing", Calc!BC128*'Waste results'!$S$25, "data missing"),
   IF(Calc!BC128=0,
     IF('Waste results'!$S$61&lt;&gt;"data missing", Calc!BD128*'Waste results'!$S$61, "data missing"),
   IF(OR('Waste results'!$S$25&lt;&gt;"data missing", 'Waste results'!$S$61&lt;&gt;"data missing"), Calc!BC128*'Waste results'!$S$25+ Calc!BD128*'Waste results'!$S$61, "data missing"))),
IF(AND('Field information 2'!$M$5&lt;&gt;"", 'Field information 2'!$O$5&lt;&gt;"", 'Field information 2'!$Q$5&lt;&gt;""),
   IF(AND(Calc!BD128=0,Calc!BE128=0),
     IF('Waste results'!$S$25&lt;&gt;"data missing", Calc!BC128*'Waste results'!$S$25, "data missing"),
   IF(AND(Calc!BC128=0,Calc!BE128=0),
     IF('Waste results'!$S$61&lt;&gt;"data missing", Calc!BD128*'Waste results'!$S$61, "data missing"),
   IF(AND(Calc!BC128=0,Calc!BD128=0),
     IF('Waste results'!$S$97&lt;&gt;"data missing", Calc!BE128*'Waste results'!$S$97, "data missing"),
   IF(Calc!BE128=0,
     IF(OR('Waste results'!$S$25&lt;&gt;"data missing", 'Waste results'!$S$61&lt;&gt;"data missing"), Calc!BC128*'Waste results'!$S$25+ Calc!BD128*'Waste results'!$S$61, "data missing"),
   IF(Calc!BD128=0,
     IF(OR('Waste results'!$S$25&lt;&gt;"data missing", 'Waste results'!$S$97&lt;&gt;"data missing"), Calc!BC128*'Waste results'!$S$25+ Calc!BE128*'Waste results'!$S$97, "data missing"),
   IF(Calc!BC128=0,
     IF(OR('Waste results'!$S$61&lt;&gt;"data missing", 'Waste results'!$S$97&lt;&gt;"data missing"), Calc!BD128*'Waste results'!$S$61+Calc!BE128*'Waste results'!$S$97, "data missing"),
   IF(OR('Waste results'!$S$25&lt;&gt;"data missing", 'Waste results'!$S$61&lt;&gt;"data missing", 'Waste results'!$S$97&lt;&gt;"data missing"), Calc!BC128*'Waste results'!$S$25+Calc!BD128*'Waste results'!$S$61+ Calc!BE128*'Waste results'!$S$97, "data missing")))))))))))</f>
        <v/>
      </c>
      <c r="AM130" s="239" t="str">
        <f ca="1">IF($B130="","",
IF(ISBLANK('Soil results'!K133),"data missing",'Soil results'!K133))</f>
        <v/>
      </c>
      <c r="AN130" s="239" t="str">
        <f t="shared" ca="1" si="40"/>
        <v/>
      </c>
      <c r="AO130" s="9" t="str">
        <f t="shared" ca="1" si="41"/>
        <v/>
      </c>
      <c r="AP130" s="9"/>
      <c r="AQ130" s="240" t="str">
        <f ca="1">IF(B130="","",
IF(AND('Field information 2'!$O$5="", 'Field information 2'!$Q$5=""),
   IF('Waste results'!$S$26&lt;&gt;"data missing", Calc!BC128*'Waste results'!$S$26, "data missing"),
IF('Field information 2'!$Q$5="",
   IF(Calc!BD128=0,
     IF('Waste results'!$S$26&lt;&gt;"data missing", Calc!BC128*'Waste results'!$S$26, "data missing"),
   IF(Calc!BC128=0,
     IF('Waste results'!$S$62&lt;&gt;"data missing", Calc!BD128*'Waste results'!$S$62, "data missing"),
   IF(OR('Waste results'!$S$26&lt;&gt;"data missing", 'Waste results'!$S$62&lt;&gt;"data missing"), Calc!BC128*'Waste results'!$S$26+ Calc!BD128*'Waste results'!$S$62, "data missing"))),
IF(AND('Field information 2'!$M$5&lt;&gt;"", 'Field information 2'!$O$5&lt;&gt;"", 'Field information 2'!$Q$5&lt;&gt;""),
   IF(AND(Calc!BD128=0,Calc!BE128=0),
     IF('Waste results'!$S$26&lt;&gt;"data missing", Calc!BC128*'Waste results'!$S$26, "data missing"),
   IF(AND(Calc!BC128=0,Calc!BE128=0),
     IF('Waste results'!$S$62&lt;&gt;"data missing", Calc!BD128*'Waste results'!$S$62, "data missing"),
   IF(AND(Calc!BC128=0,Calc!BD128=0),
     IF('Waste results'!$S$98&lt;&gt;"data missing", Calc!BE128*'Waste results'!$S$98, "data missing"),
   IF(Calc!BE128=0,
     IF(OR('Waste results'!$S$26&lt;&gt;"data missing", 'Waste results'!$S$62&lt;&gt;"data missing"), Calc!BC128*'Waste results'!$S$26+ Calc!BD128*'Waste results'!$S$62, "data missing"),
   IF(Calc!BD128=0,
     IF(OR('Waste results'!$S$26&lt;&gt;"data missing", 'Waste results'!$S$98&lt;&gt;"data missing"), Calc!BC128*'Waste results'!$S$26+ Calc!BE128*'Waste results'!$S$98, "data missing"),
   IF(Calc!BC128=0,
     IF(OR('Waste results'!$S$62&lt;&gt;"data missing", 'Waste results'!$S$98&lt;&gt;"data missing"), Calc!BD128*'Waste results'!$S$62+Calc!BE128*'Waste results'!$S$98, "data missing"),
   IF(OR('Waste results'!$S$26&lt;&gt;"data missing", 'Waste results'!$S$62&lt;&gt;"data missing", 'Waste results'!$S$98&lt;&gt;"data missing"), Calc!BC128*'Waste results'!$S$26+Calc!BD128*'Waste results'!$S$62+ Calc!BE128*'Waste results'!$S$98, "data missing")))))))))))</f>
        <v/>
      </c>
      <c r="AR130" s="241" t="str">
        <f ca="1">IF($B130="","",
IF(ISBLANK('Soil results'!L133),"data missing",'Soil results'!L133))</f>
        <v/>
      </c>
      <c r="AS130" s="241" t="str">
        <f t="shared" ca="1" si="42"/>
        <v/>
      </c>
      <c r="AT130" s="66" t="str">
        <f t="shared" ca="1" si="43"/>
        <v/>
      </c>
      <c r="AU130" s="9"/>
      <c r="AV130" s="238" t="str">
        <f ca="1">IF(B130="","",
IF(AND('Field information 2'!$O$5="", 'Field information 2'!$Q$5=""),
   IF('Waste results'!$S$27&lt;&gt;"data missing", Calc!BC128*'Waste results'!$S$27, "data missing"),
IF('Field information 2'!$Q$5="",
   IF(Calc!BD128=0,
     IF('Waste results'!$S$27&lt;&gt;"data missing", Calc!BC128*'Waste results'!$S$27, "data missing"),
   IF(Calc!BC128=0,
     IF('Waste results'!$S$63&lt;&gt;"data missing", Calc!BD128*'Waste results'!$S$63, "data missing"),
   IF(OR('Waste results'!$S$27&lt;&gt;"data missing", 'Waste results'!$S$63&lt;&gt;"data missing"), Calc!BC128*'Waste results'!$S$27+ Calc!BD128*'Waste results'!$S$63, "data missing"))),
IF(AND('Field information 2'!$M$5&lt;&gt;"", 'Field information 2'!$O$5&lt;&gt;"", 'Field information 2'!$Q$5&lt;&gt;""),
   IF(AND(Calc!BD128=0,Calc!BE128=0),
     IF('Waste results'!$S$27&lt;&gt;"data missing", Calc!BC128*'Waste results'!$S$27, "data missing"),
   IF(AND(Calc!BC128=0,Calc!BE128=0),
     IF('Waste results'!$S$63&lt;&gt;"data missing", Calc!BD128*'Waste results'!$S$63, "data missing"),
   IF(AND(Calc!BC128=0,Calc!BD128=0),
     IF('Waste results'!$S$99&lt;&gt;"data missing", Calc!BE128*'Waste results'!$S$99, "data missing"),
   IF(Calc!BE128=0,
     IF(OR('Waste results'!$S$27&lt;&gt;"data missing", 'Waste results'!$S$63&lt;&gt;"data missing"), Calc!BC128*'Waste results'!$S$27+ Calc!BD128*'Waste results'!$S$63, "data missing"),
   IF(Calc!BD128=0,
     IF(OR('Waste results'!$S$27&lt;&gt;"data missing", 'Waste results'!$S$99&lt;&gt;"data missing"), Calc!BC128*'Waste results'!$S$27+ Calc!BE128*'Waste results'!$S$99, "data missing"),
   IF(Calc!BC128=0,
     IF(OR('Waste results'!$S$63&lt;&gt;"data missing", 'Waste results'!$S$99&lt;&gt;"data missing"), Calc!BD128*'Waste results'!$S$63+Calc!BE128*'Waste results'!$S$99, "data missing"),
   IF(OR('Waste results'!$S$27&lt;&gt;"data missing", 'Waste results'!$S$63&lt;&gt;"data missing", 'Waste results'!$S$99&lt;&gt;"data missing"), Calc!BC128*'Waste results'!$S$27+Calc!BD128*'Waste results'!$S$63+ Calc!BE128*'Waste results'!$S$99, "data missing")))))))))))</f>
        <v/>
      </c>
      <c r="AW130" s="239" t="str">
        <f ca="1">IF($B130="","",
IF(ISBLANK('Soil results'!M133),"data missing",'Soil results'!M133))</f>
        <v/>
      </c>
      <c r="AX130" s="239" t="str">
        <f t="shared" ca="1" si="44"/>
        <v/>
      </c>
      <c r="AY130" s="9" t="str">
        <f ca="1">IF(B130="","",
IF(AV130=0,"n/a",
IF(OR(AV130="data missing",AW130="data missing"),"data missing",
IF(AV130&gt;7.5,"application rate too high - permissible rate exceeds limit",
IF('Soil results'!$F133&lt;=5.5,
  IF(AW130&gt;80,"no application - soil conc. already above limit",
  IF(AX130&gt;80,"application rate too high - soil conc. will exceed limit",
  IF(AW130&gt;80*0.9,"soil conc. is at or above 90% of the limit",
  IF(10*AV130*1000/3000+AW130&gt;80,"soil limit likely to be exceeded in 10yrs",
  IF(50*AV130*1000/3000+AW130&gt;80,"soil limit likely to be exceeded in 50yrs","ok"))))),
IF('Soil results'!$F133&lt;=6,
  IF(AW130&gt;100,"no application - soil conc. already above limit",
  IF(AX130&gt;100,"application rate too high - soil conc. will exceed limit",
  IF(AW130&gt;100*0.9,"soil conc. is at or above 90% of the limit",
  IF(10*AV130*1000/3000+AW130&gt;100,"soil limit likely to be exceeded in 10yrs",
  IF(50*AV130*1000/3000+AW130&gt;100,"soil limit likely to be exceeded in 50yrs","ok"))))),
IF('Soil results'!$F133&lt;=7,
  IF(AW130&gt;135,"no application - soil conc. already above limit",
  IF(AX130&gt;135,"application rate too high - soil conc. will exceed limit",
  IF(AW130&gt;135*0.9,"soil conc. is at or above 90% of the limit",
  IF(10*AV130*1000/3000+AW130&gt;135,"soil limit likely to be exceeded in 10yrs",
  IF(50*AV130*1000/3000+AW130&gt;135,"soil limit likely to be exceeded in 50yrs","ok"))))),
IF('Soil results'!$F133&gt;7,
  IF(AW130&gt;200,"no application - soil conc. already above limit",
  IF(AX130&gt;200,"application too high - soil conc. will exceed limit",
  IF(AW130&gt;200*0.9,"soil conc. is at or above 90% of the limit",
  IF(10*AV130*1000/3000+AW130&gt;200,"soil limit likely to be exceeded in 10yrs",
  IF(50*AV130*1000/3000+AW130&gt;200,"soil limit likely to be exceeded in 50yrs","ok")))))
))))))))</f>
        <v/>
      </c>
      <c r="AZ130" s="9"/>
      <c r="BA130" s="238" t="str">
        <f ca="1">IF(B130="","",
IF(AND('Field information 2'!$O$5="", 'Field information 2'!$Q$5=""),
   IF('Waste results'!$S$28&lt;&gt;"data missing", Calc!BC128*'Waste results'!$S$28, "data missing"),
IF('Field information 2'!$Q$5="",
   IF(Calc!BD128=0,
     IF('Waste results'!$S$28&lt;&gt;"data missing", Calc!BC128*'Waste results'!$S$28, "data missing"),
   IF(Calc!BC128=0,
     IF('Waste results'!$S$64&lt;&gt;"data missing", Calc!BD128*'Waste results'!$S$64, "data missing"),
   IF(OR('Waste results'!$S$28&lt;&gt;"data missing", 'Waste results'!$S$64&lt;&gt;"data missing"), Calc!BC128*'Waste results'!$S$28+ Calc!BD128*'Waste results'!$S$64, "data missing"))),
IF(AND('Field information 2'!$M$5&lt;&gt;"", 'Field information 2'!$O$5&lt;&gt;"", 'Field information 2'!$Q$5&lt;&gt;""),
   IF(AND(Calc!BD128=0,Calc!BE128=0),
     IF('Waste results'!$S$28&lt;&gt;"data missing", Calc!BC128*'Waste results'!$S$28, "data missing"),
   IF(AND(Calc!BC128=0,Calc!BE128=0),
     IF('Waste results'!$S$64&lt;&gt;"data missing", Calc!BD128*'Waste results'!$S$64, "data missing"),
   IF(AND(Calc!BC128=0,Calc!BD128=0),
     IF('Waste results'!$S$100&lt;&gt;"data missing", Calc!BE128*'Waste results'!$S$100, "data missing"),
   IF(Calc!BE128=0,
     IF(OR('Waste results'!$S$28&lt;&gt;"data missing", 'Waste results'!$S$64&lt;&gt;"data missing"), Calc!BC128*'Waste results'!$S$28+ Calc!BD128*'Waste results'!$S$64, "data missing"),
   IF(Calc!BD128=0,
     IF(OR('Waste results'!$S$28&lt;&gt;"data missing", 'Waste results'!$S$100&lt;&gt;"data missing"), Calc!BC128*'Waste results'!$S$28+ Calc!BE128*'Waste results'!$S$100, "data missing"),
   IF(Calc!BC128=0,
     IF(OR('Waste results'!$S$64&lt;&gt;"data missing", 'Waste results'!$S$100&lt;&gt;"data missing"), Calc!BD128*'Waste results'!$S$64+Calc!BE128*'Waste results'!$S$100, "data missing"),
   IF(OR('Waste results'!$S$28&lt;&gt;"data missing", 'Waste results'!$S$64&lt;&gt;"data missing", 'Waste results'!$S$100&lt;&gt;"data missing"), Calc!BC128*'Waste results'!$S$28+Calc!BD128*'Waste results'!$S$64+ Calc!BE128*'Waste results'!$S$100, "data missing")))))))))))</f>
        <v/>
      </c>
      <c r="BB130" s="239" t="str">
        <f ca="1">IF($B130="","",
IF(ISBLANK('Soil results'!N133),"data missing",'Soil results'!N133))</f>
        <v/>
      </c>
      <c r="BC130" s="239" t="str">
        <f t="shared" ca="1" si="45"/>
        <v/>
      </c>
      <c r="BD130" s="9" t="str">
        <f t="shared" ca="1" si="46"/>
        <v/>
      </c>
      <c r="BE130" s="9"/>
      <c r="BF130" s="238" t="str">
        <f ca="1">IF(B130="","",
IF(AND('Field information 2'!$O$5="", 'Field information 2'!$Q$5=""),
   IF('Waste results'!$S$29&lt;&gt;"data missing", Calc!BC128*'Waste results'!$S$29, "data missing"),
IF('Field information 2'!$Q$5="",
   IF(Calc!BD128=0,
     IF('Waste results'!$S$29&lt;&gt;"data missing", Calc!BC128*'Waste results'!$S$29, "data missing"),
   IF(Calc!BC128=0,
     IF('Waste results'!$S$65&lt;&gt;"data missing", Calc!BD128*'Waste results'!$S$65, "data missing"),
   IF(OR('Waste results'!$S$29&lt;&gt;"data missing", 'Waste results'!$S$65&lt;&gt;"data missing"), Calc!BC128*'Waste results'!$S$29+ Calc!BD128*'Waste results'!$S$65, "data missing"))),
IF(AND('Field information 2'!$M$5&lt;&gt;"", 'Field information 2'!$O$5&lt;&gt;"", 'Field information 2'!$Q$5&lt;&gt;""),
   IF(AND(Calc!BD128=0,Calc!BE128=0),
     IF('Waste results'!$S$29&lt;&gt;"data missing", Calc!BC128*'Waste results'!$S$29, "data missing"),
   IF(AND(Calc!BC128=0,Calc!BE128=0),
     IF('Waste results'!$S$65&lt;&gt;"data missing", Calc!BD128*'Waste results'!$S$65, "data missing"),
   IF(AND(Calc!BC128=0,Calc!BD128=0),
     IF('Waste results'!$S$101&lt;&gt;"data missing", Calc!BE128*'Waste results'!$S$101, "data missing"),
   IF(Calc!BE128=0,
     IF(OR('Waste results'!$S$29&lt;&gt;"data missing", 'Waste results'!$S$65&lt;&gt;"data missing"), Calc!BC128*'Waste results'!$S$29+ Calc!BD128*'Waste results'!$S$65, "data missing"),
   IF(Calc!BD128=0,
     IF(OR('Waste results'!$S$29&lt;&gt;"data missing", 'Waste results'!$S$101&lt;&gt;"data missing"), Calc!BC128*'Waste results'!$S$29+ Calc!BE128*'Waste results'!$S$101, "data missing"),
   IF(Calc!BC128=0,
     IF(OR('Waste results'!$S$65&lt;&gt;"data missing", 'Waste results'!$S$101&lt;&gt;"data missing"), Calc!BD128*'Waste results'!$S$65+Calc!BE128*'Waste results'!$S$101, "data missing"),
   IF(OR('Waste results'!$S$29&lt;&gt;"data missing", 'Waste results'!$S$65&lt;&gt;"data missing", 'Waste results'!$S$101&lt;&gt;"data missing"), Calc!BC128*'Waste results'!$S$29+Calc!BD128*'Waste results'!$S$65+ Calc!BE128*'Waste results'!$S$101, "data missing")))))))))))</f>
        <v/>
      </c>
      <c r="BG130" s="239" t="str">
        <f ca="1">IF($B130="","",
IF(ISBLANK('Soil results'!O133),"data missing",'Soil results'!O133))</f>
        <v/>
      </c>
      <c r="BH130" s="239" t="str">
        <f t="shared" ca="1" si="47"/>
        <v/>
      </c>
      <c r="BI130" s="9" t="str">
        <f ca="1">IF(B130="","",
IF(BF130=0,"n/a",
IF(OR(BF130="data missing",BG130="data missing"),"data missing",
IF(BF130&gt;3,"application rate too high - permissible rate exceeds limit",
IF('Soil results'!F133&lt;=5.5,
  IF(BG130&gt;50,"no application - soil conc. already above limit",
  IF(BH130&gt;50,"application rate too high - soil conc. will exceed limit",
  IF(BG130&gt;50*0.9,"soil conc. is at or above 90% of the limit",
  IF(10*BF130*1000/3000+BG130&gt;50,"soil limit likely to be exceeded in 10yrs",
  IF(50*BF130*1000/3000+BG130&gt;50,"soil limit likely to be exceeded in 50yrs","ok"))))),
IF('Soil results'!F133&lt;=6,
  IF(BG130&gt;60,"no application - soil conc. already above limit",
  IF(BH130&gt;60,"application rate too high - soil conc. will exceed limit",
  IF(BG130&gt;60*0.9,"soil conc. is at or above 90% of the limit",
  IF(10*BF130*1000/3000+BG130&gt;60,"soil limit likely to be exceeded in 10yrs",
  IF(50*BF130*1000/3000+BG130&gt;60,"soil limit likely to be exceeded in 50yrs","ok"))))),
IF('Soil results'!F133&lt;=7,
  IF(BG130&gt;75,"no application - soil conc. already above limit",
  IF(BH130&gt;75,"application rate too high - soil conc. will exceed limit",
  IF(BG130&gt;75*0.9,"soil conc. is at or above 90% of the limit",
  IF(10*BF130*1000/3000+BG130&gt;75,"soil limit likely to be exceeded in 10yrs",
  IF(50*BF130*1000/3000+BG130&gt;75,"soil limit likely to be exceeded in 50yrs","ok"))))),
IF('Soil results'!F133&gt;7,
  IF(BG130&gt;100,"no application - soil conc. already above limit",
  IF(BH130&gt;100,"application rate too high - soil conc. will exceed limit",
  IF(BG130&gt;100*0.9,"soil conc. is at or above 90% of the limit",
  IF(10*BF130*1000/3000+BG130&gt;100,"soil limit likely to be exceeded in 10yrs",
  IF(50*BF130*1000/3000+BG130&gt;100,"soil limit likely to beexceeded in 50yrs","ok")))))
))))))))</f>
        <v/>
      </c>
      <c r="BJ130" s="9"/>
      <c r="BK130" s="240" t="str">
        <f ca="1">IF(B130="","",
IF(AND('Field information 2'!$O$5="", 'Field information 2'!$Q$5=""),
   IF('Waste results'!$S$30&lt;&gt;"data missing", Calc!BC128*'Waste results'!$S$30, "data missing"),
IF('Field information 2'!$Q$5="",
   IF(Calc!BD128=0,
     IF('Waste results'!$S$30&lt;&gt;"data missing", Calc!BC128*'Waste results'!$S$30, "data missing"),
   IF(Calc!BC128=0,
     IF('Waste results'!$S$66&lt;&gt;"data missing", Calc!BD128*'Waste results'!$S$66, "data missing"),
   IF(OR('Waste results'!$S$30&lt;&gt;"data missing", 'Waste results'!$S$66&lt;&gt;"data missing"), Calc!BC128*'Waste results'!$S$30+ Calc!BD128*'Waste results'!$S$66, "data missing"))),
IF(AND('Field information 2'!$M$5&lt;&gt;"", 'Field information 2'!$O$5&lt;&gt;"", 'Field information 2'!$Q$5&lt;&gt;""),
   IF(AND(Calc!BD128=0,Calc!BE128=0),
     IF('Waste results'!$S$30&lt;&gt;"data missing", Calc!BC128*'Waste results'!$S$30, "data missing"),
   IF(AND(Calc!BC128=0,Calc!BE128=0),
     IF('Waste results'!$S$66&lt;&gt;"data missing", Calc!BD128*'Waste results'!$S$66, "data missing"),
   IF(AND(Calc!BC128=0,Calc!BD128=0),
     IF('Waste results'!$S$102&lt;&gt;"data missing", Calc!BE128*'Waste results'!$S$102, "data missing"),
   IF(Calc!BE128=0,
     IF(OR('Waste results'!$S$30&lt;&gt;"data missing", 'Waste results'!$S$66&lt;&gt;"data missing"), Calc!BC128*'Waste results'!$S$30+ Calc!BD128*'Waste results'!$S$66, "data missing"),
   IF(Calc!BD128=0,
     IF(OR('Waste results'!$S$30&lt;&gt;"data missing", 'Waste results'!$S$102&lt;&gt;"data missing"), Calc!BC128*'Waste results'!$S$30+ Calc!BE128*'Waste results'!$S$102, "data missing"),
   IF(Calc!BC128=0,
     IF(OR('Waste results'!$S$66&lt;&gt;"data missing", 'Waste results'!$S$102&lt;&gt;"data missing"), Calc!BD128*'Waste results'!$S$66+Calc!BE128*'Waste results'!$S$102, "data missing"),
   IF(OR('Waste results'!$S$30&lt;&gt;"data missing", 'Waste results'!$S$66&lt;&gt;"data missing", 'Waste results'!$S$102&lt;&gt;"data missing"), Calc!BC128*'Waste results'!$S$30+Calc!BD128*'Waste results'!$S$66+ Calc!BE128*'Waste results'!$S$102, "data missing")))))))))))</f>
        <v/>
      </c>
      <c r="BL130" s="241" t="str">
        <f ca="1">IF($B130="","",
IF(ISBLANK('Soil results'!P133),"data missing",'Soil results'!P133))</f>
        <v/>
      </c>
      <c r="BM130" s="241" t="str">
        <f t="shared" ca="1" si="48"/>
        <v/>
      </c>
      <c r="BN130" s="66" t="str">
        <f t="shared" ca="1" si="49"/>
        <v/>
      </c>
      <c r="BO130" s="9"/>
      <c r="BP130" s="238" t="str">
        <f ca="1">IF(B130="","",
IF(AND('Field information 2'!$O$5="", 'Field information 2'!$Q$5=""),
   IF('Waste results'!$S$31&lt;&gt;"data missing", Calc!BC128*'Waste results'!$S$31, "data missing"),
IF('Field information 2'!$Q$5="",
   IF(Calc!BD128=0,
     IF('Waste results'!$S$31&lt;&gt;"data missing", Calc!BC128*'Waste results'!$S$31, "data missing"),
   IF(Calc!BC128=0,
     IF('Waste results'!$S$67&lt;&gt;"data missing", Calc!BD128*'Waste results'!$S$67, "data missing"),
   IF(OR('Waste results'!$S$31&lt;&gt;"data missing", 'Waste results'!$S$67&lt;&gt;"data missing"), Calc!BC128*'Waste results'!$S$31+ Calc!BD128*'Waste results'!$S$67, "data missing"))),
IF(AND('Field information 2'!$M$5&lt;&gt;"", 'Field information 2'!$O$5&lt;&gt;"", 'Field information 2'!$Q$5&lt;&gt;""),
   IF(AND(Calc!BD128=0,Calc!BE128=0),
     IF('Waste results'!$S$31&lt;&gt;"data missing", Calc!BC128*'Waste results'!$S$31, "data missing"),
   IF(AND(Calc!BC128=0,Calc!BE128=0),
     IF('Waste results'!$S$67&lt;&gt;"data missing", Calc!BD128*'Waste results'!$S$67, "data missing"),
   IF(AND(Calc!BC128=0,Calc!BD128=0),
     IF('Waste results'!$S$103&lt;&gt;"data missing", Calc!BE128*'Waste results'!$S$103, "data missing"),
   IF(Calc!BE128=0,
     IF(OR('Waste results'!$S$31&lt;&gt;"data missing", 'Waste results'!$S$67&lt;&gt;"data missing"), Calc!BC128*'Waste results'!$S$31+ Calc!BD128*'Waste results'!$S$67, "data missing"),
   IF(Calc!BD128=0,
     IF(OR('Waste results'!$S$31&lt;&gt;"data missing", 'Waste results'!$S$103&lt;&gt;"data missing"), Calc!BC128*'Waste results'!$S$31+ Calc!BE128*'Waste results'!$S$103, "data missing"),
   IF(Calc!BC128=0,
     IF(OR('Waste results'!$S$67&lt;&gt;"data missing", 'Waste results'!$S$103&lt;&gt;"data missing"), Calc!BD128*'Waste results'!$S$67+Calc!BE128*'Waste results'!$S$103, "data missing"),
   IF(OR('Waste results'!$S$31&lt;&gt;"data missing", 'Waste results'!$S$67&lt;&gt;"data missing", 'Waste results'!$S$103&lt;&gt;"data missing"), Calc!BC128*'Waste results'!$S$31+Calc!BD128*'Waste results'!$S$67+ Calc!BE128*'Waste results'!$S$103, "data missing")))))))))))</f>
        <v/>
      </c>
      <c r="BQ130" s="239" t="str">
        <f ca="1">IF($B130="","",
IF(ISBLANK('Soil results'!Q133),"data missing",'Soil results'!Q133))</f>
        <v/>
      </c>
      <c r="BR130" s="239" t="str">
        <f t="shared" ca="1" si="50"/>
        <v/>
      </c>
      <c r="BS130" s="9" t="str">
        <f ca="1">IF(B130="","",
IF(BP130=0,"n/a",
IF(OR(BP130="data missing",BQ130=""),"data missing",
IF(BP130&gt;15,"application rate too high - permissible rate exceeds limit",
IF('Soil results'!F133&lt;=5.5,
  IF(BQ130&gt;200,"no application - soil conc. already above limit",
  IF(BR130&gt;200,"application rate too high - soil conc. will exceed limit",
  IF(BQ130&gt;200*0.9,"soil conc. is at or above 90% of the limit",
  IF(10*BP130*1000/3000+BQ130&gt;200,"soil limit likely to be exceeded in 10yrs",
  IF(50*BP130*1000/3000+BQ130&gt;200,"soil limit likely to be exceeded in 50yrs","ok"))))),
IF('Soil results'!F133&lt;=6,
  IF(BQ130&gt;250,"no application - soil conc. already above limit",
  IF(BR130&gt;250,"application rate too high - soil conc. will exceed limit",
  IF(BQ130&gt;250*0.9,"soil conc. is at or above 90% of the limit",
  IF(10*BP130*1000/3000+BQ130&gt;250,"soil limit likely to be exceeded in 10yrs",
  IF(50*BP130*1000/3000+BQ130&gt;250,"soil limit likely to be exceeded in 50yrs","ok"))))),
IF('Soil results'!F133&lt;=7,
  IF(BQ130&gt;300,"no application - soil conc. already above limit",
  IF(BR130&gt;300,"application rate too high - soil conc. will exceed limit",
  IF(BQ130&gt;300*0.9,"soil conc. is at or above 90% of the limit",
  IF(10*BP130*1000/3000+BQ130&gt;300,"soil limit likey to be exceeded in 10yrs",
  IF(50*BP130*1000/3000+BQ130&gt;300,"soil limit likely to be exceeded in 50yrs","ok"))))),
IF('Soil results'!F133&gt;7,
  IF(BQ130&gt;450,"no application - soil conc. already above limit",
  IF(BR130&gt;450,"application rate too high - soil conc. will exceed limit",
  IF(AW130&gt;450*0.9,"soil conc. is at or above 90% of the limit",
  IF(10*BP130*1000/3000+BQ130&gt;450,"soil limit likely to be exceeded in 10yrs",
  IF(50*BP130*1000/3000+BQ130&gt;450,"soil limit likely to be exceeded in 50yrs","ok")))))
))))))))</f>
        <v/>
      </c>
    </row>
    <row r="131" spans="2:71" ht="15" x14ac:dyDescent="0.25">
      <c r="B131" s="236" t="str">
        <f ca="1">'Soil results'!B134</f>
        <v/>
      </c>
      <c r="C131" s="91" t="str">
        <f ca="1">IF(B131="","",
IF(AND('Field information 2'!$O$5="", 'Field information 2'!$Q$5=""),
   IF('Waste results'!$S$12&lt;&gt;"data missing", Calc!BC129*'Waste results'!$S$12, "data missing"),
IF('Field information 2'!$Q$5="",
   IF(Calc!BD129=0,
     IF('Waste results'!$S$12&lt;&gt;"data missing", Calc!BC129*'Waste results'!$S$12, "data missing"),
   IF(Calc!BC129=0,
     IF('Waste results'!$S$48&lt;&gt;"data missing", Calc!BD129*'Waste results'!$S$48, "data missing"),
   IF(OR('Waste results'!$S$12&lt;&gt;"data missing", 'Waste results'!$S$48&lt;&gt;"data missing"), Calc!BC129*'Waste results'!$S$12+ Calc!BD129*'Waste results'!$S$48, "data missing"))),
IF(AND('Field information 2'!$M$5&lt;&gt;"", 'Field information 2'!$O$5&lt;&gt;"", 'Field information 2'!$Q$5&lt;&gt;""),
   IF(AND(Calc!BD129=0,Calc!BE129=0),
     IF('Waste results'!$S$12&lt;&gt;"data missing", Calc!BC129*'Waste results'!$S$12, "data missing"),
   IF(AND(Calc!BC129=0,Calc!BE129=0),
     IF('Waste results'!$S$48&lt;&gt;"data missing", Calc!BD129*'Waste results'!$S$48, "data missing"),
   IF(AND(Calc!BC129=0,Calc!BD129=0),
     IF('Waste results'!$S$84&lt;&gt;"data missing", Calc!BE129*'Waste results'!$S$84, "data missing"),
   IF(Calc!BE129=0,
     IF(OR('Waste results'!$S$12&lt;&gt;"data missing", 'Waste results'!$S$48&lt;&gt;"data missing"), Calc!BC129*'Waste results'!$S$12+ Calc!BD129*'Waste results'!$S$48, "data missing"),
   IF(Calc!BD129=0,
     IF(OR('Waste results'!$S$12&lt;&gt;"data missing", 'Waste results'!$S$84&lt;&gt;"data missing"), Calc!BC129*'Waste results'!$S$12+ Calc!BE129*'Waste results'!$S$84, "data missing"),
   IF(Calc!BC129=0,
     IF(OR('Waste results'!$S$48&lt;&gt;"data missing", 'Waste results'!$S$84&lt;&gt;"data missing"), Calc!BD129*'Waste results'!$S$48+Calc!BE129*'Waste results'!$S$84, "data missing"),
   IF(OR('Waste results'!$S$12&lt;&gt;"data missing", 'Waste results'!$S$48&lt;&gt;"data missing", 'Waste results'!$S$84&lt;&gt;"data missing"), Calc!BC129*'Waste results'!$S$12+Calc!BD129*'Waste results'!$S$48+ Calc!BE129*'Waste results'!$S$84, "data missing")))))))))))</f>
        <v/>
      </c>
      <c r="D131" s="161" t="str">
        <f ca="1">IF(B131="","",
IF(Calc!BG129="","soil texture missing",
IF(OR(Calc!BG129="SL; SZL; ZL",Calc!BG129="SCL; CL; ZCL; SC; ZC; C"),VLOOKUP(Calc!BI129,'Fertiliser recommendations'!$A$4:$C$63,3,FALSE),
IF(Calc!BG129="S; LS",VLOOKUP(Calc!BI129,'Fertiliser recommendations'!$A$4:$C$63,3,FALSE)+VLOOKUP(Calc!BI129,'Fertiliser recommendations'!$A$4:$D$63,4,FALSE),
IF(Calc!BG129="10-25% OM",VLOOKUP(Calc!BI129,'Fertiliser recommendations'!$A$4:$C$63,3,FALSE)+VLOOKUP(Calc!BI129,'Fertiliser recommendations'!$A$4:$E$63,5,FALSE),
IF(Calc!BG129="&gt;25% OM",VLOOKUP(Calc!BI129,'Fertiliser recommendations'!$A$4:$C$63,3,FALSE)+VLOOKUP(Calc!BI129,'Fertiliser recommendations'!$A$4:$F$63,6,FALSE),
""))))))</f>
        <v/>
      </c>
      <c r="E131" s="91" t="str">
        <f t="shared" ca="1" si="34"/>
        <v/>
      </c>
      <c r="F131" s="9" t="str">
        <f ca="1">IF(B131="","",
IF(OR(C131="data missing",D131="soil texture missing"),"data missing",
IF(Calc!BF129=0,"n/a",
IF(C131&lt;0.1*D131,"no benefit",
IF(C131&lt;0.3*D131,"limited benefit",
IF(C131&gt;250,"exceeds limit",
IF(OR(AND(D131=0,C131&gt;75),C131&gt;1.25*D131),"excessive",
IF(D131=0, "no requirement",
"benefit"))))))))</f>
        <v/>
      </c>
      <c r="G131" s="9"/>
      <c r="H131" s="91" t="str">
        <f ca="1">IF(B131="","",
IF(AND('Field information 2'!$O$5="", 'Field information 2'!$Q$5=""),
   IF('Waste results'!$S$17&lt;&gt;"data missing", Calc!BC129*'Waste results'!$S$17, "data missing"),
IF('Field information 2'!$Q$5="",
   IF(Calc!BD129=0,
     IF('Waste results'!$S$17&lt;&gt;"data missing", Calc!BC129*'Waste results'!$S$17, "data missing"),
   IF(Calc!BC129=0,
     IF('Waste results'!$S$53&lt;&gt;"data missing", Calc!BD129*'Waste results'!$S$53, "data missing"),
   IF(OR('Waste results'!$S$17&lt;&gt;"data missing", 'Waste results'!$S$53&lt;&gt;"data missing"), Calc!BC129*'Waste results'!$S$17+ Calc!BD129*'Waste results'!$S$53, "data missing"))),
IF(AND('Field information 2'!$M$5&lt;&gt;"", 'Field information 2'!$O$5&lt;&gt;"", 'Field information 2'!$Q$5&lt;&gt;""),
   IF(AND(Calc!BD129=0,Calc!BE129=0),
     IF('Waste results'!$S$17&lt;&gt;"data missing", Calc!BC129*'Waste results'!$S$17, "data missing"),
   IF(AND(Calc!BC129=0,Calc!BE129=0),
     IF('Waste results'!$S$53&lt;&gt;"data missing", Calc!BD129*'Waste results'!$S$53, "data missing"),
   IF(AND(Calc!BC129=0,Calc!BD129=0),
     IF('Waste results'!$S$89&lt;&gt;"data missing", Calc!BE129*'Waste results'!$S$89, "data missing"),
   IF(Calc!BE129=0,
     IF(OR('Waste results'!$S$17&lt;&gt;"data missing", 'Waste results'!$S$53&lt;&gt;"data missing"), Calc!BC129*'Waste results'!$S$17+ Calc!BD129*'Waste results'!$S$53, "data missing"),
   IF(Calc!BD129=0,
     IF(OR('Waste results'!$S$17&lt;&gt;"data missing", 'Waste results'!$S$89&lt;&gt;"data missing"), Calc!BC129*'Waste results'!$S$17+ Calc!BE129*'Waste results'!$S$89, "data missing"),
   IF(Calc!BC129=0,
     IF(OR('Waste results'!$S$53&lt;&gt;"data missing", 'Waste results'!$S$89&lt;&gt;"data missing"), Calc!BD129*'Waste results'!$S$53+Calc!BE129*'Waste results'!$S$89, "data missing"),
   IF(OR('Waste results'!$S$17&lt;&gt;"data missing", 'Waste results'!$S$53&lt;&gt;"data missing", 'Waste results'!$S$89&lt;&gt;"data missing"), Calc!BC129*'Waste results'!$S$17+Calc!BD129*'Waste results'!$S$53+ Calc!BE129*'Waste results'!$S$89, "data missing")))))))))))</f>
        <v/>
      </c>
      <c r="I131" s="195" t="str">
        <f ca="1">IF(B131="","",
IF(OR(ISBLANK('Soil results'!G134), ISBLANK('Soil results'!G$7)),"data missing",
IF(OR(AND('Soil results'!G$7="Olsen (ADAS)",'Soil results'!G134&lt;16),AND('Soil results'!G$7="modified Morgan (SAC)",'Soil results'!G134&lt;4.5)),50,100)))</f>
        <v/>
      </c>
      <c r="J131" s="49" t="str">
        <f ca="1">IF(B131="","",
IF(OR(ISBLANK('Soil results'!G$7),ISBLANK('Soil results'!G134)),"data missing",
IF(OR(AND('Soil results'!G$7="Olsen (ADAS)",'Soil results'!G134&gt;45),AND('Soil results'!G$7="modified Morgan (SAC)",'Soil results'!G134&gt;30)),0,
IF(OR(AND('Soil results'!G$7="Olsen (ADAS)",'Soil results'!G134&gt;=16,'Soil results'!G134&lt;=20),AND('Soil results'!G$7="modified Morgan (SAC)",'Soil results'!G134&gt;=4.5,'Soil results'!G134&lt;=9.4)),VLOOKUP(Calc!BI129,'Fertiliser recommendations'!$A$4:$I$63,9,FALSE),
IF(OR(AND('Soil results'!G$7="Olsen (ADAS)",'Soil results'!G134&lt;10),AND('Soil results'!G$7="modified Morgan (SAC)",'Soil results'!G134&lt;1.8)),VLOOKUP(Calc!BI129,'Fertiliser recommendations'!$A$4:$I$63,9,FALSE)+VLOOKUP(Calc!BI129,'Fertiliser recommendations'!$A$4:$J$63,10,FALSE),
IF(OR(AND('Soil results'!G$7="Olsen (ADAS)",'Soil results'!G134&lt;16),AND('Soil results'!G$7="modified Morgan (SAC)",'Soil results'!G134&lt;4.5)),VLOOKUP(Calc!BI129,'Fertiliser recommendations'!$A$4:$I$63,9,FALSE)+VLOOKUP(Calc!BI129,'Fertiliser recommendations'!$A$4:$K$63,11,FALSE),
IF(OR(AND('Soil results'!G$7="Olsen (ADAS)",'Soil results'!G134&lt;26),AND('Soil results'!G$7="modified Morgan (SAC)",'Soil results'!G134&lt;13.5)),VLOOKUP(Calc!BI129,'Fertiliser recommendations'!$A$4:$I$63,9,FALSE)+VLOOKUP(Calc!BI129,'Fertiliser recommendations'!$A$4:$L$63,12,FALSE),
IF(OR(AND('Soil results'!G$7="Olsen (ADAS)",'Soil results'!G134&lt;=45),AND('Soil results'!G$7="modified Morgan (SAC)",'Soil results'!G134&lt;=30)),VLOOKUP(Calc!BI129,'Fertiliser recommendations'!$A$4:$I$63,9,FALSE)+VLOOKUP(Calc!BI129,'Fertiliser recommendations'!$A$4:$M$63,13,FALSE),
""))))))))</f>
        <v/>
      </c>
      <c r="K131" s="161" t="str">
        <f t="shared" ca="1" si="35"/>
        <v/>
      </c>
      <c r="L131" s="47" t="str">
        <f ca="1">IF(OR(ISBLANK('Soil results'!G$7),ISBLANK('Soil results'!G134),B131="", H131="data missing"),"",
IF('Soil results'!G$7="Olsen (ADAS)",
IF(((H131*Calc!BM129/2.291-(VLOOKUP(Calc!BI129,'Fertiliser recommendations'!$A$4:$I$63,9,FALSE))/2.291)*10/(400/2.291)+'Soil results'!G134)&lt;10,"0 (VL)",
IF(((H131*Calc!BM129/2.291-(VLOOKUP(Calc!BI129,'Fertiliser recommendations'!$A$4:$I$63,9,FALSE))/2.291)*10/(400/2.291)+'Soil results'!G134)&lt;16,"1 (L)",
IF(((H131*Calc!BM129/2.291-(VLOOKUP(Calc!BI129,'Fertiliser recommendations'!$A$4:$I$63,9,FALSE))/2.291)*10/(400/2.291)+'Soil results'!G134)&lt;21,"2 (M-)",
IF(((H131*Calc!BM129/2.291-(VLOOKUP(Calc!BI129,'Fertiliser recommendations'!$A$4:$I$63,9,FALSE))/2.291)*10/(400/2.291)+'Soil results'!G134)&lt;26,"2 (M+)",
IF(((H131*Calc!BM129/2.291-(VLOOKUP(Calc!BI129,'Fertiliser recommendations'!$A$4:$I$63,9,FALSE))/2.291)*10/(400/2.291)+'Soil results'!G134)&lt;45,"3 (H)","&gt;3 (VH)"))))),
IF('Soil results'!G$7="modified Morgan (SAC)",
IF('Soil results'!G134&gt;=6,
IF(((H131*Calc!BM129/2.291-(VLOOKUP(Calc!BI129,'Fertiliser recommendations'!$A$4:$I$63,9,FALSE))/2.291)*5/(147/2.291)+'Soil results'!G134)&lt;9.5,"2 (M-)",
IF(((H131*Calc!BM129/2.291-(VLOOKUP(Calc!BI129,'Fertiliser recommendations'!$A$4:$I$63,9,FALSE))/2.291)*5/(147/2.291)+'Soil results'!G134)&lt;13.5,"2 (M+)",
IF(((H131*Calc!BM129/2.291-(VLOOKUP(Calc!BI129,'Fertiliser recommendations'!$A$4:$I$63,9,FALSE))/2.291)*5/(147/2.291)+'Soil results'!G134)&lt;30,"3 (H)","4 (VH)"))),
IF(((H131*Calc!BM129/2.291-(VLOOKUP(Calc!BI129,'Fertiliser recommendations'!$A$4:$I$63,9,FALSE))/2.291)*5/(346/2.291)+'Soil results'!G134)&lt;1.8,"0 (VL)",
IF(((H131*Calc!BM129/2.291-(VLOOKUP(Calc!BI129,'Fertiliser recommendations'!$A$4:$I$63,9,FALSE))/2.291)*5/(147/2.291)+'Soil results'!G134)&lt;4.5,"1 (L)","2 (M-)"))))))</f>
        <v/>
      </c>
      <c r="M131" s="9" t="str">
        <f ca="1">IF(B131="","",
IF(OR(H131="data missing",I131="data missing",J131="data missing"),"data missing",
IF(Calc!BF129=0,"n/a",
IF(OR(AND('Soil results'!G$7="Olsen (ADAS)",'Soil results'!G134&gt;45),AND('Soil results'!G$7="modified Morgan (SAC)",'Soil results'!G134&gt;30)),
IF(H131&gt;2,"too high, not acceptable","no requirement"),IF(OR(AND('Soil results'!G$7="Olsen (ADAS)",'Soil results'!G134&gt;25),AND('Soil results'!G$7="modified Morgan (SAC)",'Soil results'!G134&gt;13.4)),
IF(H131*(I131/100)&lt;0.1*J131,"no benefit",
IF(H131*(I131/100)&lt;0.3*J131,"limited benefit",
IF(H131*(I131/100)&lt;1.1*J131,"benefit",
IF(H131*(I131/100)&lt;0.7*VLOOKUP(Calc!BI129,'Fertiliser recommendations'!$A$4:$I$63,9,FALSE),"excessive","too high, not acceptable")))),
IF(OR(AND('Soil results'!G$7="Olsen (ADAS)",'Soil results'!G134&gt;20),AND('Soil results'!G$7="modified Morgan (SAC)",'Soil results'!G134&gt;9.4)),
IF(H131*Calc!BM129*(I131/100)&lt;0.1*J131,"no benefit",
IF(H131*Calc!BM129*(I131/100)&lt;0.3*J131,"limited benefit",
IF(H131*Calc!BM129*(I131/100)&lt;1.1*J131,"benefit",
IF(L131="3 (H)","too high, not acceptable","excessive")))),
IF(OR(AND('Soil results'!G$7="Olsen (ADAS)",'Soil results'!G134&gt;15),AND('Soil results'!G$7="modified Morgan (SAC)",'Soil results'!G134&gt;4.4)),
IF(H131*Calc!BM129*(I131/100)&lt;0.1*VLOOKUP(Calc!BI129,'Fertiliser recommendations'!$A$4:$I$63,9,FALSE),"no benefit",
IF(H131*Calc!BM129*(I131/100)&lt;0.3*VLOOKUP(Calc!BI129,'Fertiliser recommendations'!$A$4:$I$63,9,FALSE),"limited benefit",
IF(H131*Calc!BM129*(I131/100)&lt;1.1*VLOOKUP(Calc!BI129,'Fertiliser recommendations'!$A$4:$I$63,9,FALSE),"benefit",
IF(L131="3 (H)", "too high, not acceptable", "excessive")))),
IF(OR(AND('Soil results'!G$7="Olsen (ADAS)",'Soil results'!G134&lt;=15),AND('Soil results'!G$7="modified Morgan (SAC)",'Soil results'!G134&lt;=4.4)),
IF(H131*Calc!BM129*(I131/100)&lt;0.1*VLOOKUP(Calc!BI129,'Fertiliser recommendations'!$A$4:$I$63,9,FALSE),"no benefit",
IF(H131*Calc!BM129*(I131/100)&lt;0.3*VLOOKUP(Calc!BI129,'Fertiliser recommendations'!$A$4:$I$63,9,FALSE),"limited benefit",
IF(H131*Calc!BM129*(I131/100)&lt;1.1*J131,"benefit","excessive")))))))))))</f>
        <v/>
      </c>
      <c r="N131" s="9"/>
      <c r="O131" s="91" t="str">
        <f ca="1">IF(B131="","",
IF(AND('Field information 2'!$O$5="", 'Field information 2'!$Q$5=""),
   IF('Waste results'!$S$19&lt;&gt;"data missing", Calc!BC129*'Waste results'!$S$19, "data missing"),
IF('Field information 2'!$Q$5="",
   IF(Calc!BD129=0,
     IF('Waste results'!$S$19&lt;&gt;"data missing", Calc!BC129*'Waste results'!$S$19, "data missing"),
   IF(Calc!BC129=0,
     IF('Waste results'!$S$55&lt;&gt;"data missing", Calc!BD129*'Waste results'!$S$55, "data missing"),
   IF(OR('Waste results'!$S$19&lt;&gt;"data missing", 'Waste results'!$S$55&lt;&gt;"data missing"), Calc!BC129*'Waste results'!$S$19+ Calc!BD129*'Waste results'!$S$55, "data missing"))),
IF(AND('Field information 2'!$M$5&lt;&gt;"", 'Field information 2'!$O$5&lt;&gt;"", 'Field information 2'!$Q$5&lt;&gt;""),
   IF(AND(Calc!BD129=0,Calc!BE129=0),
     IF('Waste results'!$S$19&lt;&gt;"data missing", Calc!BC129*'Waste results'!$S$19, "data missing"),
   IF(AND(Calc!BC129=0,Calc!BE129=0),
     IF('Waste results'!$S$55&lt;&gt;"data missing", Calc!BD129*'Waste results'!$S$55, "data missing"),
   IF(AND(Calc!BC129=0,Calc!BD129=0),
     IF('Waste results'!$S$91&lt;&gt;"data missing", Calc!BE129*'Waste results'!$S$91, "data missing"),
   IF(Calc!BE129=0,
     IF(OR('Waste results'!$S$19&lt;&gt;"data missing", 'Waste results'!$S$55&lt;&gt;"data missing"), Calc!BC129*'Waste results'!$S$19+ Calc!BD129*'Waste results'!$S$55, "data missing"),
   IF(Calc!BD129=0,
     IF(OR('Waste results'!$S$19&lt;&gt;"data missing", 'Waste results'!$S$91&lt;&gt;"data missing"), Calc!BC129*'Waste results'!$S$19+ Calc!BE129*'Waste results'!$S$91, "data missing"),
   IF(Calc!BC129=0,
     IF(OR('Waste results'!$S$55&lt;&gt;"data missing", 'Waste results'!$S$91&lt;&gt;"data missing"), Calc!BD129*'Waste results'!$S$55+Calc!BE129*'Waste results'!$S$91, "data missing"),
   IF(OR('Waste results'!$S$19&lt;&gt;"data missing", 'Waste results'!$S$55&lt;&gt;"data missing", 'Waste results'!$S$91&lt;&gt;"data missing"), Calc!BC129*'Waste results'!$S$19+Calc!BD129*'Waste results'!$S$55+ Calc!BE129*'Waste results'!$S$91, "data missing")))))))))))</f>
        <v/>
      </c>
      <c r="P131" s="91" t="str">
        <f ca="1">IF(B131="","",
IF(OR(ISBLANK('Soil results'!H$7),ISBLANK('Soil results'!H134)),"data missing",
IF(OR(AND('Soil results'!H$7="ammonium nitrate (ADAS)",'Soil results'!H134&gt;400),AND('Soil results'!H$7="modified Morgan (SAC)",'Soil results'!H134&gt;400)),0,
IF(OR(AND('Soil results'!H$7="ammonium nitrate (ADAS)",'Soil results'!H134&gt;=121,'Soil results'!H134&lt;=180),AND('Soil results'!H$7="modified Morgan (SAC)",'Soil results'!H134&gt;=76,'Soil results'!H134&lt;=140)),VLOOKUP(Calc!BI129,'Fertiliser recommendations'!$A$4:$Z$63,26,FALSE),
IF(OR(AND('Soil results'!H$7="ammonium nitrate (ADAS)",'Soil results'!H134&lt;61),AND('Soil results'!H$7="modified Morgan (SAC)",'Soil results'!H134&lt;40)),VLOOKUP(Calc!BI129,'Fertiliser recommendations'!$A$4:$Z$63,26,FALSE)+VLOOKUP(Calc!BI129,'Fertiliser recommendations'!$A$4:$AA$63,27,FALSE),
IF(OR(AND('Soil results'!H$7="ammonium nitrate (ADAS)",'Soil results'!H134&lt;121),AND('Soil results'!H$7="modified Morgan (SAC)",'Soil results'!H134&lt;76)),VLOOKUP(Calc!BI129,'Fertiliser recommendations'!$A$4:$Z$63,26,FALSE)+VLOOKUP(Calc!BI129,'Fertiliser recommendations'!$A$4:$AB$63,28,FALSE),
IF(OR(AND('Soil results'!H$7="ammonium nitrate (ADAS)",'Soil results'!H134&lt;241),AND('Soil results'!H$7="modified Morgan (SAC)",'Soil results'!H134&lt;201)),VLOOKUP(Calc!BI129,'Fertiliser recommendations'!$A$4:$Z$63,26,FALSE)+VLOOKUP(Calc!BI129,'Fertiliser recommendations'!$A$4:$AC$63,29,FALSE),
IF(OR(AND('Soil results'!H$7="ammonium nitrate (ADAS)",'Soil results'!H134&lt;=400),AND('Soil results'!H$7="modified Morgan (SAC)",'Soil results'!H134&lt;=400)),VLOOKUP(Calc!BI129,'Fertiliser recommendations'!$A$4:$Z$63,26,FALSE)+VLOOKUP(Calc!BI129,'Fertiliser recommendations'!$A$4:$AD$63,30,FALSE),
"??"))))))))</f>
        <v/>
      </c>
      <c r="Q131" s="91" t="str">
        <f t="shared" ca="1" si="36"/>
        <v/>
      </c>
      <c r="R131" s="9" t="str">
        <f ca="1">IF(B131="","",
IF(OR(O131="data missing",P131="data missing"),"data missing",
IF(Calc!BF129=0,"n/a",
IF(P131=0, "no requirement",
IF(O131&lt;0.1*P131,"no benefit",
IF(O131&lt;0.3*P131,"limited benefit",
IF(O131&gt;1.25*P131,"excessive",
"benefit")))))))</f>
        <v/>
      </c>
      <c r="S131" s="9"/>
      <c r="T131" s="91" t="str">
        <f ca="1">IF(B131="","",
IF(AND('Field information 2'!$O$5="", 'Field information 2'!$Q$5=""),
   IF('Waste results'!$S$21&lt;&gt;"data missing", Calc!BC129*'Waste results'!$S$21, "data missing"),
IF('Field information 2'!$Q$5="",
   IF(Calc!BD129=0,
     IF('Waste results'!$S$21&lt;&gt;"data missing", Calc!BC129*'Waste results'!$S$21, "data missing"),
   IF(Calc!BC129=0,
     IF('Waste results'!$S$57&lt;&gt;"data missing", Calc!BD129*'Waste results'!$S$57, "data missing"),
   IF(OR('Waste results'!$S$21&lt;&gt;"data missing", 'Waste results'!$S$57&lt;&gt;"data missing"), Calc!BC129*'Waste results'!$S$21+ Calc!BD129*'Waste results'!$S$57, "data missing"))),
IF(AND('Field information 2'!$M$5&lt;&gt;"", 'Field information 2'!$O$5&lt;&gt;"", 'Field information 2'!$Q$5&lt;&gt;""),
   IF(AND(Calc!BD129=0,Calc!BE129=0),
     IF('Waste results'!$S$21&lt;&gt;"data missing", Calc!BC129*'Waste results'!$S$21, "data missing"),
   IF(AND(Calc!BC129=0,Calc!BE129=0),
     IF('Waste results'!$S$57&lt;&gt;"data missing", Calc!BD129*'Waste results'!$S$57, "data missing"),
   IF(AND(Calc!BC129=0,Calc!BD129=0),
     IF('Waste results'!$S$93&lt;&gt;"data missing", Calc!BE129*'Waste results'!$S$93, "data missing"),
   IF(Calc!BE129=0,
     IF(OR('Waste results'!$S$21&lt;&gt;"data missing", 'Waste results'!$S$57&lt;&gt;"data missing"), Calc!BC129*'Waste results'!$S$21+ Calc!BD129*'Waste results'!$S$57, "data missing"),
   IF(Calc!BD129=0,
     IF(OR('Waste results'!$S$21&lt;&gt;"data missing", 'Waste results'!$S$93&lt;&gt;"data missing"), Calc!BC129*'Waste results'!$S$21+ Calc!BE129*'Waste results'!$S$93, "data missing"),
   IF(Calc!BC129=0,
     IF(OR('Waste results'!$S$57&lt;&gt;"data missing", 'Waste results'!$S$93&lt;&gt;"data missing"), Calc!BD129*'Waste results'!$S$57+Calc!BE129*'Waste results'!$S$93, "data missing"),
   IF(OR('Waste results'!$S$21&lt;&gt;"data missing", 'Waste results'!$S$57&lt;&gt;"data missing", 'Waste results'!$S$93&lt;&gt;"data missing"), Calc!BC129*'Waste results'!$S$21+Calc!BD129*'Waste results'!$S$57+ Calc!BE129*'Waste results'!$S$93, "data missing")))))))))))</f>
        <v/>
      </c>
      <c r="U131" s="7" t="str">
        <f ca="1">IF(B131="","",
IF(OR(ISBLANK('Soil results'!I$7),ISBLANK('Soil results'!I134)),"data missing",
IF(OR(AND('Soil results'!I$7="ammonium nitrate (ADAS)",'Soil results'!I134&gt;51),AND('Soil results'!I$7="modified Morgan (SAC)",'Soil results'!I134&gt;61)),0,
IF(OR(AND('Soil results'!I$7="ammonium nitrate (ADAS)",'Soil results'!I134&lt;25),AND('Soil results'!I$7="modified Morgan (SAC)",'Soil results'!I134&lt;19)),VLOOKUP(Calc!BI129,'Fertiliser recommendations'!$A$4:$AH$63,34,FALSE),
IF(OR(AND('Soil results'!I$7="ammonium nitrate (ADAS)",'Soil results'!I134&lt;=51),AND('Soil results'!I$7="modified Morgan (SAC)",'Soil results'!I134&lt;=61)),VLOOKUP(Calc!BI129,'Fertiliser recommendations'!$A$4:$AI$63,35,FALSE),
"")))))</f>
        <v/>
      </c>
      <c r="V131" s="91" t="str">
        <f t="shared" ca="1" si="37"/>
        <v/>
      </c>
      <c r="W131" s="9" t="str">
        <f ca="1">IF(B131="","",
IF(OR(T131="data missing",U131="data missing"),"data missing",
IF(Calc!BF129=0,"n/a",
IF(U131=0,"no requirement",
IF(T131&lt;0.1*U131,"no benefit",
IF(T131&lt;0.3*U131,"limited benefit",
IF(OR(T131&gt;1.5*U131,AND(Calc!BJ129="g",T131&gt;100)),"excessive",
"benefit")))))))</f>
        <v/>
      </c>
      <c r="X131" s="9"/>
      <c r="Y131" s="91" t="str">
        <f ca="1">IF(B131="","",
IF(AND('Field information 2'!$O$5="", 'Field information 2'!$Q$5=""),
   IF('Waste results'!$P$23&lt;&gt;"", Calc!BC129*'Waste results'!$P$23, "no data"),
IF('Field information 2'!$Q$5="",
   IF(Calc!BD129=0,
     IF('Waste results'!$P$23&lt;&gt;"", Calc!BC129*'Waste results'!$P$23, "no data"),
   IF(Calc!BC129=0,
     IF('Waste results'!$P$59&lt;&gt;"", Calc!BD129*'Waste results'!$P$59, "no data"),
   IF(OR('Waste results'!$P$23&lt;&gt;"", 'Waste results'!$P$59&lt;&gt;""), Calc!BC129*'Waste results'!$P$23+ Calc!BD129*'Waste results'!$P$59, "no data"))),
IF(AND('Field information 2'!$M$5&lt;&gt;"", 'Field information 2'!$O$5&lt;&gt;"", 'Field information 2'!$Q$5&lt;&gt;""),
   IF(AND(Calc!BD129=0,Calc!BE129=0),
     IF('Waste results'!$P$23&lt;&gt;"", Calc!BC129*'Waste results'!$P$23, "no data"),
   IF(AND(Calc!BC129=0,Calc!BE129=0),
     IF('Waste results'!$P$59&lt;&gt;"", Calc!BD129*'Waste results'!$P$59, "no data"),
   IF(AND(Calc!BC129=0,Calc!BD129=0),
     IF('Waste results'!$P$95&lt;&gt;"", Calc!BE129*'Waste results'!$P$95, "no data"),
   IF(Calc!BE129=0,
     IF(OR('Waste results'!$P$23&lt;&gt;"", 'Waste results'!$P$59&lt;&gt;""), Calc!BC129*'Waste results'!$P$23+ Calc!BD129*'Waste results'!$P$59, "no data"),
   IF(Calc!BD129=0,
     IF(OR('Waste results'!$P$23&lt;&gt;"", 'Waste results'!$P$95&lt;&gt;""), Calc!BC129*'Waste results'!$P$23+ Calc!BE129*'Waste results'!$P$95, "no data"),
   IF(Calc!BC129=0,
     IF(OR('Waste results'!$P$59&lt;&gt;"", 'Waste results'!$P$95&lt;&gt;""), Calc!BD129*'Waste results'!$P$59+Calc!BE129*'Waste results'!$P$95, "no data"),
   IF(OR('Waste results'!$P$23&lt;&gt;"", 'Waste results'!$P$59&lt;&gt;"", 'Waste results'!$P$95&lt;&gt;""), Calc!BC129*'Waste results'!$P$23+Calc!BD129*'Waste results'!$P$59+ Calc!BE129*'Waste results'!$P$95, "no data")))))))))))</f>
        <v/>
      </c>
      <c r="Z131" s="7" t="str">
        <f ca="1">IF(OR(ISBLANK('Soil results'!I$7),ISBLANK('Soil results'!I134),'Soil results'!B134=""),"",
VLOOKUP(Calc!BI129,'Fertiliser recommendations'!$A$4:$AM$63,39,FALSE))</f>
        <v/>
      </c>
      <c r="AA131" s="91" t="str">
        <f t="shared" ca="1" si="38"/>
        <v/>
      </c>
      <c r="AB131" s="9" t="str">
        <f t="shared" ca="1" si="39"/>
        <v/>
      </c>
      <c r="AC131" s="9"/>
      <c r="AD131" s="48" t="str">
        <f>IF(ISBLANK('Soil results'!F134),"",'Soil results'!F134)</f>
        <v/>
      </c>
      <c r="AE131" s="49" t="str">
        <f ca="1">IF(B131="","",
IF(AND(Calc!BJ129="g", VLOOKUP(LEFT($B131,LEN($B131)-2),'Field information 2'!$B$12:$P$111,9,FALSE)&lt;&gt;"yes"),
 IF(Calc!BG129="10-25% OM", 5.9, IF(Calc!BG129="&gt;25% OM", 5.5, 6.2)),
IF(OR(Calc!BJ129="a", VLOOKUP(LEFT($B131,LEN($B131)-2),'Field information 2'!$B$12:$P$111,9,FALSE)="yes"),
 IF(Calc!BG129="10-25% OM", 6.4, IF(Calc!BG129="&gt;25% OM", 6, 6.7)), "")))</f>
        <v/>
      </c>
      <c r="AF131" s="91" t="str">
        <f ca="1">IF(B131="","",
IF('Waste results'!$Q$33="","no (significant) liming properties",
IF('Waste results'!Q$33&gt;100,"no (significant) liming properties",
IF(AD131="","",
IF(AD131&gt;=AE131,0,ROUNDDOWN((AE131-AD131)*Calc!BK129*'Waste results'!$Q$33+0.2,0))))))</f>
        <v/>
      </c>
      <c r="AG131" s="9" t="str">
        <f ca="1">IF(B131="","",
IF(T131=0,"n/a",
IF(AD131="","data missing",
IF(AND(AD131&lt;5,AF131="no (significant) liming properties"),"no waste application - pH too low",
IF(AND(AD131&gt;5.1,AF131="no (significant) liming properties",Calc!BH129&gt;25, LEFT(Calc!BI129,4)="graz"),"ok",
IF(AND(AD131&lt;=5.2,AF131="no (significant) liming properties"),"liming highly recommended",
IF(AF131=0,"no waste application - liming not required",
IF(AF131&lt;Calc!BC129,"application rate too high - exceeds liming requirement",
"ok"))))))))</f>
        <v/>
      </c>
      <c r="AH131" s="9"/>
      <c r="AI131" s="91" t="str">
        <f ca="1">IF(B131="","",
IF(AND('Field information 2'!$O$5="", 'Field information 2'!$Q$5=""),
   IF('Waste results'!$P$10&lt;&gt;"data missing", Calc!BC129*'Waste results'!$P$10, "data missing"),
IF('Field information 2'!$Q$5="",
   IF(Calc!BD129=0,
     IF('Waste results'!$P$10&lt;&gt;"data missing", Calc!BC129*'Waste results'!$P$10, "data missing"),
   IF(Calc!BC129=0,
     IF('Waste results'!$P$45&lt;&gt;"data missing", Calc!BD129*'Waste results'!$P$45, "data missing"),
   IF(OR('Waste results'!$P$10&lt;&gt;"data missing", 'Waste results'!$P$45&lt;&gt;"data missing"), Calc!BC129*'Waste results'!$P$10+ Calc!BD129*'Waste results'!$P$45, "data missing"))),
IF(AND('Field information 2'!$M$5&lt;&gt;"", 'Field information 2'!$O$5&lt;&gt;"", 'Field information 2'!$Q$5&lt;&gt;""),
   IF(AND(Calc!BD129=0,Calc!BE129=0),
     IF('Waste results'!$P$10&lt;&gt;"data missing", Calc!BC129*'Waste results'!$P$10, "data missing"),
   IF(AND(Calc!BC129=0,Calc!BE129=0),
     IF('Waste results'!$P$45&lt;&gt;"data missing", Calc!BD129*'Waste results'!$P$45, "data missing"),
   IF(AND(Calc!BC129=0,Calc!BD129=0),
     IF('Waste results'!$P$82&lt;&gt;"data missing", Calc!BE129*'Waste results'!$P$82, "data missing"),
   IF(Calc!BE129=0,
     IF(OR('Waste results'!$P$10&lt;&gt;"data missing", 'Waste results'!$P$45&lt;&gt;"data missing"), Calc!BC129*'Waste results'!$P$10+ Calc!BD129*'Waste results'!$P$45, "data missing"),
   IF(Calc!BD129=0,
     IF(OR('Waste results'!$P$10&lt;&gt;"data missing", 'Waste results'!$P$82&lt;&gt;"data missing"), Calc!BC129*'Waste results'!$P$10+ Calc!BE129*'Waste results'!$P$82, "data missing"),
   IF(Calc!BC129=0,
     IF(OR('Waste results'!$P$45&lt;&gt;"data missing", 'Waste results'!$P$82&lt;&gt;"data missing"), Calc!BD129*'Waste results'!$P$45+Calc!BE129*'Waste results'!$P$82, "data missing"),
   IF(OR('Waste results'!$P$10&lt;&gt;"data missing", 'Waste results'!$P$45&lt;&gt;"data missing", 'Waste results'!$P$82&lt;&gt;"data missing"), Calc!BC129*'Waste results'!$P$10+Calc!BD129*'Waste results'!$P$45+ Calc!BE129*'Waste results'!$P$82, "data missing")))))))))))</f>
        <v/>
      </c>
      <c r="AJ131" s="237" t="str">
        <f ca="1">IF(B131="","",
IF(AI131="data missing","data missing",
IF(Calc!BF129=0,"n/a",
IF(AND(Calc!BH129&gt;=8,AI131&lt;500),"no benefit",
IF(OR(AND(Calc!BH129&lt;=4,AI131&gt;=500),AND(Calc!BH129&lt;8,AI131&gt;5000)),"benefit",
"limited benefit")))))</f>
        <v/>
      </c>
      <c r="AK131" s="9"/>
      <c r="AL131" s="238" t="str">
        <f ca="1">IF(B131="","",
IF(AND('Field information 2'!$O$5="", 'Field information 2'!$Q$5=""),
   IF('Waste results'!$S$25&lt;&gt;"data missing", Calc!BC129*'Waste results'!$S$25, "data missing"),
IF('Field information 2'!$Q$5="",
   IF(Calc!BD129=0,
     IF('Waste results'!$S$25&lt;&gt;"data missing", Calc!BC129*'Waste results'!$S$25, "data missing"),
   IF(Calc!BC129=0,
     IF('Waste results'!$S$61&lt;&gt;"data missing", Calc!BD129*'Waste results'!$S$61, "data missing"),
   IF(OR('Waste results'!$S$25&lt;&gt;"data missing", 'Waste results'!$S$61&lt;&gt;"data missing"), Calc!BC129*'Waste results'!$S$25+ Calc!BD129*'Waste results'!$S$61, "data missing"))),
IF(AND('Field information 2'!$M$5&lt;&gt;"", 'Field information 2'!$O$5&lt;&gt;"", 'Field information 2'!$Q$5&lt;&gt;""),
   IF(AND(Calc!BD129=0,Calc!BE129=0),
     IF('Waste results'!$S$25&lt;&gt;"data missing", Calc!BC129*'Waste results'!$S$25, "data missing"),
   IF(AND(Calc!BC129=0,Calc!BE129=0),
     IF('Waste results'!$S$61&lt;&gt;"data missing", Calc!BD129*'Waste results'!$S$61, "data missing"),
   IF(AND(Calc!BC129=0,Calc!BD129=0),
     IF('Waste results'!$S$97&lt;&gt;"data missing", Calc!BE129*'Waste results'!$S$97, "data missing"),
   IF(Calc!BE129=0,
     IF(OR('Waste results'!$S$25&lt;&gt;"data missing", 'Waste results'!$S$61&lt;&gt;"data missing"), Calc!BC129*'Waste results'!$S$25+ Calc!BD129*'Waste results'!$S$61, "data missing"),
   IF(Calc!BD129=0,
     IF(OR('Waste results'!$S$25&lt;&gt;"data missing", 'Waste results'!$S$97&lt;&gt;"data missing"), Calc!BC129*'Waste results'!$S$25+ Calc!BE129*'Waste results'!$S$97, "data missing"),
   IF(Calc!BC129=0,
     IF(OR('Waste results'!$S$61&lt;&gt;"data missing", 'Waste results'!$S$97&lt;&gt;"data missing"), Calc!BD129*'Waste results'!$S$61+Calc!BE129*'Waste results'!$S$97, "data missing"),
   IF(OR('Waste results'!$S$25&lt;&gt;"data missing", 'Waste results'!$S$61&lt;&gt;"data missing", 'Waste results'!$S$97&lt;&gt;"data missing"), Calc!BC129*'Waste results'!$S$25+Calc!BD129*'Waste results'!$S$61+ Calc!BE129*'Waste results'!$S$97, "data missing")))))))))))</f>
        <v/>
      </c>
      <c r="AM131" s="239" t="str">
        <f ca="1">IF($B131="","",
IF(ISBLANK('Soil results'!K134),"data missing",'Soil results'!K134))</f>
        <v/>
      </c>
      <c r="AN131" s="239" t="str">
        <f t="shared" ca="1" si="40"/>
        <v/>
      </c>
      <c r="AO131" s="9" t="str">
        <f t="shared" ca="1" si="41"/>
        <v/>
      </c>
      <c r="AP131" s="9"/>
      <c r="AQ131" s="240" t="str">
        <f ca="1">IF(B131="","",
IF(AND('Field information 2'!$O$5="", 'Field information 2'!$Q$5=""),
   IF('Waste results'!$S$26&lt;&gt;"data missing", Calc!BC129*'Waste results'!$S$26, "data missing"),
IF('Field information 2'!$Q$5="",
   IF(Calc!BD129=0,
     IF('Waste results'!$S$26&lt;&gt;"data missing", Calc!BC129*'Waste results'!$S$26, "data missing"),
   IF(Calc!BC129=0,
     IF('Waste results'!$S$62&lt;&gt;"data missing", Calc!BD129*'Waste results'!$S$62, "data missing"),
   IF(OR('Waste results'!$S$26&lt;&gt;"data missing", 'Waste results'!$S$62&lt;&gt;"data missing"), Calc!BC129*'Waste results'!$S$26+ Calc!BD129*'Waste results'!$S$62, "data missing"))),
IF(AND('Field information 2'!$M$5&lt;&gt;"", 'Field information 2'!$O$5&lt;&gt;"", 'Field information 2'!$Q$5&lt;&gt;""),
   IF(AND(Calc!BD129=0,Calc!BE129=0),
     IF('Waste results'!$S$26&lt;&gt;"data missing", Calc!BC129*'Waste results'!$S$26, "data missing"),
   IF(AND(Calc!BC129=0,Calc!BE129=0),
     IF('Waste results'!$S$62&lt;&gt;"data missing", Calc!BD129*'Waste results'!$S$62, "data missing"),
   IF(AND(Calc!BC129=0,Calc!BD129=0),
     IF('Waste results'!$S$98&lt;&gt;"data missing", Calc!BE129*'Waste results'!$S$98, "data missing"),
   IF(Calc!BE129=0,
     IF(OR('Waste results'!$S$26&lt;&gt;"data missing", 'Waste results'!$S$62&lt;&gt;"data missing"), Calc!BC129*'Waste results'!$S$26+ Calc!BD129*'Waste results'!$S$62, "data missing"),
   IF(Calc!BD129=0,
     IF(OR('Waste results'!$S$26&lt;&gt;"data missing", 'Waste results'!$S$98&lt;&gt;"data missing"), Calc!BC129*'Waste results'!$S$26+ Calc!BE129*'Waste results'!$S$98, "data missing"),
   IF(Calc!BC129=0,
     IF(OR('Waste results'!$S$62&lt;&gt;"data missing", 'Waste results'!$S$98&lt;&gt;"data missing"), Calc!BD129*'Waste results'!$S$62+Calc!BE129*'Waste results'!$S$98, "data missing"),
   IF(OR('Waste results'!$S$26&lt;&gt;"data missing", 'Waste results'!$S$62&lt;&gt;"data missing", 'Waste results'!$S$98&lt;&gt;"data missing"), Calc!BC129*'Waste results'!$S$26+Calc!BD129*'Waste results'!$S$62+ Calc!BE129*'Waste results'!$S$98, "data missing")))))))))))</f>
        <v/>
      </c>
      <c r="AR131" s="241" t="str">
        <f ca="1">IF($B131="","",
IF(ISBLANK('Soil results'!L134),"data missing",'Soil results'!L134))</f>
        <v/>
      </c>
      <c r="AS131" s="241" t="str">
        <f t="shared" ca="1" si="42"/>
        <v/>
      </c>
      <c r="AT131" s="66" t="str">
        <f t="shared" ca="1" si="43"/>
        <v/>
      </c>
      <c r="AU131" s="9"/>
      <c r="AV131" s="238" t="str">
        <f ca="1">IF(B131="","",
IF(AND('Field information 2'!$O$5="", 'Field information 2'!$Q$5=""),
   IF('Waste results'!$S$27&lt;&gt;"data missing", Calc!BC129*'Waste results'!$S$27, "data missing"),
IF('Field information 2'!$Q$5="",
   IF(Calc!BD129=0,
     IF('Waste results'!$S$27&lt;&gt;"data missing", Calc!BC129*'Waste results'!$S$27, "data missing"),
   IF(Calc!BC129=0,
     IF('Waste results'!$S$63&lt;&gt;"data missing", Calc!BD129*'Waste results'!$S$63, "data missing"),
   IF(OR('Waste results'!$S$27&lt;&gt;"data missing", 'Waste results'!$S$63&lt;&gt;"data missing"), Calc!BC129*'Waste results'!$S$27+ Calc!BD129*'Waste results'!$S$63, "data missing"))),
IF(AND('Field information 2'!$M$5&lt;&gt;"", 'Field information 2'!$O$5&lt;&gt;"", 'Field information 2'!$Q$5&lt;&gt;""),
   IF(AND(Calc!BD129=0,Calc!BE129=0),
     IF('Waste results'!$S$27&lt;&gt;"data missing", Calc!BC129*'Waste results'!$S$27, "data missing"),
   IF(AND(Calc!BC129=0,Calc!BE129=0),
     IF('Waste results'!$S$63&lt;&gt;"data missing", Calc!BD129*'Waste results'!$S$63, "data missing"),
   IF(AND(Calc!BC129=0,Calc!BD129=0),
     IF('Waste results'!$S$99&lt;&gt;"data missing", Calc!BE129*'Waste results'!$S$99, "data missing"),
   IF(Calc!BE129=0,
     IF(OR('Waste results'!$S$27&lt;&gt;"data missing", 'Waste results'!$S$63&lt;&gt;"data missing"), Calc!BC129*'Waste results'!$S$27+ Calc!BD129*'Waste results'!$S$63, "data missing"),
   IF(Calc!BD129=0,
     IF(OR('Waste results'!$S$27&lt;&gt;"data missing", 'Waste results'!$S$99&lt;&gt;"data missing"), Calc!BC129*'Waste results'!$S$27+ Calc!BE129*'Waste results'!$S$99, "data missing"),
   IF(Calc!BC129=0,
     IF(OR('Waste results'!$S$63&lt;&gt;"data missing", 'Waste results'!$S$99&lt;&gt;"data missing"), Calc!BD129*'Waste results'!$S$63+Calc!BE129*'Waste results'!$S$99, "data missing"),
   IF(OR('Waste results'!$S$27&lt;&gt;"data missing", 'Waste results'!$S$63&lt;&gt;"data missing", 'Waste results'!$S$99&lt;&gt;"data missing"), Calc!BC129*'Waste results'!$S$27+Calc!BD129*'Waste results'!$S$63+ Calc!BE129*'Waste results'!$S$99, "data missing")))))))))))</f>
        <v/>
      </c>
      <c r="AW131" s="239" t="str">
        <f ca="1">IF($B131="","",
IF(ISBLANK('Soil results'!M134),"data missing",'Soil results'!M134))</f>
        <v/>
      </c>
      <c r="AX131" s="239" t="str">
        <f t="shared" ca="1" si="44"/>
        <v/>
      </c>
      <c r="AY131" s="9" t="str">
        <f ca="1">IF(B131="","",
IF(AV131=0,"n/a",
IF(OR(AV131="data missing",AW131="data missing"),"data missing",
IF(AV131&gt;7.5,"application rate too high - permissible rate exceeds limit",
IF('Soil results'!$F134&lt;=5.5,
  IF(AW131&gt;80,"no application - soil conc. already above limit",
  IF(AX131&gt;80,"application rate too high - soil conc. will exceed limit",
  IF(AW131&gt;80*0.9,"soil conc. is at or above 90% of the limit",
  IF(10*AV131*1000/3000+AW131&gt;80,"soil limit likely to be exceeded in 10yrs",
  IF(50*AV131*1000/3000+AW131&gt;80,"soil limit likely to be exceeded in 50yrs","ok"))))),
IF('Soil results'!$F134&lt;=6,
  IF(AW131&gt;100,"no application - soil conc. already above limit",
  IF(AX131&gt;100,"application rate too high - soil conc. will exceed limit",
  IF(AW131&gt;100*0.9,"soil conc. is at or above 90% of the limit",
  IF(10*AV131*1000/3000+AW131&gt;100,"soil limit likely to be exceeded in 10yrs",
  IF(50*AV131*1000/3000+AW131&gt;100,"soil limit likely to be exceeded in 50yrs","ok"))))),
IF('Soil results'!$F134&lt;=7,
  IF(AW131&gt;135,"no application - soil conc. already above limit",
  IF(AX131&gt;135,"application rate too high - soil conc. will exceed limit",
  IF(AW131&gt;135*0.9,"soil conc. is at or above 90% of the limit",
  IF(10*AV131*1000/3000+AW131&gt;135,"soil limit likely to be exceeded in 10yrs",
  IF(50*AV131*1000/3000+AW131&gt;135,"soil limit likely to be exceeded in 50yrs","ok"))))),
IF('Soil results'!$F134&gt;7,
  IF(AW131&gt;200,"no application - soil conc. already above limit",
  IF(AX131&gt;200,"application too high - soil conc. will exceed limit",
  IF(AW131&gt;200*0.9,"soil conc. is at or above 90% of the limit",
  IF(10*AV131*1000/3000+AW131&gt;200,"soil limit likely to be exceeded in 10yrs",
  IF(50*AV131*1000/3000+AW131&gt;200,"soil limit likely to be exceeded in 50yrs","ok")))))
))))))))</f>
        <v/>
      </c>
      <c r="AZ131" s="9"/>
      <c r="BA131" s="238" t="str">
        <f ca="1">IF(B131="","",
IF(AND('Field information 2'!$O$5="", 'Field information 2'!$Q$5=""),
   IF('Waste results'!$S$28&lt;&gt;"data missing", Calc!BC129*'Waste results'!$S$28, "data missing"),
IF('Field information 2'!$Q$5="",
   IF(Calc!BD129=0,
     IF('Waste results'!$S$28&lt;&gt;"data missing", Calc!BC129*'Waste results'!$S$28, "data missing"),
   IF(Calc!BC129=0,
     IF('Waste results'!$S$64&lt;&gt;"data missing", Calc!BD129*'Waste results'!$S$64, "data missing"),
   IF(OR('Waste results'!$S$28&lt;&gt;"data missing", 'Waste results'!$S$64&lt;&gt;"data missing"), Calc!BC129*'Waste results'!$S$28+ Calc!BD129*'Waste results'!$S$64, "data missing"))),
IF(AND('Field information 2'!$M$5&lt;&gt;"", 'Field information 2'!$O$5&lt;&gt;"", 'Field information 2'!$Q$5&lt;&gt;""),
   IF(AND(Calc!BD129=0,Calc!BE129=0),
     IF('Waste results'!$S$28&lt;&gt;"data missing", Calc!BC129*'Waste results'!$S$28, "data missing"),
   IF(AND(Calc!BC129=0,Calc!BE129=0),
     IF('Waste results'!$S$64&lt;&gt;"data missing", Calc!BD129*'Waste results'!$S$64, "data missing"),
   IF(AND(Calc!BC129=0,Calc!BD129=0),
     IF('Waste results'!$S$100&lt;&gt;"data missing", Calc!BE129*'Waste results'!$S$100, "data missing"),
   IF(Calc!BE129=0,
     IF(OR('Waste results'!$S$28&lt;&gt;"data missing", 'Waste results'!$S$64&lt;&gt;"data missing"), Calc!BC129*'Waste results'!$S$28+ Calc!BD129*'Waste results'!$S$64, "data missing"),
   IF(Calc!BD129=0,
     IF(OR('Waste results'!$S$28&lt;&gt;"data missing", 'Waste results'!$S$100&lt;&gt;"data missing"), Calc!BC129*'Waste results'!$S$28+ Calc!BE129*'Waste results'!$S$100, "data missing"),
   IF(Calc!BC129=0,
     IF(OR('Waste results'!$S$64&lt;&gt;"data missing", 'Waste results'!$S$100&lt;&gt;"data missing"), Calc!BD129*'Waste results'!$S$64+Calc!BE129*'Waste results'!$S$100, "data missing"),
   IF(OR('Waste results'!$S$28&lt;&gt;"data missing", 'Waste results'!$S$64&lt;&gt;"data missing", 'Waste results'!$S$100&lt;&gt;"data missing"), Calc!BC129*'Waste results'!$S$28+Calc!BD129*'Waste results'!$S$64+ Calc!BE129*'Waste results'!$S$100, "data missing")))))))))))</f>
        <v/>
      </c>
      <c r="BB131" s="239" t="str">
        <f ca="1">IF($B131="","",
IF(ISBLANK('Soil results'!N134),"data missing",'Soil results'!N134))</f>
        <v/>
      </c>
      <c r="BC131" s="239" t="str">
        <f t="shared" ca="1" si="45"/>
        <v/>
      </c>
      <c r="BD131" s="9" t="str">
        <f t="shared" ca="1" si="46"/>
        <v/>
      </c>
      <c r="BE131" s="9"/>
      <c r="BF131" s="238" t="str">
        <f ca="1">IF(B131="","",
IF(AND('Field information 2'!$O$5="", 'Field information 2'!$Q$5=""),
   IF('Waste results'!$S$29&lt;&gt;"data missing", Calc!BC129*'Waste results'!$S$29, "data missing"),
IF('Field information 2'!$Q$5="",
   IF(Calc!BD129=0,
     IF('Waste results'!$S$29&lt;&gt;"data missing", Calc!BC129*'Waste results'!$S$29, "data missing"),
   IF(Calc!BC129=0,
     IF('Waste results'!$S$65&lt;&gt;"data missing", Calc!BD129*'Waste results'!$S$65, "data missing"),
   IF(OR('Waste results'!$S$29&lt;&gt;"data missing", 'Waste results'!$S$65&lt;&gt;"data missing"), Calc!BC129*'Waste results'!$S$29+ Calc!BD129*'Waste results'!$S$65, "data missing"))),
IF(AND('Field information 2'!$M$5&lt;&gt;"", 'Field information 2'!$O$5&lt;&gt;"", 'Field information 2'!$Q$5&lt;&gt;""),
   IF(AND(Calc!BD129=0,Calc!BE129=0),
     IF('Waste results'!$S$29&lt;&gt;"data missing", Calc!BC129*'Waste results'!$S$29, "data missing"),
   IF(AND(Calc!BC129=0,Calc!BE129=0),
     IF('Waste results'!$S$65&lt;&gt;"data missing", Calc!BD129*'Waste results'!$S$65, "data missing"),
   IF(AND(Calc!BC129=0,Calc!BD129=0),
     IF('Waste results'!$S$101&lt;&gt;"data missing", Calc!BE129*'Waste results'!$S$101, "data missing"),
   IF(Calc!BE129=0,
     IF(OR('Waste results'!$S$29&lt;&gt;"data missing", 'Waste results'!$S$65&lt;&gt;"data missing"), Calc!BC129*'Waste results'!$S$29+ Calc!BD129*'Waste results'!$S$65, "data missing"),
   IF(Calc!BD129=0,
     IF(OR('Waste results'!$S$29&lt;&gt;"data missing", 'Waste results'!$S$101&lt;&gt;"data missing"), Calc!BC129*'Waste results'!$S$29+ Calc!BE129*'Waste results'!$S$101, "data missing"),
   IF(Calc!BC129=0,
     IF(OR('Waste results'!$S$65&lt;&gt;"data missing", 'Waste results'!$S$101&lt;&gt;"data missing"), Calc!BD129*'Waste results'!$S$65+Calc!BE129*'Waste results'!$S$101, "data missing"),
   IF(OR('Waste results'!$S$29&lt;&gt;"data missing", 'Waste results'!$S$65&lt;&gt;"data missing", 'Waste results'!$S$101&lt;&gt;"data missing"), Calc!BC129*'Waste results'!$S$29+Calc!BD129*'Waste results'!$S$65+ Calc!BE129*'Waste results'!$S$101, "data missing")))))))))))</f>
        <v/>
      </c>
      <c r="BG131" s="239" t="str">
        <f ca="1">IF($B131="","",
IF(ISBLANK('Soil results'!O134),"data missing",'Soil results'!O134))</f>
        <v/>
      </c>
      <c r="BH131" s="239" t="str">
        <f t="shared" ca="1" si="47"/>
        <v/>
      </c>
      <c r="BI131" s="9" t="str">
        <f ca="1">IF(B131="","",
IF(BF131=0,"n/a",
IF(OR(BF131="data missing",BG131="data missing"),"data missing",
IF(BF131&gt;3,"application rate too high - permissible rate exceeds limit",
IF('Soil results'!F134&lt;=5.5,
  IF(BG131&gt;50,"no application - soil conc. already above limit",
  IF(BH131&gt;50,"application rate too high - soil conc. will exceed limit",
  IF(BG131&gt;50*0.9,"soil conc. is at or above 90% of the limit",
  IF(10*BF131*1000/3000+BG131&gt;50,"soil limit likely to be exceeded in 10yrs",
  IF(50*BF131*1000/3000+BG131&gt;50,"soil limit likely to be exceeded in 50yrs","ok"))))),
IF('Soil results'!F134&lt;=6,
  IF(BG131&gt;60,"no application - soil conc. already above limit",
  IF(BH131&gt;60,"application rate too high - soil conc. will exceed limit",
  IF(BG131&gt;60*0.9,"soil conc. is at or above 90% of the limit",
  IF(10*BF131*1000/3000+BG131&gt;60,"soil limit likely to be exceeded in 10yrs",
  IF(50*BF131*1000/3000+BG131&gt;60,"soil limit likely to be exceeded in 50yrs","ok"))))),
IF('Soil results'!F134&lt;=7,
  IF(BG131&gt;75,"no application - soil conc. already above limit",
  IF(BH131&gt;75,"application rate too high - soil conc. will exceed limit",
  IF(BG131&gt;75*0.9,"soil conc. is at or above 90% of the limit",
  IF(10*BF131*1000/3000+BG131&gt;75,"soil limit likely to be exceeded in 10yrs",
  IF(50*BF131*1000/3000+BG131&gt;75,"soil limit likely to be exceeded in 50yrs","ok"))))),
IF('Soil results'!F134&gt;7,
  IF(BG131&gt;100,"no application - soil conc. already above limit",
  IF(BH131&gt;100,"application rate too high - soil conc. will exceed limit",
  IF(BG131&gt;100*0.9,"soil conc. is at or above 90% of the limit",
  IF(10*BF131*1000/3000+BG131&gt;100,"soil limit likely to be exceeded in 10yrs",
  IF(50*BF131*1000/3000+BG131&gt;100,"soil limit likely to beexceeded in 50yrs","ok")))))
))))))))</f>
        <v/>
      </c>
      <c r="BJ131" s="9"/>
      <c r="BK131" s="240" t="str">
        <f ca="1">IF(B131="","",
IF(AND('Field information 2'!$O$5="", 'Field information 2'!$Q$5=""),
   IF('Waste results'!$S$30&lt;&gt;"data missing", Calc!BC129*'Waste results'!$S$30, "data missing"),
IF('Field information 2'!$Q$5="",
   IF(Calc!BD129=0,
     IF('Waste results'!$S$30&lt;&gt;"data missing", Calc!BC129*'Waste results'!$S$30, "data missing"),
   IF(Calc!BC129=0,
     IF('Waste results'!$S$66&lt;&gt;"data missing", Calc!BD129*'Waste results'!$S$66, "data missing"),
   IF(OR('Waste results'!$S$30&lt;&gt;"data missing", 'Waste results'!$S$66&lt;&gt;"data missing"), Calc!BC129*'Waste results'!$S$30+ Calc!BD129*'Waste results'!$S$66, "data missing"))),
IF(AND('Field information 2'!$M$5&lt;&gt;"", 'Field information 2'!$O$5&lt;&gt;"", 'Field information 2'!$Q$5&lt;&gt;""),
   IF(AND(Calc!BD129=0,Calc!BE129=0),
     IF('Waste results'!$S$30&lt;&gt;"data missing", Calc!BC129*'Waste results'!$S$30, "data missing"),
   IF(AND(Calc!BC129=0,Calc!BE129=0),
     IF('Waste results'!$S$66&lt;&gt;"data missing", Calc!BD129*'Waste results'!$S$66, "data missing"),
   IF(AND(Calc!BC129=0,Calc!BD129=0),
     IF('Waste results'!$S$102&lt;&gt;"data missing", Calc!BE129*'Waste results'!$S$102, "data missing"),
   IF(Calc!BE129=0,
     IF(OR('Waste results'!$S$30&lt;&gt;"data missing", 'Waste results'!$S$66&lt;&gt;"data missing"), Calc!BC129*'Waste results'!$S$30+ Calc!BD129*'Waste results'!$S$66, "data missing"),
   IF(Calc!BD129=0,
     IF(OR('Waste results'!$S$30&lt;&gt;"data missing", 'Waste results'!$S$102&lt;&gt;"data missing"), Calc!BC129*'Waste results'!$S$30+ Calc!BE129*'Waste results'!$S$102, "data missing"),
   IF(Calc!BC129=0,
     IF(OR('Waste results'!$S$66&lt;&gt;"data missing", 'Waste results'!$S$102&lt;&gt;"data missing"), Calc!BD129*'Waste results'!$S$66+Calc!BE129*'Waste results'!$S$102, "data missing"),
   IF(OR('Waste results'!$S$30&lt;&gt;"data missing", 'Waste results'!$S$66&lt;&gt;"data missing", 'Waste results'!$S$102&lt;&gt;"data missing"), Calc!BC129*'Waste results'!$S$30+Calc!BD129*'Waste results'!$S$66+ Calc!BE129*'Waste results'!$S$102, "data missing")))))))))))</f>
        <v/>
      </c>
      <c r="BL131" s="241" t="str">
        <f ca="1">IF($B131="","",
IF(ISBLANK('Soil results'!P134),"data missing",'Soil results'!P134))</f>
        <v/>
      </c>
      <c r="BM131" s="241" t="str">
        <f t="shared" ca="1" si="48"/>
        <v/>
      </c>
      <c r="BN131" s="66" t="str">
        <f t="shared" ca="1" si="49"/>
        <v/>
      </c>
      <c r="BO131" s="9"/>
      <c r="BP131" s="238" t="str">
        <f ca="1">IF(B131="","",
IF(AND('Field information 2'!$O$5="", 'Field information 2'!$Q$5=""),
   IF('Waste results'!$S$31&lt;&gt;"data missing", Calc!BC129*'Waste results'!$S$31, "data missing"),
IF('Field information 2'!$Q$5="",
   IF(Calc!BD129=0,
     IF('Waste results'!$S$31&lt;&gt;"data missing", Calc!BC129*'Waste results'!$S$31, "data missing"),
   IF(Calc!BC129=0,
     IF('Waste results'!$S$67&lt;&gt;"data missing", Calc!BD129*'Waste results'!$S$67, "data missing"),
   IF(OR('Waste results'!$S$31&lt;&gt;"data missing", 'Waste results'!$S$67&lt;&gt;"data missing"), Calc!BC129*'Waste results'!$S$31+ Calc!BD129*'Waste results'!$S$67, "data missing"))),
IF(AND('Field information 2'!$M$5&lt;&gt;"", 'Field information 2'!$O$5&lt;&gt;"", 'Field information 2'!$Q$5&lt;&gt;""),
   IF(AND(Calc!BD129=0,Calc!BE129=0),
     IF('Waste results'!$S$31&lt;&gt;"data missing", Calc!BC129*'Waste results'!$S$31, "data missing"),
   IF(AND(Calc!BC129=0,Calc!BE129=0),
     IF('Waste results'!$S$67&lt;&gt;"data missing", Calc!BD129*'Waste results'!$S$67, "data missing"),
   IF(AND(Calc!BC129=0,Calc!BD129=0),
     IF('Waste results'!$S$103&lt;&gt;"data missing", Calc!BE129*'Waste results'!$S$103, "data missing"),
   IF(Calc!BE129=0,
     IF(OR('Waste results'!$S$31&lt;&gt;"data missing", 'Waste results'!$S$67&lt;&gt;"data missing"), Calc!BC129*'Waste results'!$S$31+ Calc!BD129*'Waste results'!$S$67, "data missing"),
   IF(Calc!BD129=0,
     IF(OR('Waste results'!$S$31&lt;&gt;"data missing", 'Waste results'!$S$103&lt;&gt;"data missing"), Calc!BC129*'Waste results'!$S$31+ Calc!BE129*'Waste results'!$S$103, "data missing"),
   IF(Calc!BC129=0,
     IF(OR('Waste results'!$S$67&lt;&gt;"data missing", 'Waste results'!$S$103&lt;&gt;"data missing"), Calc!BD129*'Waste results'!$S$67+Calc!BE129*'Waste results'!$S$103, "data missing"),
   IF(OR('Waste results'!$S$31&lt;&gt;"data missing", 'Waste results'!$S$67&lt;&gt;"data missing", 'Waste results'!$S$103&lt;&gt;"data missing"), Calc!BC129*'Waste results'!$S$31+Calc!BD129*'Waste results'!$S$67+ Calc!BE129*'Waste results'!$S$103, "data missing")))))))))))</f>
        <v/>
      </c>
      <c r="BQ131" s="239" t="str">
        <f ca="1">IF($B131="","",
IF(ISBLANK('Soil results'!Q134),"data missing",'Soil results'!Q134))</f>
        <v/>
      </c>
      <c r="BR131" s="239" t="str">
        <f t="shared" ca="1" si="50"/>
        <v/>
      </c>
      <c r="BS131" s="9" t="str">
        <f ca="1">IF(B131="","",
IF(BP131=0,"n/a",
IF(OR(BP131="data missing",BQ131=""),"data missing",
IF(BP131&gt;15,"application rate too high - permissible rate exceeds limit",
IF('Soil results'!F134&lt;=5.5,
  IF(BQ131&gt;200,"no application - soil conc. already above limit",
  IF(BR131&gt;200,"application rate too high - soil conc. will exceed limit",
  IF(BQ131&gt;200*0.9,"soil conc. is at or above 90% of the limit",
  IF(10*BP131*1000/3000+BQ131&gt;200,"soil limit likely to be exceeded in 10yrs",
  IF(50*BP131*1000/3000+BQ131&gt;200,"soil limit likely to be exceeded in 50yrs","ok"))))),
IF('Soil results'!F134&lt;=6,
  IF(BQ131&gt;250,"no application - soil conc. already above limit",
  IF(BR131&gt;250,"application rate too high - soil conc. will exceed limit",
  IF(BQ131&gt;250*0.9,"soil conc. is at or above 90% of the limit",
  IF(10*BP131*1000/3000+BQ131&gt;250,"soil limit likely to be exceeded in 10yrs",
  IF(50*BP131*1000/3000+BQ131&gt;250,"soil limit likely to be exceeded in 50yrs","ok"))))),
IF('Soil results'!F134&lt;=7,
  IF(BQ131&gt;300,"no application - soil conc. already above limit",
  IF(BR131&gt;300,"application rate too high - soil conc. will exceed limit",
  IF(BQ131&gt;300*0.9,"soil conc. is at or above 90% of the limit",
  IF(10*BP131*1000/3000+BQ131&gt;300,"soil limit likey to be exceeded in 10yrs",
  IF(50*BP131*1000/3000+BQ131&gt;300,"soil limit likely to be exceeded in 50yrs","ok"))))),
IF('Soil results'!F134&gt;7,
  IF(BQ131&gt;450,"no application - soil conc. already above limit",
  IF(BR131&gt;450,"application rate too high - soil conc. will exceed limit",
  IF(AW131&gt;450*0.9,"soil conc. is at or above 90% of the limit",
  IF(10*BP131*1000/3000+BQ131&gt;450,"soil limit likely to be exceeded in 10yrs",
  IF(50*BP131*1000/3000+BQ131&gt;450,"soil limit likely to be exceeded in 50yrs","ok")))))
))))))))</f>
        <v/>
      </c>
    </row>
    <row r="132" spans="2:71" ht="15" x14ac:dyDescent="0.25">
      <c r="B132" s="236" t="str">
        <f ca="1">'Soil results'!B135</f>
        <v/>
      </c>
      <c r="C132" s="91" t="str">
        <f ca="1">IF(B132="","",
IF(AND('Field information 2'!$O$5="", 'Field information 2'!$Q$5=""),
   IF('Waste results'!$S$12&lt;&gt;"data missing", Calc!BC130*'Waste results'!$S$12, "data missing"),
IF('Field information 2'!$Q$5="",
   IF(Calc!BD130=0,
     IF('Waste results'!$S$12&lt;&gt;"data missing", Calc!BC130*'Waste results'!$S$12, "data missing"),
   IF(Calc!BC130=0,
     IF('Waste results'!$S$48&lt;&gt;"data missing", Calc!BD130*'Waste results'!$S$48, "data missing"),
   IF(OR('Waste results'!$S$12&lt;&gt;"data missing", 'Waste results'!$S$48&lt;&gt;"data missing"), Calc!BC130*'Waste results'!$S$12+ Calc!BD130*'Waste results'!$S$48, "data missing"))),
IF(AND('Field information 2'!$M$5&lt;&gt;"", 'Field information 2'!$O$5&lt;&gt;"", 'Field information 2'!$Q$5&lt;&gt;""),
   IF(AND(Calc!BD130=0,Calc!BE130=0),
     IF('Waste results'!$S$12&lt;&gt;"data missing", Calc!BC130*'Waste results'!$S$12, "data missing"),
   IF(AND(Calc!BC130=0,Calc!BE130=0),
     IF('Waste results'!$S$48&lt;&gt;"data missing", Calc!BD130*'Waste results'!$S$48, "data missing"),
   IF(AND(Calc!BC130=0,Calc!BD130=0),
     IF('Waste results'!$S$84&lt;&gt;"data missing", Calc!BE130*'Waste results'!$S$84, "data missing"),
   IF(Calc!BE130=0,
     IF(OR('Waste results'!$S$12&lt;&gt;"data missing", 'Waste results'!$S$48&lt;&gt;"data missing"), Calc!BC130*'Waste results'!$S$12+ Calc!BD130*'Waste results'!$S$48, "data missing"),
   IF(Calc!BD130=0,
     IF(OR('Waste results'!$S$12&lt;&gt;"data missing", 'Waste results'!$S$84&lt;&gt;"data missing"), Calc!BC130*'Waste results'!$S$12+ Calc!BE130*'Waste results'!$S$84, "data missing"),
   IF(Calc!BC130=0,
     IF(OR('Waste results'!$S$48&lt;&gt;"data missing", 'Waste results'!$S$84&lt;&gt;"data missing"), Calc!BD130*'Waste results'!$S$48+Calc!BE130*'Waste results'!$S$84, "data missing"),
   IF(OR('Waste results'!$S$12&lt;&gt;"data missing", 'Waste results'!$S$48&lt;&gt;"data missing", 'Waste results'!$S$84&lt;&gt;"data missing"), Calc!BC130*'Waste results'!$S$12+Calc!BD130*'Waste results'!$S$48+ Calc!BE130*'Waste results'!$S$84, "data missing")))))))))))</f>
        <v/>
      </c>
      <c r="D132" s="161" t="str">
        <f ca="1">IF(B132="","",
IF(Calc!BG130="","soil texture missing",
IF(OR(Calc!BG130="SL; SZL; ZL",Calc!BG130="SCL; CL; ZCL; SC; ZC; C"),VLOOKUP(Calc!BI130,'Fertiliser recommendations'!$A$4:$C$63,3,FALSE),
IF(Calc!BG130="S; LS",VLOOKUP(Calc!BI130,'Fertiliser recommendations'!$A$4:$C$63,3,FALSE)+VLOOKUP(Calc!BI130,'Fertiliser recommendations'!$A$4:$D$63,4,FALSE),
IF(Calc!BG130="10-25% OM",VLOOKUP(Calc!BI130,'Fertiliser recommendations'!$A$4:$C$63,3,FALSE)+VLOOKUP(Calc!BI130,'Fertiliser recommendations'!$A$4:$E$63,5,FALSE),
IF(Calc!BG130="&gt;25% OM",VLOOKUP(Calc!BI130,'Fertiliser recommendations'!$A$4:$C$63,3,FALSE)+VLOOKUP(Calc!BI130,'Fertiliser recommendations'!$A$4:$F$63,6,FALSE),
""))))))</f>
        <v/>
      </c>
      <c r="E132" s="91" t="str">
        <f t="shared" ca="1" si="34"/>
        <v/>
      </c>
      <c r="F132" s="9" t="str">
        <f ca="1">IF(B132="","",
IF(OR(C132="data missing",D132="soil texture missing"),"data missing",
IF(Calc!BF130=0,"n/a",
IF(C132&lt;0.1*D132,"no benefit",
IF(C132&lt;0.3*D132,"limited benefit",
IF(C132&gt;250,"exceeds limit",
IF(OR(AND(D132=0,C132&gt;75),C132&gt;1.25*D132),"excessive",
IF(D132=0, "no requirement",
"benefit"))))))))</f>
        <v/>
      </c>
      <c r="G132" s="9"/>
      <c r="H132" s="91" t="str">
        <f ca="1">IF(B132="","",
IF(AND('Field information 2'!$O$5="", 'Field information 2'!$Q$5=""),
   IF('Waste results'!$S$17&lt;&gt;"data missing", Calc!BC130*'Waste results'!$S$17, "data missing"),
IF('Field information 2'!$Q$5="",
   IF(Calc!BD130=0,
     IF('Waste results'!$S$17&lt;&gt;"data missing", Calc!BC130*'Waste results'!$S$17, "data missing"),
   IF(Calc!BC130=0,
     IF('Waste results'!$S$53&lt;&gt;"data missing", Calc!BD130*'Waste results'!$S$53, "data missing"),
   IF(OR('Waste results'!$S$17&lt;&gt;"data missing", 'Waste results'!$S$53&lt;&gt;"data missing"), Calc!BC130*'Waste results'!$S$17+ Calc!BD130*'Waste results'!$S$53, "data missing"))),
IF(AND('Field information 2'!$M$5&lt;&gt;"", 'Field information 2'!$O$5&lt;&gt;"", 'Field information 2'!$Q$5&lt;&gt;""),
   IF(AND(Calc!BD130=0,Calc!BE130=0),
     IF('Waste results'!$S$17&lt;&gt;"data missing", Calc!BC130*'Waste results'!$S$17, "data missing"),
   IF(AND(Calc!BC130=0,Calc!BE130=0),
     IF('Waste results'!$S$53&lt;&gt;"data missing", Calc!BD130*'Waste results'!$S$53, "data missing"),
   IF(AND(Calc!BC130=0,Calc!BD130=0),
     IF('Waste results'!$S$89&lt;&gt;"data missing", Calc!BE130*'Waste results'!$S$89, "data missing"),
   IF(Calc!BE130=0,
     IF(OR('Waste results'!$S$17&lt;&gt;"data missing", 'Waste results'!$S$53&lt;&gt;"data missing"), Calc!BC130*'Waste results'!$S$17+ Calc!BD130*'Waste results'!$S$53, "data missing"),
   IF(Calc!BD130=0,
     IF(OR('Waste results'!$S$17&lt;&gt;"data missing", 'Waste results'!$S$89&lt;&gt;"data missing"), Calc!BC130*'Waste results'!$S$17+ Calc!BE130*'Waste results'!$S$89, "data missing"),
   IF(Calc!BC130=0,
     IF(OR('Waste results'!$S$53&lt;&gt;"data missing", 'Waste results'!$S$89&lt;&gt;"data missing"), Calc!BD130*'Waste results'!$S$53+Calc!BE130*'Waste results'!$S$89, "data missing"),
   IF(OR('Waste results'!$S$17&lt;&gt;"data missing", 'Waste results'!$S$53&lt;&gt;"data missing", 'Waste results'!$S$89&lt;&gt;"data missing"), Calc!BC130*'Waste results'!$S$17+Calc!BD130*'Waste results'!$S$53+ Calc!BE130*'Waste results'!$S$89, "data missing")))))))))))</f>
        <v/>
      </c>
      <c r="I132" s="195" t="str">
        <f ca="1">IF(B132="","",
IF(OR(ISBLANK('Soil results'!G135), ISBLANK('Soil results'!G$7)),"data missing",
IF(OR(AND('Soil results'!G$7="Olsen (ADAS)",'Soil results'!G135&lt;16),AND('Soil results'!G$7="modified Morgan (SAC)",'Soil results'!G135&lt;4.5)),50,100)))</f>
        <v/>
      </c>
      <c r="J132" s="49" t="str">
        <f ca="1">IF(B132="","",
IF(OR(ISBLANK('Soil results'!G$7),ISBLANK('Soil results'!G135)),"data missing",
IF(OR(AND('Soil results'!G$7="Olsen (ADAS)",'Soil results'!G135&gt;45),AND('Soil results'!G$7="modified Morgan (SAC)",'Soil results'!G135&gt;30)),0,
IF(OR(AND('Soil results'!G$7="Olsen (ADAS)",'Soil results'!G135&gt;=16,'Soil results'!G135&lt;=20),AND('Soil results'!G$7="modified Morgan (SAC)",'Soil results'!G135&gt;=4.5,'Soil results'!G135&lt;=9.4)),VLOOKUP(Calc!BI130,'Fertiliser recommendations'!$A$4:$I$63,9,FALSE),
IF(OR(AND('Soil results'!G$7="Olsen (ADAS)",'Soil results'!G135&lt;10),AND('Soil results'!G$7="modified Morgan (SAC)",'Soil results'!G135&lt;1.8)),VLOOKUP(Calc!BI130,'Fertiliser recommendations'!$A$4:$I$63,9,FALSE)+VLOOKUP(Calc!BI130,'Fertiliser recommendations'!$A$4:$J$63,10,FALSE),
IF(OR(AND('Soil results'!G$7="Olsen (ADAS)",'Soil results'!G135&lt;16),AND('Soil results'!G$7="modified Morgan (SAC)",'Soil results'!G135&lt;4.5)),VLOOKUP(Calc!BI130,'Fertiliser recommendations'!$A$4:$I$63,9,FALSE)+VLOOKUP(Calc!BI130,'Fertiliser recommendations'!$A$4:$K$63,11,FALSE),
IF(OR(AND('Soil results'!G$7="Olsen (ADAS)",'Soil results'!G135&lt;26),AND('Soil results'!G$7="modified Morgan (SAC)",'Soil results'!G135&lt;13.5)),VLOOKUP(Calc!BI130,'Fertiliser recommendations'!$A$4:$I$63,9,FALSE)+VLOOKUP(Calc!BI130,'Fertiliser recommendations'!$A$4:$L$63,12,FALSE),
IF(OR(AND('Soil results'!G$7="Olsen (ADAS)",'Soil results'!G135&lt;=45),AND('Soil results'!G$7="modified Morgan (SAC)",'Soil results'!G135&lt;=30)),VLOOKUP(Calc!BI130,'Fertiliser recommendations'!$A$4:$I$63,9,FALSE)+VLOOKUP(Calc!BI130,'Fertiliser recommendations'!$A$4:$M$63,13,FALSE),
""))))))))</f>
        <v/>
      </c>
      <c r="K132" s="161" t="str">
        <f t="shared" ca="1" si="35"/>
        <v/>
      </c>
      <c r="L132" s="47" t="str">
        <f ca="1">IF(OR(ISBLANK('Soil results'!G$7),ISBLANK('Soil results'!G135),B132="", H132="data missing"),"",
IF('Soil results'!G$7="Olsen (ADAS)",
IF(((H132*Calc!BM130/2.291-(VLOOKUP(Calc!BI130,'Fertiliser recommendations'!$A$4:$I$63,9,FALSE))/2.291)*10/(400/2.291)+'Soil results'!G135)&lt;10,"0 (VL)",
IF(((H132*Calc!BM130/2.291-(VLOOKUP(Calc!BI130,'Fertiliser recommendations'!$A$4:$I$63,9,FALSE))/2.291)*10/(400/2.291)+'Soil results'!G135)&lt;16,"1 (L)",
IF(((H132*Calc!BM130/2.291-(VLOOKUP(Calc!BI130,'Fertiliser recommendations'!$A$4:$I$63,9,FALSE))/2.291)*10/(400/2.291)+'Soil results'!G135)&lt;21,"2 (M-)",
IF(((H132*Calc!BM130/2.291-(VLOOKUP(Calc!BI130,'Fertiliser recommendations'!$A$4:$I$63,9,FALSE))/2.291)*10/(400/2.291)+'Soil results'!G135)&lt;26,"2 (M+)",
IF(((H132*Calc!BM130/2.291-(VLOOKUP(Calc!BI130,'Fertiliser recommendations'!$A$4:$I$63,9,FALSE))/2.291)*10/(400/2.291)+'Soil results'!G135)&lt;45,"3 (H)","&gt;3 (VH)"))))),
IF('Soil results'!G$7="modified Morgan (SAC)",
IF('Soil results'!G135&gt;=6,
IF(((H132*Calc!BM130/2.291-(VLOOKUP(Calc!BI130,'Fertiliser recommendations'!$A$4:$I$63,9,FALSE))/2.291)*5/(147/2.291)+'Soil results'!G135)&lt;9.5,"2 (M-)",
IF(((H132*Calc!BM130/2.291-(VLOOKUP(Calc!BI130,'Fertiliser recommendations'!$A$4:$I$63,9,FALSE))/2.291)*5/(147/2.291)+'Soil results'!G135)&lt;13.5,"2 (M+)",
IF(((H132*Calc!BM130/2.291-(VLOOKUP(Calc!BI130,'Fertiliser recommendations'!$A$4:$I$63,9,FALSE))/2.291)*5/(147/2.291)+'Soil results'!G135)&lt;30,"3 (H)","4 (VH)"))),
IF(((H132*Calc!BM130/2.291-(VLOOKUP(Calc!BI130,'Fertiliser recommendations'!$A$4:$I$63,9,FALSE))/2.291)*5/(346/2.291)+'Soil results'!G135)&lt;1.8,"0 (VL)",
IF(((H132*Calc!BM130/2.291-(VLOOKUP(Calc!BI130,'Fertiliser recommendations'!$A$4:$I$63,9,FALSE))/2.291)*5/(147/2.291)+'Soil results'!G135)&lt;4.5,"1 (L)","2 (M-)"))))))</f>
        <v/>
      </c>
      <c r="M132" s="9" t="str">
        <f ca="1">IF(B132="","",
IF(OR(H132="data missing",I132="data missing",J132="data missing"),"data missing",
IF(Calc!BF130=0,"n/a",
IF(OR(AND('Soil results'!G$7="Olsen (ADAS)",'Soil results'!G135&gt;45),AND('Soil results'!G$7="modified Morgan (SAC)",'Soil results'!G135&gt;30)),
IF(H132&gt;2,"too high, not acceptable","no requirement"),IF(OR(AND('Soil results'!G$7="Olsen (ADAS)",'Soil results'!G135&gt;25),AND('Soil results'!G$7="modified Morgan (SAC)",'Soil results'!G135&gt;13.4)),
IF(H132*(I132/100)&lt;0.1*J132,"no benefit",
IF(H132*(I132/100)&lt;0.3*J132,"limited benefit",
IF(H132*(I132/100)&lt;1.1*J132,"benefit",
IF(H132*(I132/100)&lt;0.7*VLOOKUP(Calc!BI130,'Fertiliser recommendations'!$A$4:$I$63,9,FALSE),"excessive","too high, not acceptable")))),
IF(OR(AND('Soil results'!G$7="Olsen (ADAS)",'Soil results'!G135&gt;20),AND('Soil results'!G$7="modified Morgan (SAC)",'Soil results'!G135&gt;9.4)),
IF(H132*Calc!BM130*(I132/100)&lt;0.1*J132,"no benefit",
IF(H132*Calc!BM130*(I132/100)&lt;0.3*J132,"limited benefit",
IF(H132*Calc!BM130*(I132/100)&lt;1.1*J132,"benefit",
IF(L132="3 (H)","too high, not acceptable","excessive")))),
IF(OR(AND('Soil results'!G$7="Olsen (ADAS)",'Soil results'!G135&gt;15),AND('Soil results'!G$7="modified Morgan (SAC)",'Soil results'!G135&gt;4.4)),
IF(H132*Calc!BM130*(I132/100)&lt;0.1*VLOOKUP(Calc!BI130,'Fertiliser recommendations'!$A$4:$I$63,9,FALSE),"no benefit",
IF(H132*Calc!BM130*(I132/100)&lt;0.3*VLOOKUP(Calc!BI130,'Fertiliser recommendations'!$A$4:$I$63,9,FALSE),"limited benefit",
IF(H132*Calc!BM130*(I132/100)&lt;1.1*VLOOKUP(Calc!BI130,'Fertiliser recommendations'!$A$4:$I$63,9,FALSE),"benefit",
IF(L132="3 (H)", "too high, not acceptable", "excessive")))),
IF(OR(AND('Soil results'!G$7="Olsen (ADAS)",'Soil results'!G135&lt;=15),AND('Soil results'!G$7="modified Morgan (SAC)",'Soil results'!G135&lt;=4.4)),
IF(H132*Calc!BM130*(I132/100)&lt;0.1*VLOOKUP(Calc!BI130,'Fertiliser recommendations'!$A$4:$I$63,9,FALSE),"no benefit",
IF(H132*Calc!BM130*(I132/100)&lt;0.3*VLOOKUP(Calc!BI130,'Fertiliser recommendations'!$A$4:$I$63,9,FALSE),"limited benefit",
IF(H132*Calc!BM130*(I132/100)&lt;1.1*J132,"benefit","excessive")))))))))))</f>
        <v/>
      </c>
      <c r="N132" s="9"/>
      <c r="O132" s="91" t="str">
        <f ca="1">IF(B132="","",
IF(AND('Field information 2'!$O$5="", 'Field information 2'!$Q$5=""),
   IF('Waste results'!$S$19&lt;&gt;"data missing", Calc!BC130*'Waste results'!$S$19, "data missing"),
IF('Field information 2'!$Q$5="",
   IF(Calc!BD130=0,
     IF('Waste results'!$S$19&lt;&gt;"data missing", Calc!BC130*'Waste results'!$S$19, "data missing"),
   IF(Calc!BC130=0,
     IF('Waste results'!$S$55&lt;&gt;"data missing", Calc!BD130*'Waste results'!$S$55, "data missing"),
   IF(OR('Waste results'!$S$19&lt;&gt;"data missing", 'Waste results'!$S$55&lt;&gt;"data missing"), Calc!BC130*'Waste results'!$S$19+ Calc!BD130*'Waste results'!$S$55, "data missing"))),
IF(AND('Field information 2'!$M$5&lt;&gt;"", 'Field information 2'!$O$5&lt;&gt;"", 'Field information 2'!$Q$5&lt;&gt;""),
   IF(AND(Calc!BD130=0,Calc!BE130=0),
     IF('Waste results'!$S$19&lt;&gt;"data missing", Calc!BC130*'Waste results'!$S$19, "data missing"),
   IF(AND(Calc!BC130=0,Calc!BE130=0),
     IF('Waste results'!$S$55&lt;&gt;"data missing", Calc!BD130*'Waste results'!$S$55, "data missing"),
   IF(AND(Calc!BC130=0,Calc!BD130=0),
     IF('Waste results'!$S$91&lt;&gt;"data missing", Calc!BE130*'Waste results'!$S$91, "data missing"),
   IF(Calc!BE130=0,
     IF(OR('Waste results'!$S$19&lt;&gt;"data missing", 'Waste results'!$S$55&lt;&gt;"data missing"), Calc!BC130*'Waste results'!$S$19+ Calc!BD130*'Waste results'!$S$55, "data missing"),
   IF(Calc!BD130=0,
     IF(OR('Waste results'!$S$19&lt;&gt;"data missing", 'Waste results'!$S$91&lt;&gt;"data missing"), Calc!BC130*'Waste results'!$S$19+ Calc!BE130*'Waste results'!$S$91, "data missing"),
   IF(Calc!BC130=0,
     IF(OR('Waste results'!$S$55&lt;&gt;"data missing", 'Waste results'!$S$91&lt;&gt;"data missing"), Calc!BD130*'Waste results'!$S$55+Calc!BE130*'Waste results'!$S$91, "data missing"),
   IF(OR('Waste results'!$S$19&lt;&gt;"data missing", 'Waste results'!$S$55&lt;&gt;"data missing", 'Waste results'!$S$91&lt;&gt;"data missing"), Calc!BC130*'Waste results'!$S$19+Calc!BD130*'Waste results'!$S$55+ Calc!BE130*'Waste results'!$S$91, "data missing")))))))))))</f>
        <v/>
      </c>
      <c r="P132" s="91" t="str">
        <f ca="1">IF(B132="","",
IF(OR(ISBLANK('Soil results'!H$7),ISBLANK('Soil results'!H135)),"data missing",
IF(OR(AND('Soil results'!H$7="ammonium nitrate (ADAS)",'Soil results'!H135&gt;400),AND('Soil results'!H$7="modified Morgan (SAC)",'Soil results'!H135&gt;400)),0,
IF(OR(AND('Soil results'!H$7="ammonium nitrate (ADAS)",'Soil results'!H135&gt;=121,'Soil results'!H135&lt;=180),AND('Soil results'!H$7="modified Morgan (SAC)",'Soil results'!H135&gt;=76,'Soil results'!H135&lt;=140)),VLOOKUP(Calc!BI130,'Fertiliser recommendations'!$A$4:$Z$63,26,FALSE),
IF(OR(AND('Soil results'!H$7="ammonium nitrate (ADAS)",'Soil results'!H135&lt;61),AND('Soil results'!H$7="modified Morgan (SAC)",'Soil results'!H135&lt;40)),VLOOKUP(Calc!BI130,'Fertiliser recommendations'!$A$4:$Z$63,26,FALSE)+VLOOKUP(Calc!BI130,'Fertiliser recommendations'!$A$4:$AA$63,27,FALSE),
IF(OR(AND('Soil results'!H$7="ammonium nitrate (ADAS)",'Soil results'!H135&lt;121),AND('Soil results'!H$7="modified Morgan (SAC)",'Soil results'!H135&lt;76)),VLOOKUP(Calc!BI130,'Fertiliser recommendations'!$A$4:$Z$63,26,FALSE)+VLOOKUP(Calc!BI130,'Fertiliser recommendations'!$A$4:$AB$63,28,FALSE),
IF(OR(AND('Soil results'!H$7="ammonium nitrate (ADAS)",'Soil results'!H135&lt;241),AND('Soil results'!H$7="modified Morgan (SAC)",'Soil results'!H135&lt;201)),VLOOKUP(Calc!BI130,'Fertiliser recommendations'!$A$4:$Z$63,26,FALSE)+VLOOKUP(Calc!BI130,'Fertiliser recommendations'!$A$4:$AC$63,29,FALSE),
IF(OR(AND('Soil results'!H$7="ammonium nitrate (ADAS)",'Soil results'!H135&lt;=400),AND('Soil results'!H$7="modified Morgan (SAC)",'Soil results'!H135&lt;=400)),VLOOKUP(Calc!BI130,'Fertiliser recommendations'!$A$4:$Z$63,26,FALSE)+VLOOKUP(Calc!BI130,'Fertiliser recommendations'!$A$4:$AD$63,30,FALSE),
"??"))))))))</f>
        <v/>
      </c>
      <c r="Q132" s="91" t="str">
        <f t="shared" ca="1" si="36"/>
        <v/>
      </c>
      <c r="R132" s="9" t="str">
        <f ca="1">IF(B132="","",
IF(OR(O132="data missing",P132="data missing"),"data missing",
IF(Calc!BF130=0,"n/a",
IF(P132=0, "no requirement",
IF(O132&lt;0.1*P132,"no benefit",
IF(O132&lt;0.3*P132,"limited benefit",
IF(O132&gt;1.25*P132,"excessive",
"benefit")))))))</f>
        <v/>
      </c>
      <c r="S132" s="9"/>
      <c r="T132" s="91" t="str">
        <f ca="1">IF(B132="","",
IF(AND('Field information 2'!$O$5="", 'Field information 2'!$Q$5=""),
   IF('Waste results'!$S$21&lt;&gt;"data missing", Calc!BC130*'Waste results'!$S$21, "data missing"),
IF('Field information 2'!$Q$5="",
   IF(Calc!BD130=0,
     IF('Waste results'!$S$21&lt;&gt;"data missing", Calc!BC130*'Waste results'!$S$21, "data missing"),
   IF(Calc!BC130=0,
     IF('Waste results'!$S$57&lt;&gt;"data missing", Calc!BD130*'Waste results'!$S$57, "data missing"),
   IF(OR('Waste results'!$S$21&lt;&gt;"data missing", 'Waste results'!$S$57&lt;&gt;"data missing"), Calc!BC130*'Waste results'!$S$21+ Calc!BD130*'Waste results'!$S$57, "data missing"))),
IF(AND('Field information 2'!$M$5&lt;&gt;"", 'Field information 2'!$O$5&lt;&gt;"", 'Field information 2'!$Q$5&lt;&gt;""),
   IF(AND(Calc!BD130=0,Calc!BE130=0),
     IF('Waste results'!$S$21&lt;&gt;"data missing", Calc!BC130*'Waste results'!$S$21, "data missing"),
   IF(AND(Calc!BC130=0,Calc!BE130=0),
     IF('Waste results'!$S$57&lt;&gt;"data missing", Calc!BD130*'Waste results'!$S$57, "data missing"),
   IF(AND(Calc!BC130=0,Calc!BD130=0),
     IF('Waste results'!$S$93&lt;&gt;"data missing", Calc!BE130*'Waste results'!$S$93, "data missing"),
   IF(Calc!BE130=0,
     IF(OR('Waste results'!$S$21&lt;&gt;"data missing", 'Waste results'!$S$57&lt;&gt;"data missing"), Calc!BC130*'Waste results'!$S$21+ Calc!BD130*'Waste results'!$S$57, "data missing"),
   IF(Calc!BD130=0,
     IF(OR('Waste results'!$S$21&lt;&gt;"data missing", 'Waste results'!$S$93&lt;&gt;"data missing"), Calc!BC130*'Waste results'!$S$21+ Calc!BE130*'Waste results'!$S$93, "data missing"),
   IF(Calc!BC130=0,
     IF(OR('Waste results'!$S$57&lt;&gt;"data missing", 'Waste results'!$S$93&lt;&gt;"data missing"), Calc!BD130*'Waste results'!$S$57+Calc!BE130*'Waste results'!$S$93, "data missing"),
   IF(OR('Waste results'!$S$21&lt;&gt;"data missing", 'Waste results'!$S$57&lt;&gt;"data missing", 'Waste results'!$S$93&lt;&gt;"data missing"), Calc!BC130*'Waste results'!$S$21+Calc!BD130*'Waste results'!$S$57+ Calc!BE130*'Waste results'!$S$93, "data missing")))))))))))</f>
        <v/>
      </c>
      <c r="U132" s="7" t="str">
        <f ca="1">IF(B132="","",
IF(OR(ISBLANK('Soil results'!I$7),ISBLANK('Soil results'!I135)),"data missing",
IF(OR(AND('Soil results'!I$7="ammonium nitrate (ADAS)",'Soil results'!I135&gt;51),AND('Soil results'!I$7="modified Morgan (SAC)",'Soil results'!I135&gt;61)),0,
IF(OR(AND('Soil results'!I$7="ammonium nitrate (ADAS)",'Soil results'!I135&lt;25),AND('Soil results'!I$7="modified Morgan (SAC)",'Soil results'!I135&lt;19)),VLOOKUP(Calc!BI130,'Fertiliser recommendations'!$A$4:$AH$63,34,FALSE),
IF(OR(AND('Soil results'!I$7="ammonium nitrate (ADAS)",'Soil results'!I135&lt;=51),AND('Soil results'!I$7="modified Morgan (SAC)",'Soil results'!I135&lt;=61)),VLOOKUP(Calc!BI130,'Fertiliser recommendations'!$A$4:$AI$63,35,FALSE),
"")))))</f>
        <v/>
      </c>
      <c r="V132" s="91" t="str">
        <f t="shared" ca="1" si="37"/>
        <v/>
      </c>
      <c r="W132" s="9" t="str">
        <f ca="1">IF(B132="","",
IF(OR(T132="data missing",U132="data missing"),"data missing",
IF(Calc!BF130=0,"n/a",
IF(U132=0,"no requirement",
IF(T132&lt;0.1*U132,"no benefit",
IF(T132&lt;0.3*U132,"limited benefit",
IF(OR(T132&gt;1.5*U132,AND(Calc!BJ130="g",T132&gt;100)),"excessive",
"benefit")))))))</f>
        <v/>
      </c>
      <c r="X132" s="9"/>
      <c r="Y132" s="91" t="str">
        <f ca="1">IF(B132="","",
IF(AND('Field information 2'!$O$5="", 'Field information 2'!$Q$5=""),
   IF('Waste results'!$P$23&lt;&gt;"", Calc!BC130*'Waste results'!$P$23, "no data"),
IF('Field information 2'!$Q$5="",
   IF(Calc!BD130=0,
     IF('Waste results'!$P$23&lt;&gt;"", Calc!BC130*'Waste results'!$P$23, "no data"),
   IF(Calc!BC130=0,
     IF('Waste results'!$P$59&lt;&gt;"", Calc!BD130*'Waste results'!$P$59, "no data"),
   IF(OR('Waste results'!$P$23&lt;&gt;"", 'Waste results'!$P$59&lt;&gt;""), Calc!BC130*'Waste results'!$P$23+ Calc!BD130*'Waste results'!$P$59, "no data"))),
IF(AND('Field information 2'!$M$5&lt;&gt;"", 'Field information 2'!$O$5&lt;&gt;"", 'Field information 2'!$Q$5&lt;&gt;""),
   IF(AND(Calc!BD130=0,Calc!BE130=0),
     IF('Waste results'!$P$23&lt;&gt;"", Calc!BC130*'Waste results'!$P$23, "no data"),
   IF(AND(Calc!BC130=0,Calc!BE130=0),
     IF('Waste results'!$P$59&lt;&gt;"", Calc!BD130*'Waste results'!$P$59, "no data"),
   IF(AND(Calc!BC130=0,Calc!BD130=0),
     IF('Waste results'!$P$95&lt;&gt;"", Calc!BE130*'Waste results'!$P$95, "no data"),
   IF(Calc!BE130=0,
     IF(OR('Waste results'!$P$23&lt;&gt;"", 'Waste results'!$P$59&lt;&gt;""), Calc!BC130*'Waste results'!$P$23+ Calc!BD130*'Waste results'!$P$59, "no data"),
   IF(Calc!BD130=0,
     IF(OR('Waste results'!$P$23&lt;&gt;"", 'Waste results'!$P$95&lt;&gt;""), Calc!BC130*'Waste results'!$P$23+ Calc!BE130*'Waste results'!$P$95, "no data"),
   IF(Calc!BC130=0,
     IF(OR('Waste results'!$P$59&lt;&gt;"", 'Waste results'!$P$95&lt;&gt;""), Calc!BD130*'Waste results'!$P$59+Calc!BE130*'Waste results'!$P$95, "no data"),
   IF(OR('Waste results'!$P$23&lt;&gt;"", 'Waste results'!$P$59&lt;&gt;"", 'Waste results'!$P$95&lt;&gt;""), Calc!BC130*'Waste results'!$P$23+Calc!BD130*'Waste results'!$P$59+ Calc!BE130*'Waste results'!$P$95, "no data")))))))))))</f>
        <v/>
      </c>
      <c r="Z132" s="7" t="str">
        <f ca="1">IF(OR(ISBLANK('Soil results'!I$7),ISBLANK('Soil results'!I135),'Soil results'!B135=""),"",
VLOOKUP(Calc!BI130,'Fertiliser recommendations'!$A$4:$AM$63,39,FALSE))</f>
        <v/>
      </c>
      <c r="AA132" s="91" t="str">
        <f t="shared" ca="1" si="38"/>
        <v/>
      </c>
      <c r="AB132" s="9" t="str">
        <f t="shared" ca="1" si="39"/>
        <v/>
      </c>
      <c r="AC132" s="9"/>
      <c r="AD132" s="48" t="str">
        <f>IF(ISBLANK('Soil results'!F135),"",'Soil results'!F135)</f>
        <v/>
      </c>
      <c r="AE132" s="49" t="str">
        <f ca="1">IF(B132="","",
IF(AND(Calc!BJ130="g", VLOOKUP(LEFT($B132,LEN($B132)-2),'Field information 2'!$B$12:$P$111,9,FALSE)&lt;&gt;"yes"),
 IF(Calc!BG130="10-25% OM", 5.9, IF(Calc!BG130="&gt;25% OM", 5.5, 6.2)),
IF(OR(Calc!BJ130="a", VLOOKUP(LEFT($B132,LEN($B132)-2),'Field information 2'!$B$12:$P$111,9,FALSE)="yes"),
 IF(Calc!BG130="10-25% OM", 6.4, IF(Calc!BG130="&gt;25% OM", 6, 6.7)), "")))</f>
        <v/>
      </c>
      <c r="AF132" s="91" t="str">
        <f ca="1">IF(B132="","",
IF('Waste results'!$Q$33="","no (significant) liming properties",
IF('Waste results'!Q$33&gt;100,"no (significant) liming properties",
IF(AD132="","",
IF(AD132&gt;=AE132,0,ROUNDDOWN((AE132-AD132)*Calc!BK130*'Waste results'!$Q$33+0.2,0))))))</f>
        <v/>
      </c>
      <c r="AG132" s="9" t="str">
        <f ca="1">IF(B132="","",
IF(T132=0,"n/a",
IF(AD132="","data missing",
IF(AND(AD132&lt;5,AF132="no (significant) liming properties"),"no waste application - pH too low",
IF(AND(AD132&gt;5.1,AF132="no (significant) liming properties",Calc!BH130&gt;25, LEFT(Calc!BI130,4)="graz"),"ok",
IF(AND(AD132&lt;=5.2,AF132="no (significant) liming properties"),"liming highly recommended",
IF(AF132=0,"no waste application - liming not required",
IF(AF132&lt;Calc!BC130,"application rate too high - exceeds liming requirement",
"ok"))))))))</f>
        <v/>
      </c>
      <c r="AH132" s="9"/>
      <c r="AI132" s="91" t="str">
        <f ca="1">IF(B132="","",
IF(AND('Field information 2'!$O$5="", 'Field information 2'!$Q$5=""),
   IF('Waste results'!$P$10&lt;&gt;"data missing", Calc!BC130*'Waste results'!$P$10, "data missing"),
IF('Field information 2'!$Q$5="",
   IF(Calc!BD130=0,
     IF('Waste results'!$P$10&lt;&gt;"data missing", Calc!BC130*'Waste results'!$P$10, "data missing"),
   IF(Calc!BC130=0,
     IF('Waste results'!$P$45&lt;&gt;"data missing", Calc!BD130*'Waste results'!$P$45, "data missing"),
   IF(OR('Waste results'!$P$10&lt;&gt;"data missing", 'Waste results'!$P$45&lt;&gt;"data missing"), Calc!BC130*'Waste results'!$P$10+ Calc!BD130*'Waste results'!$P$45, "data missing"))),
IF(AND('Field information 2'!$M$5&lt;&gt;"", 'Field information 2'!$O$5&lt;&gt;"", 'Field information 2'!$Q$5&lt;&gt;""),
   IF(AND(Calc!BD130=0,Calc!BE130=0),
     IF('Waste results'!$P$10&lt;&gt;"data missing", Calc!BC130*'Waste results'!$P$10, "data missing"),
   IF(AND(Calc!BC130=0,Calc!BE130=0),
     IF('Waste results'!$P$45&lt;&gt;"data missing", Calc!BD130*'Waste results'!$P$45, "data missing"),
   IF(AND(Calc!BC130=0,Calc!BD130=0),
     IF('Waste results'!$P$82&lt;&gt;"data missing", Calc!BE130*'Waste results'!$P$82, "data missing"),
   IF(Calc!BE130=0,
     IF(OR('Waste results'!$P$10&lt;&gt;"data missing", 'Waste results'!$P$45&lt;&gt;"data missing"), Calc!BC130*'Waste results'!$P$10+ Calc!BD130*'Waste results'!$P$45, "data missing"),
   IF(Calc!BD130=0,
     IF(OR('Waste results'!$P$10&lt;&gt;"data missing", 'Waste results'!$P$82&lt;&gt;"data missing"), Calc!BC130*'Waste results'!$P$10+ Calc!BE130*'Waste results'!$P$82, "data missing"),
   IF(Calc!BC130=0,
     IF(OR('Waste results'!$P$45&lt;&gt;"data missing", 'Waste results'!$P$82&lt;&gt;"data missing"), Calc!BD130*'Waste results'!$P$45+Calc!BE130*'Waste results'!$P$82, "data missing"),
   IF(OR('Waste results'!$P$10&lt;&gt;"data missing", 'Waste results'!$P$45&lt;&gt;"data missing", 'Waste results'!$P$82&lt;&gt;"data missing"), Calc!BC130*'Waste results'!$P$10+Calc!BD130*'Waste results'!$P$45+ Calc!BE130*'Waste results'!$P$82, "data missing")))))))))))</f>
        <v/>
      </c>
      <c r="AJ132" s="237" t="str">
        <f ca="1">IF(B132="","",
IF(AI132="data missing","data missing",
IF(Calc!BF130=0,"n/a",
IF(AND(Calc!BH130&gt;=8,AI132&lt;500),"no benefit",
IF(OR(AND(Calc!BH130&lt;=4,AI132&gt;=500),AND(Calc!BH130&lt;8,AI132&gt;5000)),"benefit",
"limited benefit")))))</f>
        <v/>
      </c>
      <c r="AK132" s="9"/>
      <c r="AL132" s="238" t="str">
        <f ca="1">IF(B132="","",
IF(AND('Field information 2'!$O$5="", 'Field information 2'!$Q$5=""),
   IF('Waste results'!$S$25&lt;&gt;"data missing", Calc!BC130*'Waste results'!$S$25, "data missing"),
IF('Field information 2'!$Q$5="",
   IF(Calc!BD130=0,
     IF('Waste results'!$S$25&lt;&gt;"data missing", Calc!BC130*'Waste results'!$S$25, "data missing"),
   IF(Calc!BC130=0,
     IF('Waste results'!$S$61&lt;&gt;"data missing", Calc!BD130*'Waste results'!$S$61, "data missing"),
   IF(OR('Waste results'!$S$25&lt;&gt;"data missing", 'Waste results'!$S$61&lt;&gt;"data missing"), Calc!BC130*'Waste results'!$S$25+ Calc!BD130*'Waste results'!$S$61, "data missing"))),
IF(AND('Field information 2'!$M$5&lt;&gt;"", 'Field information 2'!$O$5&lt;&gt;"", 'Field information 2'!$Q$5&lt;&gt;""),
   IF(AND(Calc!BD130=0,Calc!BE130=0),
     IF('Waste results'!$S$25&lt;&gt;"data missing", Calc!BC130*'Waste results'!$S$25, "data missing"),
   IF(AND(Calc!BC130=0,Calc!BE130=0),
     IF('Waste results'!$S$61&lt;&gt;"data missing", Calc!BD130*'Waste results'!$S$61, "data missing"),
   IF(AND(Calc!BC130=0,Calc!BD130=0),
     IF('Waste results'!$S$97&lt;&gt;"data missing", Calc!BE130*'Waste results'!$S$97, "data missing"),
   IF(Calc!BE130=0,
     IF(OR('Waste results'!$S$25&lt;&gt;"data missing", 'Waste results'!$S$61&lt;&gt;"data missing"), Calc!BC130*'Waste results'!$S$25+ Calc!BD130*'Waste results'!$S$61, "data missing"),
   IF(Calc!BD130=0,
     IF(OR('Waste results'!$S$25&lt;&gt;"data missing", 'Waste results'!$S$97&lt;&gt;"data missing"), Calc!BC130*'Waste results'!$S$25+ Calc!BE130*'Waste results'!$S$97, "data missing"),
   IF(Calc!BC130=0,
     IF(OR('Waste results'!$S$61&lt;&gt;"data missing", 'Waste results'!$S$97&lt;&gt;"data missing"), Calc!BD130*'Waste results'!$S$61+Calc!BE130*'Waste results'!$S$97, "data missing"),
   IF(OR('Waste results'!$S$25&lt;&gt;"data missing", 'Waste results'!$S$61&lt;&gt;"data missing", 'Waste results'!$S$97&lt;&gt;"data missing"), Calc!BC130*'Waste results'!$S$25+Calc!BD130*'Waste results'!$S$61+ Calc!BE130*'Waste results'!$S$97, "data missing")))))))))))</f>
        <v/>
      </c>
      <c r="AM132" s="239" t="str">
        <f ca="1">IF($B132="","",
IF(ISBLANK('Soil results'!K135),"data missing",'Soil results'!K135))</f>
        <v/>
      </c>
      <c r="AN132" s="239" t="str">
        <f t="shared" ca="1" si="40"/>
        <v/>
      </c>
      <c r="AO132" s="9" t="str">
        <f t="shared" ca="1" si="41"/>
        <v/>
      </c>
      <c r="AP132" s="9"/>
      <c r="AQ132" s="240" t="str">
        <f ca="1">IF(B132="","",
IF(AND('Field information 2'!$O$5="", 'Field information 2'!$Q$5=""),
   IF('Waste results'!$S$26&lt;&gt;"data missing", Calc!BC130*'Waste results'!$S$26, "data missing"),
IF('Field information 2'!$Q$5="",
   IF(Calc!BD130=0,
     IF('Waste results'!$S$26&lt;&gt;"data missing", Calc!BC130*'Waste results'!$S$26, "data missing"),
   IF(Calc!BC130=0,
     IF('Waste results'!$S$62&lt;&gt;"data missing", Calc!BD130*'Waste results'!$S$62, "data missing"),
   IF(OR('Waste results'!$S$26&lt;&gt;"data missing", 'Waste results'!$S$62&lt;&gt;"data missing"), Calc!BC130*'Waste results'!$S$26+ Calc!BD130*'Waste results'!$S$62, "data missing"))),
IF(AND('Field information 2'!$M$5&lt;&gt;"", 'Field information 2'!$O$5&lt;&gt;"", 'Field information 2'!$Q$5&lt;&gt;""),
   IF(AND(Calc!BD130=0,Calc!BE130=0),
     IF('Waste results'!$S$26&lt;&gt;"data missing", Calc!BC130*'Waste results'!$S$26, "data missing"),
   IF(AND(Calc!BC130=0,Calc!BE130=0),
     IF('Waste results'!$S$62&lt;&gt;"data missing", Calc!BD130*'Waste results'!$S$62, "data missing"),
   IF(AND(Calc!BC130=0,Calc!BD130=0),
     IF('Waste results'!$S$98&lt;&gt;"data missing", Calc!BE130*'Waste results'!$S$98, "data missing"),
   IF(Calc!BE130=0,
     IF(OR('Waste results'!$S$26&lt;&gt;"data missing", 'Waste results'!$S$62&lt;&gt;"data missing"), Calc!BC130*'Waste results'!$S$26+ Calc!BD130*'Waste results'!$S$62, "data missing"),
   IF(Calc!BD130=0,
     IF(OR('Waste results'!$S$26&lt;&gt;"data missing", 'Waste results'!$S$98&lt;&gt;"data missing"), Calc!BC130*'Waste results'!$S$26+ Calc!BE130*'Waste results'!$S$98, "data missing"),
   IF(Calc!BC130=0,
     IF(OR('Waste results'!$S$62&lt;&gt;"data missing", 'Waste results'!$S$98&lt;&gt;"data missing"), Calc!BD130*'Waste results'!$S$62+Calc!BE130*'Waste results'!$S$98, "data missing"),
   IF(OR('Waste results'!$S$26&lt;&gt;"data missing", 'Waste results'!$S$62&lt;&gt;"data missing", 'Waste results'!$S$98&lt;&gt;"data missing"), Calc!BC130*'Waste results'!$S$26+Calc!BD130*'Waste results'!$S$62+ Calc!BE130*'Waste results'!$S$98, "data missing")))))))))))</f>
        <v/>
      </c>
      <c r="AR132" s="241" t="str">
        <f ca="1">IF($B132="","",
IF(ISBLANK('Soil results'!L135),"data missing",'Soil results'!L135))</f>
        <v/>
      </c>
      <c r="AS132" s="241" t="str">
        <f t="shared" ca="1" si="42"/>
        <v/>
      </c>
      <c r="AT132" s="66" t="str">
        <f t="shared" ca="1" si="43"/>
        <v/>
      </c>
      <c r="AU132" s="9"/>
      <c r="AV132" s="238" t="str">
        <f ca="1">IF(B132="","",
IF(AND('Field information 2'!$O$5="", 'Field information 2'!$Q$5=""),
   IF('Waste results'!$S$27&lt;&gt;"data missing", Calc!BC130*'Waste results'!$S$27, "data missing"),
IF('Field information 2'!$Q$5="",
   IF(Calc!BD130=0,
     IF('Waste results'!$S$27&lt;&gt;"data missing", Calc!BC130*'Waste results'!$S$27, "data missing"),
   IF(Calc!BC130=0,
     IF('Waste results'!$S$63&lt;&gt;"data missing", Calc!BD130*'Waste results'!$S$63, "data missing"),
   IF(OR('Waste results'!$S$27&lt;&gt;"data missing", 'Waste results'!$S$63&lt;&gt;"data missing"), Calc!BC130*'Waste results'!$S$27+ Calc!BD130*'Waste results'!$S$63, "data missing"))),
IF(AND('Field information 2'!$M$5&lt;&gt;"", 'Field information 2'!$O$5&lt;&gt;"", 'Field information 2'!$Q$5&lt;&gt;""),
   IF(AND(Calc!BD130=0,Calc!BE130=0),
     IF('Waste results'!$S$27&lt;&gt;"data missing", Calc!BC130*'Waste results'!$S$27, "data missing"),
   IF(AND(Calc!BC130=0,Calc!BE130=0),
     IF('Waste results'!$S$63&lt;&gt;"data missing", Calc!BD130*'Waste results'!$S$63, "data missing"),
   IF(AND(Calc!BC130=0,Calc!BD130=0),
     IF('Waste results'!$S$99&lt;&gt;"data missing", Calc!BE130*'Waste results'!$S$99, "data missing"),
   IF(Calc!BE130=0,
     IF(OR('Waste results'!$S$27&lt;&gt;"data missing", 'Waste results'!$S$63&lt;&gt;"data missing"), Calc!BC130*'Waste results'!$S$27+ Calc!BD130*'Waste results'!$S$63, "data missing"),
   IF(Calc!BD130=0,
     IF(OR('Waste results'!$S$27&lt;&gt;"data missing", 'Waste results'!$S$99&lt;&gt;"data missing"), Calc!BC130*'Waste results'!$S$27+ Calc!BE130*'Waste results'!$S$99, "data missing"),
   IF(Calc!BC130=0,
     IF(OR('Waste results'!$S$63&lt;&gt;"data missing", 'Waste results'!$S$99&lt;&gt;"data missing"), Calc!BD130*'Waste results'!$S$63+Calc!BE130*'Waste results'!$S$99, "data missing"),
   IF(OR('Waste results'!$S$27&lt;&gt;"data missing", 'Waste results'!$S$63&lt;&gt;"data missing", 'Waste results'!$S$99&lt;&gt;"data missing"), Calc!BC130*'Waste results'!$S$27+Calc!BD130*'Waste results'!$S$63+ Calc!BE130*'Waste results'!$S$99, "data missing")))))))))))</f>
        <v/>
      </c>
      <c r="AW132" s="239" t="str">
        <f ca="1">IF($B132="","",
IF(ISBLANK('Soil results'!M135),"data missing",'Soil results'!M135))</f>
        <v/>
      </c>
      <c r="AX132" s="239" t="str">
        <f t="shared" ca="1" si="44"/>
        <v/>
      </c>
      <c r="AY132" s="9" t="str">
        <f ca="1">IF(B132="","",
IF(AV132=0,"n/a",
IF(OR(AV132="data missing",AW132="data missing"),"data missing",
IF(AV132&gt;7.5,"application rate too high - permissible rate exceeds limit",
IF('Soil results'!$F135&lt;=5.5,
  IF(AW132&gt;80,"no application - soil conc. already above limit",
  IF(AX132&gt;80,"application rate too high - soil conc. will exceed limit",
  IF(AW132&gt;80*0.9,"soil conc. is at or above 90% of the limit",
  IF(10*AV132*1000/3000+AW132&gt;80,"soil limit likely to be exceeded in 10yrs",
  IF(50*AV132*1000/3000+AW132&gt;80,"soil limit likely to be exceeded in 50yrs","ok"))))),
IF('Soil results'!$F135&lt;=6,
  IF(AW132&gt;100,"no application - soil conc. already above limit",
  IF(AX132&gt;100,"application rate too high - soil conc. will exceed limit",
  IF(AW132&gt;100*0.9,"soil conc. is at or above 90% of the limit",
  IF(10*AV132*1000/3000+AW132&gt;100,"soil limit likely to be exceeded in 10yrs",
  IF(50*AV132*1000/3000+AW132&gt;100,"soil limit likely to be exceeded in 50yrs","ok"))))),
IF('Soil results'!$F135&lt;=7,
  IF(AW132&gt;135,"no application - soil conc. already above limit",
  IF(AX132&gt;135,"application rate too high - soil conc. will exceed limit",
  IF(AW132&gt;135*0.9,"soil conc. is at or above 90% of the limit",
  IF(10*AV132*1000/3000+AW132&gt;135,"soil limit likely to be exceeded in 10yrs",
  IF(50*AV132*1000/3000+AW132&gt;135,"soil limit likely to be exceeded in 50yrs","ok"))))),
IF('Soil results'!$F135&gt;7,
  IF(AW132&gt;200,"no application - soil conc. already above limit",
  IF(AX132&gt;200,"application too high - soil conc. will exceed limit",
  IF(AW132&gt;200*0.9,"soil conc. is at or above 90% of the limit",
  IF(10*AV132*1000/3000+AW132&gt;200,"soil limit likely to be exceeded in 10yrs",
  IF(50*AV132*1000/3000+AW132&gt;200,"soil limit likely to be exceeded in 50yrs","ok")))))
))))))))</f>
        <v/>
      </c>
      <c r="AZ132" s="9"/>
      <c r="BA132" s="238" t="str">
        <f ca="1">IF(B132="","",
IF(AND('Field information 2'!$O$5="", 'Field information 2'!$Q$5=""),
   IF('Waste results'!$S$28&lt;&gt;"data missing", Calc!BC130*'Waste results'!$S$28, "data missing"),
IF('Field information 2'!$Q$5="",
   IF(Calc!BD130=0,
     IF('Waste results'!$S$28&lt;&gt;"data missing", Calc!BC130*'Waste results'!$S$28, "data missing"),
   IF(Calc!BC130=0,
     IF('Waste results'!$S$64&lt;&gt;"data missing", Calc!BD130*'Waste results'!$S$64, "data missing"),
   IF(OR('Waste results'!$S$28&lt;&gt;"data missing", 'Waste results'!$S$64&lt;&gt;"data missing"), Calc!BC130*'Waste results'!$S$28+ Calc!BD130*'Waste results'!$S$64, "data missing"))),
IF(AND('Field information 2'!$M$5&lt;&gt;"", 'Field information 2'!$O$5&lt;&gt;"", 'Field information 2'!$Q$5&lt;&gt;""),
   IF(AND(Calc!BD130=0,Calc!BE130=0),
     IF('Waste results'!$S$28&lt;&gt;"data missing", Calc!BC130*'Waste results'!$S$28, "data missing"),
   IF(AND(Calc!BC130=0,Calc!BE130=0),
     IF('Waste results'!$S$64&lt;&gt;"data missing", Calc!BD130*'Waste results'!$S$64, "data missing"),
   IF(AND(Calc!BC130=0,Calc!BD130=0),
     IF('Waste results'!$S$100&lt;&gt;"data missing", Calc!BE130*'Waste results'!$S$100, "data missing"),
   IF(Calc!BE130=0,
     IF(OR('Waste results'!$S$28&lt;&gt;"data missing", 'Waste results'!$S$64&lt;&gt;"data missing"), Calc!BC130*'Waste results'!$S$28+ Calc!BD130*'Waste results'!$S$64, "data missing"),
   IF(Calc!BD130=0,
     IF(OR('Waste results'!$S$28&lt;&gt;"data missing", 'Waste results'!$S$100&lt;&gt;"data missing"), Calc!BC130*'Waste results'!$S$28+ Calc!BE130*'Waste results'!$S$100, "data missing"),
   IF(Calc!BC130=0,
     IF(OR('Waste results'!$S$64&lt;&gt;"data missing", 'Waste results'!$S$100&lt;&gt;"data missing"), Calc!BD130*'Waste results'!$S$64+Calc!BE130*'Waste results'!$S$100, "data missing"),
   IF(OR('Waste results'!$S$28&lt;&gt;"data missing", 'Waste results'!$S$64&lt;&gt;"data missing", 'Waste results'!$S$100&lt;&gt;"data missing"), Calc!BC130*'Waste results'!$S$28+Calc!BD130*'Waste results'!$S$64+ Calc!BE130*'Waste results'!$S$100, "data missing")))))))))))</f>
        <v/>
      </c>
      <c r="BB132" s="239" t="str">
        <f ca="1">IF($B132="","",
IF(ISBLANK('Soil results'!N135),"data missing",'Soil results'!N135))</f>
        <v/>
      </c>
      <c r="BC132" s="239" t="str">
        <f t="shared" ca="1" si="45"/>
        <v/>
      </c>
      <c r="BD132" s="9" t="str">
        <f t="shared" ca="1" si="46"/>
        <v/>
      </c>
      <c r="BE132" s="9"/>
      <c r="BF132" s="238" t="str">
        <f ca="1">IF(B132="","",
IF(AND('Field information 2'!$O$5="", 'Field information 2'!$Q$5=""),
   IF('Waste results'!$S$29&lt;&gt;"data missing", Calc!BC130*'Waste results'!$S$29, "data missing"),
IF('Field information 2'!$Q$5="",
   IF(Calc!BD130=0,
     IF('Waste results'!$S$29&lt;&gt;"data missing", Calc!BC130*'Waste results'!$S$29, "data missing"),
   IF(Calc!BC130=0,
     IF('Waste results'!$S$65&lt;&gt;"data missing", Calc!BD130*'Waste results'!$S$65, "data missing"),
   IF(OR('Waste results'!$S$29&lt;&gt;"data missing", 'Waste results'!$S$65&lt;&gt;"data missing"), Calc!BC130*'Waste results'!$S$29+ Calc!BD130*'Waste results'!$S$65, "data missing"))),
IF(AND('Field information 2'!$M$5&lt;&gt;"", 'Field information 2'!$O$5&lt;&gt;"", 'Field information 2'!$Q$5&lt;&gt;""),
   IF(AND(Calc!BD130=0,Calc!BE130=0),
     IF('Waste results'!$S$29&lt;&gt;"data missing", Calc!BC130*'Waste results'!$S$29, "data missing"),
   IF(AND(Calc!BC130=0,Calc!BE130=0),
     IF('Waste results'!$S$65&lt;&gt;"data missing", Calc!BD130*'Waste results'!$S$65, "data missing"),
   IF(AND(Calc!BC130=0,Calc!BD130=0),
     IF('Waste results'!$S$101&lt;&gt;"data missing", Calc!BE130*'Waste results'!$S$101, "data missing"),
   IF(Calc!BE130=0,
     IF(OR('Waste results'!$S$29&lt;&gt;"data missing", 'Waste results'!$S$65&lt;&gt;"data missing"), Calc!BC130*'Waste results'!$S$29+ Calc!BD130*'Waste results'!$S$65, "data missing"),
   IF(Calc!BD130=0,
     IF(OR('Waste results'!$S$29&lt;&gt;"data missing", 'Waste results'!$S$101&lt;&gt;"data missing"), Calc!BC130*'Waste results'!$S$29+ Calc!BE130*'Waste results'!$S$101, "data missing"),
   IF(Calc!BC130=0,
     IF(OR('Waste results'!$S$65&lt;&gt;"data missing", 'Waste results'!$S$101&lt;&gt;"data missing"), Calc!BD130*'Waste results'!$S$65+Calc!BE130*'Waste results'!$S$101, "data missing"),
   IF(OR('Waste results'!$S$29&lt;&gt;"data missing", 'Waste results'!$S$65&lt;&gt;"data missing", 'Waste results'!$S$101&lt;&gt;"data missing"), Calc!BC130*'Waste results'!$S$29+Calc!BD130*'Waste results'!$S$65+ Calc!BE130*'Waste results'!$S$101, "data missing")))))))))))</f>
        <v/>
      </c>
      <c r="BG132" s="239" t="str">
        <f ca="1">IF($B132="","",
IF(ISBLANK('Soil results'!O135),"data missing",'Soil results'!O135))</f>
        <v/>
      </c>
      <c r="BH132" s="239" t="str">
        <f t="shared" ca="1" si="47"/>
        <v/>
      </c>
      <c r="BI132" s="9" t="str">
        <f ca="1">IF(B132="","",
IF(BF132=0,"n/a",
IF(OR(BF132="data missing",BG132="data missing"),"data missing",
IF(BF132&gt;3,"application rate too high - permissible rate exceeds limit",
IF('Soil results'!F135&lt;=5.5,
  IF(BG132&gt;50,"no application - soil conc. already above limit",
  IF(BH132&gt;50,"application rate too high - soil conc. will exceed limit",
  IF(BG132&gt;50*0.9,"soil conc. is at or above 90% of the limit",
  IF(10*BF132*1000/3000+BG132&gt;50,"soil limit likely to be exceeded in 10yrs",
  IF(50*BF132*1000/3000+BG132&gt;50,"soil limit likely to be exceeded in 50yrs","ok"))))),
IF('Soil results'!F135&lt;=6,
  IF(BG132&gt;60,"no application - soil conc. already above limit",
  IF(BH132&gt;60,"application rate too high - soil conc. will exceed limit",
  IF(BG132&gt;60*0.9,"soil conc. is at or above 90% of the limit",
  IF(10*BF132*1000/3000+BG132&gt;60,"soil limit likely to be exceeded in 10yrs",
  IF(50*BF132*1000/3000+BG132&gt;60,"soil limit likely to be exceeded in 50yrs","ok"))))),
IF('Soil results'!F135&lt;=7,
  IF(BG132&gt;75,"no application - soil conc. already above limit",
  IF(BH132&gt;75,"application rate too high - soil conc. will exceed limit",
  IF(BG132&gt;75*0.9,"soil conc. is at or above 90% of the limit",
  IF(10*BF132*1000/3000+BG132&gt;75,"soil limit likely to be exceeded in 10yrs",
  IF(50*BF132*1000/3000+BG132&gt;75,"soil limit likely to be exceeded in 50yrs","ok"))))),
IF('Soil results'!F135&gt;7,
  IF(BG132&gt;100,"no application - soil conc. already above limit",
  IF(BH132&gt;100,"application rate too high - soil conc. will exceed limit",
  IF(BG132&gt;100*0.9,"soil conc. is at or above 90% of the limit",
  IF(10*BF132*1000/3000+BG132&gt;100,"soil limit likely to be exceeded in 10yrs",
  IF(50*BF132*1000/3000+BG132&gt;100,"soil limit likely to beexceeded in 50yrs","ok")))))
))))))))</f>
        <v/>
      </c>
      <c r="BJ132" s="9"/>
      <c r="BK132" s="240" t="str">
        <f ca="1">IF(B132="","",
IF(AND('Field information 2'!$O$5="", 'Field information 2'!$Q$5=""),
   IF('Waste results'!$S$30&lt;&gt;"data missing", Calc!BC130*'Waste results'!$S$30, "data missing"),
IF('Field information 2'!$Q$5="",
   IF(Calc!BD130=0,
     IF('Waste results'!$S$30&lt;&gt;"data missing", Calc!BC130*'Waste results'!$S$30, "data missing"),
   IF(Calc!BC130=0,
     IF('Waste results'!$S$66&lt;&gt;"data missing", Calc!BD130*'Waste results'!$S$66, "data missing"),
   IF(OR('Waste results'!$S$30&lt;&gt;"data missing", 'Waste results'!$S$66&lt;&gt;"data missing"), Calc!BC130*'Waste results'!$S$30+ Calc!BD130*'Waste results'!$S$66, "data missing"))),
IF(AND('Field information 2'!$M$5&lt;&gt;"", 'Field information 2'!$O$5&lt;&gt;"", 'Field information 2'!$Q$5&lt;&gt;""),
   IF(AND(Calc!BD130=0,Calc!BE130=0),
     IF('Waste results'!$S$30&lt;&gt;"data missing", Calc!BC130*'Waste results'!$S$30, "data missing"),
   IF(AND(Calc!BC130=0,Calc!BE130=0),
     IF('Waste results'!$S$66&lt;&gt;"data missing", Calc!BD130*'Waste results'!$S$66, "data missing"),
   IF(AND(Calc!BC130=0,Calc!BD130=0),
     IF('Waste results'!$S$102&lt;&gt;"data missing", Calc!BE130*'Waste results'!$S$102, "data missing"),
   IF(Calc!BE130=0,
     IF(OR('Waste results'!$S$30&lt;&gt;"data missing", 'Waste results'!$S$66&lt;&gt;"data missing"), Calc!BC130*'Waste results'!$S$30+ Calc!BD130*'Waste results'!$S$66, "data missing"),
   IF(Calc!BD130=0,
     IF(OR('Waste results'!$S$30&lt;&gt;"data missing", 'Waste results'!$S$102&lt;&gt;"data missing"), Calc!BC130*'Waste results'!$S$30+ Calc!BE130*'Waste results'!$S$102, "data missing"),
   IF(Calc!BC130=0,
     IF(OR('Waste results'!$S$66&lt;&gt;"data missing", 'Waste results'!$S$102&lt;&gt;"data missing"), Calc!BD130*'Waste results'!$S$66+Calc!BE130*'Waste results'!$S$102, "data missing"),
   IF(OR('Waste results'!$S$30&lt;&gt;"data missing", 'Waste results'!$S$66&lt;&gt;"data missing", 'Waste results'!$S$102&lt;&gt;"data missing"), Calc!BC130*'Waste results'!$S$30+Calc!BD130*'Waste results'!$S$66+ Calc!BE130*'Waste results'!$S$102, "data missing")))))))))))</f>
        <v/>
      </c>
      <c r="BL132" s="241" t="str">
        <f ca="1">IF($B132="","",
IF(ISBLANK('Soil results'!P135),"data missing",'Soil results'!P135))</f>
        <v/>
      </c>
      <c r="BM132" s="241" t="str">
        <f t="shared" ca="1" si="48"/>
        <v/>
      </c>
      <c r="BN132" s="66" t="str">
        <f t="shared" ca="1" si="49"/>
        <v/>
      </c>
      <c r="BO132" s="9"/>
      <c r="BP132" s="238" t="str">
        <f ca="1">IF(B132="","",
IF(AND('Field information 2'!$O$5="", 'Field information 2'!$Q$5=""),
   IF('Waste results'!$S$31&lt;&gt;"data missing", Calc!BC130*'Waste results'!$S$31, "data missing"),
IF('Field information 2'!$Q$5="",
   IF(Calc!BD130=0,
     IF('Waste results'!$S$31&lt;&gt;"data missing", Calc!BC130*'Waste results'!$S$31, "data missing"),
   IF(Calc!BC130=0,
     IF('Waste results'!$S$67&lt;&gt;"data missing", Calc!BD130*'Waste results'!$S$67, "data missing"),
   IF(OR('Waste results'!$S$31&lt;&gt;"data missing", 'Waste results'!$S$67&lt;&gt;"data missing"), Calc!BC130*'Waste results'!$S$31+ Calc!BD130*'Waste results'!$S$67, "data missing"))),
IF(AND('Field information 2'!$M$5&lt;&gt;"", 'Field information 2'!$O$5&lt;&gt;"", 'Field information 2'!$Q$5&lt;&gt;""),
   IF(AND(Calc!BD130=0,Calc!BE130=0),
     IF('Waste results'!$S$31&lt;&gt;"data missing", Calc!BC130*'Waste results'!$S$31, "data missing"),
   IF(AND(Calc!BC130=0,Calc!BE130=0),
     IF('Waste results'!$S$67&lt;&gt;"data missing", Calc!BD130*'Waste results'!$S$67, "data missing"),
   IF(AND(Calc!BC130=0,Calc!BD130=0),
     IF('Waste results'!$S$103&lt;&gt;"data missing", Calc!BE130*'Waste results'!$S$103, "data missing"),
   IF(Calc!BE130=0,
     IF(OR('Waste results'!$S$31&lt;&gt;"data missing", 'Waste results'!$S$67&lt;&gt;"data missing"), Calc!BC130*'Waste results'!$S$31+ Calc!BD130*'Waste results'!$S$67, "data missing"),
   IF(Calc!BD130=0,
     IF(OR('Waste results'!$S$31&lt;&gt;"data missing", 'Waste results'!$S$103&lt;&gt;"data missing"), Calc!BC130*'Waste results'!$S$31+ Calc!BE130*'Waste results'!$S$103, "data missing"),
   IF(Calc!BC130=0,
     IF(OR('Waste results'!$S$67&lt;&gt;"data missing", 'Waste results'!$S$103&lt;&gt;"data missing"), Calc!BD130*'Waste results'!$S$67+Calc!BE130*'Waste results'!$S$103, "data missing"),
   IF(OR('Waste results'!$S$31&lt;&gt;"data missing", 'Waste results'!$S$67&lt;&gt;"data missing", 'Waste results'!$S$103&lt;&gt;"data missing"), Calc!BC130*'Waste results'!$S$31+Calc!BD130*'Waste results'!$S$67+ Calc!BE130*'Waste results'!$S$103, "data missing")))))))))))</f>
        <v/>
      </c>
      <c r="BQ132" s="239" t="str">
        <f ca="1">IF($B132="","",
IF(ISBLANK('Soil results'!Q135),"data missing",'Soil results'!Q135))</f>
        <v/>
      </c>
      <c r="BR132" s="239" t="str">
        <f t="shared" ca="1" si="50"/>
        <v/>
      </c>
      <c r="BS132" s="9" t="str">
        <f ca="1">IF(B132="","",
IF(BP132=0,"n/a",
IF(OR(BP132="data missing",BQ132=""),"data missing",
IF(BP132&gt;15,"application rate too high - permissible rate exceeds limit",
IF('Soil results'!F135&lt;=5.5,
  IF(BQ132&gt;200,"no application - soil conc. already above limit",
  IF(BR132&gt;200,"application rate too high - soil conc. will exceed limit",
  IF(BQ132&gt;200*0.9,"soil conc. is at or above 90% of the limit",
  IF(10*BP132*1000/3000+BQ132&gt;200,"soil limit likely to be exceeded in 10yrs",
  IF(50*BP132*1000/3000+BQ132&gt;200,"soil limit likely to be exceeded in 50yrs","ok"))))),
IF('Soil results'!F135&lt;=6,
  IF(BQ132&gt;250,"no application - soil conc. already above limit",
  IF(BR132&gt;250,"application rate too high - soil conc. will exceed limit",
  IF(BQ132&gt;250*0.9,"soil conc. is at or above 90% of the limit",
  IF(10*BP132*1000/3000+BQ132&gt;250,"soil limit likely to be exceeded in 10yrs",
  IF(50*BP132*1000/3000+BQ132&gt;250,"soil limit likely to be exceeded in 50yrs","ok"))))),
IF('Soil results'!F135&lt;=7,
  IF(BQ132&gt;300,"no application - soil conc. already above limit",
  IF(BR132&gt;300,"application rate too high - soil conc. will exceed limit",
  IF(BQ132&gt;300*0.9,"soil conc. is at or above 90% of the limit",
  IF(10*BP132*1000/3000+BQ132&gt;300,"soil limit likey to be exceeded in 10yrs",
  IF(50*BP132*1000/3000+BQ132&gt;300,"soil limit likely to be exceeded in 50yrs","ok"))))),
IF('Soil results'!F135&gt;7,
  IF(BQ132&gt;450,"no application - soil conc. already above limit",
  IF(BR132&gt;450,"application rate too high - soil conc. will exceed limit",
  IF(AW132&gt;450*0.9,"soil conc. is at or above 90% of the limit",
  IF(10*BP132*1000/3000+BQ132&gt;450,"soil limit likely to be exceeded in 10yrs",
  IF(50*BP132*1000/3000+BQ132&gt;450,"soil limit likely to be exceeded in 50yrs","ok")))))
))))))))</f>
        <v/>
      </c>
    </row>
    <row r="133" spans="2:71" ht="15" x14ac:dyDescent="0.25">
      <c r="B133" s="236" t="str">
        <f ca="1">'Soil results'!B136</f>
        <v/>
      </c>
      <c r="C133" s="91" t="str">
        <f ca="1">IF(B133="","",
IF(AND('Field information 2'!$O$5="", 'Field information 2'!$Q$5=""),
   IF('Waste results'!$S$12&lt;&gt;"data missing", Calc!BC131*'Waste results'!$S$12, "data missing"),
IF('Field information 2'!$Q$5="",
   IF(Calc!BD131=0,
     IF('Waste results'!$S$12&lt;&gt;"data missing", Calc!BC131*'Waste results'!$S$12, "data missing"),
   IF(Calc!BC131=0,
     IF('Waste results'!$S$48&lt;&gt;"data missing", Calc!BD131*'Waste results'!$S$48, "data missing"),
   IF(OR('Waste results'!$S$12&lt;&gt;"data missing", 'Waste results'!$S$48&lt;&gt;"data missing"), Calc!BC131*'Waste results'!$S$12+ Calc!BD131*'Waste results'!$S$48, "data missing"))),
IF(AND('Field information 2'!$M$5&lt;&gt;"", 'Field information 2'!$O$5&lt;&gt;"", 'Field information 2'!$Q$5&lt;&gt;""),
   IF(AND(Calc!BD131=0,Calc!BE131=0),
     IF('Waste results'!$S$12&lt;&gt;"data missing", Calc!BC131*'Waste results'!$S$12, "data missing"),
   IF(AND(Calc!BC131=0,Calc!BE131=0),
     IF('Waste results'!$S$48&lt;&gt;"data missing", Calc!BD131*'Waste results'!$S$48, "data missing"),
   IF(AND(Calc!BC131=0,Calc!BD131=0),
     IF('Waste results'!$S$84&lt;&gt;"data missing", Calc!BE131*'Waste results'!$S$84, "data missing"),
   IF(Calc!BE131=0,
     IF(OR('Waste results'!$S$12&lt;&gt;"data missing", 'Waste results'!$S$48&lt;&gt;"data missing"), Calc!BC131*'Waste results'!$S$12+ Calc!BD131*'Waste results'!$S$48, "data missing"),
   IF(Calc!BD131=0,
     IF(OR('Waste results'!$S$12&lt;&gt;"data missing", 'Waste results'!$S$84&lt;&gt;"data missing"), Calc!BC131*'Waste results'!$S$12+ Calc!BE131*'Waste results'!$S$84, "data missing"),
   IF(Calc!BC131=0,
     IF(OR('Waste results'!$S$48&lt;&gt;"data missing", 'Waste results'!$S$84&lt;&gt;"data missing"), Calc!BD131*'Waste results'!$S$48+Calc!BE131*'Waste results'!$S$84, "data missing"),
   IF(OR('Waste results'!$S$12&lt;&gt;"data missing", 'Waste results'!$S$48&lt;&gt;"data missing", 'Waste results'!$S$84&lt;&gt;"data missing"), Calc!BC131*'Waste results'!$S$12+Calc!BD131*'Waste results'!$S$48+ Calc!BE131*'Waste results'!$S$84, "data missing")))))))))))</f>
        <v/>
      </c>
      <c r="D133" s="161" t="str">
        <f ca="1">IF(B133="","",
IF(Calc!BG131="","soil texture missing",
IF(OR(Calc!BG131="SL; SZL; ZL",Calc!BG131="SCL; CL; ZCL; SC; ZC; C"),VLOOKUP(Calc!BI131,'Fertiliser recommendations'!$A$4:$C$63,3,FALSE),
IF(Calc!BG131="S; LS",VLOOKUP(Calc!BI131,'Fertiliser recommendations'!$A$4:$C$63,3,FALSE)+VLOOKUP(Calc!BI131,'Fertiliser recommendations'!$A$4:$D$63,4,FALSE),
IF(Calc!BG131="10-25% OM",VLOOKUP(Calc!BI131,'Fertiliser recommendations'!$A$4:$C$63,3,FALSE)+VLOOKUP(Calc!BI131,'Fertiliser recommendations'!$A$4:$E$63,5,FALSE),
IF(Calc!BG131="&gt;25% OM",VLOOKUP(Calc!BI131,'Fertiliser recommendations'!$A$4:$C$63,3,FALSE)+VLOOKUP(Calc!BI131,'Fertiliser recommendations'!$A$4:$F$63,6,FALSE),
""))))))</f>
        <v/>
      </c>
      <c r="E133" s="91" t="str">
        <f t="shared" ca="1" si="34"/>
        <v/>
      </c>
      <c r="F133" s="9" t="str">
        <f ca="1">IF(B133="","",
IF(OR(C133="data missing",D133="soil texture missing"),"data missing",
IF(Calc!BF131=0,"n/a",
IF(C133&lt;0.1*D133,"no benefit",
IF(C133&lt;0.3*D133,"limited benefit",
IF(C133&gt;250,"exceeds limit",
IF(OR(AND(D133=0,C133&gt;75),C133&gt;1.25*D133),"excessive",
IF(D133=0, "no requirement",
"benefit"))))))))</f>
        <v/>
      </c>
      <c r="G133" s="9"/>
      <c r="H133" s="91" t="str">
        <f ca="1">IF(B133="","",
IF(AND('Field information 2'!$O$5="", 'Field information 2'!$Q$5=""),
   IF('Waste results'!$S$17&lt;&gt;"data missing", Calc!BC131*'Waste results'!$S$17, "data missing"),
IF('Field information 2'!$Q$5="",
   IF(Calc!BD131=0,
     IF('Waste results'!$S$17&lt;&gt;"data missing", Calc!BC131*'Waste results'!$S$17, "data missing"),
   IF(Calc!BC131=0,
     IF('Waste results'!$S$53&lt;&gt;"data missing", Calc!BD131*'Waste results'!$S$53, "data missing"),
   IF(OR('Waste results'!$S$17&lt;&gt;"data missing", 'Waste results'!$S$53&lt;&gt;"data missing"), Calc!BC131*'Waste results'!$S$17+ Calc!BD131*'Waste results'!$S$53, "data missing"))),
IF(AND('Field information 2'!$M$5&lt;&gt;"", 'Field information 2'!$O$5&lt;&gt;"", 'Field information 2'!$Q$5&lt;&gt;""),
   IF(AND(Calc!BD131=0,Calc!BE131=0),
     IF('Waste results'!$S$17&lt;&gt;"data missing", Calc!BC131*'Waste results'!$S$17, "data missing"),
   IF(AND(Calc!BC131=0,Calc!BE131=0),
     IF('Waste results'!$S$53&lt;&gt;"data missing", Calc!BD131*'Waste results'!$S$53, "data missing"),
   IF(AND(Calc!BC131=0,Calc!BD131=0),
     IF('Waste results'!$S$89&lt;&gt;"data missing", Calc!BE131*'Waste results'!$S$89, "data missing"),
   IF(Calc!BE131=0,
     IF(OR('Waste results'!$S$17&lt;&gt;"data missing", 'Waste results'!$S$53&lt;&gt;"data missing"), Calc!BC131*'Waste results'!$S$17+ Calc!BD131*'Waste results'!$S$53, "data missing"),
   IF(Calc!BD131=0,
     IF(OR('Waste results'!$S$17&lt;&gt;"data missing", 'Waste results'!$S$89&lt;&gt;"data missing"), Calc!BC131*'Waste results'!$S$17+ Calc!BE131*'Waste results'!$S$89, "data missing"),
   IF(Calc!BC131=0,
     IF(OR('Waste results'!$S$53&lt;&gt;"data missing", 'Waste results'!$S$89&lt;&gt;"data missing"), Calc!BD131*'Waste results'!$S$53+Calc!BE131*'Waste results'!$S$89, "data missing"),
   IF(OR('Waste results'!$S$17&lt;&gt;"data missing", 'Waste results'!$S$53&lt;&gt;"data missing", 'Waste results'!$S$89&lt;&gt;"data missing"), Calc!BC131*'Waste results'!$S$17+Calc!BD131*'Waste results'!$S$53+ Calc!BE131*'Waste results'!$S$89, "data missing")))))))))))</f>
        <v/>
      </c>
      <c r="I133" s="195" t="str">
        <f ca="1">IF(B133="","",
IF(OR(ISBLANK('Soil results'!G136), ISBLANK('Soil results'!G$7)),"data missing",
IF(OR(AND('Soil results'!G$7="Olsen (ADAS)",'Soil results'!G136&lt;16),AND('Soil results'!G$7="modified Morgan (SAC)",'Soil results'!G136&lt;4.5)),50,100)))</f>
        <v/>
      </c>
      <c r="J133" s="49" t="str">
        <f ca="1">IF(B133="","",
IF(OR(ISBLANK('Soil results'!G$7),ISBLANK('Soil results'!G136)),"data missing",
IF(OR(AND('Soil results'!G$7="Olsen (ADAS)",'Soil results'!G136&gt;45),AND('Soil results'!G$7="modified Morgan (SAC)",'Soil results'!G136&gt;30)),0,
IF(OR(AND('Soil results'!G$7="Olsen (ADAS)",'Soil results'!G136&gt;=16,'Soil results'!G136&lt;=20),AND('Soil results'!G$7="modified Morgan (SAC)",'Soil results'!G136&gt;=4.5,'Soil results'!G136&lt;=9.4)),VLOOKUP(Calc!BI131,'Fertiliser recommendations'!$A$4:$I$63,9,FALSE),
IF(OR(AND('Soil results'!G$7="Olsen (ADAS)",'Soil results'!G136&lt;10),AND('Soil results'!G$7="modified Morgan (SAC)",'Soil results'!G136&lt;1.8)),VLOOKUP(Calc!BI131,'Fertiliser recommendations'!$A$4:$I$63,9,FALSE)+VLOOKUP(Calc!BI131,'Fertiliser recommendations'!$A$4:$J$63,10,FALSE),
IF(OR(AND('Soil results'!G$7="Olsen (ADAS)",'Soil results'!G136&lt;16),AND('Soil results'!G$7="modified Morgan (SAC)",'Soil results'!G136&lt;4.5)),VLOOKUP(Calc!BI131,'Fertiliser recommendations'!$A$4:$I$63,9,FALSE)+VLOOKUP(Calc!BI131,'Fertiliser recommendations'!$A$4:$K$63,11,FALSE),
IF(OR(AND('Soil results'!G$7="Olsen (ADAS)",'Soil results'!G136&lt;26),AND('Soil results'!G$7="modified Morgan (SAC)",'Soil results'!G136&lt;13.5)),VLOOKUP(Calc!BI131,'Fertiliser recommendations'!$A$4:$I$63,9,FALSE)+VLOOKUP(Calc!BI131,'Fertiliser recommendations'!$A$4:$L$63,12,FALSE),
IF(OR(AND('Soil results'!G$7="Olsen (ADAS)",'Soil results'!G136&lt;=45),AND('Soil results'!G$7="modified Morgan (SAC)",'Soil results'!G136&lt;=30)),VLOOKUP(Calc!BI131,'Fertiliser recommendations'!$A$4:$I$63,9,FALSE)+VLOOKUP(Calc!BI131,'Fertiliser recommendations'!$A$4:$M$63,13,FALSE),
""))))))))</f>
        <v/>
      </c>
      <c r="K133" s="161" t="str">
        <f t="shared" ca="1" si="35"/>
        <v/>
      </c>
      <c r="L133" s="47" t="str">
        <f ca="1">IF(OR(ISBLANK('Soil results'!G$7),ISBLANK('Soil results'!G136),B133="", H133="data missing"),"",
IF('Soil results'!G$7="Olsen (ADAS)",
IF(((H133*Calc!BM131/2.291-(VLOOKUP(Calc!BI131,'Fertiliser recommendations'!$A$4:$I$63,9,FALSE))/2.291)*10/(400/2.291)+'Soil results'!G136)&lt;10,"0 (VL)",
IF(((H133*Calc!BM131/2.291-(VLOOKUP(Calc!BI131,'Fertiliser recommendations'!$A$4:$I$63,9,FALSE))/2.291)*10/(400/2.291)+'Soil results'!G136)&lt;16,"1 (L)",
IF(((H133*Calc!BM131/2.291-(VLOOKUP(Calc!BI131,'Fertiliser recommendations'!$A$4:$I$63,9,FALSE))/2.291)*10/(400/2.291)+'Soil results'!G136)&lt;21,"2 (M-)",
IF(((H133*Calc!BM131/2.291-(VLOOKUP(Calc!BI131,'Fertiliser recommendations'!$A$4:$I$63,9,FALSE))/2.291)*10/(400/2.291)+'Soil results'!G136)&lt;26,"2 (M+)",
IF(((H133*Calc!BM131/2.291-(VLOOKUP(Calc!BI131,'Fertiliser recommendations'!$A$4:$I$63,9,FALSE))/2.291)*10/(400/2.291)+'Soil results'!G136)&lt;45,"3 (H)","&gt;3 (VH)"))))),
IF('Soil results'!G$7="modified Morgan (SAC)",
IF('Soil results'!G136&gt;=6,
IF(((H133*Calc!BM131/2.291-(VLOOKUP(Calc!BI131,'Fertiliser recommendations'!$A$4:$I$63,9,FALSE))/2.291)*5/(147/2.291)+'Soil results'!G136)&lt;9.5,"2 (M-)",
IF(((H133*Calc!BM131/2.291-(VLOOKUP(Calc!BI131,'Fertiliser recommendations'!$A$4:$I$63,9,FALSE))/2.291)*5/(147/2.291)+'Soil results'!G136)&lt;13.5,"2 (M+)",
IF(((H133*Calc!BM131/2.291-(VLOOKUP(Calc!BI131,'Fertiliser recommendations'!$A$4:$I$63,9,FALSE))/2.291)*5/(147/2.291)+'Soil results'!G136)&lt;30,"3 (H)","4 (VH)"))),
IF(((H133*Calc!BM131/2.291-(VLOOKUP(Calc!BI131,'Fertiliser recommendations'!$A$4:$I$63,9,FALSE))/2.291)*5/(346/2.291)+'Soil results'!G136)&lt;1.8,"0 (VL)",
IF(((H133*Calc!BM131/2.291-(VLOOKUP(Calc!BI131,'Fertiliser recommendations'!$A$4:$I$63,9,FALSE))/2.291)*5/(147/2.291)+'Soil results'!G136)&lt;4.5,"1 (L)","2 (M-)"))))))</f>
        <v/>
      </c>
      <c r="M133" s="9" t="str">
        <f ca="1">IF(B133="","",
IF(OR(H133="data missing",I133="data missing",J133="data missing"),"data missing",
IF(Calc!BF131=0,"n/a",
IF(OR(AND('Soil results'!G$7="Olsen (ADAS)",'Soil results'!G136&gt;45),AND('Soil results'!G$7="modified Morgan (SAC)",'Soil results'!G136&gt;30)),
IF(H133&gt;2,"too high, not acceptable","no requirement"),IF(OR(AND('Soil results'!G$7="Olsen (ADAS)",'Soil results'!G136&gt;25),AND('Soil results'!G$7="modified Morgan (SAC)",'Soil results'!G136&gt;13.4)),
IF(H133*(I133/100)&lt;0.1*J133,"no benefit",
IF(H133*(I133/100)&lt;0.3*J133,"limited benefit",
IF(H133*(I133/100)&lt;1.1*J133,"benefit",
IF(H133*(I133/100)&lt;0.7*VLOOKUP(Calc!BI131,'Fertiliser recommendations'!$A$4:$I$63,9,FALSE),"excessive","too high, not acceptable")))),
IF(OR(AND('Soil results'!G$7="Olsen (ADAS)",'Soil results'!G136&gt;20),AND('Soil results'!G$7="modified Morgan (SAC)",'Soil results'!G136&gt;9.4)),
IF(H133*Calc!BM131*(I133/100)&lt;0.1*J133,"no benefit",
IF(H133*Calc!BM131*(I133/100)&lt;0.3*J133,"limited benefit",
IF(H133*Calc!BM131*(I133/100)&lt;1.1*J133,"benefit",
IF(L133="3 (H)","too high, not acceptable","excessive")))),
IF(OR(AND('Soil results'!G$7="Olsen (ADAS)",'Soil results'!G136&gt;15),AND('Soil results'!G$7="modified Morgan (SAC)",'Soil results'!G136&gt;4.4)),
IF(H133*Calc!BM131*(I133/100)&lt;0.1*VLOOKUP(Calc!BI131,'Fertiliser recommendations'!$A$4:$I$63,9,FALSE),"no benefit",
IF(H133*Calc!BM131*(I133/100)&lt;0.3*VLOOKUP(Calc!BI131,'Fertiliser recommendations'!$A$4:$I$63,9,FALSE),"limited benefit",
IF(H133*Calc!BM131*(I133/100)&lt;1.1*VLOOKUP(Calc!BI131,'Fertiliser recommendations'!$A$4:$I$63,9,FALSE),"benefit",
IF(L133="3 (H)", "too high, not acceptable", "excessive")))),
IF(OR(AND('Soil results'!G$7="Olsen (ADAS)",'Soil results'!G136&lt;=15),AND('Soil results'!G$7="modified Morgan (SAC)",'Soil results'!G136&lt;=4.4)),
IF(H133*Calc!BM131*(I133/100)&lt;0.1*VLOOKUP(Calc!BI131,'Fertiliser recommendations'!$A$4:$I$63,9,FALSE),"no benefit",
IF(H133*Calc!BM131*(I133/100)&lt;0.3*VLOOKUP(Calc!BI131,'Fertiliser recommendations'!$A$4:$I$63,9,FALSE),"limited benefit",
IF(H133*Calc!BM131*(I133/100)&lt;1.1*J133,"benefit","excessive")))))))))))</f>
        <v/>
      </c>
      <c r="N133" s="9"/>
      <c r="O133" s="91" t="str">
        <f ca="1">IF(B133="","",
IF(AND('Field information 2'!$O$5="", 'Field information 2'!$Q$5=""),
   IF('Waste results'!$S$19&lt;&gt;"data missing", Calc!BC131*'Waste results'!$S$19, "data missing"),
IF('Field information 2'!$Q$5="",
   IF(Calc!BD131=0,
     IF('Waste results'!$S$19&lt;&gt;"data missing", Calc!BC131*'Waste results'!$S$19, "data missing"),
   IF(Calc!BC131=0,
     IF('Waste results'!$S$55&lt;&gt;"data missing", Calc!BD131*'Waste results'!$S$55, "data missing"),
   IF(OR('Waste results'!$S$19&lt;&gt;"data missing", 'Waste results'!$S$55&lt;&gt;"data missing"), Calc!BC131*'Waste results'!$S$19+ Calc!BD131*'Waste results'!$S$55, "data missing"))),
IF(AND('Field information 2'!$M$5&lt;&gt;"", 'Field information 2'!$O$5&lt;&gt;"", 'Field information 2'!$Q$5&lt;&gt;""),
   IF(AND(Calc!BD131=0,Calc!BE131=0),
     IF('Waste results'!$S$19&lt;&gt;"data missing", Calc!BC131*'Waste results'!$S$19, "data missing"),
   IF(AND(Calc!BC131=0,Calc!BE131=0),
     IF('Waste results'!$S$55&lt;&gt;"data missing", Calc!BD131*'Waste results'!$S$55, "data missing"),
   IF(AND(Calc!BC131=0,Calc!BD131=0),
     IF('Waste results'!$S$91&lt;&gt;"data missing", Calc!BE131*'Waste results'!$S$91, "data missing"),
   IF(Calc!BE131=0,
     IF(OR('Waste results'!$S$19&lt;&gt;"data missing", 'Waste results'!$S$55&lt;&gt;"data missing"), Calc!BC131*'Waste results'!$S$19+ Calc!BD131*'Waste results'!$S$55, "data missing"),
   IF(Calc!BD131=0,
     IF(OR('Waste results'!$S$19&lt;&gt;"data missing", 'Waste results'!$S$91&lt;&gt;"data missing"), Calc!BC131*'Waste results'!$S$19+ Calc!BE131*'Waste results'!$S$91, "data missing"),
   IF(Calc!BC131=0,
     IF(OR('Waste results'!$S$55&lt;&gt;"data missing", 'Waste results'!$S$91&lt;&gt;"data missing"), Calc!BD131*'Waste results'!$S$55+Calc!BE131*'Waste results'!$S$91, "data missing"),
   IF(OR('Waste results'!$S$19&lt;&gt;"data missing", 'Waste results'!$S$55&lt;&gt;"data missing", 'Waste results'!$S$91&lt;&gt;"data missing"), Calc!BC131*'Waste results'!$S$19+Calc!BD131*'Waste results'!$S$55+ Calc!BE131*'Waste results'!$S$91, "data missing")))))))))))</f>
        <v/>
      </c>
      <c r="P133" s="91" t="str">
        <f ca="1">IF(B133="","",
IF(OR(ISBLANK('Soil results'!H$7),ISBLANK('Soil results'!H136)),"data missing",
IF(OR(AND('Soil results'!H$7="ammonium nitrate (ADAS)",'Soil results'!H136&gt;400),AND('Soil results'!H$7="modified Morgan (SAC)",'Soil results'!H136&gt;400)),0,
IF(OR(AND('Soil results'!H$7="ammonium nitrate (ADAS)",'Soil results'!H136&gt;=121,'Soil results'!H136&lt;=180),AND('Soil results'!H$7="modified Morgan (SAC)",'Soil results'!H136&gt;=76,'Soil results'!H136&lt;=140)),VLOOKUP(Calc!BI131,'Fertiliser recommendations'!$A$4:$Z$63,26,FALSE),
IF(OR(AND('Soil results'!H$7="ammonium nitrate (ADAS)",'Soil results'!H136&lt;61),AND('Soil results'!H$7="modified Morgan (SAC)",'Soil results'!H136&lt;40)),VLOOKUP(Calc!BI131,'Fertiliser recommendations'!$A$4:$Z$63,26,FALSE)+VLOOKUP(Calc!BI131,'Fertiliser recommendations'!$A$4:$AA$63,27,FALSE),
IF(OR(AND('Soil results'!H$7="ammonium nitrate (ADAS)",'Soil results'!H136&lt;121),AND('Soil results'!H$7="modified Morgan (SAC)",'Soil results'!H136&lt;76)),VLOOKUP(Calc!BI131,'Fertiliser recommendations'!$A$4:$Z$63,26,FALSE)+VLOOKUP(Calc!BI131,'Fertiliser recommendations'!$A$4:$AB$63,28,FALSE),
IF(OR(AND('Soil results'!H$7="ammonium nitrate (ADAS)",'Soil results'!H136&lt;241),AND('Soil results'!H$7="modified Morgan (SAC)",'Soil results'!H136&lt;201)),VLOOKUP(Calc!BI131,'Fertiliser recommendations'!$A$4:$Z$63,26,FALSE)+VLOOKUP(Calc!BI131,'Fertiliser recommendations'!$A$4:$AC$63,29,FALSE),
IF(OR(AND('Soil results'!H$7="ammonium nitrate (ADAS)",'Soil results'!H136&lt;=400),AND('Soil results'!H$7="modified Morgan (SAC)",'Soil results'!H136&lt;=400)),VLOOKUP(Calc!BI131,'Fertiliser recommendations'!$A$4:$Z$63,26,FALSE)+VLOOKUP(Calc!BI131,'Fertiliser recommendations'!$A$4:$AD$63,30,FALSE),
"??"))))))))</f>
        <v/>
      </c>
      <c r="Q133" s="91" t="str">
        <f t="shared" ca="1" si="36"/>
        <v/>
      </c>
      <c r="R133" s="9" t="str">
        <f ca="1">IF(B133="","",
IF(OR(O133="data missing",P133="data missing"),"data missing",
IF(Calc!BF131=0,"n/a",
IF(P133=0, "no requirement",
IF(O133&lt;0.1*P133,"no benefit",
IF(O133&lt;0.3*P133,"limited benefit",
IF(O133&gt;1.25*P133,"excessive",
"benefit")))))))</f>
        <v/>
      </c>
      <c r="S133" s="9"/>
      <c r="T133" s="91" t="str">
        <f ca="1">IF(B133="","",
IF(AND('Field information 2'!$O$5="", 'Field information 2'!$Q$5=""),
   IF('Waste results'!$S$21&lt;&gt;"data missing", Calc!BC131*'Waste results'!$S$21, "data missing"),
IF('Field information 2'!$Q$5="",
   IF(Calc!BD131=0,
     IF('Waste results'!$S$21&lt;&gt;"data missing", Calc!BC131*'Waste results'!$S$21, "data missing"),
   IF(Calc!BC131=0,
     IF('Waste results'!$S$57&lt;&gt;"data missing", Calc!BD131*'Waste results'!$S$57, "data missing"),
   IF(OR('Waste results'!$S$21&lt;&gt;"data missing", 'Waste results'!$S$57&lt;&gt;"data missing"), Calc!BC131*'Waste results'!$S$21+ Calc!BD131*'Waste results'!$S$57, "data missing"))),
IF(AND('Field information 2'!$M$5&lt;&gt;"", 'Field information 2'!$O$5&lt;&gt;"", 'Field information 2'!$Q$5&lt;&gt;""),
   IF(AND(Calc!BD131=0,Calc!BE131=0),
     IF('Waste results'!$S$21&lt;&gt;"data missing", Calc!BC131*'Waste results'!$S$21, "data missing"),
   IF(AND(Calc!BC131=0,Calc!BE131=0),
     IF('Waste results'!$S$57&lt;&gt;"data missing", Calc!BD131*'Waste results'!$S$57, "data missing"),
   IF(AND(Calc!BC131=0,Calc!BD131=0),
     IF('Waste results'!$S$93&lt;&gt;"data missing", Calc!BE131*'Waste results'!$S$93, "data missing"),
   IF(Calc!BE131=0,
     IF(OR('Waste results'!$S$21&lt;&gt;"data missing", 'Waste results'!$S$57&lt;&gt;"data missing"), Calc!BC131*'Waste results'!$S$21+ Calc!BD131*'Waste results'!$S$57, "data missing"),
   IF(Calc!BD131=0,
     IF(OR('Waste results'!$S$21&lt;&gt;"data missing", 'Waste results'!$S$93&lt;&gt;"data missing"), Calc!BC131*'Waste results'!$S$21+ Calc!BE131*'Waste results'!$S$93, "data missing"),
   IF(Calc!BC131=0,
     IF(OR('Waste results'!$S$57&lt;&gt;"data missing", 'Waste results'!$S$93&lt;&gt;"data missing"), Calc!BD131*'Waste results'!$S$57+Calc!BE131*'Waste results'!$S$93, "data missing"),
   IF(OR('Waste results'!$S$21&lt;&gt;"data missing", 'Waste results'!$S$57&lt;&gt;"data missing", 'Waste results'!$S$93&lt;&gt;"data missing"), Calc!BC131*'Waste results'!$S$21+Calc!BD131*'Waste results'!$S$57+ Calc!BE131*'Waste results'!$S$93, "data missing")))))))))))</f>
        <v/>
      </c>
      <c r="U133" s="7" t="str">
        <f ca="1">IF(B133="","",
IF(OR(ISBLANK('Soil results'!I$7),ISBLANK('Soil results'!I136)),"data missing",
IF(OR(AND('Soil results'!I$7="ammonium nitrate (ADAS)",'Soil results'!I136&gt;51),AND('Soil results'!I$7="modified Morgan (SAC)",'Soil results'!I136&gt;61)),0,
IF(OR(AND('Soil results'!I$7="ammonium nitrate (ADAS)",'Soil results'!I136&lt;25),AND('Soil results'!I$7="modified Morgan (SAC)",'Soil results'!I136&lt;19)),VLOOKUP(Calc!BI131,'Fertiliser recommendations'!$A$4:$AH$63,34,FALSE),
IF(OR(AND('Soil results'!I$7="ammonium nitrate (ADAS)",'Soil results'!I136&lt;=51),AND('Soil results'!I$7="modified Morgan (SAC)",'Soil results'!I136&lt;=61)),VLOOKUP(Calc!BI131,'Fertiliser recommendations'!$A$4:$AI$63,35,FALSE),
"")))))</f>
        <v/>
      </c>
      <c r="V133" s="91" t="str">
        <f t="shared" ca="1" si="37"/>
        <v/>
      </c>
      <c r="W133" s="9" t="str">
        <f ca="1">IF(B133="","",
IF(OR(T133="data missing",U133="data missing"),"data missing",
IF(Calc!BF131=0,"n/a",
IF(U133=0,"no requirement",
IF(T133&lt;0.1*U133,"no benefit",
IF(T133&lt;0.3*U133,"limited benefit",
IF(OR(T133&gt;1.5*U133,AND(Calc!BJ131="g",T133&gt;100)),"excessive",
"benefit")))))))</f>
        <v/>
      </c>
      <c r="X133" s="9"/>
      <c r="Y133" s="91" t="str">
        <f ca="1">IF(B133="","",
IF(AND('Field information 2'!$O$5="", 'Field information 2'!$Q$5=""),
   IF('Waste results'!$P$23&lt;&gt;"", Calc!BC131*'Waste results'!$P$23, "no data"),
IF('Field information 2'!$Q$5="",
   IF(Calc!BD131=0,
     IF('Waste results'!$P$23&lt;&gt;"", Calc!BC131*'Waste results'!$P$23, "no data"),
   IF(Calc!BC131=0,
     IF('Waste results'!$P$59&lt;&gt;"", Calc!BD131*'Waste results'!$P$59, "no data"),
   IF(OR('Waste results'!$P$23&lt;&gt;"", 'Waste results'!$P$59&lt;&gt;""), Calc!BC131*'Waste results'!$P$23+ Calc!BD131*'Waste results'!$P$59, "no data"))),
IF(AND('Field information 2'!$M$5&lt;&gt;"", 'Field information 2'!$O$5&lt;&gt;"", 'Field information 2'!$Q$5&lt;&gt;""),
   IF(AND(Calc!BD131=0,Calc!BE131=0),
     IF('Waste results'!$P$23&lt;&gt;"", Calc!BC131*'Waste results'!$P$23, "no data"),
   IF(AND(Calc!BC131=0,Calc!BE131=0),
     IF('Waste results'!$P$59&lt;&gt;"", Calc!BD131*'Waste results'!$P$59, "no data"),
   IF(AND(Calc!BC131=0,Calc!BD131=0),
     IF('Waste results'!$P$95&lt;&gt;"", Calc!BE131*'Waste results'!$P$95, "no data"),
   IF(Calc!BE131=0,
     IF(OR('Waste results'!$P$23&lt;&gt;"", 'Waste results'!$P$59&lt;&gt;""), Calc!BC131*'Waste results'!$P$23+ Calc!BD131*'Waste results'!$P$59, "no data"),
   IF(Calc!BD131=0,
     IF(OR('Waste results'!$P$23&lt;&gt;"", 'Waste results'!$P$95&lt;&gt;""), Calc!BC131*'Waste results'!$P$23+ Calc!BE131*'Waste results'!$P$95, "no data"),
   IF(Calc!BC131=0,
     IF(OR('Waste results'!$P$59&lt;&gt;"", 'Waste results'!$P$95&lt;&gt;""), Calc!BD131*'Waste results'!$P$59+Calc!BE131*'Waste results'!$P$95, "no data"),
   IF(OR('Waste results'!$P$23&lt;&gt;"", 'Waste results'!$P$59&lt;&gt;"", 'Waste results'!$P$95&lt;&gt;""), Calc!BC131*'Waste results'!$P$23+Calc!BD131*'Waste results'!$P$59+ Calc!BE131*'Waste results'!$P$95, "no data")))))))))))</f>
        <v/>
      </c>
      <c r="Z133" s="7" t="str">
        <f ca="1">IF(OR(ISBLANK('Soil results'!I$7),ISBLANK('Soil results'!I136),'Soil results'!B136=""),"",
VLOOKUP(Calc!BI131,'Fertiliser recommendations'!$A$4:$AM$63,39,FALSE))</f>
        <v/>
      </c>
      <c r="AA133" s="91" t="str">
        <f t="shared" ca="1" si="38"/>
        <v/>
      </c>
      <c r="AB133" s="9" t="str">
        <f t="shared" ca="1" si="39"/>
        <v/>
      </c>
      <c r="AC133" s="9"/>
      <c r="AD133" s="48" t="str">
        <f>IF(ISBLANK('Soil results'!F136),"",'Soil results'!F136)</f>
        <v/>
      </c>
      <c r="AE133" s="49" t="str">
        <f ca="1">IF(B133="","",
IF(AND(Calc!BJ131="g", VLOOKUP(LEFT($B133,LEN($B133)-2),'Field information 2'!$B$12:$P$111,9,FALSE)&lt;&gt;"yes"),
 IF(Calc!BG131="10-25% OM", 5.9, IF(Calc!BG131="&gt;25% OM", 5.5, 6.2)),
IF(OR(Calc!BJ131="a", VLOOKUP(LEFT($B133,LEN($B133)-2),'Field information 2'!$B$12:$P$111,9,FALSE)="yes"),
 IF(Calc!BG131="10-25% OM", 6.4, IF(Calc!BG131="&gt;25% OM", 6, 6.7)), "")))</f>
        <v/>
      </c>
      <c r="AF133" s="91" t="str">
        <f ca="1">IF(B133="","",
IF('Waste results'!$Q$33="","no (significant) liming properties",
IF('Waste results'!Q$33&gt;100,"no (significant) liming properties",
IF(AD133="","",
IF(AD133&gt;=AE133,0,ROUNDDOWN((AE133-AD133)*Calc!BK131*'Waste results'!$Q$33+0.2,0))))))</f>
        <v/>
      </c>
      <c r="AG133" s="9" t="str">
        <f ca="1">IF(B133="","",
IF(T133=0,"n/a",
IF(AD133="","data missing",
IF(AND(AD133&lt;5,AF133="no (significant) liming properties"),"no waste application - pH too low",
IF(AND(AD133&gt;5.1,AF133="no (significant) liming properties",Calc!BH131&gt;25, LEFT(Calc!BI131,4)="graz"),"ok",
IF(AND(AD133&lt;=5.2,AF133="no (significant) liming properties"),"liming highly recommended",
IF(AF133=0,"no waste application - liming not required",
IF(AF133&lt;Calc!BC131,"application rate too high - exceeds liming requirement",
"ok"))))))))</f>
        <v/>
      </c>
      <c r="AH133" s="9"/>
      <c r="AI133" s="91" t="str">
        <f ca="1">IF(B133="","",
IF(AND('Field information 2'!$O$5="", 'Field information 2'!$Q$5=""),
   IF('Waste results'!$P$10&lt;&gt;"data missing", Calc!BC131*'Waste results'!$P$10, "data missing"),
IF('Field information 2'!$Q$5="",
   IF(Calc!BD131=0,
     IF('Waste results'!$P$10&lt;&gt;"data missing", Calc!BC131*'Waste results'!$P$10, "data missing"),
   IF(Calc!BC131=0,
     IF('Waste results'!$P$45&lt;&gt;"data missing", Calc!BD131*'Waste results'!$P$45, "data missing"),
   IF(OR('Waste results'!$P$10&lt;&gt;"data missing", 'Waste results'!$P$45&lt;&gt;"data missing"), Calc!BC131*'Waste results'!$P$10+ Calc!BD131*'Waste results'!$P$45, "data missing"))),
IF(AND('Field information 2'!$M$5&lt;&gt;"", 'Field information 2'!$O$5&lt;&gt;"", 'Field information 2'!$Q$5&lt;&gt;""),
   IF(AND(Calc!BD131=0,Calc!BE131=0),
     IF('Waste results'!$P$10&lt;&gt;"data missing", Calc!BC131*'Waste results'!$P$10, "data missing"),
   IF(AND(Calc!BC131=0,Calc!BE131=0),
     IF('Waste results'!$P$45&lt;&gt;"data missing", Calc!BD131*'Waste results'!$P$45, "data missing"),
   IF(AND(Calc!BC131=0,Calc!BD131=0),
     IF('Waste results'!$P$82&lt;&gt;"data missing", Calc!BE131*'Waste results'!$P$82, "data missing"),
   IF(Calc!BE131=0,
     IF(OR('Waste results'!$P$10&lt;&gt;"data missing", 'Waste results'!$P$45&lt;&gt;"data missing"), Calc!BC131*'Waste results'!$P$10+ Calc!BD131*'Waste results'!$P$45, "data missing"),
   IF(Calc!BD131=0,
     IF(OR('Waste results'!$P$10&lt;&gt;"data missing", 'Waste results'!$P$82&lt;&gt;"data missing"), Calc!BC131*'Waste results'!$P$10+ Calc!BE131*'Waste results'!$P$82, "data missing"),
   IF(Calc!BC131=0,
     IF(OR('Waste results'!$P$45&lt;&gt;"data missing", 'Waste results'!$P$82&lt;&gt;"data missing"), Calc!BD131*'Waste results'!$P$45+Calc!BE131*'Waste results'!$P$82, "data missing"),
   IF(OR('Waste results'!$P$10&lt;&gt;"data missing", 'Waste results'!$P$45&lt;&gt;"data missing", 'Waste results'!$P$82&lt;&gt;"data missing"), Calc!BC131*'Waste results'!$P$10+Calc!BD131*'Waste results'!$P$45+ Calc!BE131*'Waste results'!$P$82, "data missing")))))))))))</f>
        <v/>
      </c>
      <c r="AJ133" s="237" t="str">
        <f ca="1">IF(B133="","",
IF(AI133="data missing","data missing",
IF(Calc!BF131=0,"n/a",
IF(AND(Calc!BH131&gt;=8,AI133&lt;500),"no benefit",
IF(OR(AND(Calc!BH131&lt;=4,AI133&gt;=500),AND(Calc!BH131&lt;8,AI133&gt;5000)),"benefit",
"limited benefit")))))</f>
        <v/>
      </c>
      <c r="AK133" s="9"/>
      <c r="AL133" s="238" t="str">
        <f ca="1">IF(B133="","",
IF(AND('Field information 2'!$O$5="", 'Field information 2'!$Q$5=""),
   IF('Waste results'!$S$25&lt;&gt;"data missing", Calc!BC131*'Waste results'!$S$25, "data missing"),
IF('Field information 2'!$Q$5="",
   IF(Calc!BD131=0,
     IF('Waste results'!$S$25&lt;&gt;"data missing", Calc!BC131*'Waste results'!$S$25, "data missing"),
   IF(Calc!BC131=0,
     IF('Waste results'!$S$61&lt;&gt;"data missing", Calc!BD131*'Waste results'!$S$61, "data missing"),
   IF(OR('Waste results'!$S$25&lt;&gt;"data missing", 'Waste results'!$S$61&lt;&gt;"data missing"), Calc!BC131*'Waste results'!$S$25+ Calc!BD131*'Waste results'!$S$61, "data missing"))),
IF(AND('Field information 2'!$M$5&lt;&gt;"", 'Field information 2'!$O$5&lt;&gt;"", 'Field information 2'!$Q$5&lt;&gt;""),
   IF(AND(Calc!BD131=0,Calc!BE131=0),
     IF('Waste results'!$S$25&lt;&gt;"data missing", Calc!BC131*'Waste results'!$S$25, "data missing"),
   IF(AND(Calc!BC131=0,Calc!BE131=0),
     IF('Waste results'!$S$61&lt;&gt;"data missing", Calc!BD131*'Waste results'!$S$61, "data missing"),
   IF(AND(Calc!BC131=0,Calc!BD131=0),
     IF('Waste results'!$S$97&lt;&gt;"data missing", Calc!BE131*'Waste results'!$S$97, "data missing"),
   IF(Calc!BE131=0,
     IF(OR('Waste results'!$S$25&lt;&gt;"data missing", 'Waste results'!$S$61&lt;&gt;"data missing"), Calc!BC131*'Waste results'!$S$25+ Calc!BD131*'Waste results'!$S$61, "data missing"),
   IF(Calc!BD131=0,
     IF(OR('Waste results'!$S$25&lt;&gt;"data missing", 'Waste results'!$S$97&lt;&gt;"data missing"), Calc!BC131*'Waste results'!$S$25+ Calc!BE131*'Waste results'!$S$97, "data missing"),
   IF(Calc!BC131=0,
     IF(OR('Waste results'!$S$61&lt;&gt;"data missing", 'Waste results'!$S$97&lt;&gt;"data missing"), Calc!BD131*'Waste results'!$S$61+Calc!BE131*'Waste results'!$S$97, "data missing"),
   IF(OR('Waste results'!$S$25&lt;&gt;"data missing", 'Waste results'!$S$61&lt;&gt;"data missing", 'Waste results'!$S$97&lt;&gt;"data missing"), Calc!BC131*'Waste results'!$S$25+Calc!BD131*'Waste results'!$S$61+ Calc!BE131*'Waste results'!$S$97, "data missing")))))))))))</f>
        <v/>
      </c>
      <c r="AM133" s="239" t="str">
        <f ca="1">IF($B133="","",
IF(ISBLANK('Soil results'!K136),"data missing",'Soil results'!K136))</f>
        <v/>
      </c>
      <c r="AN133" s="239" t="str">
        <f t="shared" ca="1" si="40"/>
        <v/>
      </c>
      <c r="AO133" s="9" t="str">
        <f t="shared" ca="1" si="41"/>
        <v/>
      </c>
      <c r="AP133" s="9"/>
      <c r="AQ133" s="240" t="str">
        <f ca="1">IF(B133="","",
IF(AND('Field information 2'!$O$5="", 'Field information 2'!$Q$5=""),
   IF('Waste results'!$S$26&lt;&gt;"data missing", Calc!BC131*'Waste results'!$S$26, "data missing"),
IF('Field information 2'!$Q$5="",
   IF(Calc!BD131=0,
     IF('Waste results'!$S$26&lt;&gt;"data missing", Calc!BC131*'Waste results'!$S$26, "data missing"),
   IF(Calc!BC131=0,
     IF('Waste results'!$S$62&lt;&gt;"data missing", Calc!BD131*'Waste results'!$S$62, "data missing"),
   IF(OR('Waste results'!$S$26&lt;&gt;"data missing", 'Waste results'!$S$62&lt;&gt;"data missing"), Calc!BC131*'Waste results'!$S$26+ Calc!BD131*'Waste results'!$S$62, "data missing"))),
IF(AND('Field information 2'!$M$5&lt;&gt;"", 'Field information 2'!$O$5&lt;&gt;"", 'Field information 2'!$Q$5&lt;&gt;""),
   IF(AND(Calc!BD131=0,Calc!BE131=0),
     IF('Waste results'!$S$26&lt;&gt;"data missing", Calc!BC131*'Waste results'!$S$26, "data missing"),
   IF(AND(Calc!BC131=0,Calc!BE131=0),
     IF('Waste results'!$S$62&lt;&gt;"data missing", Calc!BD131*'Waste results'!$S$62, "data missing"),
   IF(AND(Calc!BC131=0,Calc!BD131=0),
     IF('Waste results'!$S$98&lt;&gt;"data missing", Calc!BE131*'Waste results'!$S$98, "data missing"),
   IF(Calc!BE131=0,
     IF(OR('Waste results'!$S$26&lt;&gt;"data missing", 'Waste results'!$S$62&lt;&gt;"data missing"), Calc!BC131*'Waste results'!$S$26+ Calc!BD131*'Waste results'!$S$62, "data missing"),
   IF(Calc!BD131=0,
     IF(OR('Waste results'!$S$26&lt;&gt;"data missing", 'Waste results'!$S$98&lt;&gt;"data missing"), Calc!BC131*'Waste results'!$S$26+ Calc!BE131*'Waste results'!$S$98, "data missing"),
   IF(Calc!BC131=0,
     IF(OR('Waste results'!$S$62&lt;&gt;"data missing", 'Waste results'!$S$98&lt;&gt;"data missing"), Calc!BD131*'Waste results'!$S$62+Calc!BE131*'Waste results'!$S$98, "data missing"),
   IF(OR('Waste results'!$S$26&lt;&gt;"data missing", 'Waste results'!$S$62&lt;&gt;"data missing", 'Waste results'!$S$98&lt;&gt;"data missing"), Calc!BC131*'Waste results'!$S$26+Calc!BD131*'Waste results'!$S$62+ Calc!BE131*'Waste results'!$S$98, "data missing")))))))))))</f>
        <v/>
      </c>
      <c r="AR133" s="241" t="str">
        <f ca="1">IF($B133="","",
IF(ISBLANK('Soil results'!L136),"data missing",'Soil results'!L136))</f>
        <v/>
      </c>
      <c r="AS133" s="241" t="str">
        <f t="shared" ca="1" si="42"/>
        <v/>
      </c>
      <c r="AT133" s="66" t="str">
        <f t="shared" ca="1" si="43"/>
        <v/>
      </c>
      <c r="AU133" s="9"/>
      <c r="AV133" s="238" t="str">
        <f ca="1">IF(B133="","",
IF(AND('Field information 2'!$O$5="", 'Field information 2'!$Q$5=""),
   IF('Waste results'!$S$27&lt;&gt;"data missing", Calc!BC131*'Waste results'!$S$27, "data missing"),
IF('Field information 2'!$Q$5="",
   IF(Calc!BD131=0,
     IF('Waste results'!$S$27&lt;&gt;"data missing", Calc!BC131*'Waste results'!$S$27, "data missing"),
   IF(Calc!BC131=0,
     IF('Waste results'!$S$63&lt;&gt;"data missing", Calc!BD131*'Waste results'!$S$63, "data missing"),
   IF(OR('Waste results'!$S$27&lt;&gt;"data missing", 'Waste results'!$S$63&lt;&gt;"data missing"), Calc!BC131*'Waste results'!$S$27+ Calc!BD131*'Waste results'!$S$63, "data missing"))),
IF(AND('Field information 2'!$M$5&lt;&gt;"", 'Field information 2'!$O$5&lt;&gt;"", 'Field information 2'!$Q$5&lt;&gt;""),
   IF(AND(Calc!BD131=0,Calc!BE131=0),
     IF('Waste results'!$S$27&lt;&gt;"data missing", Calc!BC131*'Waste results'!$S$27, "data missing"),
   IF(AND(Calc!BC131=0,Calc!BE131=0),
     IF('Waste results'!$S$63&lt;&gt;"data missing", Calc!BD131*'Waste results'!$S$63, "data missing"),
   IF(AND(Calc!BC131=0,Calc!BD131=0),
     IF('Waste results'!$S$99&lt;&gt;"data missing", Calc!BE131*'Waste results'!$S$99, "data missing"),
   IF(Calc!BE131=0,
     IF(OR('Waste results'!$S$27&lt;&gt;"data missing", 'Waste results'!$S$63&lt;&gt;"data missing"), Calc!BC131*'Waste results'!$S$27+ Calc!BD131*'Waste results'!$S$63, "data missing"),
   IF(Calc!BD131=0,
     IF(OR('Waste results'!$S$27&lt;&gt;"data missing", 'Waste results'!$S$99&lt;&gt;"data missing"), Calc!BC131*'Waste results'!$S$27+ Calc!BE131*'Waste results'!$S$99, "data missing"),
   IF(Calc!BC131=0,
     IF(OR('Waste results'!$S$63&lt;&gt;"data missing", 'Waste results'!$S$99&lt;&gt;"data missing"), Calc!BD131*'Waste results'!$S$63+Calc!BE131*'Waste results'!$S$99, "data missing"),
   IF(OR('Waste results'!$S$27&lt;&gt;"data missing", 'Waste results'!$S$63&lt;&gt;"data missing", 'Waste results'!$S$99&lt;&gt;"data missing"), Calc!BC131*'Waste results'!$S$27+Calc!BD131*'Waste results'!$S$63+ Calc!BE131*'Waste results'!$S$99, "data missing")))))))))))</f>
        <v/>
      </c>
      <c r="AW133" s="239" t="str">
        <f ca="1">IF($B133="","",
IF(ISBLANK('Soil results'!M136),"data missing",'Soil results'!M136))</f>
        <v/>
      </c>
      <c r="AX133" s="239" t="str">
        <f t="shared" ca="1" si="44"/>
        <v/>
      </c>
      <c r="AY133" s="9" t="str">
        <f ca="1">IF(B133="","",
IF(AV133=0,"n/a",
IF(OR(AV133="data missing",AW133="data missing"),"data missing",
IF(AV133&gt;7.5,"application rate too high - permissible rate exceeds limit",
IF('Soil results'!$F136&lt;=5.5,
  IF(AW133&gt;80,"no application - soil conc. already above limit",
  IF(AX133&gt;80,"application rate too high - soil conc. will exceed limit",
  IF(AW133&gt;80*0.9,"soil conc. is at or above 90% of the limit",
  IF(10*AV133*1000/3000+AW133&gt;80,"soil limit likely to be exceeded in 10yrs",
  IF(50*AV133*1000/3000+AW133&gt;80,"soil limit likely to be exceeded in 50yrs","ok"))))),
IF('Soil results'!$F136&lt;=6,
  IF(AW133&gt;100,"no application - soil conc. already above limit",
  IF(AX133&gt;100,"application rate too high - soil conc. will exceed limit",
  IF(AW133&gt;100*0.9,"soil conc. is at or above 90% of the limit",
  IF(10*AV133*1000/3000+AW133&gt;100,"soil limit likely to be exceeded in 10yrs",
  IF(50*AV133*1000/3000+AW133&gt;100,"soil limit likely to be exceeded in 50yrs","ok"))))),
IF('Soil results'!$F136&lt;=7,
  IF(AW133&gt;135,"no application - soil conc. already above limit",
  IF(AX133&gt;135,"application rate too high - soil conc. will exceed limit",
  IF(AW133&gt;135*0.9,"soil conc. is at or above 90% of the limit",
  IF(10*AV133*1000/3000+AW133&gt;135,"soil limit likely to be exceeded in 10yrs",
  IF(50*AV133*1000/3000+AW133&gt;135,"soil limit likely to be exceeded in 50yrs","ok"))))),
IF('Soil results'!$F136&gt;7,
  IF(AW133&gt;200,"no application - soil conc. already above limit",
  IF(AX133&gt;200,"application too high - soil conc. will exceed limit",
  IF(AW133&gt;200*0.9,"soil conc. is at or above 90% of the limit",
  IF(10*AV133*1000/3000+AW133&gt;200,"soil limit likely to be exceeded in 10yrs",
  IF(50*AV133*1000/3000+AW133&gt;200,"soil limit likely to be exceeded in 50yrs","ok")))))
))))))))</f>
        <v/>
      </c>
      <c r="AZ133" s="9"/>
      <c r="BA133" s="238" t="str">
        <f ca="1">IF(B133="","",
IF(AND('Field information 2'!$O$5="", 'Field information 2'!$Q$5=""),
   IF('Waste results'!$S$28&lt;&gt;"data missing", Calc!BC131*'Waste results'!$S$28, "data missing"),
IF('Field information 2'!$Q$5="",
   IF(Calc!BD131=0,
     IF('Waste results'!$S$28&lt;&gt;"data missing", Calc!BC131*'Waste results'!$S$28, "data missing"),
   IF(Calc!BC131=0,
     IF('Waste results'!$S$64&lt;&gt;"data missing", Calc!BD131*'Waste results'!$S$64, "data missing"),
   IF(OR('Waste results'!$S$28&lt;&gt;"data missing", 'Waste results'!$S$64&lt;&gt;"data missing"), Calc!BC131*'Waste results'!$S$28+ Calc!BD131*'Waste results'!$S$64, "data missing"))),
IF(AND('Field information 2'!$M$5&lt;&gt;"", 'Field information 2'!$O$5&lt;&gt;"", 'Field information 2'!$Q$5&lt;&gt;""),
   IF(AND(Calc!BD131=0,Calc!BE131=0),
     IF('Waste results'!$S$28&lt;&gt;"data missing", Calc!BC131*'Waste results'!$S$28, "data missing"),
   IF(AND(Calc!BC131=0,Calc!BE131=0),
     IF('Waste results'!$S$64&lt;&gt;"data missing", Calc!BD131*'Waste results'!$S$64, "data missing"),
   IF(AND(Calc!BC131=0,Calc!BD131=0),
     IF('Waste results'!$S$100&lt;&gt;"data missing", Calc!BE131*'Waste results'!$S$100, "data missing"),
   IF(Calc!BE131=0,
     IF(OR('Waste results'!$S$28&lt;&gt;"data missing", 'Waste results'!$S$64&lt;&gt;"data missing"), Calc!BC131*'Waste results'!$S$28+ Calc!BD131*'Waste results'!$S$64, "data missing"),
   IF(Calc!BD131=0,
     IF(OR('Waste results'!$S$28&lt;&gt;"data missing", 'Waste results'!$S$100&lt;&gt;"data missing"), Calc!BC131*'Waste results'!$S$28+ Calc!BE131*'Waste results'!$S$100, "data missing"),
   IF(Calc!BC131=0,
     IF(OR('Waste results'!$S$64&lt;&gt;"data missing", 'Waste results'!$S$100&lt;&gt;"data missing"), Calc!BD131*'Waste results'!$S$64+Calc!BE131*'Waste results'!$S$100, "data missing"),
   IF(OR('Waste results'!$S$28&lt;&gt;"data missing", 'Waste results'!$S$64&lt;&gt;"data missing", 'Waste results'!$S$100&lt;&gt;"data missing"), Calc!BC131*'Waste results'!$S$28+Calc!BD131*'Waste results'!$S$64+ Calc!BE131*'Waste results'!$S$100, "data missing")))))))))))</f>
        <v/>
      </c>
      <c r="BB133" s="239" t="str">
        <f ca="1">IF($B133="","",
IF(ISBLANK('Soil results'!N136),"data missing",'Soil results'!N136))</f>
        <v/>
      </c>
      <c r="BC133" s="239" t="str">
        <f t="shared" ca="1" si="45"/>
        <v/>
      </c>
      <c r="BD133" s="9" t="str">
        <f t="shared" ca="1" si="46"/>
        <v/>
      </c>
      <c r="BE133" s="9"/>
      <c r="BF133" s="238" t="str">
        <f ca="1">IF(B133="","",
IF(AND('Field information 2'!$O$5="", 'Field information 2'!$Q$5=""),
   IF('Waste results'!$S$29&lt;&gt;"data missing", Calc!BC131*'Waste results'!$S$29, "data missing"),
IF('Field information 2'!$Q$5="",
   IF(Calc!BD131=0,
     IF('Waste results'!$S$29&lt;&gt;"data missing", Calc!BC131*'Waste results'!$S$29, "data missing"),
   IF(Calc!BC131=0,
     IF('Waste results'!$S$65&lt;&gt;"data missing", Calc!BD131*'Waste results'!$S$65, "data missing"),
   IF(OR('Waste results'!$S$29&lt;&gt;"data missing", 'Waste results'!$S$65&lt;&gt;"data missing"), Calc!BC131*'Waste results'!$S$29+ Calc!BD131*'Waste results'!$S$65, "data missing"))),
IF(AND('Field information 2'!$M$5&lt;&gt;"", 'Field information 2'!$O$5&lt;&gt;"", 'Field information 2'!$Q$5&lt;&gt;""),
   IF(AND(Calc!BD131=0,Calc!BE131=0),
     IF('Waste results'!$S$29&lt;&gt;"data missing", Calc!BC131*'Waste results'!$S$29, "data missing"),
   IF(AND(Calc!BC131=0,Calc!BE131=0),
     IF('Waste results'!$S$65&lt;&gt;"data missing", Calc!BD131*'Waste results'!$S$65, "data missing"),
   IF(AND(Calc!BC131=0,Calc!BD131=0),
     IF('Waste results'!$S$101&lt;&gt;"data missing", Calc!BE131*'Waste results'!$S$101, "data missing"),
   IF(Calc!BE131=0,
     IF(OR('Waste results'!$S$29&lt;&gt;"data missing", 'Waste results'!$S$65&lt;&gt;"data missing"), Calc!BC131*'Waste results'!$S$29+ Calc!BD131*'Waste results'!$S$65, "data missing"),
   IF(Calc!BD131=0,
     IF(OR('Waste results'!$S$29&lt;&gt;"data missing", 'Waste results'!$S$101&lt;&gt;"data missing"), Calc!BC131*'Waste results'!$S$29+ Calc!BE131*'Waste results'!$S$101, "data missing"),
   IF(Calc!BC131=0,
     IF(OR('Waste results'!$S$65&lt;&gt;"data missing", 'Waste results'!$S$101&lt;&gt;"data missing"), Calc!BD131*'Waste results'!$S$65+Calc!BE131*'Waste results'!$S$101, "data missing"),
   IF(OR('Waste results'!$S$29&lt;&gt;"data missing", 'Waste results'!$S$65&lt;&gt;"data missing", 'Waste results'!$S$101&lt;&gt;"data missing"), Calc!BC131*'Waste results'!$S$29+Calc!BD131*'Waste results'!$S$65+ Calc!BE131*'Waste results'!$S$101, "data missing")))))))))))</f>
        <v/>
      </c>
      <c r="BG133" s="239" t="str">
        <f ca="1">IF($B133="","",
IF(ISBLANK('Soil results'!O136),"data missing",'Soil results'!O136))</f>
        <v/>
      </c>
      <c r="BH133" s="239" t="str">
        <f t="shared" ca="1" si="47"/>
        <v/>
      </c>
      <c r="BI133" s="9" t="str">
        <f ca="1">IF(B133="","",
IF(BF133=0,"n/a",
IF(OR(BF133="data missing",BG133="data missing"),"data missing",
IF(BF133&gt;3,"application rate too high - permissible rate exceeds limit",
IF('Soil results'!F136&lt;=5.5,
  IF(BG133&gt;50,"no application - soil conc. already above limit",
  IF(BH133&gt;50,"application rate too high - soil conc. will exceed limit",
  IF(BG133&gt;50*0.9,"soil conc. is at or above 90% of the limit",
  IF(10*BF133*1000/3000+BG133&gt;50,"soil limit likely to be exceeded in 10yrs",
  IF(50*BF133*1000/3000+BG133&gt;50,"soil limit likely to be exceeded in 50yrs","ok"))))),
IF('Soil results'!F136&lt;=6,
  IF(BG133&gt;60,"no application - soil conc. already above limit",
  IF(BH133&gt;60,"application rate too high - soil conc. will exceed limit",
  IF(BG133&gt;60*0.9,"soil conc. is at or above 90% of the limit",
  IF(10*BF133*1000/3000+BG133&gt;60,"soil limit likely to be exceeded in 10yrs",
  IF(50*BF133*1000/3000+BG133&gt;60,"soil limit likely to be exceeded in 50yrs","ok"))))),
IF('Soil results'!F136&lt;=7,
  IF(BG133&gt;75,"no application - soil conc. already above limit",
  IF(BH133&gt;75,"application rate too high - soil conc. will exceed limit",
  IF(BG133&gt;75*0.9,"soil conc. is at or above 90% of the limit",
  IF(10*BF133*1000/3000+BG133&gt;75,"soil limit likely to be exceeded in 10yrs",
  IF(50*BF133*1000/3000+BG133&gt;75,"soil limit likely to be exceeded in 50yrs","ok"))))),
IF('Soil results'!F136&gt;7,
  IF(BG133&gt;100,"no application - soil conc. already above limit",
  IF(BH133&gt;100,"application rate too high - soil conc. will exceed limit",
  IF(BG133&gt;100*0.9,"soil conc. is at or above 90% of the limit",
  IF(10*BF133*1000/3000+BG133&gt;100,"soil limit likely to be exceeded in 10yrs",
  IF(50*BF133*1000/3000+BG133&gt;100,"soil limit likely to beexceeded in 50yrs","ok")))))
))))))))</f>
        <v/>
      </c>
      <c r="BJ133" s="9"/>
      <c r="BK133" s="240" t="str">
        <f ca="1">IF(B133="","",
IF(AND('Field information 2'!$O$5="", 'Field information 2'!$Q$5=""),
   IF('Waste results'!$S$30&lt;&gt;"data missing", Calc!BC131*'Waste results'!$S$30, "data missing"),
IF('Field information 2'!$Q$5="",
   IF(Calc!BD131=0,
     IF('Waste results'!$S$30&lt;&gt;"data missing", Calc!BC131*'Waste results'!$S$30, "data missing"),
   IF(Calc!BC131=0,
     IF('Waste results'!$S$66&lt;&gt;"data missing", Calc!BD131*'Waste results'!$S$66, "data missing"),
   IF(OR('Waste results'!$S$30&lt;&gt;"data missing", 'Waste results'!$S$66&lt;&gt;"data missing"), Calc!BC131*'Waste results'!$S$30+ Calc!BD131*'Waste results'!$S$66, "data missing"))),
IF(AND('Field information 2'!$M$5&lt;&gt;"", 'Field information 2'!$O$5&lt;&gt;"", 'Field information 2'!$Q$5&lt;&gt;""),
   IF(AND(Calc!BD131=0,Calc!BE131=0),
     IF('Waste results'!$S$30&lt;&gt;"data missing", Calc!BC131*'Waste results'!$S$30, "data missing"),
   IF(AND(Calc!BC131=0,Calc!BE131=0),
     IF('Waste results'!$S$66&lt;&gt;"data missing", Calc!BD131*'Waste results'!$S$66, "data missing"),
   IF(AND(Calc!BC131=0,Calc!BD131=0),
     IF('Waste results'!$S$102&lt;&gt;"data missing", Calc!BE131*'Waste results'!$S$102, "data missing"),
   IF(Calc!BE131=0,
     IF(OR('Waste results'!$S$30&lt;&gt;"data missing", 'Waste results'!$S$66&lt;&gt;"data missing"), Calc!BC131*'Waste results'!$S$30+ Calc!BD131*'Waste results'!$S$66, "data missing"),
   IF(Calc!BD131=0,
     IF(OR('Waste results'!$S$30&lt;&gt;"data missing", 'Waste results'!$S$102&lt;&gt;"data missing"), Calc!BC131*'Waste results'!$S$30+ Calc!BE131*'Waste results'!$S$102, "data missing"),
   IF(Calc!BC131=0,
     IF(OR('Waste results'!$S$66&lt;&gt;"data missing", 'Waste results'!$S$102&lt;&gt;"data missing"), Calc!BD131*'Waste results'!$S$66+Calc!BE131*'Waste results'!$S$102, "data missing"),
   IF(OR('Waste results'!$S$30&lt;&gt;"data missing", 'Waste results'!$S$66&lt;&gt;"data missing", 'Waste results'!$S$102&lt;&gt;"data missing"), Calc!BC131*'Waste results'!$S$30+Calc!BD131*'Waste results'!$S$66+ Calc!BE131*'Waste results'!$S$102, "data missing")))))))))))</f>
        <v/>
      </c>
      <c r="BL133" s="241" t="str">
        <f ca="1">IF($B133="","",
IF(ISBLANK('Soil results'!P136),"data missing",'Soil results'!P136))</f>
        <v/>
      </c>
      <c r="BM133" s="241" t="str">
        <f t="shared" ca="1" si="48"/>
        <v/>
      </c>
      <c r="BN133" s="66" t="str">
        <f t="shared" ca="1" si="49"/>
        <v/>
      </c>
      <c r="BO133" s="9"/>
      <c r="BP133" s="238" t="str">
        <f ca="1">IF(B133="","",
IF(AND('Field information 2'!$O$5="", 'Field information 2'!$Q$5=""),
   IF('Waste results'!$S$31&lt;&gt;"data missing", Calc!BC131*'Waste results'!$S$31, "data missing"),
IF('Field information 2'!$Q$5="",
   IF(Calc!BD131=0,
     IF('Waste results'!$S$31&lt;&gt;"data missing", Calc!BC131*'Waste results'!$S$31, "data missing"),
   IF(Calc!BC131=0,
     IF('Waste results'!$S$67&lt;&gt;"data missing", Calc!BD131*'Waste results'!$S$67, "data missing"),
   IF(OR('Waste results'!$S$31&lt;&gt;"data missing", 'Waste results'!$S$67&lt;&gt;"data missing"), Calc!BC131*'Waste results'!$S$31+ Calc!BD131*'Waste results'!$S$67, "data missing"))),
IF(AND('Field information 2'!$M$5&lt;&gt;"", 'Field information 2'!$O$5&lt;&gt;"", 'Field information 2'!$Q$5&lt;&gt;""),
   IF(AND(Calc!BD131=0,Calc!BE131=0),
     IF('Waste results'!$S$31&lt;&gt;"data missing", Calc!BC131*'Waste results'!$S$31, "data missing"),
   IF(AND(Calc!BC131=0,Calc!BE131=0),
     IF('Waste results'!$S$67&lt;&gt;"data missing", Calc!BD131*'Waste results'!$S$67, "data missing"),
   IF(AND(Calc!BC131=0,Calc!BD131=0),
     IF('Waste results'!$S$103&lt;&gt;"data missing", Calc!BE131*'Waste results'!$S$103, "data missing"),
   IF(Calc!BE131=0,
     IF(OR('Waste results'!$S$31&lt;&gt;"data missing", 'Waste results'!$S$67&lt;&gt;"data missing"), Calc!BC131*'Waste results'!$S$31+ Calc!BD131*'Waste results'!$S$67, "data missing"),
   IF(Calc!BD131=0,
     IF(OR('Waste results'!$S$31&lt;&gt;"data missing", 'Waste results'!$S$103&lt;&gt;"data missing"), Calc!BC131*'Waste results'!$S$31+ Calc!BE131*'Waste results'!$S$103, "data missing"),
   IF(Calc!BC131=0,
     IF(OR('Waste results'!$S$67&lt;&gt;"data missing", 'Waste results'!$S$103&lt;&gt;"data missing"), Calc!BD131*'Waste results'!$S$67+Calc!BE131*'Waste results'!$S$103, "data missing"),
   IF(OR('Waste results'!$S$31&lt;&gt;"data missing", 'Waste results'!$S$67&lt;&gt;"data missing", 'Waste results'!$S$103&lt;&gt;"data missing"), Calc!BC131*'Waste results'!$S$31+Calc!BD131*'Waste results'!$S$67+ Calc!BE131*'Waste results'!$S$103, "data missing")))))))))))</f>
        <v/>
      </c>
      <c r="BQ133" s="239" t="str">
        <f ca="1">IF($B133="","",
IF(ISBLANK('Soil results'!Q136),"data missing",'Soil results'!Q136))</f>
        <v/>
      </c>
      <c r="BR133" s="239" t="str">
        <f t="shared" ca="1" si="50"/>
        <v/>
      </c>
      <c r="BS133" s="9" t="str">
        <f ca="1">IF(B133="","",
IF(BP133=0,"n/a",
IF(OR(BP133="data missing",BQ133=""),"data missing",
IF(BP133&gt;15,"application rate too high - permissible rate exceeds limit",
IF('Soil results'!F136&lt;=5.5,
  IF(BQ133&gt;200,"no application - soil conc. already above limit",
  IF(BR133&gt;200,"application rate too high - soil conc. will exceed limit",
  IF(BQ133&gt;200*0.9,"soil conc. is at or above 90% of the limit",
  IF(10*BP133*1000/3000+BQ133&gt;200,"soil limit likely to be exceeded in 10yrs",
  IF(50*BP133*1000/3000+BQ133&gt;200,"soil limit likely to be exceeded in 50yrs","ok"))))),
IF('Soil results'!F136&lt;=6,
  IF(BQ133&gt;250,"no application - soil conc. already above limit",
  IF(BR133&gt;250,"application rate too high - soil conc. will exceed limit",
  IF(BQ133&gt;250*0.9,"soil conc. is at or above 90% of the limit",
  IF(10*BP133*1000/3000+BQ133&gt;250,"soil limit likely to be exceeded in 10yrs",
  IF(50*BP133*1000/3000+BQ133&gt;250,"soil limit likely to be exceeded in 50yrs","ok"))))),
IF('Soil results'!F136&lt;=7,
  IF(BQ133&gt;300,"no application - soil conc. already above limit",
  IF(BR133&gt;300,"application rate too high - soil conc. will exceed limit",
  IF(BQ133&gt;300*0.9,"soil conc. is at or above 90% of the limit",
  IF(10*BP133*1000/3000+BQ133&gt;300,"soil limit likey to be exceeded in 10yrs",
  IF(50*BP133*1000/3000+BQ133&gt;300,"soil limit likely to be exceeded in 50yrs","ok"))))),
IF('Soil results'!F136&gt;7,
  IF(BQ133&gt;450,"no application - soil conc. already above limit",
  IF(BR133&gt;450,"application rate too high - soil conc. will exceed limit",
  IF(AW133&gt;450*0.9,"soil conc. is at or above 90% of the limit",
  IF(10*BP133*1000/3000+BQ133&gt;450,"soil limit likely to be exceeded in 10yrs",
  IF(50*BP133*1000/3000+BQ133&gt;450,"soil limit likely to be exceeded in 50yrs","ok")))))
))))))))</f>
        <v/>
      </c>
    </row>
    <row r="134" spans="2:71" ht="15" x14ac:dyDescent="0.25">
      <c r="B134" s="236" t="str">
        <f ca="1">'Soil results'!B137</f>
        <v/>
      </c>
      <c r="C134" s="91" t="str">
        <f ca="1">IF(B134="","",
IF(AND('Field information 2'!$O$5="", 'Field information 2'!$Q$5=""),
   IF('Waste results'!$S$12&lt;&gt;"data missing", Calc!BC132*'Waste results'!$S$12, "data missing"),
IF('Field information 2'!$Q$5="",
   IF(Calc!BD132=0,
     IF('Waste results'!$S$12&lt;&gt;"data missing", Calc!BC132*'Waste results'!$S$12, "data missing"),
   IF(Calc!BC132=0,
     IF('Waste results'!$S$48&lt;&gt;"data missing", Calc!BD132*'Waste results'!$S$48, "data missing"),
   IF(OR('Waste results'!$S$12&lt;&gt;"data missing", 'Waste results'!$S$48&lt;&gt;"data missing"), Calc!BC132*'Waste results'!$S$12+ Calc!BD132*'Waste results'!$S$48, "data missing"))),
IF(AND('Field information 2'!$M$5&lt;&gt;"", 'Field information 2'!$O$5&lt;&gt;"", 'Field information 2'!$Q$5&lt;&gt;""),
   IF(AND(Calc!BD132=0,Calc!BE132=0),
     IF('Waste results'!$S$12&lt;&gt;"data missing", Calc!BC132*'Waste results'!$S$12, "data missing"),
   IF(AND(Calc!BC132=0,Calc!BE132=0),
     IF('Waste results'!$S$48&lt;&gt;"data missing", Calc!BD132*'Waste results'!$S$48, "data missing"),
   IF(AND(Calc!BC132=0,Calc!BD132=0),
     IF('Waste results'!$S$84&lt;&gt;"data missing", Calc!BE132*'Waste results'!$S$84, "data missing"),
   IF(Calc!BE132=0,
     IF(OR('Waste results'!$S$12&lt;&gt;"data missing", 'Waste results'!$S$48&lt;&gt;"data missing"), Calc!BC132*'Waste results'!$S$12+ Calc!BD132*'Waste results'!$S$48, "data missing"),
   IF(Calc!BD132=0,
     IF(OR('Waste results'!$S$12&lt;&gt;"data missing", 'Waste results'!$S$84&lt;&gt;"data missing"), Calc!BC132*'Waste results'!$S$12+ Calc!BE132*'Waste results'!$S$84, "data missing"),
   IF(Calc!BC132=0,
     IF(OR('Waste results'!$S$48&lt;&gt;"data missing", 'Waste results'!$S$84&lt;&gt;"data missing"), Calc!BD132*'Waste results'!$S$48+Calc!BE132*'Waste results'!$S$84, "data missing"),
   IF(OR('Waste results'!$S$12&lt;&gt;"data missing", 'Waste results'!$S$48&lt;&gt;"data missing", 'Waste results'!$S$84&lt;&gt;"data missing"), Calc!BC132*'Waste results'!$S$12+Calc!BD132*'Waste results'!$S$48+ Calc!BE132*'Waste results'!$S$84, "data missing")))))))))))</f>
        <v/>
      </c>
      <c r="D134" s="161" t="str">
        <f ca="1">IF(B134="","",
IF(Calc!BG132="","soil texture missing",
IF(OR(Calc!BG132="SL; SZL; ZL",Calc!BG132="SCL; CL; ZCL; SC; ZC; C"),VLOOKUP(Calc!BI132,'Fertiliser recommendations'!$A$4:$C$63,3,FALSE),
IF(Calc!BG132="S; LS",VLOOKUP(Calc!BI132,'Fertiliser recommendations'!$A$4:$C$63,3,FALSE)+VLOOKUP(Calc!BI132,'Fertiliser recommendations'!$A$4:$D$63,4,FALSE),
IF(Calc!BG132="10-25% OM",VLOOKUP(Calc!BI132,'Fertiliser recommendations'!$A$4:$C$63,3,FALSE)+VLOOKUP(Calc!BI132,'Fertiliser recommendations'!$A$4:$E$63,5,FALSE),
IF(Calc!BG132="&gt;25% OM",VLOOKUP(Calc!BI132,'Fertiliser recommendations'!$A$4:$C$63,3,FALSE)+VLOOKUP(Calc!BI132,'Fertiliser recommendations'!$A$4:$F$63,6,FALSE),
""))))))</f>
        <v/>
      </c>
      <c r="E134" s="91" t="str">
        <f t="shared" ca="1" si="34"/>
        <v/>
      </c>
      <c r="F134" s="9" t="str">
        <f ca="1">IF(B134="","",
IF(OR(C134="data missing",D134="soil texture missing"),"data missing",
IF(Calc!BF132=0,"n/a",
IF(C134&lt;0.1*D134,"no benefit",
IF(C134&lt;0.3*D134,"limited benefit",
IF(C134&gt;250,"exceeds limit",
IF(OR(AND(D134=0,C134&gt;75),C134&gt;1.25*D134),"excessive",
IF(D134=0, "no requirement",
"benefit"))))))))</f>
        <v/>
      </c>
      <c r="G134" s="9"/>
      <c r="H134" s="91" t="str">
        <f ca="1">IF(B134="","",
IF(AND('Field information 2'!$O$5="", 'Field information 2'!$Q$5=""),
   IF('Waste results'!$S$17&lt;&gt;"data missing", Calc!BC132*'Waste results'!$S$17, "data missing"),
IF('Field information 2'!$Q$5="",
   IF(Calc!BD132=0,
     IF('Waste results'!$S$17&lt;&gt;"data missing", Calc!BC132*'Waste results'!$S$17, "data missing"),
   IF(Calc!BC132=0,
     IF('Waste results'!$S$53&lt;&gt;"data missing", Calc!BD132*'Waste results'!$S$53, "data missing"),
   IF(OR('Waste results'!$S$17&lt;&gt;"data missing", 'Waste results'!$S$53&lt;&gt;"data missing"), Calc!BC132*'Waste results'!$S$17+ Calc!BD132*'Waste results'!$S$53, "data missing"))),
IF(AND('Field information 2'!$M$5&lt;&gt;"", 'Field information 2'!$O$5&lt;&gt;"", 'Field information 2'!$Q$5&lt;&gt;""),
   IF(AND(Calc!BD132=0,Calc!BE132=0),
     IF('Waste results'!$S$17&lt;&gt;"data missing", Calc!BC132*'Waste results'!$S$17, "data missing"),
   IF(AND(Calc!BC132=0,Calc!BE132=0),
     IF('Waste results'!$S$53&lt;&gt;"data missing", Calc!BD132*'Waste results'!$S$53, "data missing"),
   IF(AND(Calc!BC132=0,Calc!BD132=0),
     IF('Waste results'!$S$89&lt;&gt;"data missing", Calc!BE132*'Waste results'!$S$89, "data missing"),
   IF(Calc!BE132=0,
     IF(OR('Waste results'!$S$17&lt;&gt;"data missing", 'Waste results'!$S$53&lt;&gt;"data missing"), Calc!BC132*'Waste results'!$S$17+ Calc!BD132*'Waste results'!$S$53, "data missing"),
   IF(Calc!BD132=0,
     IF(OR('Waste results'!$S$17&lt;&gt;"data missing", 'Waste results'!$S$89&lt;&gt;"data missing"), Calc!BC132*'Waste results'!$S$17+ Calc!BE132*'Waste results'!$S$89, "data missing"),
   IF(Calc!BC132=0,
     IF(OR('Waste results'!$S$53&lt;&gt;"data missing", 'Waste results'!$S$89&lt;&gt;"data missing"), Calc!BD132*'Waste results'!$S$53+Calc!BE132*'Waste results'!$S$89, "data missing"),
   IF(OR('Waste results'!$S$17&lt;&gt;"data missing", 'Waste results'!$S$53&lt;&gt;"data missing", 'Waste results'!$S$89&lt;&gt;"data missing"), Calc!BC132*'Waste results'!$S$17+Calc!BD132*'Waste results'!$S$53+ Calc!BE132*'Waste results'!$S$89, "data missing")))))))))))</f>
        <v/>
      </c>
      <c r="I134" s="195" t="str">
        <f ca="1">IF(B134="","",
IF(OR(ISBLANK('Soil results'!G137), ISBLANK('Soil results'!G$7)),"data missing",
IF(OR(AND('Soil results'!G$7="Olsen (ADAS)",'Soil results'!G137&lt;16),AND('Soil results'!G$7="modified Morgan (SAC)",'Soil results'!G137&lt;4.5)),50,100)))</f>
        <v/>
      </c>
      <c r="J134" s="49" t="str">
        <f ca="1">IF(B134="","",
IF(OR(ISBLANK('Soil results'!G$7),ISBLANK('Soil results'!G137)),"data missing",
IF(OR(AND('Soil results'!G$7="Olsen (ADAS)",'Soil results'!G137&gt;45),AND('Soil results'!G$7="modified Morgan (SAC)",'Soil results'!G137&gt;30)),0,
IF(OR(AND('Soil results'!G$7="Olsen (ADAS)",'Soil results'!G137&gt;=16,'Soil results'!G137&lt;=20),AND('Soil results'!G$7="modified Morgan (SAC)",'Soil results'!G137&gt;=4.5,'Soil results'!G137&lt;=9.4)),VLOOKUP(Calc!BI132,'Fertiliser recommendations'!$A$4:$I$63,9,FALSE),
IF(OR(AND('Soil results'!G$7="Olsen (ADAS)",'Soil results'!G137&lt;10),AND('Soil results'!G$7="modified Morgan (SAC)",'Soil results'!G137&lt;1.8)),VLOOKUP(Calc!BI132,'Fertiliser recommendations'!$A$4:$I$63,9,FALSE)+VLOOKUP(Calc!BI132,'Fertiliser recommendations'!$A$4:$J$63,10,FALSE),
IF(OR(AND('Soil results'!G$7="Olsen (ADAS)",'Soil results'!G137&lt;16),AND('Soil results'!G$7="modified Morgan (SAC)",'Soil results'!G137&lt;4.5)),VLOOKUP(Calc!BI132,'Fertiliser recommendations'!$A$4:$I$63,9,FALSE)+VLOOKUP(Calc!BI132,'Fertiliser recommendations'!$A$4:$K$63,11,FALSE),
IF(OR(AND('Soil results'!G$7="Olsen (ADAS)",'Soil results'!G137&lt;26),AND('Soil results'!G$7="modified Morgan (SAC)",'Soil results'!G137&lt;13.5)),VLOOKUP(Calc!BI132,'Fertiliser recommendations'!$A$4:$I$63,9,FALSE)+VLOOKUP(Calc!BI132,'Fertiliser recommendations'!$A$4:$L$63,12,FALSE),
IF(OR(AND('Soil results'!G$7="Olsen (ADAS)",'Soil results'!G137&lt;=45),AND('Soil results'!G$7="modified Morgan (SAC)",'Soil results'!G137&lt;=30)),VLOOKUP(Calc!BI132,'Fertiliser recommendations'!$A$4:$I$63,9,FALSE)+VLOOKUP(Calc!BI132,'Fertiliser recommendations'!$A$4:$M$63,13,FALSE),
""))))))))</f>
        <v/>
      </c>
      <c r="K134" s="161" t="str">
        <f t="shared" ca="1" si="35"/>
        <v/>
      </c>
      <c r="L134" s="47" t="str">
        <f ca="1">IF(OR(ISBLANK('Soil results'!G$7),ISBLANK('Soil results'!G137),B134="", H134="data missing"),"",
IF('Soil results'!G$7="Olsen (ADAS)",
IF(((H134*Calc!BM132/2.291-(VLOOKUP(Calc!BI132,'Fertiliser recommendations'!$A$4:$I$63,9,FALSE))/2.291)*10/(400/2.291)+'Soil results'!G137)&lt;10,"0 (VL)",
IF(((H134*Calc!BM132/2.291-(VLOOKUP(Calc!BI132,'Fertiliser recommendations'!$A$4:$I$63,9,FALSE))/2.291)*10/(400/2.291)+'Soil results'!G137)&lt;16,"1 (L)",
IF(((H134*Calc!BM132/2.291-(VLOOKUP(Calc!BI132,'Fertiliser recommendations'!$A$4:$I$63,9,FALSE))/2.291)*10/(400/2.291)+'Soil results'!G137)&lt;21,"2 (M-)",
IF(((H134*Calc!BM132/2.291-(VLOOKUP(Calc!BI132,'Fertiliser recommendations'!$A$4:$I$63,9,FALSE))/2.291)*10/(400/2.291)+'Soil results'!G137)&lt;26,"2 (M+)",
IF(((H134*Calc!BM132/2.291-(VLOOKUP(Calc!BI132,'Fertiliser recommendations'!$A$4:$I$63,9,FALSE))/2.291)*10/(400/2.291)+'Soil results'!G137)&lt;45,"3 (H)","&gt;3 (VH)"))))),
IF('Soil results'!G$7="modified Morgan (SAC)",
IF('Soil results'!G137&gt;=6,
IF(((H134*Calc!BM132/2.291-(VLOOKUP(Calc!BI132,'Fertiliser recommendations'!$A$4:$I$63,9,FALSE))/2.291)*5/(147/2.291)+'Soil results'!G137)&lt;9.5,"2 (M-)",
IF(((H134*Calc!BM132/2.291-(VLOOKUP(Calc!BI132,'Fertiliser recommendations'!$A$4:$I$63,9,FALSE))/2.291)*5/(147/2.291)+'Soil results'!G137)&lt;13.5,"2 (M+)",
IF(((H134*Calc!BM132/2.291-(VLOOKUP(Calc!BI132,'Fertiliser recommendations'!$A$4:$I$63,9,FALSE))/2.291)*5/(147/2.291)+'Soil results'!G137)&lt;30,"3 (H)","4 (VH)"))),
IF(((H134*Calc!BM132/2.291-(VLOOKUP(Calc!BI132,'Fertiliser recommendations'!$A$4:$I$63,9,FALSE))/2.291)*5/(346/2.291)+'Soil results'!G137)&lt;1.8,"0 (VL)",
IF(((H134*Calc!BM132/2.291-(VLOOKUP(Calc!BI132,'Fertiliser recommendations'!$A$4:$I$63,9,FALSE))/2.291)*5/(147/2.291)+'Soil results'!G137)&lt;4.5,"1 (L)","2 (M-)"))))))</f>
        <v/>
      </c>
      <c r="M134" s="9" t="str">
        <f ca="1">IF(B134="","",
IF(OR(H134="data missing",I134="data missing",J134="data missing"),"data missing",
IF(Calc!BF132=0,"n/a",
IF(OR(AND('Soil results'!G$7="Olsen (ADAS)",'Soil results'!G137&gt;45),AND('Soil results'!G$7="modified Morgan (SAC)",'Soil results'!G137&gt;30)),
IF(H134&gt;2,"too high, not acceptable","no requirement"),IF(OR(AND('Soil results'!G$7="Olsen (ADAS)",'Soil results'!G137&gt;25),AND('Soil results'!G$7="modified Morgan (SAC)",'Soil results'!G137&gt;13.4)),
IF(H134*(I134/100)&lt;0.1*J134,"no benefit",
IF(H134*(I134/100)&lt;0.3*J134,"limited benefit",
IF(H134*(I134/100)&lt;1.1*J134,"benefit",
IF(H134*(I134/100)&lt;0.7*VLOOKUP(Calc!BI132,'Fertiliser recommendations'!$A$4:$I$63,9,FALSE),"excessive","too high, not acceptable")))),
IF(OR(AND('Soil results'!G$7="Olsen (ADAS)",'Soil results'!G137&gt;20),AND('Soil results'!G$7="modified Morgan (SAC)",'Soil results'!G137&gt;9.4)),
IF(H134*Calc!BM132*(I134/100)&lt;0.1*J134,"no benefit",
IF(H134*Calc!BM132*(I134/100)&lt;0.3*J134,"limited benefit",
IF(H134*Calc!BM132*(I134/100)&lt;1.1*J134,"benefit",
IF(L134="3 (H)","too high, not acceptable","excessive")))),
IF(OR(AND('Soil results'!G$7="Olsen (ADAS)",'Soil results'!G137&gt;15),AND('Soil results'!G$7="modified Morgan (SAC)",'Soil results'!G137&gt;4.4)),
IF(H134*Calc!BM132*(I134/100)&lt;0.1*VLOOKUP(Calc!BI132,'Fertiliser recommendations'!$A$4:$I$63,9,FALSE),"no benefit",
IF(H134*Calc!BM132*(I134/100)&lt;0.3*VLOOKUP(Calc!BI132,'Fertiliser recommendations'!$A$4:$I$63,9,FALSE),"limited benefit",
IF(H134*Calc!BM132*(I134/100)&lt;1.1*VLOOKUP(Calc!BI132,'Fertiliser recommendations'!$A$4:$I$63,9,FALSE),"benefit",
IF(L134="3 (H)", "too high, not acceptable", "excessive")))),
IF(OR(AND('Soil results'!G$7="Olsen (ADAS)",'Soil results'!G137&lt;=15),AND('Soil results'!G$7="modified Morgan (SAC)",'Soil results'!G137&lt;=4.4)),
IF(H134*Calc!BM132*(I134/100)&lt;0.1*VLOOKUP(Calc!BI132,'Fertiliser recommendations'!$A$4:$I$63,9,FALSE),"no benefit",
IF(H134*Calc!BM132*(I134/100)&lt;0.3*VLOOKUP(Calc!BI132,'Fertiliser recommendations'!$A$4:$I$63,9,FALSE),"limited benefit",
IF(H134*Calc!BM132*(I134/100)&lt;1.1*J134,"benefit","excessive")))))))))))</f>
        <v/>
      </c>
      <c r="N134" s="9"/>
      <c r="O134" s="91" t="str">
        <f ca="1">IF(B134="","",
IF(AND('Field information 2'!$O$5="", 'Field information 2'!$Q$5=""),
   IF('Waste results'!$S$19&lt;&gt;"data missing", Calc!BC132*'Waste results'!$S$19, "data missing"),
IF('Field information 2'!$Q$5="",
   IF(Calc!BD132=0,
     IF('Waste results'!$S$19&lt;&gt;"data missing", Calc!BC132*'Waste results'!$S$19, "data missing"),
   IF(Calc!BC132=0,
     IF('Waste results'!$S$55&lt;&gt;"data missing", Calc!BD132*'Waste results'!$S$55, "data missing"),
   IF(OR('Waste results'!$S$19&lt;&gt;"data missing", 'Waste results'!$S$55&lt;&gt;"data missing"), Calc!BC132*'Waste results'!$S$19+ Calc!BD132*'Waste results'!$S$55, "data missing"))),
IF(AND('Field information 2'!$M$5&lt;&gt;"", 'Field information 2'!$O$5&lt;&gt;"", 'Field information 2'!$Q$5&lt;&gt;""),
   IF(AND(Calc!BD132=0,Calc!BE132=0),
     IF('Waste results'!$S$19&lt;&gt;"data missing", Calc!BC132*'Waste results'!$S$19, "data missing"),
   IF(AND(Calc!BC132=0,Calc!BE132=0),
     IF('Waste results'!$S$55&lt;&gt;"data missing", Calc!BD132*'Waste results'!$S$55, "data missing"),
   IF(AND(Calc!BC132=0,Calc!BD132=0),
     IF('Waste results'!$S$91&lt;&gt;"data missing", Calc!BE132*'Waste results'!$S$91, "data missing"),
   IF(Calc!BE132=0,
     IF(OR('Waste results'!$S$19&lt;&gt;"data missing", 'Waste results'!$S$55&lt;&gt;"data missing"), Calc!BC132*'Waste results'!$S$19+ Calc!BD132*'Waste results'!$S$55, "data missing"),
   IF(Calc!BD132=0,
     IF(OR('Waste results'!$S$19&lt;&gt;"data missing", 'Waste results'!$S$91&lt;&gt;"data missing"), Calc!BC132*'Waste results'!$S$19+ Calc!BE132*'Waste results'!$S$91, "data missing"),
   IF(Calc!BC132=0,
     IF(OR('Waste results'!$S$55&lt;&gt;"data missing", 'Waste results'!$S$91&lt;&gt;"data missing"), Calc!BD132*'Waste results'!$S$55+Calc!BE132*'Waste results'!$S$91, "data missing"),
   IF(OR('Waste results'!$S$19&lt;&gt;"data missing", 'Waste results'!$S$55&lt;&gt;"data missing", 'Waste results'!$S$91&lt;&gt;"data missing"), Calc!BC132*'Waste results'!$S$19+Calc!BD132*'Waste results'!$S$55+ Calc!BE132*'Waste results'!$S$91, "data missing")))))))))))</f>
        <v/>
      </c>
      <c r="P134" s="91" t="str">
        <f ca="1">IF(B134="","",
IF(OR(ISBLANK('Soil results'!H$7),ISBLANK('Soil results'!H137)),"data missing",
IF(OR(AND('Soil results'!H$7="ammonium nitrate (ADAS)",'Soil results'!H137&gt;400),AND('Soil results'!H$7="modified Morgan (SAC)",'Soil results'!H137&gt;400)),0,
IF(OR(AND('Soil results'!H$7="ammonium nitrate (ADAS)",'Soil results'!H137&gt;=121,'Soil results'!H137&lt;=180),AND('Soil results'!H$7="modified Morgan (SAC)",'Soil results'!H137&gt;=76,'Soil results'!H137&lt;=140)),VLOOKUP(Calc!BI132,'Fertiliser recommendations'!$A$4:$Z$63,26,FALSE),
IF(OR(AND('Soil results'!H$7="ammonium nitrate (ADAS)",'Soil results'!H137&lt;61),AND('Soil results'!H$7="modified Morgan (SAC)",'Soil results'!H137&lt;40)),VLOOKUP(Calc!BI132,'Fertiliser recommendations'!$A$4:$Z$63,26,FALSE)+VLOOKUP(Calc!BI132,'Fertiliser recommendations'!$A$4:$AA$63,27,FALSE),
IF(OR(AND('Soil results'!H$7="ammonium nitrate (ADAS)",'Soil results'!H137&lt;121),AND('Soil results'!H$7="modified Morgan (SAC)",'Soil results'!H137&lt;76)),VLOOKUP(Calc!BI132,'Fertiliser recommendations'!$A$4:$Z$63,26,FALSE)+VLOOKUP(Calc!BI132,'Fertiliser recommendations'!$A$4:$AB$63,28,FALSE),
IF(OR(AND('Soil results'!H$7="ammonium nitrate (ADAS)",'Soil results'!H137&lt;241),AND('Soil results'!H$7="modified Morgan (SAC)",'Soil results'!H137&lt;201)),VLOOKUP(Calc!BI132,'Fertiliser recommendations'!$A$4:$Z$63,26,FALSE)+VLOOKUP(Calc!BI132,'Fertiliser recommendations'!$A$4:$AC$63,29,FALSE),
IF(OR(AND('Soil results'!H$7="ammonium nitrate (ADAS)",'Soil results'!H137&lt;=400),AND('Soil results'!H$7="modified Morgan (SAC)",'Soil results'!H137&lt;=400)),VLOOKUP(Calc!BI132,'Fertiliser recommendations'!$A$4:$Z$63,26,FALSE)+VLOOKUP(Calc!BI132,'Fertiliser recommendations'!$A$4:$AD$63,30,FALSE),
"??"))))))))</f>
        <v/>
      </c>
      <c r="Q134" s="91" t="str">
        <f t="shared" ca="1" si="36"/>
        <v/>
      </c>
      <c r="R134" s="9" t="str">
        <f ca="1">IF(B134="","",
IF(OR(O134="data missing",P134="data missing"),"data missing",
IF(Calc!BF132=0,"n/a",
IF(P134=0, "no requirement",
IF(O134&lt;0.1*P134,"no benefit",
IF(O134&lt;0.3*P134,"limited benefit",
IF(O134&gt;1.25*P134,"excessive",
"benefit")))))))</f>
        <v/>
      </c>
      <c r="S134" s="9"/>
      <c r="T134" s="91" t="str">
        <f ca="1">IF(B134="","",
IF(AND('Field information 2'!$O$5="", 'Field information 2'!$Q$5=""),
   IF('Waste results'!$S$21&lt;&gt;"data missing", Calc!BC132*'Waste results'!$S$21, "data missing"),
IF('Field information 2'!$Q$5="",
   IF(Calc!BD132=0,
     IF('Waste results'!$S$21&lt;&gt;"data missing", Calc!BC132*'Waste results'!$S$21, "data missing"),
   IF(Calc!BC132=0,
     IF('Waste results'!$S$57&lt;&gt;"data missing", Calc!BD132*'Waste results'!$S$57, "data missing"),
   IF(OR('Waste results'!$S$21&lt;&gt;"data missing", 'Waste results'!$S$57&lt;&gt;"data missing"), Calc!BC132*'Waste results'!$S$21+ Calc!BD132*'Waste results'!$S$57, "data missing"))),
IF(AND('Field information 2'!$M$5&lt;&gt;"", 'Field information 2'!$O$5&lt;&gt;"", 'Field information 2'!$Q$5&lt;&gt;""),
   IF(AND(Calc!BD132=0,Calc!BE132=0),
     IF('Waste results'!$S$21&lt;&gt;"data missing", Calc!BC132*'Waste results'!$S$21, "data missing"),
   IF(AND(Calc!BC132=0,Calc!BE132=0),
     IF('Waste results'!$S$57&lt;&gt;"data missing", Calc!BD132*'Waste results'!$S$57, "data missing"),
   IF(AND(Calc!BC132=0,Calc!BD132=0),
     IF('Waste results'!$S$93&lt;&gt;"data missing", Calc!BE132*'Waste results'!$S$93, "data missing"),
   IF(Calc!BE132=0,
     IF(OR('Waste results'!$S$21&lt;&gt;"data missing", 'Waste results'!$S$57&lt;&gt;"data missing"), Calc!BC132*'Waste results'!$S$21+ Calc!BD132*'Waste results'!$S$57, "data missing"),
   IF(Calc!BD132=0,
     IF(OR('Waste results'!$S$21&lt;&gt;"data missing", 'Waste results'!$S$93&lt;&gt;"data missing"), Calc!BC132*'Waste results'!$S$21+ Calc!BE132*'Waste results'!$S$93, "data missing"),
   IF(Calc!BC132=0,
     IF(OR('Waste results'!$S$57&lt;&gt;"data missing", 'Waste results'!$S$93&lt;&gt;"data missing"), Calc!BD132*'Waste results'!$S$57+Calc!BE132*'Waste results'!$S$93, "data missing"),
   IF(OR('Waste results'!$S$21&lt;&gt;"data missing", 'Waste results'!$S$57&lt;&gt;"data missing", 'Waste results'!$S$93&lt;&gt;"data missing"), Calc!BC132*'Waste results'!$S$21+Calc!BD132*'Waste results'!$S$57+ Calc!BE132*'Waste results'!$S$93, "data missing")))))))))))</f>
        <v/>
      </c>
      <c r="U134" s="7" t="str">
        <f ca="1">IF(B134="","",
IF(OR(ISBLANK('Soil results'!I$7),ISBLANK('Soil results'!I137)),"data missing",
IF(OR(AND('Soil results'!I$7="ammonium nitrate (ADAS)",'Soil results'!I137&gt;51),AND('Soil results'!I$7="modified Morgan (SAC)",'Soil results'!I137&gt;61)),0,
IF(OR(AND('Soil results'!I$7="ammonium nitrate (ADAS)",'Soil results'!I137&lt;25),AND('Soil results'!I$7="modified Morgan (SAC)",'Soil results'!I137&lt;19)),VLOOKUP(Calc!BI132,'Fertiliser recommendations'!$A$4:$AH$63,34,FALSE),
IF(OR(AND('Soil results'!I$7="ammonium nitrate (ADAS)",'Soil results'!I137&lt;=51),AND('Soil results'!I$7="modified Morgan (SAC)",'Soil results'!I137&lt;=61)),VLOOKUP(Calc!BI132,'Fertiliser recommendations'!$A$4:$AI$63,35,FALSE),
"")))))</f>
        <v/>
      </c>
      <c r="V134" s="91" t="str">
        <f t="shared" ca="1" si="37"/>
        <v/>
      </c>
      <c r="W134" s="9" t="str">
        <f ca="1">IF(B134="","",
IF(OR(T134="data missing",U134="data missing"),"data missing",
IF(Calc!BF132=0,"n/a",
IF(U134=0,"no requirement",
IF(T134&lt;0.1*U134,"no benefit",
IF(T134&lt;0.3*U134,"limited benefit",
IF(OR(T134&gt;1.5*U134,AND(Calc!BJ132="g",T134&gt;100)),"excessive",
"benefit")))))))</f>
        <v/>
      </c>
      <c r="X134" s="9"/>
      <c r="Y134" s="91" t="str">
        <f ca="1">IF(B134="","",
IF(AND('Field information 2'!$O$5="", 'Field information 2'!$Q$5=""),
   IF('Waste results'!$P$23&lt;&gt;"", Calc!BC132*'Waste results'!$P$23, "no data"),
IF('Field information 2'!$Q$5="",
   IF(Calc!BD132=0,
     IF('Waste results'!$P$23&lt;&gt;"", Calc!BC132*'Waste results'!$P$23, "no data"),
   IF(Calc!BC132=0,
     IF('Waste results'!$P$59&lt;&gt;"", Calc!BD132*'Waste results'!$P$59, "no data"),
   IF(OR('Waste results'!$P$23&lt;&gt;"", 'Waste results'!$P$59&lt;&gt;""), Calc!BC132*'Waste results'!$P$23+ Calc!BD132*'Waste results'!$P$59, "no data"))),
IF(AND('Field information 2'!$M$5&lt;&gt;"", 'Field information 2'!$O$5&lt;&gt;"", 'Field information 2'!$Q$5&lt;&gt;""),
   IF(AND(Calc!BD132=0,Calc!BE132=0),
     IF('Waste results'!$P$23&lt;&gt;"", Calc!BC132*'Waste results'!$P$23, "no data"),
   IF(AND(Calc!BC132=0,Calc!BE132=0),
     IF('Waste results'!$P$59&lt;&gt;"", Calc!BD132*'Waste results'!$P$59, "no data"),
   IF(AND(Calc!BC132=0,Calc!BD132=0),
     IF('Waste results'!$P$95&lt;&gt;"", Calc!BE132*'Waste results'!$P$95, "no data"),
   IF(Calc!BE132=0,
     IF(OR('Waste results'!$P$23&lt;&gt;"", 'Waste results'!$P$59&lt;&gt;""), Calc!BC132*'Waste results'!$P$23+ Calc!BD132*'Waste results'!$P$59, "no data"),
   IF(Calc!BD132=0,
     IF(OR('Waste results'!$P$23&lt;&gt;"", 'Waste results'!$P$95&lt;&gt;""), Calc!BC132*'Waste results'!$P$23+ Calc!BE132*'Waste results'!$P$95, "no data"),
   IF(Calc!BC132=0,
     IF(OR('Waste results'!$P$59&lt;&gt;"", 'Waste results'!$P$95&lt;&gt;""), Calc!BD132*'Waste results'!$P$59+Calc!BE132*'Waste results'!$P$95, "no data"),
   IF(OR('Waste results'!$P$23&lt;&gt;"", 'Waste results'!$P$59&lt;&gt;"", 'Waste results'!$P$95&lt;&gt;""), Calc!BC132*'Waste results'!$P$23+Calc!BD132*'Waste results'!$P$59+ Calc!BE132*'Waste results'!$P$95, "no data")))))))))))</f>
        <v/>
      </c>
      <c r="Z134" s="7" t="str">
        <f ca="1">IF(OR(ISBLANK('Soil results'!I$7),ISBLANK('Soil results'!I137),'Soil results'!B137=""),"",
VLOOKUP(Calc!BI132,'Fertiliser recommendations'!$A$4:$AM$63,39,FALSE))</f>
        <v/>
      </c>
      <c r="AA134" s="91" t="str">
        <f t="shared" ca="1" si="38"/>
        <v/>
      </c>
      <c r="AB134" s="9" t="str">
        <f t="shared" ca="1" si="39"/>
        <v/>
      </c>
      <c r="AC134" s="9"/>
      <c r="AD134" s="48" t="str">
        <f>IF(ISBLANK('Soil results'!F137),"",'Soil results'!F137)</f>
        <v/>
      </c>
      <c r="AE134" s="49" t="str">
        <f ca="1">IF(B134="","",
IF(AND(Calc!BJ132="g", VLOOKUP(LEFT($B134,LEN($B134)-2),'Field information 2'!$B$12:$P$111,9,FALSE)&lt;&gt;"yes"),
 IF(Calc!BG132="10-25% OM", 5.9, IF(Calc!BG132="&gt;25% OM", 5.5, 6.2)),
IF(OR(Calc!BJ132="a", VLOOKUP(LEFT($B134,LEN($B134)-2),'Field information 2'!$B$12:$P$111,9,FALSE)="yes"),
 IF(Calc!BG132="10-25% OM", 6.4, IF(Calc!BG132="&gt;25% OM", 6, 6.7)), "")))</f>
        <v/>
      </c>
      <c r="AF134" s="91" t="str">
        <f ca="1">IF(B134="","",
IF('Waste results'!$Q$33="","no (significant) liming properties",
IF('Waste results'!Q$33&gt;100,"no (significant) liming properties",
IF(AD134="","",
IF(AD134&gt;=AE134,0,ROUNDDOWN((AE134-AD134)*Calc!BK132*'Waste results'!$Q$33+0.2,0))))))</f>
        <v/>
      </c>
      <c r="AG134" s="9" t="str">
        <f ca="1">IF(B134="","",
IF(T134=0,"n/a",
IF(AD134="","data missing",
IF(AND(AD134&lt;5,AF134="no (significant) liming properties"),"no waste application - pH too low",
IF(AND(AD134&gt;5.1,AF134="no (significant) liming properties",Calc!BH132&gt;25, LEFT(Calc!BI132,4)="graz"),"ok",
IF(AND(AD134&lt;=5.2,AF134="no (significant) liming properties"),"liming highly recommended",
IF(AF134=0,"no waste application - liming not required",
IF(AF134&lt;Calc!BC132,"application rate too high - exceeds liming requirement",
"ok"))))))))</f>
        <v/>
      </c>
      <c r="AH134" s="9"/>
      <c r="AI134" s="91" t="str">
        <f ca="1">IF(B134="","",
IF(AND('Field information 2'!$O$5="", 'Field information 2'!$Q$5=""),
   IF('Waste results'!$P$10&lt;&gt;"data missing", Calc!BC132*'Waste results'!$P$10, "data missing"),
IF('Field information 2'!$Q$5="",
   IF(Calc!BD132=0,
     IF('Waste results'!$P$10&lt;&gt;"data missing", Calc!BC132*'Waste results'!$P$10, "data missing"),
   IF(Calc!BC132=0,
     IF('Waste results'!$P$45&lt;&gt;"data missing", Calc!BD132*'Waste results'!$P$45, "data missing"),
   IF(OR('Waste results'!$P$10&lt;&gt;"data missing", 'Waste results'!$P$45&lt;&gt;"data missing"), Calc!BC132*'Waste results'!$P$10+ Calc!BD132*'Waste results'!$P$45, "data missing"))),
IF(AND('Field information 2'!$M$5&lt;&gt;"", 'Field information 2'!$O$5&lt;&gt;"", 'Field information 2'!$Q$5&lt;&gt;""),
   IF(AND(Calc!BD132=0,Calc!BE132=0),
     IF('Waste results'!$P$10&lt;&gt;"data missing", Calc!BC132*'Waste results'!$P$10, "data missing"),
   IF(AND(Calc!BC132=0,Calc!BE132=0),
     IF('Waste results'!$P$45&lt;&gt;"data missing", Calc!BD132*'Waste results'!$P$45, "data missing"),
   IF(AND(Calc!BC132=0,Calc!BD132=0),
     IF('Waste results'!$P$82&lt;&gt;"data missing", Calc!BE132*'Waste results'!$P$82, "data missing"),
   IF(Calc!BE132=0,
     IF(OR('Waste results'!$P$10&lt;&gt;"data missing", 'Waste results'!$P$45&lt;&gt;"data missing"), Calc!BC132*'Waste results'!$P$10+ Calc!BD132*'Waste results'!$P$45, "data missing"),
   IF(Calc!BD132=0,
     IF(OR('Waste results'!$P$10&lt;&gt;"data missing", 'Waste results'!$P$82&lt;&gt;"data missing"), Calc!BC132*'Waste results'!$P$10+ Calc!BE132*'Waste results'!$P$82, "data missing"),
   IF(Calc!BC132=0,
     IF(OR('Waste results'!$P$45&lt;&gt;"data missing", 'Waste results'!$P$82&lt;&gt;"data missing"), Calc!BD132*'Waste results'!$P$45+Calc!BE132*'Waste results'!$P$82, "data missing"),
   IF(OR('Waste results'!$P$10&lt;&gt;"data missing", 'Waste results'!$P$45&lt;&gt;"data missing", 'Waste results'!$P$82&lt;&gt;"data missing"), Calc!BC132*'Waste results'!$P$10+Calc!BD132*'Waste results'!$P$45+ Calc!BE132*'Waste results'!$P$82, "data missing")))))))))))</f>
        <v/>
      </c>
      <c r="AJ134" s="237" t="str">
        <f ca="1">IF(B134="","",
IF(AI134="data missing","data missing",
IF(Calc!BF132=0,"n/a",
IF(AND(Calc!BH132&gt;=8,AI134&lt;500),"no benefit",
IF(OR(AND(Calc!BH132&lt;=4,AI134&gt;=500),AND(Calc!BH132&lt;8,AI134&gt;5000)),"benefit",
"limited benefit")))))</f>
        <v/>
      </c>
      <c r="AK134" s="9"/>
      <c r="AL134" s="238" t="str">
        <f ca="1">IF(B134="","",
IF(AND('Field information 2'!$O$5="", 'Field information 2'!$Q$5=""),
   IF('Waste results'!$S$25&lt;&gt;"data missing", Calc!BC132*'Waste results'!$S$25, "data missing"),
IF('Field information 2'!$Q$5="",
   IF(Calc!BD132=0,
     IF('Waste results'!$S$25&lt;&gt;"data missing", Calc!BC132*'Waste results'!$S$25, "data missing"),
   IF(Calc!BC132=0,
     IF('Waste results'!$S$61&lt;&gt;"data missing", Calc!BD132*'Waste results'!$S$61, "data missing"),
   IF(OR('Waste results'!$S$25&lt;&gt;"data missing", 'Waste results'!$S$61&lt;&gt;"data missing"), Calc!BC132*'Waste results'!$S$25+ Calc!BD132*'Waste results'!$S$61, "data missing"))),
IF(AND('Field information 2'!$M$5&lt;&gt;"", 'Field information 2'!$O$5&lt;&gt;"", 'Field information 2'!$Q$5&lt;&gt;""),
   IF(AND(Calc!BD132=0,Calc!BE132=0),
     IF('Waste results'!$S$25&lt;&gt;"data missing", Calc!BC132*'Waste results'!$S$25, "data missing"),
   IF(AND(Calc!BC132=0,Calc!BE132=0),
     IF('Waste results'!$S$61&lt;&gt;"data missing", Calc!BD132*'Waste results'!$S$61, "data missing"),
   IF(AND(Calc!BC132=0,Calc!BD132=0),
     IF('Waste results'!$S$97&lt;&gt;"data missing", Calc!BE132*'Waste results'!$S$97, "data missing"),
   IF(Calc!BE132=0,
     IF(OR('Waste results'!$S$25&lt;&gt;"data missing", 'Waste results'!$S$61&lt;&gt;"data missing"), Calc!BC132*'Waste results'!$S$25+ Calc!BD132*'Waste results'!$S$61, "data missing"),
   IF(Calc!BD132=0,
     IF(OR('Waste results'!$S$25&lt;&gt;"data missing", 'Waste results'!$S$97&lt;&gt;"data missing"), Calc!BC132*'Waste results'!$S$25+ Calc!BE132*'Waste results'!$S$97, "data missing"),
   IF(Calc!BC132=0,
     IF(OR('Waste results'!$S$61&lt;&gt;"data missing", 'Waste results'!$S$97&lt;&gt;"data missing"), Calc!BD132*'Waste results'!$S$61+Calc!BE132*'Waste results'!$S$97, "data missing"),
   IF(OR('Waste results'!$S$25&lt;&gt;"data missing", 'Waste results'!$S$61&lt;&gt;"data missing", 'Waste results'!$S$97&lt;&gt;"data missing"), Calc!BC132*'Waste results'!$S$25+Calc!BD132*'Waste results'!$S$61+ Calc!BE132*'Waste results'!$S$97, "data missing")))))))))))</f>
        <v/>
      </c>
      <c r="AM134" s="239" t="str">
        <f ca="1">IF($B134="","",
IF(ISBLANK('Soil results'!K137),"data missing",'Soil results'!K137))</f>
        <v/>
      </c>
      <c r="AN134" s="239" t="str">
        <f t="shared" ca="1" si="40"/>
        <v/>
      </c>
      <c r="AO134" s="9" t="str">
        <f t="shared" ca="1" si="41"/>
        <v/>
      </c>
      <c r="AP134" s="9"/>
      <c r="AQ134" s="240" t="str">
        <f ca="1">IF(B134="","",
IF(AND('Field information 2'!$O$5="", 'Field information 2'!$Q$5=""),
   IF('Waste results'!$S$26&lt;&gt;"data missing", Calc!BC132*'Waste results'!$S$26, "data missing"),
IF('Field information 2'!$Q$5="",
   IF(Calc!BD132=0,
     IF('Waste results'!$S$26&lt;&gt;"data missing", Calc!BC132*'Waste results'!$S$26, "data missing"),
   IF(Calc!BC132=0,
     IF('Waste results'!$S$62&lt;&gt;"data missing", Calc!BD132*'Waste results'!$S$62, "data missing"),
   IF(OR('Waste results'!$S$26&lt;&gt;"data missing", 'Waste results'!$S$62&lt;&gt;"data missing"), Calc!BC132*'Waste results'!$S$26+ Calc!BD132*'Waste results'!$S$62, "data missing"))),
IF(AND('Field information 2'!$M$5&lt;&gt;"", 'Field information 2'!$O$5&lt;&gt;"", 'Field information 2'!$Q$5&lt;&gt;""),
   IF(AND(Calc!BD132=0,Calc!BE132=0),
     IF('Waste results'!$S$26&lt;&gt;"data missing", Calc!BC132*'Waste results'!$S$26, "data missing"),
   IF(AND(Calc!BC132=0,Calc!BE132=0),
     IF('Waste results'!$S$62&lt;&gt;"data missing", Calc!BD132*'Waste results'!$S$62, "data missing"),
   IF(AND(Calc!BC132=0,Calc!BD132=0),
     IF('Waste results'!$S$98&lt;&gt;"data missing", Calc!BE132*'Waste results'!$S$98, "data missing"),
   IF(Calc!BE132=0,
     IF(OR('Waste results'!$S$26&lt;&gt;"data missing", 'Waste results'!$S$62&lt;&gt;"data missing"), Calc!BC132*'Waste results'!$S$26+ Calc!BD132*'Waste results'!$S$62, "data missing"),
   IF(Calc!BD132=0,
     IF(OR('Waste results'!$S$26&lt;&gt;"data missing", 'Waste results'!$S$98&lt;&gt;"data missing"), Calc!BC132*'Waste results'!$S$26+ Calc!BE132*'Waste results'!$S$98, "data missing"),
   IF(Calc!BC132=0,
     IF(OR('Waste results'!$S$62&lt;&gt;"data missing", 'Waste results'!$S$98&lt;&gt;"data missing"), Calc!BD132*'Waste results'!$S$62+Calc!BE132*'Waste results'!$S$98, "data missing"),
   IF(OR('Waste results'!$S$26&lt;&gt;"data missing", 'Waste results'!$S$62&lt;&gt;"data missing", 'Waste results'!$S$98&lt;&gt;"data missing"), Calc!BC132*'Waste results'!$S$26+Calc!BD132*'Waste results'!$S$62+ Calc!BE132*'Waste results'!$S$98, "data missing")))))))))))</f>
        <v/>
      </c>
      <c r="AR134" s="241" t="str">
        <f ca="1">IF($B134="","",
IF(ISBLANK('Soil results'!L137),"data missing",'Soil results'!L137))</f>
        <v/>
      </c>
      <c r="AS134" s="241" t="str">
        <f t="shared" ca="1" si="42"/>
        <v/>
      </c>
      <c r="AT134" s="66" t="str">
        <f t="shared" ca="1" si="43"/>
        <v/>
      </c>
      <c r="AU134" s="9"/>
      <c r="AV134" s="238" t="str">
        <f ca="1">IF(B134="","",
IF(AND('Field information 2'!$O$5="", 'Field information 2'!$Q$5=""),
   IF('Waste results'!$S$27&lt;&gt;"data missing", Calc!BC132*'Waste results'!$S$27, "data missing"),
IF('Field information 2'!$Q$5="",
   IF(Calc!BD132=0,
     IF('Waste results'!$S$27&lt;&gt;"data missing", Calc!BC132*'Waste results'!$S$27, "data missing"),
   IF(Calc!BC132=0,
     IF('Waste results'!$S$63&lt;&gt;"data missing", Calc!BD132*'Waste results'!$S$63, "data missing"),
   IF(OR('Waste results'!$S$27&lt;&gt;"data missing", 'Waste results'!$S$63&lt;&gt;"data missing"), Calc!BC132*'Waste results'!$S$27+ Calc!BD132*'Waste results'!$S$63, "data missing"))),
IF(AND('Field information 2'!$M$5&lt;&gt;"", 'Field information 2'!$O$5&lt;&gt;"", 'Field information 2'!$Q$5&lt;&gt;""),
   IF(AND(Calc!BD132=0,Calc!BE132=0),
     IF('Waste results'!$S$27&lt;&gt;"data missing", Calc!BC132*'Waste results'!$S$27, "data missing"),
   IF(AND(Calc!BC132=0,Calc!BE132=0),
     IF('Waste results'!$S$63&lt;&gt;"data missing", Calc!BD132*'Waste results'!$S$63, "data missing"),
   IF(AND(Calc!BC132=0,Calc!BD132=0),
     IF('Waste results'!$S$99&lt;&gt;"data missing", Calc!BE132*'Waste results'!$S$99, "data missing"),
   IF(Calc!BE132=0,
     IF(OR('Waste results'!$S$27&lt;&gt;"data missing", 'Waste results'!$S$63&lt;&gt;"data missing"), Calc!BC132*'Waste results'!$S$27+ Calc!BD132*'Waste results'!$S$63, "data missing"),
   IF(Calc!BD132=0,
     IF(OR('Waste results'!$S$27&lt;&gt;"data missing", 'Waste results'!$S$99&lt;&gt;"data missing"), Calc!BC132*'Waste results'!$S$27+ Calc!BE132*'Waste results'!$S$99, "data missing"),
   IF(Calc!BC132=0,
     IF(OR('Waste results'!$S$63&lt;&gt;"data missing", 'Waste results'!$S$99&lt;&gt;"data missing"), Calc!BD132*'Waste results'!$S$63+Calc!BE132*'Waste results'!$S$99, "data missing"),
   IF(OR('Waste results'!$S$27&lt;&gt;"data missing", 'Waste results'!$S$63&lt;&gt;"data missing", 'Waste results'!$S$99&lt;&gt;"data missing"), Calc!BC132*'Waste results'!$S$27+Calc!BD132*'Waste results'!$S$63+ Calc!BE132*'Waste results'!$S$99, "data missing")))))))))))</f>
        <v/>
      </c>
      <c r="AW134" s="239" t="str">
        <f ca="1">IF($B134="","",
IF(ISBLANK('Soil results'!M137),"data missing",'Soil results'!M137))</f>
        <v/>
      </c>
      <c r="AX134" s="239" t="str">
        <f t="shared" ca="1" si="44"/>
        <v/>
      </c>
      <c r="AY134" s="9" t="str">
        <f ca="1">IF(B134="","",
IF(AV134=0,"n/a",
IF(OR(AV134="data missing",AW134="data missing"),"data missing",
IF(AV134&gt;7.5,"application rate too high - permissible rate exceeds limit",
IF('Soil results'!$F137&lt;=5.5,
  IF(AW134&gt;80,"no application - soil conc. already above limit",
  IF(AX134&gt;80,"application rate too high - soil conc. will exceed limit",
  IF(AW134&gt;80*0.9,"soil conc. is at or above 90% of the limit",
  IF(10*AV134*1000/3000+AW134&gt;80,"soil limit likely to be exceeded in 10yrs",
  IF(50*AV134*1000/3000+AW134&gt;80,"soil limit likely to be exceeded in 50yrs","ok"))))),
IF('Soil results'!$F137&lt;=6,
  IF(AW134&gt;100,"no application - soil conc. already above limit",
  IF(AX134&gt;100,"application rate too high - soil conc. will exceed limit",
  IF(AW134&gt;100*0.9,"soil conc. is at or above 90% of the limit",
  IF(10*AV134*1000/3000+AW134&gt;100,"soil limit likely to be exceeded in 10yrs",
  IF(50*AV134*1000/3000+AW134&gt;100,"soil limit likely to be exceeded in 50yrs","ok"))))),
IF('Soil results'!$F137&lt;=7,
  IF(AW134&gt;135,"no application - soil conc. already above limit",
  IF(AX134&gt;135,"application rate too high - soil conc. will exceed limit",
  IF(AW134&gt;135*0.9,"soil conc. is at or above 90% of the limit",
  IF(10*AV134*1000/3000+AW134&gt;135,"soil limit likely to be exceeded in 10yrs",
  IF(50*AV134*1000/3000+AW134&gt;135,"soil limit likely to be exceeded in 50yrs","ok"))))),
IF('Soil results'!$F137&gt;7,
  IF(AW134&gt;200,"no application - soil conc. already above limit",
  IF(AX134&gt;200,"application too high - soil conc. will exceed limit",
  IF(AW134&gt;200*0.9,"soil conc. is at or above 90% of the limit",
  IF(10*AV134*1000/3000+AW134&gt;200,"soil limit likely to be exceeded in 10yrs",
  IF(50*AV134*1000/3000+AW134&gt;200,"soil limit likely to be exceeded in 50yrs","ok")))))
))))))))</f>
        <v/>
      </c>
      <c r="AZ134" s="9"/>
      <c r="BA134" s="238" t="str">
        <f ca="1">IF(B134="","",
IF(AND('Field information 2'!$O$5="", 'Field information 2'!$Q$5=""),
   IF('Waste results'!$S$28&lt;&gt;"data missing", Calc!BC132*'Waste results'!$S$28, "data missing"),
IF('Field information 2'!$Q$5="",
   IF(Calc!BD132=0,
     IF('Waste results'!$S$28&lt;&gt;"data missing", Calc!BC132*'Waste results'!$S$28, "data missing"),
   IF(Calc!BC132=0,
     IF('Waste results'!$S$64&lt;&gt;"data missing", Calc!BD132*'Waste results'!$S$64, "data missing"),
   IF(OR('Waste results'!$S$28&lt;&gt;"data missing", 'Waste results'!$S$64&lt;&gt;"data missing"), Calc!BC132*'Waste results'!$S$28+ Calc!BD132*'Waste results'!$S$64, "data missing"))),
IF(AND('Field information 2'!$M$5&lt;&gt;"", 'Field information 2'!$O$5&lt;&gt;"", 'Field information 2'!$Q$5&lt;&gt;""),
   IF(AND(Calc!BD132=0,Calc!BE132=0),
     IF('Waste results'!$S$28&lt;&gt;"data missing", Calc!BC132*'Waste results'!$S$28, "data missing"),
   IF(AND(Calc!BC132=0,Calc!BE132=0),
     IF('Waste results'!$S$64&lt;&gt;"data missing", Calc!BD132*'Waste results'!$S$64, "data missing"),
   IF(AND(Calc!BC132=0,Calc!BD132=0),
     IF('Waste results'!$S$100&lt;&gt;"data missing", Calc!BE132*'Waste results'!$S$100, "data missing"),
   IF(Calc!BE132=0,
     IF(OR('Waste results'!$S$28&lt;&gt;"data missing", 'Waste results'!$S$64&lt;&gt;"data missing"), Calc!BC132*'Waste results'!$S$28+ Calc!BD132*'Waste results'!$S$64, "data missing"),
   IF(Calc!BD132=0,
     IF(OR('Waste results'!$S$28&lt;&gt;"data missing", 'Waste results'!$S$100&lt;&gt;"data missing"), Calc!BC132*'Waste results'!$S$28+ Calc!BE132*'Waste results'!$S$100, "data missing"),
   IF(Calc!BC132=0,
     IF(OR('Waste results'!$S$64&lt;&gt;"data missing", 'Waste results'!$S$100&lt;&gt;"data missing"), Calc!BD132*'Waste results'!$S$64+Calc!BE132*'Waste results'!$S$100, "data missing"),
   IF(OR('Waste results'!$S$28&lt;&gt;"data missing", 'Waste results'!$S$64&lt;&gt;"data missing", 'Waste results'!$S$100&lt;&gt;"data missing"), Calc!BC132*'Waste results'!$S$28+Calc!BD132*'Waste results'!$S$64+ Calc!BE132*'Waste results'!$S$100, "data missing")))))))))))</f>
        <v/>
      </c>
      <c r="BB134" s="239" t="str">
        <f ca="1">IF($B134="","",
IF(ISBLANK('Soil results'!N137),"data missing",'Soil results'!N137))</f>
        <v/>
      </c>
      <c r="BC134" s="239" t="str">
        <f t="shared" ca="1" si="45"/>
        <v/>
      </c>
      <c r="BD134" s="9" t="str">
        <f t="shared" ca="1" si="46"/>
        <v/>
      </c>
      <c r="BE134" s="9"/>
      <c r="BF134" s="238" t="str">
        <f ca="1">IF(B134="","",
IF(AND('Field information 2'!$O$5="", 'Field information 2'!$Q$5=""),
   IF('Waste results'!$S$29&lt;&gt;"data missing", Calc!BC132*'Waste results'!$S$29, "data missing"),
IF('Field information 2'!$Q$5="",
   IF(Calc!BD132=0,
     IF('Waste results'!$S$29&lt;&gt;"data missing", Calc!BC132*'Waste results'!$S$29, "data missing"),
   IF(Calc!BC132=0,
     IF('Waste results'!$S$65&lt;&gt;"data missing", Calc!BD132*'Waste results'!$S$65, "data missing"),
   IF(OR('Waste results'!$S$29&lt;&gt;"data missing", 'Waste results'!$S$65&lt;&gt;"data missing"), Calc!BC132*'Waste results'!$S$29+ Calc!BD132*'Waste results'!$S$65, "data missing"))),
IF(AND('Field information 2'!$M$5&lt;&gt;"", 'Field information 2'!$O$5&lt;&gt;"", 'Field information 2'!$Q$5&lt;&gt;""),
   IF(AND(Calc!BD132=0,Calc!BE132=0),
     IF('Waste results'!$S$29&lt;&gt;"data missing", Calc!BC132*'Waste results'!$S$29, "data missing"),
   IF(AND(Calc!BC132=0,Calc!BE132=0),
     IF('Waste results'!$S$65&lt;&gt;"data missing", Calc!BD132*'Waste results'!$S$65, "data missing"),
   IF(AND(Calc!BC132=0,Calc!BD132=0),
     IF('Waste results'!$S$101&lt;&gt;"data missing", Calc!BE132*'Waste results'!$S$101, "data missing"),
   IF(Calc!BE132=0,
     IF(OR('Waste results'!$S$29&lt;&gt;"data missing", 'Waste results'!$S$65&lt;&gt;"data missing"), Calc!BC132*'Waste results'!$S$29+ Calc!BD132*'Waste results'!$S$65, "data missing"),
   IF(Calc!BD132=0,
     IF(OR('Waste results'!$S$29&lt;&gt;"data missing", 'Waste results'!$S$101&lt;&gt;"data missing"), Calc!BC132*'Waste results'!$S$29+ Calc!BE132*'Waste results'!$S$101, "data missing"),
   IF(Calc!BC132=0,
     IF(OR('Waste results'!$S$65&lt;&gt;"data missing", 'Waste results'!$S$101&lt;&gt;"data missing"), Calc!BD132*'Waste results'!$S$65+Calc!BE132*'Waste results'!$S$101, "data missing"),
   IF(OR('Waste results'!$S$29&lt;&gt;"data missing", 'Waste results'!$S$65&lt;&gt;"data missing", 'Waste results'!$S$101&lt;&gt;"data missing"), Calc!BC132*'Waste results'!$S$29+Calc!BD132*'Waste results'!$S$65+ Calc!BE132*'Waste results'!$S$101, "data missing")))))))))))</f>
        <v/>
      </c>
      <c r="BG134" s="239" t="str">
        <f ca="1">IF($B134="","",
IF(ISBLANK('Soil results'!O137),"data missing",'Soil results'!O137))</f>
        <v/>
      </c>
      <c r="BH134" s="239" t="str">
        <f t="shared" ca="1" si="47"/>
        <v/>
      </c>
      <c r="BI134" s="9" t="str">
        <f ca="1">IF(B134="","",
IF(BF134=0,"n/a",
IF(OR(BF134="data missing",BG134="data missing"),"data missing",
IF(BF134&gt;3,"application rate too high - permissible rate exceeds limit",
IF('Soil results'!F137&lt;=5.5,
  IF(BG134&gt;50,"no application - soil conc. already above limit",
  IF(BH134&gt;50,"application rate too high - soil conc. will exceed limit",
  IF(BG134&gt;50*0.9,"soil conc. is at or above 90% of the limit",
  IF(10*BF134*1000/3000+BG134&gt;50,"soil limit likely to be exceeded in 10yrs",
  IF(50*BF134*1000/3000+BG134&gt;50,"soil limit likely to be exceeded in 50yrs","ok"))))),
IF('Soil results'!F137&lt;=6,
  IF(BG134&gt;60,"no application - soil conc. already above limit",
  IF(BH134&gt;60,"application rate too high - soil conc. will exceed limit",
  IF(BG134&gt;60*0.9,"soil conc. is at or above 90% of the limit",
  IF(10*BF134*1000/3000+BG134&gt;60,"soil limit likely to be exceeded in 10yrs",
  IF(50*BF134*1000/3000+BG134&gt;60,"soil limit likely to be exceeded in 50yrs","ok"))))),
IF('Soil results'!F137&lt;=7,
  IF(BG134&gt;75,"no application - soil conc. already above limit",
  IF(BH134&gt;75,"application rate too high - soil conc. will exceed limit",
  IF(BG134&gt;75*0.9,"soil conc. is at or above 90% of the limit",
  IF(10*BF134*1000/3000+BG134&gt;75,"soil limit likely to be exceeded in 10yrs",
  IF(50*BF134*1000/3000+BG134&gt;75,"soil limit likely to be exceeded in 50yrs","ok"))))),
IF('Soil results'!F137&gt;7,
  IF(BG134&gt;100,"no application - soil conc. already above limit",
  IF(BH134&gt;100,"application rate too high - soil conc. will exceed limit",
  IF(BG134&gt;100*0.9,"soil conc. is at or above 90% of the limit",
  IF(10*BF134*1000/3000+BG134&gt;100,"soil limit likely to be exceeded in 10yrs",
  IF(50*BF134*1000/3000+BG134&gt;100,"soil limit likely to beexceeded in 50yrs","ok")))))
))))))))</f>
        <v/>
      </c>
      <c r="BJ134" s="9"/>
      <c r="BK134" s="240" t="str">
        <f ca="1">IF(B134="","",
IF(AND('Field information 2'!$O$5="", 'Field information 2'!$Q$5=""),
   IF('Waste results'!$S$30&lt;&gt;"data missing", Calc!BC132*'Waste results'!$S$30, "data missing"),
IF('Field information 2'!$Q$5="",
   IF(Calc!BD132=0,
     IF('Waste results'!$S$30&lt;&gt;"data missing", Calc!BC132*'Waste results'!$S$30, "data missing"),
   IF(Calc!BC132=0,
     IF('Waste results'!$S$66&lt;&gt;"data missing", Calc!BD132*'Waste results'!$S$66, "data missing"),
   IF(OR('Waste results'!$S$30&lt;&gt;"data missing", 'Waste results'!$S$66&lt;&gt;"data missing"), Calc!BC132*'Waste results'!$S$30+ Calc!BD132*'Waste results'!$S$66, "data missing"))),
IF(AND('Field information 2'!$M$5&lt;&gt;"", 'Field information 2'!$O$5&lt;&gt;"", 'Field information 2'!$Q$5&lt;&gt;""),
   IF(AND(Calc!BD132=0,Calc!BE132=0),
     IF('Waste results'!$S$30&lt;&gt;"data missing", Calc!BC132*'Waste results'!$S$30, "data missing"),
   IF(AND(Calc!BC132=0,Calc!BE132=0),
     IF('Waste results'!$S$66&lt;&gt;"data missing", Calc!BD132*'Waste results'!$S$66, "data missing"),
   IF(AND(Calc!BC132=0,Calc!BD132=0),
     IF('Waste results'!$S$102&lt;&gt;"data missing", Calc!BE132*'Waste results'!$S$102, "data missing"),
   IF(Calc!BE132=0,
     IF(OR('Waste results'!$S$30&lt;&gt;"data missing", 'Waste results'!$S$66&lt;&gt;"data missing"), Calc!BC132*'Waste results'!$S$30+ Calc!BD132*'Waste results'!$S$66, "data missing"),
   IF(Calc!BD132=0,
     IF(OR('Waste results'!$S$30&lt;&gt;"data missing", 'Waste results'!$S$102&lt;&gt;"data missing"), Calc!BC132*'Waste results'!$S$30+ Calc!BE132*'Waste results'!$S$102, "data missing"),
   IF(Calc!BC132=0,
     IF(OR('Waste results'!$S$66&lt;&gt;"data missing", 'Waste results'!$S$102&lt;&gt;"data missing"), Calc!BD132*'Waste results'!$S$66+Calc!BE132*'Waste results'!$S$102, "data missing"),
   IF(OR('Waste results'!$S$30&lt;&gt;"data missing", 'Waste results'!$S$66&lt;&gt;"data missing", 'Waste results'!$S$102&lt;&gt;"data missing"), Calc!BC132*'Waste results'!$S$30+Calc!BD132*'Waste results'!$S$66+ Calc!BE132*'Waste results'!$S$102, "data missing")))))))))))</f>
        <v/>
      </c>
      <c r="BL134" s="241" t="str">
        <f ca="1">IF($B134="","",
IF(ISBLANK('Soil results'!P137),"data missing",'Soil results'!P137))</f>
        <v/>
      </c>
      <c r="BM134" s="241" t="str">
        <f t="shared" ca="1" si="48"/>
        <v/>
      </c>
      <c r="BN134" s="66" t="str">
        <f t="shared" ca="1" si="49"/>
        <v/>
      </c>
      <c r="BO134" s="9"/>
      <c r="BP134" s="238" t="str">
        <f ca="1">IF(B134="","",
IF(AND('Field information 2'!$O$5="", 'Field information 2'!$Q$5=""),
   IF('Waste results'!$S$31&lt;&gt;"data missing", Calc!BC132*'Waste results'!$S$31, "data missing"),
IF('Field information 2'!$Q$5="",
   IF(Calc!BD132=0,
     IF('Waste results'!$S$31&lt;&gt;"data missing", Calc!BC132*'Waste results'!$S$31, "data missing"),
   IF(Calc!BC132=0,
     IF('Waste results'!$S$67&lt;&gt;"data missing", Calc!BD132*'Waste results'!$S$67, "data missing"),
   IF(OR('Waste results'!$S$31&lt;&gt;"data missing", 'Waste results'!$S$67&lt;&gt;"data missing"), Calc!BC132*'Waste results'!$S$31+ Calc!BD132*'Waste results'!$S$67, "data missing"))),
IF(AND('Field information 2'!$M$5&lt;&gt;"", 'Field information 2'!$O$5&lt;&gt;"", 'Field information 2'!$Q$5&lt;&gt;""),
   IF(AND(Calc!BD132=0,Calc!BE132=0),
     IF('Waste results'!$S$31&lt;&gt;"data missing", Calc!BC132*'Waste results'!$S$31, "data missing"),
   IF(AND(Calc!BC132=0,Calc!BE132=0),
     IF('Waste results'!$S$67&lt;&gt;"data missing", Calc!BD132*'Waste results'!$S$67, "data missing"),
   IF(AND(Calc!BC132=0,Calc!BD132=0),
     IF('Waste results'!$S$103&lt;&gt;"data missing", Calc!BE132*'Waste results'!$S$103, "data missing"),
   IF(Calc!BE132=0,
     IF(OR('Waste results'!$S$31&lt;&gt;"data missing", 'Waste results'!$S$67&lt;&gt;"data missing"), Calc!BC132*'Waste results'!$S$31+ Calc!BD132*'Waste results'!$S$67, "data missing"),
   IF(Calc!BD132=0,
     IF(OR('Waste results'!$S$31&lt;&gt;"data missing", 'Waste results'!$S$103&lt;&gt;"data missing"), Calc!BC132*'Waste results'!$S$31+ Calc!BE132*'Waste results'!$S$103, "data missing"),
   IF(Calc!BC132=0,
     IF(OR('Waste results'!$S$67&lt;&gt;"data missing", 'Waste results'!$S$103&lt;&gt;"data missing"), Calc!BD132*'Waste results'!$S$67+Calc!BE132*'Waste results'!$S$103, "data missing"),
   IF(OR('Waste results'!$S$31&lt;&gt;"data missing", 'Waste results'!$S$67&lt;&gt;"data missing", 'Waste results'!$S$103&lt;&gt;"data missing"), Calc!BC132*'Waste results'!$S$31+Calc!BD132*'Waste results'!$S$67+ Calc!BE132*'Waste results'!$S$103, "data missing")))))))))))</f>
        <v/>
      </c>
      <c r="BQ134" s="239" t="str">
        <f ca="1">IF($B134="","",
IF(ISBLANK('Soil results'!Q137),"data missing",'Soil results'!Q137))</f>
        <v/>
      </c>
      <c r="BR134" s="239" t="str">
        <f t="shared" ca="1" si="50"/>
        <v/>
      </c>
      <c r="BS134" s="9" t="str">
        <f ca="1">IF(B134="","",
IF(BP134=0,"n/a",
IF(OR(BP134="data missing",BQ134=""),"data missing",
IF(BP134&gt;15,"application rate too high - permissible rate exceeds limit",
IF('Soil results'!F137&lt;=5.5,
  IF(BQ134&gt;200,"no application - soil conc. already above limit",
  IF(BR134&gt;200,"application rate too high - soil conc. will exceed limit",
  IF(BQ134&gt;200*0.9,"soil conc. is at or above 90% of the limit",
  IF(10*BP134*1000/3000+BQ134&gt;200,"soil limit likely to be exceeded in 10yrs",
  IF(50*BP134*1000/3000+BQ134&gt;200,"soil limit likely to be exceeded in 50yrs","ok"))))),
IF('Soil results'!F137&lt;=6,
  IF(BQ134&gt;250,"no application - soil conc. already above limit",
  IF(BR134&gt;250,"application rate too high - soil conc. will exceed limit",
  IF(BQ134&gt;250*0.9,"soil conc. is at or above 90% of the limit",
  IF(10*BP134*1000/3000+BQ134&gt;250,"soil limit likely to be exceeded in 10yrs",
  IF(50*BP134*1000/3000+BQ134&gt;250,"soil limit likely to be exceeded in 50yrs","ok"))))),
IF('Soil results'!F137&lt;=7,
  IF(BQ134&gt;300,"no application - soil conc. already above limit",
  IF(BR134&gt;300,"application rate too high - soil conc. will exceed limit",
  IF(BQ134&gt;300*0.9,"soil conc. is at or above 90% of the limit",
  IF(10*BP134*1000/3000+BQ134&gt;300,"soil limit likey to be exceeded in 10yrs",
  IF(50*BP134*1000/3000+BQ134&gt;300,"soil limit likely to be exceeded in 50yrs","ok"))))),
IF('Soil results'!F137&gt;7,
  IF(BQ134&gt;450,"no application - soil conc. already above limit",
  IF(BR134&gt;450,"application rate too high - soil conc. will exceed limit",
  IF(AW134&gt;450*0.9,"soil conc. is at or above 90% of the limit",
  IF(10*BP134*1000/3000+BQ134&gt;450,"soil limit likely to be exceeded in 10yrs",
  IF(50*BP134*1000/3000+BQ134&gt;450,"soil limit likely to be exceeded in 50yrs","ok")))))
))))))))</f>
        <v/>
      </c>
    </row>
    <row r="135" spans="2:71" ht="15" x14ac:dyDescent="0.25">
      <c r="B135" s="236" t="str">
        <f ca="1">'Soil results'!B138</f>
        <v/>
      </c>
      <c r="C135" s="91" t="str">
        <f ca="1">IF(B135="","",
IF(AND('Field information 2'!$O$5="", 'Field information 2'!$Q$5=""),
   IF('Waste results'!$S$12&lt;&gt;"data missing", Calc!BC133*'Waste results'!$S$12, "data missing"),
IF('Field information 2'!$Q$5="",
   IF(Calc!BD133=0,
     IF('Waste results'!$S$12&lt;&gt;"data missing", Calc!BC133*'Waste results'!$S$12, "data missing"),
   IF(Calc!BC133=0,
     IF('Waste results'!$S$48&lt;&gt;"data missing", Calc!BD133*'Waste results'!$S$48, "data missing"),
   IF(OR('Waste results'!$S$12&lt;&gt;"data missing", 'Waste results'!$S$48&lt;&gt;"data missing"), Calc!BC133*'Waste results'!$S$12+ Calc!BD133*'Waste results'!$S$48, "data missing"))),
IF(AND('Field information 2'!$M$5&lt;&gt;"", 'Field information 2'!$O$5&lt;&gt;"", 'Field information 2'!$Q$5&lt;&gt;""),
   IF(AND(Calc!BD133=0,Calc!BE133=0),
     IF('Waste results'!$S$12&lt;&gt;"data missing", Calc!BC133*'Waste results'!$S$12, "data missing"),
   IF(AND(Calc!BC133=0,Calc!BE133=0),
     IF('Waste results'!$S$48&lt;&gt;"data missing", Calc!BD133*'Waste results'!$S$48, "data missing"),
   IF(AND(Calc!BC133=0,Calc!BD133=0),
     IF('Waste results'!$S$84&lt;&gt;"data missing", Calc!BE133*'Waste results'!$S$84, "data missing"),
   IF(Calc!BE133=0,
     IF(OR('Waste results'!$S$12&lt;&gt;"data missing", 'Waste results'!$S$48&lt;&gt;"data missing"), Calc!BC133*'Waste results'!$S$12+ Calc!BD133*'Waste results'!$S$48, "data missing"),
   IF(Calc!BD133=0,
     IF(OR('Waste results'!$S$12&lt;&gt;"data missing", 'Waste results'!$S$84&lt;&gt;"data missing"), Calc!BC133*'Waste results'!$S$12+ Calc!BE133*'Waste results'!$S$84, "data missing"),
   IF(Calc!BC133=0,
     IF(OR('Waste results'!$S$48&lt;&gt;"data missing", 'Waste results'!$S$84&lt;&gt;"data missing"), Calc!BD133*'Waste results'!$S$48+Calc!BE133*'Waste results'!$S$84, "data missing"),
   IF(OR('Waste results'!$S$12&lt;&gt;"data missing", 'Waste results'!$S$48&lt;&gt;"data missing", 'Waste results'!$S$84&lt;&gt;"data missing"), Calc!BC133*'Waste results'!$S$12+Calc!BD133*'Waste results'!$S$48+ Calc!BE133*'Waste results'!$S$84, "data missing")))))))))))</f>
        <v/>
      </c>
      <c r="D135" s="161" t="str">
        <f ca="1">IF(B135="","",
IF(Calc!BG133="","soil texture missing",
IF(OR(Calc!BG133="SL; SZL; ZL",Calc!BG133="SCL; CL; ZCL; SC; ZC; C"),VLOOKUP(Calc!BI133,'Fertiliser recommendations'!$A$4:$C$63,3,FALSE),
IF(Calc!BG133="S; LS",VLOOKUP(Calc!BI133,'Fertiliser recommendations'!$A$4:$C$63,3,FALSE)+VLOOKUP(Calc!BI133,'Fertiliser recommendations'!$A$4:$D$63,4,FALSE),
IF(Calc!BG133="10-25% OM",VLOOKUP(Calc!BI133,'Fertiliser recommendations'!$A$4:$C$63,3,FALSE)+VLOOKUP(Calc!BI133,'Fertiliser recommendations'!$A$4:$E$63,5,FALSE),
IF(Calc!BG133="&gt;25% OM",VLOOKUP(Calc!BI133,'Fertiliser recommendations'!$A$4:$C$63,3,FALSE)+VLOOKUP(Calc!BI133,'Fertiliser recommendations'!$A$4:$F$63,6,FALSE),
""))))))</f>
        <v/>
      </c>
      <c r="E135" s="91" t="str">
        <f t="shared" ca="1" si="34"/>
        <v/>
      </c>
      <c r="F135" s="9" t="str">
        <f ca="1">IF(B135="","",
IF(OR(C135="data missing",D135="soil texture missing"),"data missing",
IF(Calc!BF133=0,"n/a",
IF(C135&lt;0.1*D135,"no benefit",
IF(C135&lt;0.3*D135,"limited benefit",
IF(C135&gt;250,"exceeds limit",
IF(OR(AND(D135=0,C135&gt;75),C135&gt;1.25*D135),"excessive",
IF(D135=0, "no requirement",
"benefit"))))))))</f>
        <v/>
      </c>
      <c r="G135" s="9"/>
      <c r="H135" s="91" t="str">
        <f ca="1">IF(B135="","",
IF(AND('Field information 2'!$O$5="", 'Field information 2'!$Q$5=""),
   IF('Waste results'!$S$17&lt;&gt;"data missing", Calc!BC133*'Waste results'!$S$17, "data missing"),
IF('Field information 2'!$Q$5="",
   IF(Calc!BD133=0,
     IF('Waste results'!$S$17&lt;&gt;"data missing", Calc!BC133*'Waste results'!$S$17, "data missing"),
   IF(Calc!BC133=0,
     IF('Waste results'!$S$53&lt;&gt;"data missing", Calc!BD133*'Waste results'!$S$53, "data missing"),
   IF(OR('Waste results'!$S$17&lt;&gt;"data missing", 'Waste results'!$S$53&lt;&gt;"data missing"), Calc!BC133*'Waste results'!$S$17+ Calc!BD133*'Waste results'!$S$53, "data missing"))),
IF(AND('Field information 2'!$M$5&lt;&gt;"", 'Field information 2'!$O$5&lt;&gt;"", 'Field information 2'!$Q$5&lt;&gt;""),
   IF(AND(Calc!BD133=0,Calc!BE133=0),
     IF('Waste results'!$S$17&lt;&gt;"data missing", Calc!BC133*'Waste results'!$S$17, "data missing"),
   IF(AND(Calc!BC133=0,Calc!BE133=0),
     IF('Waste results'!$S$53&lt;&gt;"data missing", Calc!BD133*'Waste results'!$S$53, "data missing"),
   IF(AND(Calc!BC133=0,Calc!BD133=0),
     IF('Waste results'!$S$89&lt;&gt;"data missing", Calc!BE133*'Waste results'!$S$89, "data missing"),
   IF(Calc!BE133=0,
     IF(OR('Waste results'!$S$17&lt;&gt;"data missing", 'Waste results'!$S$53&lt;&gt;"data missing"), Calc!BC133*'Waste results'!$S$17+ Calc!BD133*'Waste results'!$S$53, "data missing"),
   IF(Calc!BD133=0,
     IF(OR('Waste results'!$S$17&lt;&gt;"data missing", 'Waste results'!$S$89&lt;&gt;"data missing"), Calc!BC133*'Waste results'!$S$17+ Calc!BE133*'Waste results'!$S$89, "data missing"),
   IF(Calc!BC133=0,
     IF(OR('Waste results'!$S$53&lt;&gt;"data missing", 'Waste results'!$S$89&lt;&gt;"data missing"), Calc!BD133*'Waste results'!$S$53+Calc!BE133*'Waste results'!$S$89, "data missing"),
   IF(OR('Waste results'!$S$17&lt;&gt;"data missing", 'Waste results'!$S$53&lt;&gt;"data missing", 'Waste results'!$S$89&lt;&gt;"data missing"), Calc!BC133*'Waste results'!$S$17+Calc!BD133*'Waste results'!$S$53+ Calc!BE133*'Waste results'!$S$89, "data missing")))))))))))</f>
        <v/>
      </c>
      <c r="I135" s="195" t="str">
        <f ca="1">IF(B135="","",
IF(OR(ISBLANK('Soil results'!G138), ISBLANK('Soil results'!G$7)),"data missing",
IF(OR(AND('Soil results'!G$7="Olsen (ADAS)",'Soil results'!G138&lt;16),AND('Soil results'!G$7="modified Morgan (SAC)",'Soil results'!G138&lt;4.5)),50,100)))</f>
        <v/>
      </c>
      <c r="J135" s="49" t="str">
        <f ca="1">IF(B135="","",
IF(OR(ISBLANK('Soil results'!G$7),ISBLANK('Soil results'!G138)),"data missing",
IF(OR(AND('Soil results'!G$7="Olsen (ADAS)",'Soil results'!G138&gt;45),AND('Soil results'!G$7="modified Morgan (SAC)",'Soil results'!G138&gt;30)),0,
IF(OR(AND('Soil results'!G$7="Olsen (ADAS)",'Soil results'!G138&gt;=16,'Soil results'!G138&lt;=20),AND('Soil results'!G$7="modified Morgan (SAC)",'Soil results'!G138&gt;=4.5,'Soil results'!G138&lt;=9.4)),VLOOKUP(Calc!BI133,'Fertiliser recommendations'!$A$4:$I$63,9,FALSE),
IF(OR(AND('Soil results'!G$7="Olsen (ADAS)",'Soil results'!G138&lt;10),AND('Soil results'!G$7="modified Morgan (SAC)",'Soil results'!G138&lt;1.8)),VLOOKUP(Calc!BI133,'Fertiliser recommendations'!$A$4:$I$63,9,FALSE)+VLOOKUP(Calc!BI133,'Fertiliser recommendations'!$A$4:$J$63,10,FALSE),
IF(OR(AND('Soil results'!G$7="Olsen (ADAS)",'Soil results'!G138&lt;16),AND('Soil results'!G$7="modified Morgan (SAC)",'Soil results'!G138&lt;4.5)),VLOOKUP(Calc!BI133,'Fertiliser recommendations'!$A$4:$I$63,9,FALSE)+VLOOKUP(Calc!BI133,'Fertiliser recommendations'!$A$4:$K$63,11,FALSE),
IF(OR(AND('Soil results'!G$7="Olsen (ADAS)",'Soil results'!G138&lt;26),AND('Soil results'!G$7="modified Morgan (SAC)",'Soil results'!G138&lt;13.5)),VLOOKUP(Calc!BI133,'Fertiliser recommendations'!$A$4:$I$63,9,FALSE)+VLOOKUP(Calc!BI133,'Fertiliser recommendations'!$A$4:$L$63,12,FALSE),
IF(OR(AND('Soil results'!G$7="Olsen (ADAS)",'Soil results'!G138&lt;=45),AND('Soil results'!G$7="modified Morgan (SAC)",'Soil results'!G138&lt;=30)),VLOOKUP(Calc!BI133,'Fertiliser recommendations'!$A$4:$I$63,9,FALSE)+VLOOKUP(Calc!BI133,'Fertiliser recommendations'!$A$4:$M$63,13,FALSE),
""))))))))</f>
        <v/>
      </c>
      <c r="K135" s="161" t="str">
        <f t="shared" ca="1" si="35"/>
        <v/>
      </c>
      <c r="L135" s="47" t="str">
        <f ca="1">IF(OR(ISBLANK('Soil results'!G$7),ISBLANK('Soil results'!G138),B135="", H135="data missing"),"",
IF('Soil results'!G$7="Olsen (ADAS)",
IF(((H135*Calc!BM133/2.291-(VLOOKUP(Calc!BI133,'Fertiliser recommendations'!$A$4:$I$63,9,FALSE))/2.291)*10/(400/2.291)+'Soil results'!G138)&lt;10,"0 (VL)",
IF(((H135*Calc!BM133/2.291-(VLOOKUP(Calc!BI133,'Fertiliser recommendations'!$A$4:$I$63,9,FALSE))/2.291)*10/(400/2.291)+'Soil results'!G138)&lt;16,"1 (L)",
IF(((H135*Calc!BM133/2.291-(VLOOKUP(Calc!BI133,'Fertiliser recommendations'!$A$4:$I$63,9,FALSE))/2.291)*10/(400/2.291)+'Soil results'!G138)&lt;21,"2 (M-)",
IF(((H135*Calc!BM133/2.291-(VLOOKUP(Calc!BI133,'Fertiliser recommendations'!$A$4:$I$63,9,FALSE))/2.291)*10/(400/2.291)+'Soil results'!G138)&lt;26,"2 (M+)",
IF(((H135*Calc!BM133/2.291-(VLOOKUP(Calc!BI133,'Fertiliser recommendations'!$A$4:$I$63,9,FALSE))/2.291)*10/(400/2.291)+'Soil results'!G138)&lt;45,"3 (H)","&gt;3 (VH)"))))),
IF('Soil results'!G$7="modified Morgan (SAC)",
IF('Soil results'!G138&gt;=6,
IF(((H135*Calc!BM133/2.291-(VLOOKUP(Calc!BI133,'Fertiliser recommendations'!$A$4:$I$63,9,FALSE))/2.291)*5/(147/2.291)+'Soil results'!G138)&lt;9.5,"2 (M-)",
IF(((H135*Calc!BM133/2.291-(VLOOKUP(Calc!BI133,'Fertiliser recommendations'!$A$4:$I$63,9,FALSE))/2.291)*5/(147/2.291)+'Soil results'!G138)&lt;13.5,"2 (M+)",
IF(((H135*Calc!BM133/2.291-(VLOOKUP(Calc!BI133,'Fertiliser recommendations'!$A$4:$I$63,9,FALSE))/2.291)*5/(147/2.291)+'Soil results'!G138)&lt;30,"3 (H)","4 (VH)"))),
IF(((H135*Calc!BM133/2.291-(VLOOKUP(Calc!BI133,'Fertiliser recommendations'!$A$4:$I$63,9,FALSE))/2.291)*5/(346/2.291)+'Soil results'!G138)&lt;1.8,"0 (VL)",
IF(((H135*Calc!BM133/2.291-(VLOOKUP(Calc!BI133,'Fertiliser recommendations'!$A$4:$I$63,9,FALSE))/2.291)*5/(147/2.291)+'Soil results'!G138)&lt;4.5,"1 (L)","2 (M-)"))))))</f>
        <v/>
      </c>
      <c r="M135" s="9" t="str">
        <f ca="1">IF(B135="","",
IF(OR(H135="data missing",I135="data missing",J135="data missing"),"data missing",
IF(Calc!BF133=0,"n/a",
IF(OR(AND('Soil results'!G$7="Olsen (ADAS)",'Soil results'!G138&gt;45),AND('Soil results'!G$7="modified Morgan (SAC)",'Soil results'!G138&gt;30)),
IF(H135&gt;2,"too high, not acceptable","no requirement"),IF(OR(AND('Soil results'!G$7="Olsen (ADAS)",'Soil results'!G138&gt;25),AND('Soil results'!G$7="modified Morgan (SAC)",'Soil results'!G138&gt;13.4)),
IF(H135*(I135/100)&lt;0.1*J135,"no benefit",
IF(H135*(I135/100)&lt;0.3*J135,"limited benefit",
IF(H135*(I135/100)&lt;1.1*J135,"benefit",
IF(H135*(I135/100)&lt;0.7*VLOOKUP(Calc!BI133,'Fertiliser recommendations'!$A$4:$I$63,9,FALSE),"excessive","too high, not acceptable")))),
IF(OR(AND('Soil results'!G$7="Olsen (ADAS)",'Soil results'!G138&gt;20),AND('Soil results'!G$7="modified Morgan (SAC)",'Soil results'!G138&gt;9.4)),
IF(H135*Calc!BM133*(I135/100)&lt;0.1*J135,"no benefit",
IF(H135*Calc!BM133*(I135/100)&lt;0.3*J135,"limited benefit",
IF(H135*Calc!BM133*(I135/100)&lt;1.1*J135,"benefit",
IF(L135="3 (H)","too high, not acceptable","excessive")))),
IF(OR(AND('Soil results'!G$7="Olsen (ADAS)",'Soil results'!G138&gt;15),AND('Soil results'!G$7="modified Morgan (SAC)",'Soil results'!G138&gt;4.4)),
IF(H135*Calc!BM133*(I135/100)&lt;0.1*VLOOKUP(Calc!BI133,'Fertiliser recommendations'!$A$4:$I$63,9,FALSE),"no benefit",
IF(H135*Calc!BM133*(I135/100)&lt;0.3*VLOOKUP(Calc!BI133,'Fertiliser recommendations'!$A$4:$I$63,9,FALSE),"limited benefit",
IF(H135*Calc!BM133*(I135/100)&lt;1.1*VLOOKUP(Calc!BI133,'Fertiliser recommendations'!$A$4:$I$63,9,FALSE),"benefit",
IF(L135="3 (H)", "too high, not acceptable", "excessive")))),
IF(OR(AND('Soil results'!G$7="Olsen (ADAS)",'Soil results'!G138&lt;=15),AND('Soil results'!G$7="modified Morgan (SAC)",'Soil results'!G138&lt;=4.4)),
IF(H135*Calc!BM133*(I135/100)&lt;0.1*VLOOKUP(Calc!BI133,'Fertiliser recommendations'!$A$4:$I$63,9,FALSE),"no benefit",
IF(H135*Calc!BM133*(I135/100)&lt;0.3*VLOOKUP(Calc!BI133,'Fertiliser recommendations'!$A$4:$I$63,9,FALSE),"limited benefit",
IF(H135*Calc!BM133*(I135/100)&lt;1.1*J135,"benefit","excessive")))))))))))</f>
        <v/>
      </c>
      <c r="N135" s="9"/>
      <c r="O135" s="91" t="str">
        <f ca="1">IF(B135="","",
IF(AND('Field information 2'!$O$5="", 'Field information 2'!$Q$5=""),
   IF('Waste results'!$S$19&lt;&gt;"data missing", Calc!BC133*'Waste results'!$S$19, "data missing"),
IF('Field information 2'!$Q$5="",
   IF(Calc!BD133=0,
     IF('Waste results'!$S$19&lt;&gt;"data missing", Calc!BC133*'Waste results'!$S$19, "data missing"),
   IF(Calc!BC133=0,
     IF('Waste results'!$S$55&lt;&gt;"data missing", Calc!BD133*'Waste results'!$S$55, "data missing"),
   IF(OR('Waste results'!$S$19&lt;&gt;"data missing", 'Waste results'!$S$55&lt;&gt;"data missing"), Calc!BC133*'Waste results'!$S$19+ Calc!BD133*'Waste results'!$S$55, "data missing"))),
IF(AND('Field information 2'!$M$5&lt;&gt;"", 'Field information 2'!$O$5&lt;&gt;"", 'Field information 2'!$Q$5&lt;&gt;""),
   IF(AND(Calc!BD133=0,Calc!BE133=0),
     IF('Waste results'!$S$19&lt;&gt;"data missing", Calc!BC133*'Waste results'!$S$19, "data missing"),
   IF(AND(Calc!BC133=0,Calc!BE133=0),
     IF('Waste results'!$S$55&lt;&gt;"data missing", Calc!BD133*'Waste results'!$S$55, "data missing"),
   IF(AND(Calc!BC133=0,Calc!BD133=0),
     IF('Waste results'!$S$91&lt;&gt;"data missing", Calc!BE133*'Waste results'!$S$91, "data missing"),
   IF(Calc!BE133=0,
     IF(OR('Waste results'!$S$19&lt;&gt;"data missing", 'Waste results'!$S$55&lt;&gt;"data missing"), Calc!BC133*'Waste results'!$S$19+ Calc!BD133*'Waste results'!$S$55, "data missing"),
   IF(Calc!BD133=0,
     IF(OR('Waste results'!$S$19&lt;&gt;"data missing", 'Waste results'!$S$91&lt;&gt;"data missing"), Calc!BC133*'Waste results'!$S$19+ Calc!BE133*'Waste results'!$S$91, "data missing"),
   IF(Calc!BC133=0,
     IF(OR('Waste results'!$S$55&lt;&gt;"data missing", 'Waste results'!$S$91&lt;&gt;"data missing"), Calc!BD133*'Waste results'!$S$55+Calc!BE133*'Waste results'!$S$91, "data missing"),
   IF(OR('Waste results'!$S$19&lt;&gt;"data missing", 'Waste results'!$S$55&lt;&gt;"data missing", 'Waste results'!$S$91&lt;&gt;"data missing"), Calc!BC133*'Waste results'!$S$19+Calc!BD133*'Waste results'!$S$55+ Calc!BE133*'Waste results'!$S$91, "data missing")))))))))))</f>
        <v/>
      </c>
      <c r="P135" s="91" t="str">
        <f ca="1">IF(B135="","",
IF(OR(ISBLANK('Soil results'!H$7),ISBLANK('Soil results'!H138)),"data missing",
IF(OR(AND('Soil results'!H$7="ammonium nitrate (ADAS)",'Soil results'!H138&gt;400),AND('Soil results'!H$7="modified Morgan (SAC)",'Soil results'!H138&gt;400)),0,
IF(OR(AND('Soil results'!H$7="ammonium nitrate (ADAS)",'Soil results'!H138&gt;=121,'Soil results'!H138&lt;=180),AND('Soil results'!H$7="modified Morgan (SAC)",'Soil results'!H138&gt;=76,'Soil results'!H138&lt;=140)),VLOOKUP(Calc!BI133,'Fertiliser recommendations'!$A$4:$Z$63,26,FALSE),
IF(OR(AND('Soil results'!H$7="ammonium nitrate (ADAS)",'Soil results'!H138&lt;61),AND('Soil results'!H$7="modified Morgan (SAC)",'Soil results'!H138&lt;40)),VLOOKUP(Calc!BI133,'Fertiliser recommendations'!$A$4:$Z$63,26,FALSE)+VLOOKUP(Calc!BI133,'Fertiliser recommendations'!$A$4:$AA$63,27,FALSE),
IF(OR(AND('Soil results'!H$7="ammonium nitrate (ADAS)",'Soil results'!H138&lt;121),AND('Soil results'!H$7="modified Morgan (SAC)",'Soil results'!H138&lt;76)),VLOOKUP(Calc!BI133,'Fertiliser recommendations'!$A$4:$Z$63,26,FALSE)+VLOOKUP(Calc!BI133,'Fertiliser recommendations'!$A$4:$AB$63,28,FALSE),
IF(OR(AND('Soil results'!H$7="ammonium nitrate (ADAS)",'Soil results'!H138&lt;241),AND('Soil results'!H$7="modified Morgan (SAC)",'Soil results'!H138&lt;201)),VLOOKUP(Calc!BI133,'Fertiliser recommendations'!$A$4:$Z$63,26,FALSE)+VLOOKUP(Calc!BI133,'Fertiliser recommendations'!$A$4:$AC$63,29,FALSE),
IF(OR(AND('Soil results'!H$7="ammonium nitrate (ADAS)",'Soil results'!H138&lt;=400),AND('Soil results'!H$7="modified Morgan (SAC)",'Soil results'!H138&lt;=400)),VLOOKUP(Calc!BI133,'Fertiliser recommendations'!$A$4:$Z$63,26,FALSE)+VLOOKUP(Calc!BI133,'Fertiliser recommendations'!$A$4:$AD$63,30,FALSE),
"??"))))))))</f>
        <v/>
      </c>
      <c r="Q135" s="91" t="str">
        <f t="shared" ca="1" si="36"/>
        <v/>
      </c>
      <c r="R135" s="9" t="str">
        <f ca="1">IF(B135="","",
IF(OR(O135="data missing",P135="data missing"),"data missing",
IF(Calc!BF133=0,"n/a",
IF(P135=0, "no requirement",
IF(O135&lt;0.1*P135,"no benefit",
IF(O135&lt;0.3*P135,"limited benefit",
IF(O135&gt;1.25*P135,"excessive",
"benefit")))))))</f>
        <v/>
      </c>
      <c r="S135" s="9"/>
      <c r="T135" s="91" t="str">
        <f ca="1">IF(B135="","",
IF(AND('Field information 2'!$O$5="", 'Field information 2'!$Q$5=""),
   IF('Waste results'!$S$21&lt;&gt;"data missing", Calc!BC133*'Waste results'!$S$21, "data missing"),
IF('Field information 2'!$Q$5="",
   IF(Calc!BD133=0,
     IF('Waste results'!$S$21&lt;&gt;"data missing", Calc!BC133*'Waste results'!$S$21, "data missing"),
   IF(Calc!BC133=0,
     IF('Waste results'!$S$57&lt;&gt;"data missing", Calc!BD133*'Waste results'!$S$57, "data missing"),
   IF(OR('Waste results'!$S$21&lt;&gt;"data missing", 'Waste results'!$S$57&lt;&gt;"data missing"), Calc!BC133*'Waste results'!$S$21+ Calc!BD133*'Waste results'!$S$57, "data missing"))),
IF(AND('Field information 2'!$M$5&lt;&gt;"", 'Field information 2'!$O$5&lt;&gt;"", 'Field information 2'!$Q$5&lt;&gt;""),
   IF(AND(Calc!BD133=0,Calc!BE133=0),
     IF('Waste results'!$S$21&lt;&gt;"data missing", Calc!BC133*'Waste results'!$S$21, "data missing"),
   IF(AND(Calc!BC133=0,Calc!BE133=0),
     IF('Waste results'!$S$57&lt;&gt;"data missing", Calc!BD133*'Waste results'!$S$57, "data missing"),
   IF(AND(Calc!BC133=0,Calc!BD133=0),
     IF('Waste results'!$S$93&lt;&gt;"data missing", Calc!BE133*'Waste results'!$S$93, "data missing"),
   IF(Calc!BE133=0,
     IF(OR('Waste results'!$S$21&lt;&gt;"data missing", 'Waste results'!$S$57&lt;&gt;"data missing"), Calc!BC133*'Waste results'!$S$21+ Calc!BD133*'Waste results'!$S$57, "data missing"),
   IF(Calc!BD133=0,
     IF(OR('Waste results'!$S$21&lt;&gt;"data missing", 'Waste results'!$S$93&lt;&gt;"data missing"), Calc!BC133*'Waste results'!$S$21+ Calc!BE133*'Waste results'!$S$93, "data missing"),
   IF(Calc!BC133=0,
     IF(OR('Waste results'!$S$57&lt;&gt;"data missing", 'Waste results'!$S$93&lt;&gt;"data missing"), Calc!BD133*'Waste results'!$S$57+Calc!BE133*'Waste results'!$S$93, "data missing"),
   IF(OR('Waste results'!$S$21&lt;&gt;"data missing", 'Waste results'!$S$57&lt;&gt;"data missing", 'Waste results'!$S$93&lt;&gt;"data missing"), Calc!BC133*'Waste results'!$S$21+Calc!BD133*'Waste results'!$S$57+ Calc!BE133*'Waste results'!$S$93, "data missing")))))))))))</f>
        <v/>
      </c>
      <c r="U135" s="7" t="str">
        <f ca="1">IF(B135="","",
IF(OR(ISBLANK('Soil results'!I$7),ISBLANK('Soil results'!I138)),"data missing",
IF(OR(AND('Soil results'!I$7="ammonium nitrate (ADAS)",'Soil results'!I138&gt;51),AND('Soil results'!I$7="modified Morgan (SAC)",'Soil results'!I138&gt;61)),0,
IF(OR(AND('Soil results'!I$7="ammonium nitrate (ADAS)",'Soil results'!I138&lt;25),AND('Soil results'!I$7="modified Morgan (SAC)",'Soil results'!I138&lt;19)),VLOOKUP(Calc!BI133,'Fertiliser recommendations'!$A$4:$AH$63,34,FALSE),
IF(OR(AND('Soil results'!I$7="ammonium nitrate (ADAS)",'Soil results'!I138&lt;=51),AND('Soil results'!I$7="modified Morgan (SAC)",'Soil results'!I138&lt;=61)),VLOOKUP(Calc!BI133,'Fertiliser recommendations'!$A$4:$AI$63,35,FALSE),
"")))))</f>
        <v/>
      </c>
      <c r="V135" s="91" t="str">
        <f t="shared" ca="1" si="37"/>
        <v/>
      </c>
      <c r="W135" s="9" t="str">
        <f ca="1">IF(B135="","",
IF(OR(T135="data missing",U135="data missing"),"data missing",
IF(Calc!BF133=0,"n/a",
IF(U135=0,"no requirement",
IF(T135&lt;0.1*U135,"no benefit",
IF(T135&lt;0.3*U135,"limited benefit",
IF(OR(T135&gt;1.5*U135,AND(Calc!BJ133="g",T135&gt;100)),"excessive",
"benefit")))))))</f>
        <v/>
      </c>
      <c r="X135" s="9"/>
      <c r="Y135" s="91" t="str">
        <f ca="1">IF(B135="","",
IF(AND('Field information 2'!$O$5="", 'Field information 2'!$Q$5=""),
   IF('Waste results'!$P$23&lt;&gt;"", Calc!BC133*'Waste results'!$P$23, "no data"),
IF('Field information 2'!$Q$5="",
   IF(Calc!BD133=0,
     IF('Waste results'!$P$23&lt;&gt;"", Calc!BC133*'Waste results'!$P$23, "no data"),
   IF(Calc!BC133=0,
     IF('Waste results'!$P$59&lt;&gt;"", Calc!BD133*'Waste results'!$P$59, "no data"),
   IF(OR('Waste results'!$P$23&lt;&gt;"", 'Waste results'!$P$59&lt;&gt;""), Calc!BC133*'Waste results'!$P$23+ Calc!BD133*'Waste results'!$P$59, "no data"))),
IF(AND('Field information 2'!$M$5&lt;&gt;"", 'Field information 2'!$O$5&lt;&gt;"", 'Field information 2'!$Q$5&lt;&gt;""),
   IF(AND(Calc!BD133=0,Calc!BE133=0),
     IF('Waste results'!$P$23&lt;&gt;"", Calc!BC133*'Waste results'!$P$23, "no data"),
   IF(AND(Calc!BC133=0,Calc!BE133=0),
     IF('Waste results'!$P$59&lt;&gt;"", Calc!BD133*'Waste results'!$P$59, "no data"),
   IF(AND(Calc!BC133=0,Calc!BD133=0),
     IF('Waste results'!$P$95&lt;&gt;"", Calc!BE133*'Waste results'!$P$95, "no data"),
   IF(Calc!BE133=0,
     IF(OR('Waste results'!$P$23&lt;&gt;"", 'Waste results'!$P$59&lt;&gt;""), Calc!BC133*'Waste results'!$P$23+ Calc!BD133*'Waste results'!$P$59, "no data"),
   IF(Calc!BD133=0,
     IF(OR('Waste results'!$P$23&lt;&gt;"", 'Waste results'!$P$95&lt;&gt;""), Calc!BC133*'Waste results'!$P$23+ Calc!BE133*'Waste results'!$P$95, "no data"),
   IF(Calc!BC133=0,
     IF(OR('Waste results'!$P$59&lt;&gt;"", 'Waste results'!$P$95&lt;&gt;""), Calc!BD133*'Waste results'!$P$59+Calc!BE133*'Waste results'!$P$95, "no data"),
   IF(OR('Waste results'!$P$23&lt;&gt;"", 'Waste results'!$P$59&lt;&gt;"", 'Waste results'!$P$95&lt;&gt;""), Calc!BC133*'Waste results'!$P$23+Calc!BD133*'Waste results'!$P$59+ Calc!BE133*'Waste results'!$P$95, "no data")))))))))))</f>
        <v/>
      </c>
      <c r="Z135" s="7" t="str">
        <f ca="1">IF(OR(ISBLANK('Soil results'!I$7),ISBLANK('Soil results'!I138),'Soil results'!B138=""),"",
VLOOKUP(Calc!BI133,'Fertiliser recommendations'!$A$4:$AM$63,39,FALSE))</f>
        <v/>
      </c>
      <c r="AA135" s="91" t="str">
        <f t="shared" ca="1" si="38"/>
        <v/>
      </c>
      <c r="AB135" s="9" t="str">
        <f t="shared" ca="1" si="39"/>
        <v/>
      </c>
      <c r="AC135" s="9"/>
      <c r="AD135" s="48" t="str">
        <f>IF(ISBLANK('Soil results'!F138),"",'Soil results'!F138)</f>
        <v/>
      </c>
      <c r="AE135" s="49" t="str">
        <f ca="1">IF(B135="","",
IF(AND(Calc!BJ133="g", VLOOKUP(LEFT($B135,LEN($B135)-2),'Field information 2'!$B$12:$P$111,9,FALSE)&lt;&gt;"yes"),
 IF(Calc!BG133="10-25% OM", 5.9, IF(Calc!BG133="&gt;25% OM", 5.5, 6.2)),
IF(OR(Calc!BJ133="a", VLOOKUP(LEFT($B135,LEN($B135)-2),'Field information 2'!$B$12:$P$111,9,FALSE)="yes"),
 IF(Calc!BG133="10-25% OM", 6.4, IF(Calc!BG133="&gt;25% OM", 6, 6.7)), "")))</f>
        <v/>
      </c>
      <c r="AF135" s="91" t="str">
        <f ca="1">IF(B135="","",
IF('Waste results'!$Q$33="","no (significant) liming properties",
IF('Waste results'!Q$33&gt;100,"no (significant) liming properties",
IF(AD135="","",
IF(AD135&gt;=AE135,0,ROUNDDOWN((AE135-AD135)*Calc!BK133*'Waste results'!$Q$33+0.2,0))))))</f>
        <v/>
      </c>
      <c r="AG135" s="9" t="str">
        <f ca="1">IF(B135="","",
IF(T135=0,"n/a",
IF(AD135="","data missing",
IF(AND(AD135&lt;5,AF135="no (significant) liming properties"),"no waste application - pH too low",
IF(AND(AD135&gt;5.1,AF135="no (significant) liming properties",Calc!BH133&gt;25, LEFT(Calc!BI133,4)="graz"),"ok",
IF(AND(AD135&lt;=5.2,AF135="no (significant) liming properties"),"liming highly recommended",
IF(AF135=0,"no waste application - liming not required",
IF(AF135&lt;Calc!BC133,"application rate too high - exceeds liming requirement",
"ok"))))))))</f>
        <v/>
      </c>
      <c r="AH135" s="9"/>
      <c r="AI135" s="91" t="str">
        <f ca="1">IF(B135="","",
IF(AND('Field information 2'!$O$5="", 'Field information 2'!$Q$5=""),
   IF('Waste results'!$P$10&lt;&gt;"data missing", Calc!BC133*'Waste results'!$P$10, "data missing"),
IF('Field information 2'!$Q$5="",
   IF(Calc!BD133=0,
     IF('Waste results'!$P$10&lt;&gt;"data missing", Calc!BC133*'Waste results'!$P$10, "data missing"),
   IF(Calc!BC133=0,
     IF('Waste results'!$P$45&lt;&gt;"data missing", Calc!BD133*'Waste results'!$P$45, "data missing"),
   IF(OR('Waste results'!$P$10&lt;&gt;"data missing", 'Waste results'!$P$45&lt;&gt;"data missing"), Calc!BC133*'Waste results'!$P$10+ Calc!BD133*'Waste results'!$P$45, "data missing"))),
IF(AND('Field information 2'!$M$5&lt;&gt;"", 'Field information 2'!$O$5&lt;&gt;"", 'Field information 2'!$Q$5&lt;&gt;""),
   IF(AND(Calc!BD133=0,Calc!BE133=0),
     IF('Waste results'!$P$10&lt;&gt;"data missing", Calc!BC133*'Waste results'!$P$10, "data missing"),
   IF(AND(Calc!BC133=0,Calc!BE133=0),
     IF('Waste results'!$P$45&lt;&gt;"data missing", Calc!BD133*'Waste results'!$P$45, "data missing"),
   IF(AND(Calc!BC133=0,Calc!BD133=0),
     IF('Waste results'!$P$82&lt;&gt;"data missing", Calc!BE133*'Waste results'!$P$82, "data missing"),
   IF(Calc!BE133=0,
     IF(OR('Waste results'!$P$10&lt;&gt;"data missing", 'Waste results'!$P$45&lt;&gt;"data missing"), Calc!BC133*'Waste results'!$P$10+ Calc!BD133*'Waste results'!$P$45, "data missing"),
   IF(Calc!BD133=0,
     IF(OR('Waste results'!$P$10&lt;&gt;"data missing", 'Waste results'!$P$82&lt;&gt;"data missing"), Calc!BC133*'Waste results'!$P$10+ Calc!BE133*'Waste results'!$P$82, "data missing"),
   IF(Calc!BC133=0,
     IF(OR('Waste results'!$P$45&lt;&gt;"data missing", 'Waste results'!$P$82&lt;&gt;"data missing"), Calc!BD133*'Waste results'!$P$45+Calc!BE133*'Waste results'!$P$82, "data missing"),
   IF(OR('Waste results'!$P$10&lt;&gt;"data missing", 'Waste results'!$P$45&lt;&gt;"data missing", 'Waste results'!$P$82&lt;&gt;"data missing"), Calc!BC133*'Waste results'!$P$10+Calc!BD133*'Waste results'!$P$45+ Calc!BE133*'Waste results'!$P$82, "data missing")))))))))))</f>
        <v/>
      </c>
      <c r="AJ135" s="237" t="str">
        <f ca="1">IF(B135="","",
IF(AI135="data missing","data missing",
IF(Calc!BF133=0,"n/a",
IF(AND(Calc!BH133&gt;=8,AI135&lt;500),"no benefit",
IF(OR(AND(Calc!BH133&lt;=4,AI135&gt;=500),AND(Calc!BH133&lt;8,AI135&gt;5000)),"benefit",
"limited benefit")))))</f>
        <v/>
      </c>
      <c r="AK135" s="9"/>
      <c r="AL135" s="238" t="str">
        <f ca="1">IF(B135="","",
IF(AND('Field information 2'!$O$5="", 'Field information 2'!$Q$5=""),
   IF('Waste results'!$S$25&lt;&gt;"data missing", Calc!BC133*'Waste results'!$S$25, "data missing"),
IF('Field information 2'!$Q$5="",
   IF(Calc!BD133=0,
     IF('Waste results'!$S$25&lt;&gt;"data missing", Calc!BC133*'Waste results'!$S$25, "data missing"),
   IF(Calc!BC133=0,
     IF('Waste results'!$S$61&lt;&gt;"data missing", Calc!BD133*'Waste results'!$S$61, "data missing"),
   IF(OR('Waste results'!$S$25&lt;&gt;"data missing", 'Waste results'!$S$61&lt;&gt;"data missing"), Calc!BC133*'Waste results'!$S$25+ Calc!BD133*'Waste results'!$S$61, "data missing"))),
IF(AND('Field information 2'!$M$5&lt;&gt;"", 'Field information 2'!$O$5&lt;&gt;"", 'Field information 2'!$Q$5&lt;&gt;""),
   IF(AND(Calc!BD133=0,Calc!BE133=0),
     IF('Waste results'!$S$25&lt;&gt;"data missing", Calc!BC133*'Waste results'!$S$25, "data missing"),
   IF(AND(Calc!BC133=0,Calc!BE133=0),
     IF('Waste results'!$S$61&lt;&gt;"data missing", Calc!BD133*'Waste results'!$S$61, "data missing"),
   IF(AND(Calc!BC133=0,Calc!BD133=0),
     IF('Waste results'!$S$97&lt;&gt;"data missing", Calc!BE133*'Waste results'!$S$97, "data missing"),
   IF(Calc!BE133=0,
     IF(OR('Waste results'!$S$25&lt;&gt;"data missing", 'Waste results'!$S$61&lt;&gt;"data missing"), Calc!BC133*'Waste results'!$S$25+ Calc!BD133*'Waste results'!$S$61, "data missing"),
   IF(Calc!BD133=0,
     IF(OR('Waste results'!$S$25&lt;&gt;"data missing", 'Waste results'!$S$97&lt;&gt;"data missing"), Calc!BC133*'Waste results'!$S$25+ Calc!BE133*'Waste results'!$S$97, "data missing"),
   IF(Calc!BC133=0,
     IF(OR('Waste results'!$S$61&lt;&gt;"data missing", 'Waste results'!$S$97&lt;&gt;"data missing"), Calc!BD133*'Waste results'!$S$61+Calc!BE133*'Waste results'!$S$97, "data missing"),
   IF(OR('Waste results'!$S$25&lt;&gt;"data missing", 'Waste results'!$S$61&lt;&gt;"data missing", 'Waste results'!$S$97&lt;&gt;"data missing"), Calc!BC133*'Waste results'!$S$25+Calc!BD133*'Waste results'!$S$61+ Calc!BE133*'Waste results'!$S$97, "data missing")))))))))))</f>
        <v/>
      </c>
      <c r="AM135" s="239" t="str">
        <f ca="1">IF($B135="","",
IF(ISBLANK('Soil results'!K138),"data missing",'Soil results'!K138))</f>
        <v/>
      </c>
      <c r="AN135" s="239" t="str">
        <f t="shared" ca="1" si="40"/>
        <v/>
      </c>
      <c r="AO135" s="9" t="str">
        <f t="shared" ca="1" si="41"/>
        <v/>
      </c>
      <c r="AP135" s="9"/>
      <c r="AQ135" s="240" t="str">
        <f ca="1">IF(B135="","",
IF(AND('Field information 2'!$O$5="", 'Field information 2'!$Q$5=""),
   IF('Waste results'!$S$26&lt;&gt;"data missing", Calc!BC133*'Waste results'!$S$26, "data missing"),
IF('Field information 2'!$Q$5="",
   IF(Calc!BD133=0,
     IF('Waste results'!$S$26&lt;&gt;"data missing", Calc!BC133*'Waste results'!$S$26, "data missing"),
   IF(Calc!BC133=0,
     IF('Waste results'!$S$62&lt;&gt;"data missing", Calc!BD133*'Waste results'!$S$62, "data missing"),
   IF(OR('Waste results'!$S$26&lt;&gt;"data missing", 'Waste results'!$S$62&lt;&gt;"data missing"), Calc!BC133*'Waste results'!$S$26+ Calc!BD133*'Waste results'!$S$62, "data missing"))),
IF(AND('Field information 2'!$M$5&lt;&gt;"", 'Field information 2'!$O$5&lt;&gt;"", 'Field information 2'!$Q$5&lt;&gt;""),
   IF(AND(Calc!BD133=0,Calc!BE133=0),
     IF('Waste results'!$S$26&lt;&gt;"data missing", Calc!BC133*'Waste results'!$S$26, "data missing"),
   IF(AND(Calc!BC133=0,Calc!BE133=0),
     IF('Waste results'!$S$62&lt;&gt;"data missing", Calc!BD133*'Waste results'!$S$62, "data missing"),
   IF(AND(Calc!BC133=0,Calc!BD133=0),
     IF('Waste results'!$S$98&lt;&gt;"data missing", Calc!BE133*'Waste results'!$S$98, "data missing"),
   IF(Calc!BE133=0,
     IF(OR('Waste results'!$S$26&lt;&gt;"data missing", 'Waste results'!$S$62&lt;&gt;"data missing"), Calc!BC133*'Waste results'!$S$26+ Calc!BD133*'Waste results'!$S$62, "data missing"),
   IF(Calc!BD133=0,
     IF(OR('Waste results'!$S$26&lt;&gt;"data missing", 'Waste results'!$S$98&lt;&gt;"data missing"), Calc!BC133*'Waste results'!$S$26+ Calc!BE133*'Waste results'!$S$98, "data missing"),
   IF(Calc!BC133=0,
     IF(OR('Waste results'!$S$62&lt;&gt;"data missing", 'Waste results'!$S$98&lt;&gt;"data missing"), Calc!BD133*'Waste results'!$S$62+Calc!BE133*'Waste results'!$S$98, "data missing"),
   IF(OR('Waste results'!$S$26&lt;&gt;"data missing", 'Waste results'!$S$62&lt;&gt;"data missing", 'Waste results'!$S$98&lt;&gt;"data missing"), Calc!BC133*'Waste results'!$S$26+Calc!BD133*'Waste results'!$S$62+ Calc!BE133*'Waste results'!$S$98, "data missing")))))))))))</f>
        <v/>
      </c>
      <c r="AR135" s="241" t="str">
        <f ca="1">IF($B135="","",
IF(ISBLANK('Soil results'!L138),"data missing",'Soil results'!L138))</f>
        <v/>
      </c>
      <c r="AS135" s="241" t="str">
        <f t="shared" ca="1" si="42"/>
        <v/>
      </c>
      <c r="AT135" s="66" t="str">
        <f t="shared" ca="1" si="43"/>
        <v/>
      </c>
      <c r="AU135" s="9"/>
      <c r="AV135" s="238" t="str">
        <f ca="1">IF(B135="","",
IF(AND('Field information 2'!$O$5="", 'Field information 2'!$Q$5=""),
   IF('Waste results'!$S$27&lt;&gt;"data missing", Calc!BC133*'Waste results'!$S$27, "data missing"),
IF('Field information 2'!$Q$5="",
   IF(Calc!BD133=0,
     IF('Waste results'!$S$27&lt;&gt;"data missing", Calc!BC133*'Waste results'!$S$27, "data missing"),
   IF(Calc!BC133=0,
     IF('Waste results'!$S$63&lt;&gt;"data missing", Calc!BD133*'Waste results'!$S$63, "data missing"),
   IF(OR('Waste results'!$S$27&lt;&gt;"data missing", 'Waste results'!$S$63&lt;&gt;"data missing"), Calc!BC133*'Waste results'!$S$27+ Calc!BD133*'Waste results'!$S$63, "data missing"))),
IF(AND('Field information 2'!$M$5&lt;&gt;"", 'Field information 2'!$O$5&lt;&gt;"", 'Field information 2'!$Q$5&lt;&gt;""),
   IF(AND(Calc!BD133=0,Calc!BE133=0),
     IF('Waste results'!$S$27&lt;&gt;"data missing", Calc!BC133*'Waste results'!$S$27, "data missing"),
   IF(AND(Calc!BC133=0,Calc!BE133=0),
     IF('Waste results'!$S$63&lt;&gt;"data missing", Calc!BD133*'Waste results'!$S$63, "data missing"),
   IF(AND(Calc!BC133=0,Calc!BD133=0),
     IF('Waste results'!$S$99&lt;&gt;"data missing", Calc!BE133*'Waste results'!$S$99, "data missing"),
   IF(Calc!BE133=0,
     IF(OR('Waste results'!$S$27&lt;&gt;"data missing", 'Waste results'!$S$63&lt;&gt;"data missing"), Calc!BC133*'Waste results'!$S$27+ Calc!BD133*'Waste results'!$S$63, "data missing"),
   IF(Calc!BD133=0,
     IF(OR('Waste results'!$S$27&lt;&gt;"data missing", 'Waste results'!$S$99&lt;&gt;"data missing"), Calc!BC133*'Waste results'!$S$27+ Calc!BE133*'Waste results'!$S$99, "data missing"),
   IF(Calc!BC133=0,
     IF(OR('Waste results'!$S$63&lt;&gt;"data missing", 'Waste results'!$S$99&lt;&gt;"data missing"), Calc!BD133*'Waste results'!$S$63+Calc!BE133*'Waste results'!$S$99, "data missing"),
   IF(OR('Waste results'!$S$27&lt;&gt;"data missing", 'Waste results'!$S$63&lt;&gt;"data missing", 'Waste results'!$S$99&lt;&gt;"data missing"), Calc!BC133*'Waste results'!$S$27+Calc!BD133*'Waste results'!$S$63+ Calc!BE133*'Waste results'!$S$99, "data missing")))))))))))</f>
        <v/>
      </c>
      <c r="AW135" s="239" t="str">
        <f ca="1">IF($B135="","",
IF(ISBLANK('Soil results'!M138),"data missing",'Soil results'!M138))</f>
        <v/>
      </c>
      <c r="AX135" s="239" t="str">
        <f t="shared" ca="1" si="44"/>
        <v/>
      </c>
      <c r="AY135" s="9" t="str">
        <f ca="1">IF(B135="","",
IF(AV135=0,"n/a",
IF(OR(AV135="data missing",AW135="data missing"),"data missing",
IF(AV135&gt;7.5,"application rate too high - permissible rate exceeds limit",
IF('Soil results'!$F138&lt;=5.5,
  IF(AW135&gt;80,"no application - soil conc. already above limit",
  IF(AX135&gt;80,"application rate too high - soil conc. will exceed limit",
  IF(AW135&gt;80*0.9,"soil conc. is at or above 90% of the limit",
  IF(10*AV135*1000/3000+AW135&gt;80,"soil limit likely to be exceeded in 10yrs",
  IF(50*AV135*1000/3000+AW135&gt;80,"soil limit likely to be exceeded in 50yrs","ok"))))),
IF('Soil results'!$F138&lt;=6,
  IF(AW135&gt;100,"no application - soil conc. already above limit",
  IF(AX135&gt;100,"application rate too high - soil conc. will exceed limit",
  IF(AW135&gt;100*0.9,"soil conc. is at or above 90% of the limit",
  IF(10*AV135*1000/3000+AW135&gt;100,"soil limit likely to be exceeded in 10yrs",
  IF(50*AV135*1000/3000+AW135&gt;100,"soil limit likely to be exceeded in 50yrs","ok"))))),
IF('Soil results'!$F138&lt;=7,
  IF(AW135&gt;135,"no application - soil conc. already above limit",
  IF(AX135&gt;135,"application rate too high - soil conc. will exceed limit",
  IF(AW135&gt;135*0.9,"soil conc. is at or above 90% of the limit",
  IF(10*AV135*1000/3000+AW135&gt;135,"soil limit likely to be exceeded in 10yrs",
  IF(50*AV135*1000/3000+AW135&gt;135,"soil limit likely to be exceeded in 50yrs","ok"))))),
IF('Soil results'!$F138&gt;7,
  IF(AW135&gt;200,"no application - soil conc. already above limit",
  IF(AX135&gt;200,"application too high - soil conc. will exceed limit",
  IF(AW135&gt;200*0.9,"soil conc. is at or above 90% of the limit",
  IF(10*AV135*1000/3000+AW135&gt;200,"soil limit likely to be exceeded in 10yrs",
  IF(50*AV135*1000/3000+AW135&gt;200,"soil limit likely to be exceeded in 50yrs","ok")))))
))))))))</f>
        <v/>
      </c>
      <c r="AZ135" s="9"/>
      <c r="BA135" s="238" t="str">
        <f ca="1">IF(B135="","",
IF(AND('Field information 2'!$O$5="", 'Field information 2'!$Q$5=""),
   IF('Waste results'!$S$28&lt;&gt;"data missing", Calc!BC133*'Waste results'!$S$28, "data missing"),
IF('Field information 2'!$Q$5="",
   IF(Calc!BD133=0,
     IF('Waste results'!$S$28&lt;&gt;"data missing", Calc!BC133*'Waste results'!$S$28, "data missing"),
   IF(Calc!BC133=0,
     IF('Waste results'!$S$64&lt;&gt;"data missing", Calc!BD133*'Waste results'!$S$64, "data missing"),
   IF(OR('Waste results'!$S$28&lt;&gt;"data missing", 'Waste results'!$S$64&lt;&gt;"data missing"), Calc!BC133*'Waste results'!$S$28+ Calc!BD133*'Waste results'!$S$64, "data missing"))),
IF(AND('Field information 2'!$M$5&lt;&gt;"", 'Field information 2'!$O$5&lt;&gt;"", 'Field information 2'!$Q$5&lt;&gt;""),
   IF(AND(Calc!BD133=0,Calc!BE133=0),
     IF('Waste results'!$S$28&lt;&gt;"data missing", Calc!BC133*'Waste results'!$S$28, "data missing"),
   IF(AND(Calc!BC133=0,Calc!BE133=0),
     IF('Waste results'!$S$64&lt;&gt;"data missing", Calc!BD133*'Waste results'!$S$64, "data missing"),
   IF(AND(Calc!BC133=0,Calc!BD133=0),
     IF('Waste results'!$S$100&lt;&gt;"data missing", Calc!BE133*'Waste results'!$S$100, "data missing"),
   IF(Calc!BE133=0,
     IF(OR('Waste results'!$S$28&lt;&gt;"data missing", 'Waste results'!$S$64&lt;&gt;"data missing"), Calc!BC133*'Waste results'!$S$28+ Calc!BD133*'Waste results'!$S$64, "data missing"),
   IF(Calc!BD133=0,
     IF(OR('Waste results'!$S$28&lt;&gt;"data missing", 'Waste results'!$S$100&lt;&gt;"data missing"), Calc!BC133*'Waste results'!$S$28+ Calc!BE133*'Waste results'!$S$100, "data missing"),
   IF(Calc!BC133=0,
     IF(OR('Waste results'!$S$64&lt;&gt;"data missing", 'Waste results'!$S$100&lt;&gt;"data missing"), Calc!BD133*'Waste results'!$S$64+Calc!BE133*'Waste results'!$S$100, "data missing"),
   IF(OR('Waste results'!$S$28&lt;&gt;"data missing", 'Waste results'!$S$64&lt;&gt;"data missing", 'Waste results'!$S$100&lt;&gt;"data missing"), Calc!BC133*'Waste results'!$S$28+Calc!BD133*'Waste results'!$S$64+ Calc!BE133*'Waste results'!$S$100, "data missing")))))))))))</f>
        <v/>
      </c>
      <c r="BB135" s="239" t="str">
        <f ca="1">IF($B135="","",
IF(ISBLANK('Soil results'!N138),"data missing",'Soil results'!N138))</f>
        <v/>
      </c>
      <c r="BC135" s="239" t="str">
        <f t="shared" ca="1" si="45"/>
        <v/>
      </c>
      <c r="BD135" s="9" t="str">
        <f t="shared" ca="1" si="46"/>
        <v/>
      </c>
      <c r="BE135" s="9"/>
      <c r="BF135" s="238" t="str">
        <f ca="1">IF(B135="","",
IF(AND('Field information 2'!$O$5="", 'Field information 2'!$Q$5=""),
   IF('Waste results'!$S$29&lt;&gt;"data missing", Calc!BC133*'Waste results'!$S$29, "data missing"),
IF('Field information 2'!$Q$5="",
   IF(Calc!BD133=0,
     IF('Waste results'!$S$29&lt;&gt;"data missing", Calc!BC133*'Waste results'!$S$29, "data missing"),
   IF(Calc!BC133=0,
     IF('Waste results'!$S$65&lt;&gt;"data missing", Calc!BD133*'Waste results'!$S$65, "data missing"),
   IF(OR('Waste results'!$S$29&lt;&gt;"data missing", 'Waste results'!$S$65&lt;&gt;"data missing"), Calc!BC133*'Waste results'!$S$29+ Calc!BD133*'Waste results'!$S$65, "data missing"))),
IF(AND('Field information 2'!$M$5&lt;&gt;"", 'Field information 2'!$O$5&lt;&gt;"", 'Field information 2'!$Q$5&lt;&gt;""),
   IF(AND(Calc!BD133=0,Calc!BE133=0),
     IF('Waste results'!$S$29&lt;&gt;"data missing", Calc!BC133*'Waste results'!$S$29, "data missing"),
   IF(AND(Calc!BC133=0,Calc!BE133=0),
     IF('Waste results'!$S$65&lt;&gt;"data missing", Calc!BD133*'Waste results'!$S$65, "data missing"),
   IF(AND(Calc!BC133=0,Calc!BD133=0),
     IF('Waste results'!$S$101&lt;&gt;"data missing", Calc!BE133*'Waste results'!$S$101, "data missing"),
   IF(Calc!BE133=0,
     IF(OR('Waste results'!$S$29&lt;&gt;"data missing", 'Waste results'!$S$65&lt;&gt;"data missing"), Calc!BC133*'Waste results'!$S$29+ Calc!BD133*'Waste results'!$S$65, "data missing"),
   IF(Calc!BD133=0,
     IF(OR('Waste results'!$S$29&lt;&gt;"data missing", 'Waste results'!$S$101&lt;&gt;"data missing"), Calc!BC133*'Waste results'!$S$29+ Calc!BE133*'Waste results'!$S$101, "data missing"),
   IF(Calc!BC133=0,
     IF(OR('Waste results'!$S$65&lt;&gt;"data missing", 'Waste results'!$S$101&lt;&gt;"data missing"), Calc!BD133*'Waste results'!$S$65+Calc!BE133*'Waste results'!$S$101, "data missing"),
   IF(OR('Waste results'!$S$29&lt;&gt;"data missing", 'Waste results'!$S$65&lt;&gt;"data missing", 'Waste results'!$S$101&lt;&gt;"data missing"), Calc!BC133*'Waste results'!$S$29+Calc!BD133*'Waste results'!$S$65+ Calc!BE133*'Waste results'!$S$101, "data missing")))))))))))</f>
        <v/>
      </c>
      <c r="BG135" s="239" t="str">
        <f ca="1">IF($B135="","",
IF(ISBLANK('Soil results'!O138),"data missing",'Soil results'!O138))</f>
        <v/>
      </c>
      <c r="BH135" s="239" t="str">
        <f t="shared" ca="1" si="47"/>
        <v/>
      </c>
      <c r="BI135" s="9" t="str">
        <f ca="1">IF(B135="","",
IF(BF135=0,"n/a",
IF(OR(BF135="data missing",BG135="data missing"),"data missing",
IF(BF135&gt;3,"application rate too high - permissible rate exceeds limit",
IF('Soil results'!F138&lt;=5.5,
  IF(BG135&gt;50,"no application - soil conc. already above limit",
  IF(BH135&gt;50,"application rate too high - soil conc. will exceed limit",
  IF(BG135&gt;50*0.9,"soil conc. is at or above 90% of the limit",
  IF(10*BF135*1000/3000+BG135&gt;50,"soil limit likely to be exceeded in 10yrs",
  IF(50*BF135*1000/3000+BG135&gt;50,"soil limit likely to be exceeded in 50yrs","ok"))))),
IF('Soil results'!F138&lt;=6,
  IF(BG135&gt;60,"no application - soil conc. already above limit",
  IF(BH135&gt;60,"application rate too high - soil conc. will exceed limit",
  IF(BG135&gt;60*0.9,"soil conc. is at or above 90% of the limit",
  IF(10*BF135*1000/3000+BG135&gt;60,"soil limit likely to be exceeded in 10yrs",
  IF(50*BF135*1000/3000+BG135&gt;60,"soil limit likely to be exceeded in 50yrs","ok"))))),
IF('Soil results'!F138&lt;=7,
  IF(BG135&gt;75,"no application - soil conc. already above limit",
  IF(BH135&gt;75,"application rate too high - soil conc. will exceed limit",
  IF(BG135&gt;75*0.9,"soil conc. is at or above 90% of the limit",
  IF(10*BF135*1000/3000+BG135&gt;75,"soil limit likely to be exceeded in 10yrs",
  IF(50*BF135*1000/3000+BG135&gt;75,"soil limit likely to be exceeded in 50yrs","ok"))))),
IF('Soil results'!F138&gt;7,
  IF(BG135&gt;100,"no application - soil conc. already above limit",
  IF(BH135&gt;100,"application rate too high - soil conc. will exceed limit",
  IF(BG135&gt;100*0.9,"soil conc. is at or above 90% of the limit",
  IF(10*BF135*1000/3000+BG135&gt;100,"soil limit likely to be exceeded in 10yrs",
  IF(50*BF135*1000/3000+BG135&gt;100,"soil limit likely to beexceeded in 50yrs","ok")))))
))))))))</f>
        <v/>
      </c>
      <c r="BJ135" s="9"/>
      <c r="BK135" s="240" t="str">
        <f ca="1">IF(B135="","",
IF(AND('Field information 2'!$O$5="", 'Field information 2'!$Q$5=""),
   IF('Waste results'!$S$30&lt;&gt;"data missing", Calc!BC133*'Waste results'!$S$30, "data missing"),
IF('Field information 2'!$Q$5="",
   IF(Calc!BD133=0,
     IF('Waste results'!$S$30&lt;&gt;"data missing", Calc!BC133*'Waste results'!$S$30, "data missing"),
   IF(Calc!BC133=0,
     IF('Waste results'!$S$66&lt;&gt;"data missing", Calc!BD133*'Waste results'!$S$66, "data missing"),
   IF(OR('Waste results'!$S$30&lt;&gt;"data missing", 'Waste results'!$S$66&lt;&gt;"data missing"), Calc!BC133*'Waste results'!$S$30+ Calc!BD133*'Waste results'!$S$66, "data missing"))),
IF(AND('Field information 2'!$M$5&lt;&gt;"", 'Field information 2'!$O$5&lt;&gt;"", 'Field information 2'!$Q$5&lt;&gt;""),
   IF(AND(Calc!BD133=0,Calc!BE133=0),
     IF('Waste results'!$S$30&lt;&gt;"data missing", Calc!BC133*'Waste results'!$S$30, "data missing"),
   IF(AND(Calc!BC133=0,Calc!BE133=0),
     IF('Waste results'!$S$66&lt;&gt;"data missing", Calc!BD133*'Waste results'!$S$66, "data missing"),
   IF(AND(Calc!BC133=0,Calc!BD133=0),
     IF('Waste results'!$S$102&lt;&gt;"data missing", Calc!BE133*'Waste results'!$S$102, "data missing"),
   IF(Calc!BE133=0,
     IF(OR('Waste results'!$S$30&lt;&gt;"data missing", 'Waste results'!$S$66&lt;&gt;"data missing"), Calc!BC133*'Waste results'!$S$30+ Calc!BD133*'Waste results'!$S$66, "data missing"),
   IF(Calc!BD133=0,
     IF(OR('Waste results'!$S$30&lt;&gt;"data missing", 'Waste results'!$S$102&lt;&gt;"data missing"), Calc!BC133*'Waste results'!$S$30+ Calc!BE133*'Waste results'!$S$102, "data missing"),
   IF(Calc!BC133=0,
     IF(OR('Waste results'!$S$66&lt;&gt;"data missing", 'Waste results'!$S$102&lt;&gt;"data missing"), Calc!BD133*'Waste results'!$S$66+Calc!BE133*'Waste results'!$S$102, "data missing"),
   IF(OR('Waste results'!$S$30&lt;&gt;"data missing", 'Waste results'!$S$66&lt;&gt;"data missing", 'Waste results'!$S$102&lt;&gt;"data missing"), Calc!BC133*'Waste results'!$S$30+Calc!BD133*'Waste results'!$S$66+ Calc!BE133*'Waste results'!$S$102, "data missing")))))))))))</f>
        <v/>
      </c>
      <c r="BL135" s="241" t="str">
        <f ca="1">IF($B135="","",
IF(ISBLANK('Soil results'!P138),"data missing",'Soil results'!P138))</f>
        <v/>
      </c>
      <c r="BM135" s="241" t="str">
        <f t="shared" ca="1" si="48"/>
        <v/>
      </c>
      <c r="BN135" s="66" t="str">
        <f t="shared" ca="1" si="49"/>
        <v/>
      </c>
      <c r="BO135" s="9"/>
      <c r="BP135" s="238" t="str">
        <f ca="1">IF(B135="","",
IF(AND('Field information 2'!$O$5="", 'Field information 2'!$Q$5=""),
   IF('Waste results'!$S$31&lt;&gt;"data missing", Calc!BC133*'Waste results'!$S$31, "data missing"),
IF('Field information 2'!$Q$5="",
   IF(Calc!BD133=0,
     IF('Waste results'!$S$31&lt;&gt;"data missing", Calc!BC133*'Waste results'!$S$31, "data missing"),
   IF(Calc!BC133=0,
     IF('Waste results'!$S$67&lt;&gt;"data missing", Calc!BD133*'Waste results'!$S$67, "data missing"),
   IF(OR('Waste results'!$S$31&lt;&gt;"data missing", 'Waste results'!$S$67&lt;&gt;"data missing"), Calc!BC133*'Waste results'!$S$31+ Calc!BD133*'Waste results'!$S$67, "data missing"))),
IF(AND('Field information 2'!$M$5&lt;&gt;"", 'Field information 2'!$O$5&lt;&gt;"", 'Field information 2'!$Q$5&lt;&gt;""),
   IF(AND(Calc!BD133=0,Calc!BE133=0),
     IF('Waste results'!$S$31&lt;&gt;"data missing", Calc!BC133*'Waste results'!$S$31, "data missing"),
   IF(AND(Calc!BC133=0,Calc!BE133=0),
     IF('Waste results'!$S$67&lt;&gt;"data missing", Calc!BD133*'Waste results'!$S$67, "data missing"),
   IF(AND(Calc!BC133=0,Calc!BD133=0),
     IF('Waste results'!$S$103&lt;&gt;"data missing", Calc!BE133*'Waste results'!$S$103, "data missing"),
   IF(Calc!BE133=0,
     IF(OR('Waste results'!$S$31&lt;&gt;"data missing", 'Waste results'!$S$67&lt;&gt;"data missing"), Calc!BC133*'Waste results'!$S$31+ Calc!BD133*'Waste results'!$S$67, "data missing"),
   IF(Calc!BD133=0,
     IF(OR('Waste results'!$S$31&lt;&gt;"data missing", 'Waste results'!$S$103&lt;&gt;"data missing"), Calc!BC133*'Waste results'!$S$31+ Calc!BE133*'Waste results'!$S$103, "data missing"),
   IF(Calc!BC133=0,
     IF(OR('Waste results'!$S$67&lt;&gt;"data missing", 'Waste results'!$S$103&lt;&gt;"data missing"), Calc!BD133*'Waste results'!$S$67+Calc!BE133*'Waste results'!$S$103, "data missing"),
   IF(OR('Waste results'!$S$31&lt;&gt;"data missing", 'Waste results'!$S$67&lt;&gt;"data missing", 'Waste results'!$S$103&lt;&gt;"data missing"), Calc!BC133*'Waste results'!$S$31+Calc!BD133*'Waste results'!$S$67+ Calc!BE133*'Waste results'!$S$103, "data missing")))))))))))</f>
        <v/>
      </c>
      <c r="BQ135" s="239" t="str">
        <f ca="1">IF($B135="","",
IF(ISBLANK('Soil results'!Q138),"data missing",'Soil results'!Q138))</f>
        <v/>
      </c>
      <c r="BR135" s="239" t="str">
        <f t="shared" ca="1" si="50"/>
        <v/>
      </c>
      <c r="BS135" s="9" t="str">
        <f ca="1">IF(B135="","",
IF(BP135=0,"n/a",
IF(OR(BP135="data missing",BQ135=""),"data missing",
IF(BP135&gt;15,"application rate too high - permissible rate exceeds limit",
IF('Soil results'!F138&lt;=5.5,
  IF(BQ135&gt;200,"no application - soil conc. already above limit",
  IF(BR135&gt;200,"application rate too high - soil conc. will exceed limit",
  IF(BQ135&gt;200*0.9,"soil conc. is at or above 90% of the limit",
  IF(10*BP135*1000/3000+BQ135&gt;200,"soil limit likely to be exceeded in 10yrs",
  IF(50*BP135*1000/3000+BQ135&gt;200,"soil limit likely to be exceeded in 50yrs","ok"))))),
IF('Soil results'!F138&lt;=6,
  IF(BQ135&gt;250,"no application - soil conc. already above limit",
  IF(BR135&gt;250,"application rate too high - soil conc. will exceed limit",
  IF(BQ135&gt;250*0.9,"soil conc. is at or above 90% of the limit",
  IF(10*BP135*1000/3000+BQ135&gt;250,"soil limit likely to be exceeded in 10yrs",
  IF(50*BP135*1000/3000+BQ135&gt;250,"soil limit likely to be exceeded in 50yrs","ok"))))),
IF('Soil results'!F138&lt;=7,
  IF(BQ135&gt;300,"no application - soil conc. already above limit",
  IF(BR135&gt;300,"application rate too high - soil conc. will exceed limit",
  IF(BQ135&gt;300*0.9,"soil conc. is at or above 90% of the limit",
  IF(10*BP135*1000/3000+BQ135&gt;300,"soil limit likey to be exceeded in 10yrs",
  IF(50*BP135*1000/3000+BQ135&gt;300,"soil limit likely to be exceeded in 50yrs","ok"))))),
IF('Soil results'!F138&gt;7,
  IF(BQ135&gt;450,"no application - soil conc. already above limit",
  IF(BR135&gt;450,"application rate too high - soil conc. will exceed limit",
  IF(AW135&gt;450*0.9,"soil conc. is at or above 90% of the limit",
  IF(10*BP135*1000/3000+BQ135&gt;450,"soil limit likely to be exceeded in 10yrs",
  IF(50*BP135*1000/3000+BQ135&gt;450,"soil limit likely to be exceeded in 50yrs","ok")))))
))))))))</f>
        <v/>
      </c>
    </row>
    <row r="136" spans="2:71" ht="15" x14ac:dyDescent="0.25">
      <c r="B136" s="236" t="str">
        <f ca="1">'Soil results'!B139</f>
        <v/>
      </c>
      <c r="C136" s="91" t="str">
        <f ca="1">IF(B136="","",
IF(AND('Field information 2'!$O$5="", 'Field information 2'!$Q$5=""),
   IF('Waste results'!$S$12&lt;&gt;"data missing", Calc!BC134*'Waste results'!$S$12, "data missing"),
IF('Field information 2'!$Q$5="",
   IF(Calc!BD134=0,
     IF('Waste results'!$S$12&lt;&gt;"data missing", Calc!BC134*'Waste results'!$S$12, "data missing"),
   IF(Calc!BC134=0,
     IF('Waste results'!$S$48&lt;&gt;"data missing", Calc!BD134*'Waste results'!$S$48, "data missing"),
   IF(OR('Waste results'!$S$12&lt;&gt;"data missing", 'Waste results'!$S$48&lt;&gt;"data missing"), Calc!BC134*'Waste results'!$S$12+ Calc!BD134*'Waste results'!$S$48, "data missing"))),
IF(AND('Field information 2'!$M$5&lt;&gt;"", 'Field information 2'!$O$5&lt;&gt;"", 'Field information 2'!$Q$5&lt;&gt;""),
   IF(AND(Calc!BD134=0,Calc!BE134=0),
     IF('Waste results'!$S$12&lt;&gt;"data missing", Calc!BC134*'Waste results'!$S$12, "data missing"),
   IF(AND(Calc!BC134=0,Calc!BE134=0),
     IF('Waste results'!$S$48&lt;&gt;"data missing", Calc!BD134*'Waste results'!$S$48, "data missing"),
   IF(AND(Calc!BC134=0,Calc!BD134=0),
     IF('Waste results'!$S$84&lt;&gt;"data missing", Calc!BE134*'Waste results'!$S$84, "data missing"),
   IF(Calc!BE134=0,
     IF(OR('Waste results'!$S$12&lt;&gt;"data missing", 'Waste results'!$S$48&lt;&gt;"data missing"), Calc!BC134*'Waste results'!$S$12+ Calc!BD134*'Waste results'!$S$48, "data missing"),
   IF(Calc!BD134=0,
     IF(OR('Waste results'!$S$12&lt;&gt;"data missing", 'Waste results'!$S$84&lt;&gt;"data missing"), Calc!BC134*'Waste results'!$S$12+ Calc!BE134*'Waste results'!$S$84, "data missing"),
   IF(Calc!BC134=0,
     IF(OR('Waste results'!$S$48&lt;&gt;"data missing", 'Waste results'!$S$84&lt;&gt;"data missing"), Calc!BD134*'Waste results'!$S$48+Calc!BE134*'Waste results'!$S$84, "data missing"),
   IF(OR('Waste results'!$S$12&lt;&gt;"data missing", 'Waste results'!$S$48&lt;&gt;"data missing", 'Waste results'!$S$84&lt;&gt;"data missing"), Calc!BC134*'Waste results'!$S$12+Calc!BD134*'Waste results'!$S$48+ Calc!BE134*'Waste results'!$S$84, "data missing")))))))))))</f>
        <v/>
      </c>
      <c r="D136" s="161" t="str">
        <f ca="1">IF(B136="","",
IF(Calc!BG134="","soil texture missing",
IF(OR(Calc!BG134="SL; SZL; ZL",Calc!BG134="SCL; CL; ZCL; SC; ZC; C"),VLOOKUP(Calc!BI134,'Fertiliser recommendations'!$A$4:$C$63,3,FALSE),
IF(Calc!BG134="S; LS",VLOOKUP(Calc!BI134,'Fertiliser recommendations'!$A$4:$C$63,3,FALSE)+VLOOKUP(Calc!BI134,'Fertiliser recommendations'!$A$4:$D$63,4,FALSE),
IF(Calc!BG134="10-25% OM",VLOOKUP(Calc!BI134,'Fertiliser recommendations'!$A$4:$C$63,3,FALSE)+VLOOKUP(Calc!BI134,'Fertiliser recommendations'!$A$4:$E$63,5,FALSE),
IF(Calc!BG134="&gt;25% OM",VLOOKUP(Calc!BI134,'Fertiliser recommendations'!$A$4:$C$63,3,FALSE)+VLOOKUP(Calc!BI134,'Fertiliser recommendations'!$A$4:$F$63,6,FALSE),
""))))))</f>
        <v/>
      </c>
      <c r="E136" s="91" t="str">
        <f t="shared" ca="1" si="34"/>
        <v/>
      </c>
      <c r="F136" s="9" t="str">
        <f ca="1">IF(B136="","",
IF(OR(C136="data missing",D136="soil texture missing"),"data missing",
IF(Calc!BF134=0,"n/a",
IF(C136&lt;0.1*D136,"no benefit",
IF(C136&lt;0.3*D136,"limited benefit",
IF(C136&gt;250,"exceeds limit",
IF(OR(AND(D136=0,C136&gt;75),C136&gt;1.25*D136),"excessive",
IF(D136=0, "no requirement",
"benefit"))))))))</f>
        <v/>
      </c>
      <c r="G136" s="9"/>
      <c r="H136" s="91" t="str">
        <f ca="1">IF(B136="","",
IF(AND('Field information 2'!$O$5="", 'Field information 2'!$Q$5=""),
   IF('Waste results'!$S$17&lt;&gt;"data missing", Calc!BC134*'Waste results'!$S$17, "data missing"),
IF('Field information 2'!$Q$5="",
   IF(Calc!BD134=0,
     IF('Waste results'!$S$17&lt;&gt;"data missing", Calc!BC134*'Waste results'!$S$17, "data missing"),
   IF(Calc!BC134=0,
     IF('Waste results'!$S$53&lt;&gt;"data missing", Calc!BD134*'Waste results'!$S$53, "data missing"),
   IF(OR('Waste results'!$S$17&lt;&gt;"data missing", 'Waste results'!$S$53&lt;&gt;"data missing"), Calc!BC134*'Waste results'!$S$17+ Calc!BD134*'Waste results'!$S$53, "data missing"))),
IF(AND('Field information 2'!$M$5&lt;&gt;"", 'Field information 2'!$O$5&lt;&gt;"", 'Field information 2'!$Q$5&lt;&gt;""),
   IF(AND(Calc!BD134=0,Calc!BE134=0),
     IF('Waste results'!$S$17&lt;&gt;"data missing", Calc!BC134*'Waste results'!$S$17, "data missing"),
   IF(AND(Calc!BC134=0,Calc!BE134=0),
     IF('Waste results'!$S$53&lt;&gt;"data missing", Calc!BD134*'Waste results'!$S$53, "data missing"),
   IF(AND(Calc!BC134=0,Calc!BD134=0),
     IF('Waste results'!$S$89&lt;&gt;"data missing", Calc!BE134*'Waste results'!$S$89, "data missing"),
   IF(Calc!BE134=0,
     IF(OR('Waste results'!$S$17&lt;&gt;"data missing", 'Waste results'!$S$53&lt;&gt;"data missing"), Calc!BC134*'Waste results'!$S$17+ Calc!BD134*'Waste results'!$S$53, "data missing"),
   IF(Calc!BD134=0,
     IF(OR('Waste results'!$S$17&lt;&gt;"data missing", 'Waste results'!$S$89&lt;&gt;"data missing"), Calc!BC134*'Waste results'!$S$17+ Calc!BE134*'Waste results'!$S$89, "data missing"),
   IF(Calc!BC134=0,
     IF(OR('Waste results'!$S$53&lt;&gt;"data missing", 'Waste results'!$S$89&lt;&gt;"data missing"), Calc!BD134*'Waste results'!$S$53+Calc!BE134*'Waste results'!$S$89, "data missing"),
   IF(OR('Waste results'!$S$17&lt;&gt;"data missing", 'Waste results'!$S$53&lt;&gt;"data missing", 'Waste results'!$S$89&lt;&gt;"data missing"), Calc!BC134*'Waste results'!$S$17+Calc!BD134*'Waste results'!$S$53+ Calc!BE134*'Waste results'!$S$89, "data missing")))))))))))</f>
        <v/>
      </c>
      <c r="I136" s="195" t="str">
        <f ca="1">IF(B136="","",
IF(OR(ISBLANK('Soil results'!G139), ISBLANK('Soil results'!G$7)),"data missing",
IF(OR(AND('Soil results'!G$7="Olsen (ADAS)",'Soil results'!G139&lt;16),AND('Soil results'!G$7="modified Morgan (SAC)",'Soil results'!G139&lt;4.5)),50,100)))</f>
        <v/>
      </c>
      <c r="J136" s="49" t="str">
        <f ca="1">IF(B136="","",
IF(OR(ISBLANK('Soil results'!G$7),ISBLANK('Soil results'!G139)),"data missing",
IF(OR(AND('Soil results'!G$7="Olsen (ADAS)",'Soil results'!G139&gt;45),AND('Soil results'!G$7="modified Morgan (SAC)",'Soil results'!G139&gt;30)),0,
IF(OR(AND('Soil results'!G$7="Olsen (ADAS)",'Soil results'!G139&gt;=16,'Soil results'!G139&lt;=20),AND('Soil results'!G$7="modified Morgan (SAC)",'Soil results'!G139&gt;=4.5,'Soil results'!G139&lt;=9.4)),VLOOKUP(Calc!BI134,'Fertiliser recommendations'!$A$4:$I$63,9,FALSE),
IF(OR(AND('Soil results'!G$7="Olsen (ADAS)",'Soil results'!G139&lt;10),AND('Soil results'!G$7="modified Morgan (SAC)",'Soil results'!G139&lt;1.8)),VLOOKUP(Calc!BI134,'Fertiliser recommendations'!$A$4:$I$63,9,FALSE)+VLOOKUP(Calc!BI134,'Fertiliser recommendations'!$A$4:$J$63,10,FALSE),
IF(OR(AND('Soil results'!G$7="Olsen (ADAS)",'Soil results'!G139&lt;16),AND('Soil results'!G$7="modified Morgan (SAC)",'Soil results'!G139&lt;4.5)),VLOOKUP(Calc!BI134,'Fertiliser recommendations'!$A$4:$I$63,9,FALSE)+VLOOKUP(Calc!BI134,'Fertiliser recommendations'!$A$4:$K$63,11,FALSE),
IF(OR(AND('Soil results'!G$7="Olsen (ADAS)",'Soil results'!G139&lt;26),AND('Soil results'!G$7="modified Morgan (SAC)",'Soil results'!G139&lt;13.5)),VLOOKUP(Calc!BI134,'Fertiliser recommendations'!$A$4:$I$63,9,FALSE)+VLOOKUP(Calc!BI134,'Fertiliser recommendations'!$A$4:$L$63,12,FALSE),
IF(OR(AND('Soil results'!G$7="Olsen (ADAS)",'Soil results'!G139&lt;=45),AND('Soil results'!G$7="modified Morgan (SAC)",'Soil results'!G139&lt;=30)),VLOOKUP(Calc!BI134,'Fertiliser recommendations'!$A$4:$I$63,9,FALSE)+VLOOKUP(Calc!BI134,'Fertiliser recommendations'!$A$4:$M$63,13,FALSE),
""))))))))</f>
        <v/>
      </c>
      <c r="K136" s="161" t="str">
        <f t="shared" ca="1" si="35"/>
        <v/>
      </c>
      <c r="L136" s="47" t="str">
        <f ca="1">IF(OR(ISBLANK('Soil results'!G$7),ISBLANK('Soil results'!G139),B136="", H136="data missing"),"",
IF('Soil results'!G$7="Olsen (ADAS)",
IF(((H136*Calc!BM134/2.291-(VLOOKUP(Calc!BI134,'Fertiliser recommendations'!$A$4:$I$63,9,FALSE))/2.291)*10/(400/2.291)+'Soil results'!G139)&lt;10,"0 (VL)",
IF(((H136*Calc!BM134/2.291-(VLOOKUP(Calc!BI134,'Fertiliser recommendations'!$A$4:$I$63,9,FALSE))/2.291)*10/(400/2.291)+'Soil results'!G139)&lt;16,"1 (L)",
IF(((H136*Calc!BM134/2.291-(VLOOKUP(Calc!BI134,'Fertiliser recommendations'!$A$4:$I$63,9,FALSE))/2.291)*10/(400/2.291)+'Soil results'!G139)&lt;21,"2 (M-)",
IF(((H136*Calc!BM134/2.291-(VLOOKUP(Calc!BI134,'Fertiliser recommendations'!$A$4:$I$63,9,FALSE))/2.291)*10/(400/2.291)+'Soil results'!G139)&lt;26,"2 (M+)",
IF(((H136*Calc!BM134/2.291-(VLOOKUP(Calc!BI134,'Fertiliser recommendations'!$A$4:$I$63,9,FALSE))/2.291)*10/(400/2.291)+'Soil results'!G139)&lt;45,"3 (H)","&gt;3 (VH)"))))),
IF('Soil results'!G$7="modified Morgan (SAC)",
IF('Soil results'!G139&gt;=6,
IF(((H136*Calc!BM134/2.291-(VLOOKUP(Calc!BI134,'Fertiliser recommendations'!$A$4:$I$63,9,FALSE))/2.291)*5/(147/2.291)+'Soil results'!G139)&lt;9.5,"2 (M-)",
IF(((H136*Calc!BM134/2.291-(VLOOKUP(Calc!BI134,'Fertiliser recommendations'!$A$4:$I$63,9,FALSE))/2.291)*5/(147/2.291)+'Soil results'!G139)&lt;13.5,"2 (M+)",
IF(((H136*Calc!BM134/2.291-(VLOOKUP(Calc!BI134,'Fertiliser recommendations'!$A$4:$I$63,9,FALSE))/2.291)*5/(147/2.291)+'Soil results'!G139)&lt;30,"3 (H)","4 (VH)"))),
IF(((H136*Calc!BM134/2.291-(VLOOKUP(Calc!BI134,'Fertiliser recommendations'!$A$4:$I$63,9,FALSE))/2.291)*5/(346/2.291)+'Soil results'!G139)&lt;1.8,"0 (VL)",
IF(((H136*Calc!BM134/2.291-(VLOOKUP(Calc!BI134,'Fertiliser recommendations'!$A$4:$I$63,9,FALSE))/2.291)*5/(147/2.291)+'Soil results'!G139)&lt;4.5,"1 (L)","2 (M-)"))))))</f>
        <v/>
      </c>
      <c r="M136" s="9" t="str">
        <f ca="1">IF(B136="","",
IF(OR(H136="data missing",I136="data missing",J136="data missing"),"data missing",
IF(Calc!BF134=0,"n/a",
IF(OR(AND('Soil results'!G$7="Olsen (ADAS)",'Soil results'!G139&gt;45),AND('Soil results'!G$7="modified Morgan (SAC)",'Soil results'!G139&gt;30)),
IF(H136&gt;2,"too high, not acceptable","no requirement"),IF(OR(AND('Soil results'!G$7="Olsen (ADAS)",'Soil results'!G139&gt;25),AND('Soil results'!G$7="modified Morgan (SAC)",'Soil results'!G139&gt;13.4)),
IF(H136*(I136/100)&lt;0.1*J136,"no benefit",
IF(H136*(I136/100)&lt;0.3*J136,"limited benefit",
IF(H136*(I136/100)&lt;1.1*J136,"benefit",
IF(H136*(I136/100)&lt;0.7*VLOOKUP(Calc!BI134,'Fertiliser recommendations'!$A$4:$I$63,9,FALSE),"excessive","too high, not acceptable")))),
IF(OR(AND('Soil results'!G$7="Olsen (ADAS)",'Soil results'!G139&gt;20),AND('Soil results'!G$7="modified Morgan (SAC)",'Soil results'!G139&gt;9.4)),
IF(H136*Calc!BM134*(I136/100)&lt;0.1*J136,"no benefit",
IF(H136*Calc!BM134*(I136/100)&lt;0.3*J136,"limited benefit",
IF(H136*Calc!BM134*(I136/100)&lt;1.1*J136,"benefit",
IF(L136="3 (H)","too high, not acceptable","excessive")))),
IF(OR(AND('Soil results'!G$7="Olsen (ADAS)",'Soil results'!G139&gt;15),AND('Soil results'!G$7="modified Morgan (SAC)",'Soil results'!G139&gt;4.4)),
IF(H136*Calc!BM134*(I136/100)&lt;0.1*VLOOKUP(Calc!BI134,'Fertiliser recommendations'!$A$4:$I$63,9,FALSE),"no benefit",
IF(H136*Calc!BM134*(I136/100)&lt;0.3*VLOOKUP(Calc!BI134,'Fertiliser recommendations'!$A$4:$I$63,9,FALSE),"limited benefit",
IF(H136*Calc!BM134*(I136/100)&lt;1.1*VLOOKUP(Calc!BI134,'Fertiliser recommendations'!$A$4:$I$63,9,FALSE),"benefit",
IF(L136="3 (H)", "too high, not acceptable", "excessive")))),
IF(OR(AND('Soil results'!G$7="Olsen (ADAS)",'Soil results'!G139&lt;=15),AND('Soil results'!G$7="modified Morgan (SAC)",'Soil results'!G139&lt;=4.4)),
IF(H136*Calc!BM134*(I136/100)&lt;0.1*VLOOKUP(Calc!BI134,'Fertiliser recommendations'!$A$4:$I$63,9,FALSE),"no benefit",
IF(H136*Calc!BM134*(I136/100)&lt;0.3*VLOOKUP(Calc!BI134,'Fertiliser recommendations'!$A$4:$I$63,9,FALSE),"limited benefit",
IF(H136*Calc!BM134*(I136/100)&lt;1.1*J136,"benefit","excessive")))))))))))</f>
        <v/>
      </c>
      <c r="N136" s="9"/>
      <c r="O136" s="91" t="str">
        <f ca="1">IF(B136="","",
IF(AND('Field information 2'!$O$5="", 'Field information 2'!$Q$5=""),
   IF('Waste results'!$S$19&lt;&gt;"data missing", Calc!BC134*'Waste results'!$S$19, "data missing"),
IF('Field information 2'!$Q$5="",
   IF(Calc!BD134=0,
     IF('Waste results'!$S$19&lt;&gt;"data missing", Calc!BC134*'Waste results'!$S$19, "data missing"),
   IF(Calc!BC134=0,
     IF('Waste results'!$S$55&lt;&gt;"data missing", Calc!BD134*'Waste results'!$S$55, "data missing"),
   IF(OR('Waste results'!$S$19&lt;&gt;"data missing", 'Waste results'!$S$55&lt;&gt;"data missing"), Calc!BC134*'Waste results'!$S$19+ Calc!BD134*'Waste results'!$S$55, "data missing"))),
IF(AND('Field information 2'!$M$5&lt;&gt;"", 'Field information 2'!$O$5&lt;&gt;"", 'Field information 2'!$Q$5&lt;&gt;""),
   IF(AND(Calc!BD134=0,Calc!BE134=0),
     IF('Waste results'!$S$19&lt;&gt;"data missing", Calc!BC134*'Waste results'!$S$19, "data missing"),
   IF(AND(Calc!BC134=0,Calc!BE134=0),
     IF('Waste results'!$S$55&lt;&gt;"data missing", Calc!BD134*'Waste results'!$S$55, "data missing"),
   IF(AND(Calc!BC134=0,Calc!BD134=0),
     IF('Waste results'!$S$91&lt;&gt;"data missing", Calc!BE134*'Waste results'!$S$91, "data missing"),
   IF(Calc!BE134=0,
     IF(OR('Waste results'!$S$19&lt;&gt;"data missing", 'Waste results'!$S$55&lt;&gt;"data missing"), Calc!BC134*'Waste results'!$S$19+ Calc!BD134*'Waste results'!$S$55, "data missing"),
   IF(Calc!BD134=0,
     IF(OR('Waste results'!$S$19&lt;&gt;"data missing", 'Waste results'!$S$91&lt;&gt;"data missing"), Calc!BC134*'Waste results'!$S$19+ Calc!BE134*'Waste results'!$S$91, "data missing"),
   IF(Calc!BC134=0,
     IF(OR('Waste results'!$S$55&lt;&gt;"data missing", 'Waste results'!$S$91&lt;&gt;"data missing"), Calc!BD134*'Waste results'!$S$55+Calc!BE134*'Waste results'!$S$91, "data missing"),
   IF(OR('Waste results'!$S$19&lt;&gt;"data missing", 'Waste results'!$S$55&lt;&gt;"data missing", 'Waste results'!$S$91&lt;&gt;"data missing"), Calc!BC134*'Waste results'!$S$19+Calc!BD134*'Waste results'!$S$55+ Calc!BE134*'Waste results'!$S$91, "data missing")))))))))))</f>
        <v/>
      </c>
      <c r="P136" s="91" t="str">
        <f ca="1">IF(B136="","",
IF(OR(ISBLANK('Soil results'!H$7),ISBLANK('Soil results'!H139)),"data missing",
IF(OR(AND('Soil results'!H$7="ammonium nitrate (ADAS)",'Soil results'!H139&gt;400),AND('Soil results'!H$7="modified Morgan (SAC)",'Soil results'!H139&gt;400)),0,
IF(OR(AND('Soil results'!H$7="ammonium nitrate (ADAS)",'Soil results'!H139&gt;=121,'Soil results'!H139&lt;=180),AND('Soil results'!H$7="modified Morgan (SAC)",'Soil results'!H139&gt;=76,'Soil results'!H139&lt;=140)),VLOOKUP(Calc!BI134,'Fertiliser recommendations'!$A$4:$Z$63,26,FALSE),
IF(OR(AND('Soil results'!H$7="ammonium nitrate (ADAS)",'Soil results'!H139&lt;61),AND('Soil results'!H$7="modified Morgan (SAC)",'Soil results'!H139&lt;40)),VLOOKUP(Calc!BI134,'Fertiliser recommendations'!$A$4:$Z$63,26,FALSE)+VLOOKUP(Calc!BI134,'Fertiliser recommendations'!$A$4:$AA$63,27,FALSE),
IF(OR(AND('Soil results'!H$7="ammonium nitrate (ADAS)",'Soil results'!H139&lt;121),AND('Soil results'!H$7="modified Morgan (SAC)",'Soil results'!H139&lt;76)),VLOOKUP(Calc!BI134,'Fertiliser recommendations'!$A$4:$Z$63,26,FALSE)+VLOOKUP(Calc!BI134,'Fertiliser recommendations'!$A$4:$AB$63,28,FALSE),
IF(OR(AND('Soil results'!H$7="ammonium nitrate (ADAS)",'Soil results'!H139&lt;241),AND('Soil results'!H$7="modified Morgan (SAC)",'Soil results'!H139&lt;201)),VLOOKUP(Calc!BI134,'Fertiliser recommendations'!$A$4:$Z$63,26,FALSE)+VLOOKUP(Calc!BI134,'Fertiliser recommendations'!$A$4:$AC$63,29,FALSE),
IF(OR(AND('Soil results'!H$7="ammonium nitrate (ADAS)",'Soil results'!H139&lt;=400),AND('Soil results'!H$7="modified Morgan (SAC)",'Soil results'!H139&lt;=400)),VLOOKUP(Calc!BI134,'Fertiliser recommendations'!$A$4:$Z$63,26,FALSE)+VLOOKUP(Calc!BI134,'Fertiliser recommendations'!$A$4:$AD$63,30,FALSE),
"??"))))))))</f>
        <v/>
      </c>
      <c r="Q136" s="91" t="str">
        <f t="shared" ca="1" si="36"/>
        <v/>
      </c>
      <c r="R136" s="9" t="str">
        <f ca="1">IF(B136="","",
IF(OR(O136="data missing",P136="data missing"),"data missing",
IF(Calc!BF134=0,"n/a",
IF(P136=0, "no requirement",
IF(O136&lt;0.1*P136,"no benefit",
IF(O136&lt;0.3*P136,"limited benefit",
IF(O136&gt;1.25*P136,"excessive",
"benefit")))))))</f>
        <v/>
      </c>
      <c r="S136" s="9"/>
      <c r="T136" s="91" t="str">
        <f ca="1">IF(B136="","",
IF(AND('Field information 2'!$O$5="", 'Field information 2'!$Q$5=""),
   IF('Waste results'!$S$21&lt;&gt;"data missing", Calc!BC134*'Waste results'!$S$21, "data missing"),
IF('Field information 2'!$Q$5="",
   IF(Calc!BD134=0,
     IF('Waste results'!$S$21&lt;&gt;"data missing", Calc!BC134*'Waste results'!$S$21, "data missing"),
   IF(Calc!BC134=0,
     IF('Waste results'!$S$57&lt;&gt;"data missing", Calc!BD134*'Waste results'!$S$57, "data missing"),
   IF(OR('Waste results'!$S$21&lt;&gt;"data missing", 'Waste results'!$S$57&lt;&gt;"data missing"), Calc!BC134*'Waste results'!$S$21+ Calc!BD134*'Waste results'!$S$57, "data missing"))),
IF(AND('Field information 2'!$M$5&lt;&gt;"", 'Field information 2'!$O$5&lt;&gt;"", 'Field information 2'!$Q$5&lt;&gt;""),
   IF(AND(Calc!BD134=0,Calc!BE134=0),
     IF('Waste results'!$S$21&lt;&gt;"data missing", Calc!BC134*'Waste results'!$S$21, "data missing"),
   IF(AND(Calc!BC134=0,Calc!BE134=0),
     IF('Waste results'!$S$57&lt;&gt;"data missing", Calc!BD134*'Waste results'!$S$57, "data missing"),
   IF(AND(Calc!BC134=0,Calc!BD134=0),
     IF('Waste results'!$S$93&lt;&gt;"data missing", Calc!BE134*'Waste results'!$S$93, "data missing"),
   IF(Calc!BE134=0,
     IF(OR('Waste results'!$S$21&lt;&gt;"data missing", 'Waste results'!$S$57&lt;&gt;"data missing"), Calc!BC134*'Waste results'!$S$21+ Calc!BD134*'Waste results'!$S$57, "data missing"),
   IF(Calc!BD134=0,
     IF(OR('Waste results'!$S$21&lt;&gt;"data missing", 'Waste results'!$S$93&lt;&gt;"data missing"), Calc!BC134*'Waste results'!$S$21+ Calc!BE134*'Waste results'!$S$93, "data missing"),
   IF(Calc!BC134=0,
     IF(OR('Waste results'!$S$57&lt;&gt;"data missing", 'Waste results'!$S$93&lt;&gt;"data missing"), Calc!BD134*'Waste results'!$S$57+Calc!BE134*'Waste results'!$S$93, "data missing"),
   IF(OR('Waste results'!$S$21&lt;&gt;"data missing", 'Waste results'!$S$57&lt;&gt;"data missing", 'Waste results'!$S$93&lt;&gt;"data missing"), Calc!BC134*'Waste results'!$S$21+Calc!BD134*'Waste results'!$S$57+ Calc!BE134*'Waste results'!$S$93, "data missing")))))))))))</f>
        <v/>
      </c>
      <c r="U136" s="7" t="str">
        <f ca="1">IF(B136="","",
IF(OR(ISBLANK('Soil results'!I$7),ISBLANK('Soil results'!I139)),"data missing",
IF(OR(AND('Soil results'!I$7="ammonium nitrate (ADAS)",'Soil results'!I139&gt;51),AND('Soil results'!I$7="modified Morgan (SAC)",'Soil results'!I139&gt;61)),0,
IF(OR(AND('Soil results'!I$7="ammonium nitrate (ADAS)",'Soil results'!I139&lt;25),AND('Soil results'!I$7="modified Morgan (SAC)",'Soil results'!I139&lt;19)),VLOOKUP(Calc!BI134,'Fertiliser recommendations'!$A$4:$AH$63,34,FALSE),
IF(OR(AND('Soil results'!I$7="ammonium nitrate (ADAS)",'Soil results'!I139&lt;=51),AND('Soil results'!I$7="modified Morgan (SAC)",'Soil results'!I139&lt;=61)),VLOOKUP(Calc!BI134,'Fertiliser recommendations'!$A$4:$AI$63,35,FALSE),
"")))))</f>
        <v/>
      </c>
      <c r="V136" s="91" t="str">
        <f t="shared" ca="1" si="37"/>
        <v/>
      </c>
      <c r="W136" s="9" t="str">
        <f ca="1">IF(B136="","",
IF(OR(T136="data missing",U136="data missing"),"data missing",
IF(Calc!BF134=0,"n/a",
IF(U136=0,"no requirement",
IF(T136&lt;0.1*U136,"no benefit",
IF(T136&lt;0.3*U136,"limited benefit",
IF(OR(T136&gt;1.5*U136,AND(Calc!BJ134="g",T136&gt;100)),"excessive",
"benefit")))))))</f>
        <v/>
      </c>
      <c r="X136" s="9"/>
      <c r="Y136" s="91" t="str">
        <f ca="1">IF(B136="","",
IF(AND('Field information 2'!$O$5="", 'Field information 2'!$Q$5=""),
   IF('Waste results'!$P$23&lt;&gt;"", Calc!BC134*'Waste results'!$P$23, "no data"),
IF('Field information 2'!$Q$5="",
   IF(Calc!BD134=0,
     IF('Waste results'!$P$23&lt;&gt;"", Calc!BC134*'Waste results'!$P$23, "no data"),
   IF(Calc!BC134=0,
     IF('Waste results'!$P$59&lt;&gt;"", Calc!BD134*'Waste results'!$P$59, "no data"),
   IF(OR('Waste results'!$P$23&lt;&gt;"", 'Waste results'!$P$59&lt;&gt;""), Calc!BC134*'Waste results'!$P$23+ Calc!BD134*'Waste results'!$P$59, "no data"))),
IF(AND('Field information 2'!$M$5&lt;&gt;"", 'Field information 2'!$O$5&lt;&gt;"", 'Field information 2'!$Q$5&lt;&gt;""),
   IF(AND(Calc!BD134=0,Calc!BE134=0),
     IF('Waste results'!$P$23&lt;&gt;"", Calc!BC134*'Waste results'!$P$23, "no data"),
   IF(AND(Calc!BC134=0,Calc!BE134=0),
     IF('Waste results'!$P$59&lt;&gt;"", Calc!BD134*'Waste results'!$P$59, "no data"),
   IF(AND(Calc!BC134=0,Calc!BD134=0),
     IF('Waste results'!$P$95&lt;&gt;"", Calc!BE134*'Waste results'!$P$95, "no data"),
   IF(Calc!BE134=0,
     IF(OR('Waste results'!$P$23&lt;&gt;"", 'Waste results'!$P$59&lt;&gt;""), Calc!BC134*'Waste results'!$P$23+ Calc!BD134*'Waste results'!$P$59, "no data"),
   IF(Calc!BD134=0,
     IF(OR('Waste results'!$P$23&lt;&gt;"", 'Waste results'!$P$95&lt;&gt;""), Calc!BC134*'Waste results'!$P$23+ Calc!BE134*'Waste results'!$P$95, "no data"),
   IF(Calc!BC134=0,
     IF(OR('Waste results'!$P$59&lt;&gt;"", 'Waste results'!$P$95&lt;&gt;""), Calc!BD134*'Waste results'!$P$59+Calc!BE134*'Waste results'!$P$95, "no data"),
   IF(OR('Waste results'!$P$23&lt;&gt;"", 'Waste results'!$P$59&lt;&gt;"", 'Waste results'!$P$95&lt;&gt;""), Calc!BC134*'Waste results'!$P$23+Calc!BD134*'Waste results'!$P$59+ Calc!BE134*'Waste results'!$P$95, "no data")))))))))))</f>
        <v/>
      </c>
      <c r="Z136" s="7" t="str">
        <f ca="1">IF(OR(ISBLANK('Soil results'!I$7),ISBLANK('Soil results'!I139),'Soil results'!B139=""),"",
VLOOKUP(Calc!BI134,'Fertiliser recommendations'!$A$4:$AM$63,39,FALSE))</f>
        <v/>
      </c>
      <c r="AA136" s="91" t="str">
        <f t="shared" ca="1" si="38"/>
        <v/>
      </c>
      <c r="AB136" s="9" t="str">
        <f t="shared" ca="1" si="39"/>
        <v/>
      </c>
      <c r="AC136" s="9"/>
      <c r="AD136" s="48" t="str">
        <f>IF(ISBLANK('Soil results'!F139),"",'Soil results'!F139)</f>
        <v/>
      </c>
      <c r="AE136" s="49" t="str">
        <f ca="1">IF(B136="","",
IF(AND(Calc!BJ134="g", VLOOKUP(LEFT($B136,LEN($B136)-2),'Field information 2'!$B$12:$P$111,9,FALSE)&lt;&gt;"yes"),
 IF(Calc!BG134="10-25% OM", 5.9, IF(Calc!BG134="&gt;25% OM", 5.5, 6.2)),
IF(OR(Calc!BJ134="a", VLOOKUP(LEFT($B136,LEN($B136)-2),'Field information 2'!$B$12:$P$111,9,FALSE)="yes"),
 IF(Calc!BG134="10-25% OM", 6.4, IF(Calc!BG134="&gt;25% OM", 6, 6.7)), "")))</f>
        <v/>
      </c>
      <c r="AF136" s="91" t="str">
        <f ca="1">IF(B136="","",
IF('Waste results'!$Q$33="","no (significant) liming properties",
IF('Waste results'!Q$33&gt;100,"no (significant) liming properties",
IF(AD136="","",
IF(AD136&gt;=AE136,0,ROUNDDOWN((AE136-AD136)*Calc!BK134*'Waste results'!$Q$33+0.2,0))))))</f>
        <v/>
      </c>
      <c r="AG136" s="9" t="str">
        <f ca="1">IF(B136="","",
IF(T136=0,"n/a",
IF(AD136="","data missing",
IF(AND(AD136&lt;5,AF136="no (significant) liming properties"),"no waste application - pH too low",
IF(AND(AD136&gt;5.1,AF136="no (significant) liming properties",Calc!BH134&gt;25, LEFT(Calc!BI134,4)="graz"),"ok",
IF(AND(AD136&lt;=5.2,AF136="no (significant) liming properties"),"liming highly recommended",
IF(AF136=0,"no waste application - liming not required",
IF(AF136&lt;Calc!BC134,"application rate too high - exceeds liming requirement",
"ok"))))))))</f>
        <v/>
      </c>
      <c r="AH136" s="9"/>
      <c r="AI136" s="91" t="str">
        <f ca="1">IF(B136="","",
IF(AND('Field information 2'!$O$5="", 'Field information 2'!$Q$5=""),
   IF('Waste results'!$P$10&lt;&gt;"data missing", Calc!BC134*'Waste results'!$P$10, "data missing"),
IF('Field information 2'!$Q$5="",
   IF(Calc!BD134=0,
     IF('Waste results'!$P$10&lt;&gt;"data missing", Calc!BC134*'Waste results'!$P$10, "data missing"),
   IF(Calc!BC134=0,
     IF('Waste results'!$P$45&lt;&gt;"data missing", Calc!BD134*'Waste results'!$P$45, "data missing"),
   IF(OR('Waste results'!$P$10&lt;&gt;"data missing", 'Waste results'!$P$45&lt;&gt;"data missing"), Calc!BC134*'Waste results'!$P$10+ Calc!BD134*'Waste results'!$P$45, "data missing"))),
IF(AND('Field information 2'!$M$5&lt;&gt;"", 'Field information 2'!$O$5&lt;&gt;"", 'Field information 2'!$Q$5&lt;&gt;""),
   IF(AND(Calc!BD134=0,Calc!BE134=0),
     IF('Waste results'!$P$10&lt;&gt;"data missing", Calc!BC134*'Waste results'!$P$10, "data missing"),
   IF(AND(Calc!BC134=0,Calc!BE134=0),
     IF('Waste results'!$P$45&lt;&gt;"data missing", Calc!BD134*'Waste results'!$P$45, "data missing"),
   IF(AND(Calc!BC134=0,Calc!BD134=0),
     IF('Waste results'!$P$82&lt;&gt;"data missing", Calc!BE134*'Waste results'!$P$82, "data missing"),
   IF(Calc!BE134=0,
     IF(OR('Waste results'!$P$10&lt;&gt;"data missing", 'Waste results'!$P$45&lt;&gt;"data missing"), Calc!BC134*'Waste results'!$P$10+ Calc!BD134*'Waste results'!$P$45, "data missing"),
   IF(Calc!BD134=0,
     IF(OR('Waste results'!$P$10&lt;&gt;"data missing", 'Waste results'!$P$82&lt;&gt;"data missing"), Calc!BC134*'Waste results'!$P$10+ Calc!BE134*'Waste results'!$P$82, "data missing"),
   IF(Calc!BC134=0,
     IF(OR('Waste results'!$P$45&lt;&gt;"data missing", 'Waste results'!$P$82&lt;&gt;"data missing"), Calc!BD134*'Waste results'!$P$45+Calc!BE134*'Waste results'!$P$82, "data missing"),
   IF(OR('Waste results'!$P$10&lt;&gt;"data missing", 'Waste results'!$P$45&lt;&gt;"data missing", 'Waste results'!$P$82&lt;&gt;"data missing"), Calc!BC134*'Waste results'!$P$10+Calc!BD134*'Waste results'!$P$45+ Calc!BE134*'Waste results'!$P$82, "data missing")))))))))))</f>
        <v/>
      </c>
      <c r="AJ136" s="237" t="str">
        <f ca="1">IF(B136="","",
IF(AI136="data missing","data missing",
IF(Calc!BF134=0,"n/a",
IF(AND(Calc!BH134&gt;=8,AI136&lt;500),"no benefit",
IF(OR(AND(Calc!BH134&lt;=4,AI136&gt;=500),AND(Calc!BH134&lt;8,AI136&gt;5000)),"benefit",
"limited benefit")))))</f>
        <v/>
      </c>
      <c r="AK136" s="9"/>
      <c r="AL136" s="238" t="str">
        <f ca="1">IF(B136="","",
IF(AND('Field information 2'!$O$5="", 'Field information 2'!$Q$5=""),
   IF('Waste results'!$S$25&lt;&gt;"data missing", Calc!BC134*'Waste results'!$S$25, "data missing"),
IF('Field information 2'!$Q$5="",
   IF(Calc!BD134=0,
     IF('Waste results'!$S$25&lt;&gt;"data missing", Calc!BC134*'Waste results'!$S$25, "data missing"),
   IF(Calc!BC134=0,
     IF('Waste results'!$S$61&lt;&gt;"data missing", Calc!BD134*'Waste results'!$S$61, "data missing"),
   IF(OR('Waste results'!$S$25&lt;&gt;"data missing", 'Waste results'!$S$61&lt;&gt;"data missing"), Calc!BC134*'Waste results'!$S$25+ Calc!BD134*'Waste results'!$S$61, "data missing"))),
IF(AND('Field information 2'!$M$5&lt;&gt;"", 'Field information 2'!$O$5&lt;&gt;"", 'Field information 2'!$Q$5&lt;&gt;""),
   IF(AND(Calc!BD134=0,Calc!BE134=0),
     IF('Waste results'!$S$25&lt;&gt;"data missing", Calc!BC134*'Waste results'!$S$25, "data missing"),
   IF(AND(Calc!BC134=0,Calc!BE134=0),
     IF('Waste results'!$S$61&lt;&gt;"data missing", Calc!BD134*'Waste results'!$S$61, "data missing"),
   IF(AND(Calc!BC134=0,Calc!BD134=0),
     IF('Waste results'!$S$97&lt;&gt;"data missing", Calc!BE134*'Waste results'!$S$97, "data missing"),
   IF(Calc!BE134=0,
     IF(OR('Waste results'!$S$25&lt;&gt;"data missing", 'Waste results'!$S$61&lt;&gt;"data missing"), Calc!BC134*'Waste results'!$S$25+ Calc!BD134*'Waste results'!$S$61, "data missing"),
   IF(Calc!BD134=0,
     IF(OR('Waste results'!$S$25&lt;&gt;"data missing", 'Waste results'!$S$97&lt;&gt;"data missing"), Calc!BC134*'Waste results'!$S$25+ Calc!BE134*'Waste results'!$S$97, "data missing"),
   IF(Calc!BC134=0,
     IF(OR('Waste results'!$S$61&lt;&gt;"data missing", 'Waste results'!$S$97&lt;&gt;"data missing"), Calc!BD134*'Waste results'!$S$61+Calc!BE134*'Waste results'!$S$97, "data missing"),
   IF(OR('Waste results'!$S$25&lt;&gt;"data missing", 'Waste results'!$S$61&lt;&gt;"data missing", 'Waste results'!$S$97&lt;&gt;"data missing"), Calc!BC134*'Waste results'!$S$25+Calc!BD134*'Waste results'!$S$61+ Calc!BE134*'Waste results'!$S$97, "data missing")))))))))))</f>
        <v/>
      </c>
      <c r="AM136" s="239" t="str">
        <f ca="1">IF($B136="","",
IF(ISBLANK('Soil results'!K139),"data missing",'Soil results'!K139))</f>
        <v/>
      </c>
      <c r="AN136" s="239" t="str">
        <f t="shared" ca="1" si="40"/>
        <v/>
      </c>
      <c r="AO136" s="9" t="str">
        <f t="shared" ca="1" si="41"/>
        <v/>
      </c>
      <c r="AP136" s="9"/>
      <c r="AQ136" s="240" t="str">
        <f ca="1">IF(B136="","",
IF(AND('Field information 2'!$O$5="", 'Field information 2'!$Q$5=""),
   IF('Waste results'!$S$26&lt;&gt;"data missing", Calc!BC134*'Waste results'!$S$26, "data missing"),
IF('Field information 2'!$Q$5="",
   IF(Calc!BD134=0,
     IF('Waste results'!$S$26&lt;&gt;"data missing", Calc!BC134*'Waste results'!$S$26, "data missing"),
   IF(Calc!BC134=0,
     IF('Waste results'!$S$62&lt;&gt;"data missing", Calc!BD134*'Waste results'!$S$62, "data missing"),
   IF(OR('Waste results'!$S$26&lt;&gt;"data missing", 'Waste results'!$S$62&lt;&gt;"data missing"), Calc!BC134*'Waste results'!$S$26+ Calc!BD134*'Waste results'!$S$62, "data missing"))),
IF(AND('Field information 2'!$M$5&lt;&gt;"", 'Field information 2'!$O$5&lt;&gt;"", 'Field information 2'!$Q$5&lt;&gt;""),
   IF(AND(Calc!BD134=0,Calc!BE134=0),
     IF('Waste results'!$S$26&lt;&gt;"data missing", Calc!BC134*'Waste results'!$S$26, "data missing"),
   IF(AND(Calc!BC134=0,Calc!BE134=0),
     IF('Waste results'!$S$62&lt;&gt;"data missing", Calc!BD134*'Waste results'!$S$62, "data missing"),
   IF(AND(Calc!BC134=0,Calc!BD134=0),
     IF('Waste results'!$S$98&lt;&gt;"data missing", Calc!BE134*'Waste results'!$S$98, "data missing"),
   IF(Calc!BE134=0,
     IF(OR('Waste results'!$S$26&lt;&gt;"data missing", 'Waste results'!$S$62&lt;&gt;"data missing"), Calc!BC134*'Waste results'!$S$26+ Calc!BD134*'Waste results'!$S$62, "data missing"),
   IF(Calc!BD134=0,
     IF(OR('Waste results'!$S$26&lt;&gt;"data missing", 'Waste results'!$S$98&lt;&gt;"data missing"), Calc!BC134*'Waste results'!$S$26+ Calc!BE134*'Waste results'!$S$98, "data missing"),
   IF(Calc!BC134=0,
     IF(OR('Waste results'!$S$62&lt;&gt;"data missing", 'Waste results'!$S$98&lt;&gt;"data missing"), Calc!BD134*'Waste results'!$S$62+Calc!BE134*'Waste results'!$S$98, "data missing"),
   IF(OR('Waste results'!$S$26&lt;&gt;"data missing", 'Waste results'!$S$62&lt;&gt;"data missing", 'Waste results'!$S$98&lt;&gt;"data missing"), Calc!BC134*'Waste results'!$S$26+Calc!BD134*'Waste results'!$S$62+ Calc!BE134*'Waste results'!$S$98, "data missing")))))))))))</f>
        <v/>
      </c>
      <c r="AR136" s="241" t="str">
        <f ca="1">IF($B136="","",
IF(ISBLANK('Soil results'!L139),"data missing",'Soil results'!L139))</f>
        <v/>
      </c>
      <c r="AS136" s="241" t="str">
        <f t="shared" ca="1" si="42"/>
        <v/>
      </c>
      <c r="AT136" s="66" t="str">
        <f t="shared" ca="1" si="43"/>
        <v/>
      </c>
      <c r="AU136" s="9"/>
      <c r="AV136" s="238" t="str">
        <f ca="1">IF(B136="","",
IF(AND('Field information 2'!$O$5="", 'Field information 2'!$Q$5=""),
   IF('Waste results'!$S$27&lt;&gt;"data missing", Calc!BC134*'Waste results'!$S$27, "data missing"),
IF('Field information 2'!$Q$5="",
   IF(Calc!BD134=0,
     IF('Waste results'!$S$27&lt;&gt;"data missing", Calc!BC134*'Waste results'!$S$27, "data missing"),
   IF(Calc!BC134=0,
     IF('Waste results'!$S$63&lt;&gt;"data missing", Calc!BD134*'Waste results'!$S$63, "data missing"),
   IF(OR('Waste results'!$S$27&lt;&gt;"data missing", 'Waste results'!$S$63&lt;&gt;"data missing"), Calc!BC134*'Waste results'!$S$27+ Calc!BD134*'Waste results'!$S$63, "data missing"))),
IF(AND('Field information 2'!$M$5&lt;&gt;"", 'Field information 2'!$O$5&lt;&gt;"", 'Field information 2'!$Q$5&lt;&gt;""),
   IF(AND(Calc!BD134=0,Calc!BE134=0),
     IF('Waste results'!$S$27&lt;&gt;"data missing", Calc!BC134*'Waste results'!$S$27, "data missing"),
   IF(AND(Calc!BC134=0,Calc!BE134=0),
     IF('Waste results'!$S$63&lt;&gt;"data missing", Calc!BD134*'Waste results'!$S$63, "data missing"),
   IF(AND(Calc!BC134=0,Calc!BD134=0),
     IF('Waste results'!$S$99&lt;&gt;"data missing", Calc!BE134*'Waste results'!$S$99, "data missing"),
   IF(Calc!BE134=0,
     IF(OR('Waste results'!$S$27&lt;&gt;"data missing", 'Waste results'!$S$63&lt;&gt;"data missing"), Calc!BC134*'Waste results'!$S$27+ Calc!BD134*'Waste results'!$S$63, "data missing"),
   IF(Calc!BD134=0,
     IF(OR('Waste results'!$S$27&lt;&gt;"data missing", 'Waste results'!$S$99&lt;&gt;"data missing"), Calc!BC134*'Waste results'!$S$27+ Calc!BE134*'Waste results'!$S$99, "data missing"),
   IF(Calc!BC134=0,
     IF(OR('Waste results'!$S$63&lt;&gt;"data missing", 'Waste results'!$S$99&lt;&gt;"data missing"), Calc!BD134*'Waste results'!$S$63+Calc!BE134*'Waste results'!$S$99, "data missing"),
   IF(OR('Waste results'!$S$27&lt;&gt;"data missing", 'Waste results'!$S$63&lt;&gt;"data missing", 'Waste results'!$S$99&lt;&gt;"data missing"), Calc!BC134*'Waste results'!$S$27+Calc!BD134*'Waste results'!$S$63+ Calc!BE134*'Waste results'!$S$99, "data missing")))))))))))</f>
        <v/>
      </c>
      <c r="AW136" s="239" t="str">
        <f ca="1">IF($B136="","",
IF(ISBLANK('Soil results'!M139),"data missing",'Soil results'!M139))</f>
        <v/>
      </c>
      <c r="AX136" s="239" t="str">
        <f t="shared" ca="1" si="44"/>
        <v/>
      </c>
      <c r="AY136" s="9" t="str">
        <f ca="1">IF(B136="","",
IF(AV136=0,"n/a",
IF(OR(AV136="data missing",AW136="data missing"),"data missing",
IF(AV136&gt;7.5,"application rate too high - permissible rate exceeds limit",
IF('Soil results'!$F139&lt;=5.5,
  IF(AW136&gt;80,"no application - soil conc. already above limit",
  IF(AX136&gt;80,"application rate too high - soil conc. will exceed limit",
  IF(AW136&gt;80*0.9,"soil conc. is at or above 90% of the limit",
  IF(10*AV136*1000/3000+AW136&gt;80,"soil limit likely to be exceeded in 10yrs",
  IF(50*AV136*1000/3000+AW136&gt;80,"soil limit likely to be exceeded in 50yrs","ok"))))),
IF('Soil results'!$F139&lt;=6,
  IF(AW136&gt;100,"no application - soil conc. already above limit",
  IF(AX136&gt;100,"application rate too high - soil conc. will exceed limit",
  IF(AW136&gt;100*0.9,"soil conc. is at or above 90% of the limit",
  IF(10*AV136*1000/3000+AW136&gt;100,"soil limit likely to be exceeded in 10yrs",
  IF(50*AV136*1000/3000+AW136&gt;100,"soil limit likely to be exceeded in 50yrs","ok"))))),
IF('Soil results'!$F139&lt;=7,
  IF(AW136&gt;135,"no application - soil conc. already above limit",
  IF(AX136&gt;135,"application rate too high - soil conc. will exceed limit",
  IF(AW136&gt;135*0.9,"soil conc. is at or above 90% of the limit",
  IF(10*AV136*1000/3000+AW136&gt;135,"soil limit likely to be exceeded in 10yrs",
  IF(50*AV136*1000/3000+AW136&gt;135,"soil limit likely to be exceeded in 50yrs","ok"))))),
IF('Soil results'!$F139&gt;7,
  IF(AW136&gt;200,"no application - soil conc. already above limit",
  IF(AX136&gt;200,"application too high - soil conc. will exceed limit",
  IF(AW136&gt;200*0.9,"soil conc. is at or above 90% of the limit",
  IF(10*AV136*1000/3000+AW136&gt;200,"soil limit likely to be exceeded in 10yrs",
  IF(50*AV136*1000/3000+AW136&gt;200,"soil limit likely to be exceeded in 50yrs","ok")))))
))))))))</f>
        <v/>
      </c>
      <c r="AZ136" s="9"/>
      <c r="BA136" s="238" t="str">
        <f ca="1">IF(B136="","",
IF(AND('Field information 2'!$O$5="", 'Field information 2'!$Q$5=""),
   IF('Waste results'!$S$28&lt;&gt;"data missing", Calc!BC134*'Waste results'!$S$28, "data missing"),
IF('Field information 2'!$Q$5="",
   IF(Calc!BD134=0,
     IF('Waste results'!$S$28&lt;&gt;"data missing", Calc!BC134*'Waste results'!$S$28, "data missing"),
   IF(Calc!BC134=0,
     IF('Waste results'!$S$64&lt;&gt;"data missing", Calc!BD134*'Waste results'!$S$64, "data missing"),
   IF(OR('Waste results'!$S$28&lt;&gt;"data missing", 'Waste results'!$S$64&lt;&gt;"data missing"), Calc!BC134*'Waste results'!$S$28+ Calc!BD134*'Waste results'!$S$64, "data missing"))),
IF(AND('Field information 2'!$M$5&lt;&gt;"", 'Field information 2'!$O$5&lt;&gt;"", 'Field information 2'!$Q$5&lt;&gt;""),
   IF(AND(Calc!BD134=0,Calc!BE134=0),
     IF('Waste results'!$S$28&lt;&gt;"data missing", Calc!BC134*'Waste results'!$S$28, "data missing"),
   IF(AND(Calc!BC134=0,Calc!BE134=0),
     IF('Waste results'!$S$64&lt;&gt;"data missing", Calc!BD134*'Waste results'!$S$64, "data missing"),
   IF(AND(Calc!BC134=0,Calc!BD134=0),
     IF('Waste results'!$S$100&lt;&gt;"data missing", Calc!BE134*'Waste results'!$S$100, "data missing"),
   IF(Calc!BE134=0,
     IF(OR('Waste results'!$S$28&lt;&gt;"data missing", 'Waste results'!$S$64&lt;&gt;"data missing"), Calc!BC134*'Waste results'!$S$28+ Calc!BD134*'Waste results'!$S$64, "data missing"),
   IF(Calc!BD134=0,
     IF(OR('Waste results'!$S$28&lt;&gt;"data missing", 'Waste results'!$S$100&lt;&gt;"data missing"), Calc!BC134*'Waste results'!$S$28+ Calc!BE134*'Waste results'!$S$100, "data missing"),
   IF(Calc!BC134=0,
     IF(OR('Waste results'!$S$64&lt;&gt;"data missing", 'Waste results'!$S$100&lt;&gt;"data missing"), Calc!BD134*'Waste results'!$S$64+Calc!BE134*'Waste results'!$S$100, "data missing"),
   IF(OR('Waste results'!$S$28&lt;&gt;"data missing", 'Waste results'!$S$64&lt;&gt;"data missing", 'Waste results'!$S$100&lt;&gt;"data missing"), Calc!BC134*'Waste results'!$S$28+Calc!BD134*'Waste results'!$S$64+ Calc!BE134*'Waste results'!$S$100, "data missing")))))))))))</f>
        <v/>
      </c>
      <c r="BB136" s="239" t="str">
        <f ca="1">IF($B136="","",
IF(ISBLANK('Soil results'!N139),"data missing",'Soil results'!N139))</f>
        <v/>
      </c>
      <c r="BC136" s="239" t="str">
        <f t="shared" ca="1" si="45"/>
        <v/>
      </c>
      <c r="BD136" s="9" t="str">
        <f t="shared" ca="1" si="46"/>
        <v/>
      </c>
      <c r="BE136" s="9"/>
      <c r="BF136" s="238" t="str">
        <f ca="1">IF(B136="","",
IF(AND('Field information 2'!$O$5="", 'Field information 2'!$Q$5=""),
   IF('Waste results'!$S$29&lt;&gt;"data missing", Calc!BC134*'Waste results'!$S$29, "data missing"),
IF('Field information 2'!$Q$5="",
   IF(Calc!BD134=0,
     IF('Waste results'!$S$29&lt;&gt;"data missing", Calc!BC134*'Waste results'!$S$29, "data missing"),
   IF(Calc!BC134=0,
     IF('Waste results'!$S$65&lt;&gt;"data missing", Calc!BD134*'Waste results'!$S$65, "data missing"),
   IF(OR('Waste results'!$S$29&lt;&gt;"data missing", 'Waste results'!$S$65&lt;&gt;"data missing"), Calc!BC134*'Waste results'!$S$29+ Calc!BD134*'Waste results'!$S$65, "data missing"))),
IF(AND('Field information 2'!$M$5&lt;&gt;"", 'Field information 2'!$O$5&lt;&gt;"", 'Field information 2'!$Q$5&lt;&gt;""),
   IF(AND(Calc!BD134=0,Calc!BE134=0),
     IF('Waste results'!$S$29&lt;&gt;"data missing", Calc!BC134*'Waste results'!$S$29, "data missing"),
   IF(AND(Calc!BC134=0,Calc!BE134=0),
     IF('Waste results'!$S$65&lt;&gt;"data missing", Calc!BD134*'Waste results'!$S$65, "data missing"),
   IF(AND(Calc!BC134=0,Calc!BD134=0),
     IF('Waste results'!$S$101&lt;&gt;"data missing", Calc!BE134*'Waste results'!$S$101, "data missing"),
   IF(Calc!BE134=0,
     IF(OR('Waste results'!$S$29&lt;&gt;"data missing", 'Waste results'!$S$65&lt;&gt;"data missing"), Calc!BC134*'Waste results'!$S$29+ Calc!BD134*'Waste results'!$S$65, "data missing"),
   IF(Calc!BD134=0,
     IF(OR('Waste results'!$S$29&lt;&gt;"data missing", 'Waste results'!$S$101&lt;&gt;"data missing"), Calc!BC134*'Waste results'!$S$29+ Calc!BE134*'Waste results'!$S$101, "data missing"),
   IF(Calc!BC134=0,
     IF(OR('Waste results'!$S$65&lt;&gt;"data missing", 'Waste results'!$S$101&lt;&gt;"data missing"), Calc!BD134*'Waste results'!$S$65+Calc!BE134*'Waste results'!$S$101, "data missing"),
   IF(OR('Waste results'!$S$29&lt;&gt;"data missing", 'Waste results'!$S$65&lt;&gt;"data missing", 'Waste results'!$S$101&lt;&gt;"data missing"), Calc!BC134*'Waste results'!$S$29+Calc!BD134*'Waste results'!$S$65+ Calc!BE134*'Waste results'!$S$101, "data missing")))))))))))</f>
        <v/>
      </c>
      <c r="BG136" s="239" t="str">
        <f ca="1">IF($B136="","",
IF(ISBLANK('Soil results'!O139),"data missing",'Soil results'!O139))</f>
        <v/>
      </c>
      <c r="BH136" s="239" t="str">
        <f t="shared" ca="1" si="47"/>
        <v/>
      </c>
      <c r="BI136" s="9" t="str">
        <f ca="1">IF(B136="","",
IF(BF136=0,"n/a",
IF(OR(BF136="data missing",BG136="data missing"),"data missing",
IF(BF136&gt;3,"application rate too high - permissible rate exceeds limit",
IF('Soil results'!F139&lt;=5.5,
  IF(BG136&gt;50,"no application - soil conc. already above limit",
  IF(BH136&gt;50,"application rate too high - soil conc. will exceed limit",
  IF(BG136&gt;50*0.9,"soil conc. is at or above 90% of the limit",
  IF(10*BF136*1000/3000+BG136&gt;50,"soil limit likely to be exceeded in 10yrs",
  IF(50*BF136*1000/3000+BG136&gt;50,"soil limit likely to be exceeded in 50yrs","ok"))))),
IF('Soil results'!F139&lt;=6,
  IF(BG136&gt;60,"no application - soil conc. already above limit",
  IF(BH136&gt;60,"application rate too high - soil conc. will exceed limit",
  IF(BG136&gt;60*0.9,"soil conc. is at or above 90% of the limit",
  IF(10*BF136*1000/3000+BG136&gt;60,"soil limit likely to be exceeded in 10yrs",
  IF(50*BF136*1000/3000+BG136&gt;60,"soil limit likely to be exceeded in 50yrs","ok"))))),
IF('Soil results'!F139&lt;=7,
  IF(BG136&gt;75,"no application - soil conc. already above limit",
  IF(BH136&gt;75,"application rate too high - soil conc. will exceed limit",
  IF(BG136&gt;75*0.9,"soil conc. is at or above 90% of the limit",
  IF(10*BF136*1000/3000+BG136&gt;75,"soil limit likely to be exceeded in 10yrs",
  IF(50*BF136*1000/3000+BG136&gt;75,"soil limit likely to be exceeded in 50yrs","ok"))))),
IF('Soil results'!F139&gt;7,
  IF(BG136&gt;100,"no application - soil conc. already above limit",
  IF(BH136&gt;100,"application rate too high - soil conc. will exceed limit",
  IF(BG136&gt;100*0.9,"soil conc. is at or above 90% of the limit",
  IF(10*BF136*1000/3000+BG136&gt;100,"soil limit likely to be exceeded in 10yrs",
  IF(50*BF136*1000/3000+BG136&gt;100,"soil limit likely to beexceeded in 50yrs","ok")))))
))))))))</f>
        <v/>
      </c>
      <c r="BJ136" s="9"/>
      <c r="BK136" s="240" t="str">
        <f ca="1">IF(B136="","",
IF(AND('Field information 2'!$O$5="", 'Field information 2'!$Q$5=""),
   IF('Waste results'!$S$30&lt;&gt;"data missing", Calc!BC134*'Waste results'!$S$30, "data missing"),
IF('Field information 2'!$Q$5="",
   IF(Calc!BD134=0,
     IF('Waste results'!$S$30&lt;&gt;"data missing", Calc!BC134*'Waste results'!$S$30, "data missing"),
   IF(Calc!BC134=0,
     IF('Waste results'!$S$66&lt;&gt;"data missing", Calc!BD134*'Waste results'!$S$66, "data missing"),
   IF(OR('Waste results'!$S$30&lt;&gt;"data missing", 'Waste results'!$S$66&lt;&gt;"data missing"), Calc!BC134*'Waste results'!$S$30+ Calc!BD134*'Waste results'!$S$66, "data missing"))),
IF(AND('Field information 2'!$M$5&lt;&gt;"", 'Field information 2'!$O$5&lt;&gt;"", 'Field information 2'!$Q$5&lt;&gt;""),
   IF(AND(Calc!BD134=0,Calc!BE134=0),
     IF('Waste results'!$S$30&lt;&gt;"data missing", Calc!BC134*'Waste results'!$S$30, "data missing"),
   IF(AND(Calc!BC134=0,Calc!BE134=0),
     IF('Waste results'!$S$66&lt;&gt;"data missing", Calc!BD134*'Waste results'!$S$66, "data missing"),
   IF(AND(Calc!BC134=0,Calc!BD134=0),
     IF('Waste results'!$S$102&lt;&gt;"data missing", Calc!BE134*'Waste results'!$S$102, "data missing"),
   IF(Calc!BE134=0,
     IF(OR('Waste results'!$S$30&lt;&gt;"data missing", 'Waste results'!$S$66&lt;&gt;"data missing"), Calc!BC134*'Waste results'!$S$30+ Calc!BD134*'Waste results'!$S$66, "data missing"),
   IF(Calc!BD134=0,
     IF(OR('Waste results'!$S$30&lt;&gt;"data missing", 'Waste results'!$S$102&lt;&gt;"data missing"), Calc!BC134*'Waste results'!$S$30+ Calc!BE134*'Waste results'!$S$102, "data missing"),
   IF(Calc!BC134=0,
     IF(OR('Waste results'!$S$66&lt;&gt;"data missing", 'Waste results'!$S$102&lt;&gt;"data missing"), Calc!BD134*'Waste results'!$S$66+Calc!BE134*'Waste results'!$S$102, "data missing"),
   IF(OR('Waste results'!$S$30&lt;&gt;"data missing", 'Waste results'!$S$66&lt;&gt;"data missing", 'Waste results'!$S$102&lt;&gt;"data missing"), Calc!BC134*'Waste results'!$S$30+Calc!BD134*'Waste results'!$S$66+ Calc!BE134*'Waste results'!$S$102, "data missing")))))))))))</f>
        <v/>
      </c>
      <c r="BL136" s="241" t="str">
        <f ca="1">IF($B136="","",
IF(ISBLANK('Soil results'!P139),"data missing",'Soil results'!P139))</f>
        <v/>
      </c>
      <c r="BM136" s="241" t="str">
        <f t="shared" ca="1" si="48"/>
        <v/>
      </c>
      <c r="BN136" s="66" t="str">
        <f t="shared" ca="1" si="49"/>
        <v/>
      </c>
      <c r="BO136" s="9"/>
      <c r="BP136" s="238" t="str">
        <f ca="1">IF(B136="","",
IF(AND('Field information 2'!$O$5="", 'Field information 2'!$Q$5=""),
   IF('Waste results'!$S$31&lt;&gt;"data missing", Calc!BC134*'Waste results'!$S$31, "data missing"),
IF('Field information 2'!$Q$5="",
   IF(Calc!BD134=0,
     IF('Waste results'!$S$31&lt;&gt;"data missing", Calc!BC134*'Waste results'!$S$31, "data missing"),
   IF(Calc!BC134=0,
     IF('Waste results'!$S$67&lt;&gt;"data missing", Calc!BD134*'Waste results'!$S$67, "data missing"),
   IF(OR('Waste results'!$S$31&lt;&gt;"data missing", 'Waste results'!$S$67&lt;&gt;"data missing"), Calc!BC134*'Waste results'!$S$31+ Calc!BD134*'Waste results'!$S$67, "data missing"))),
IF(AND('Field information 2'!$M$5&lt;&gt;"", 'Field information 2'!$O$5&lt;&gt;"", 'Field information 2'!$Q$5&lt;&gt;""),
   IF(AND(Calc!BD134=0,Calc!BE134=0),
     IF('Waste results'!$S$31&lt;&gt;"data missing", Calc!BC134*'Waste results'!$S$31, "data missing"),
   IF(AND(Calc!BC134=0,Calc!BE134=0),
     IF('Waste results'!$S$67&lt;&gt;"data missing", Calc!BD134*'Waste results'!$S$67, "data missing"),
   IF(AND(Calc!BC134=0,Calc!BD134=0),
     IF('Waste results'!$S$103&lt;&gt;"data missing", Calc!BE134*'Waste results'!$S$103, "data missing"),
   IF(Calc!BE134=0,
     IF(OR('Waste results'!$S$31&lt;&gt;"data missing", 'Waste results'!$S$67&lt;&gt;"data missing"), Calc!BC134*'Waste results'!$S$31+ Calc!BD134*'Waste results'!$S$67, "data missing"),
   IF(Calc!BD134=0,
     IF(OR('Waste results'!$S$31&lt;&gt;"data missing", 'Waste results'!$S$103&lt;&gt;"data missing"), Calc!BC134*'Waste results'!$S$31+ Calc!BE134*'Waste results'!$S$103, "data missing"),
   IF(Calc!BC134=0,
     IF(OR('Waste results'!$S$67&lt;&gt;"data missing", 'Waste results'!$S$103&lt;&gt;"data missing"), Calc!BD134*'Waste results'!$S$67+Calc!BE134*'Waste results'!$S$103, "data missing"),
   IF(OR('Waste results'!$S$31&lt;&gt;"data missing", 'Waste results'!$S$67&lt;&gt;"data missing", 'Waste results'!$S$103&lt;&gt;"data missing"), Calc!BC134*'Waste results'!$S$31+Calc!BD134*'Waste results'!$S$67+ Calc!BE134*'Waste results'!$S$103, "data missing")))))))))))</f>
        <v/>
      </c>
      <c r="BQ136" s="239" t="str">
        <f ca="1">IF($B136="","",
IF(ISBLANK('Soil results'!Q139),"data missing",'Soil results'!Q139))</f>
        <v/>
      </c>
      <c r="BR136" s="239" t="str">
        <f t="shared" ca="1" si="50"/>
        <v/>
      </c>
      <c r="BS136" s="9" t="str">
        <f ca="1">IF(B136="","",
IF(BP136=0,"n/a",
IF(OR(BP136="data missing",BQ136=""),"data missing",
IF(BP136&gt;15,"application rate too high - permissible rate exceeds limit",
IF('Soil results'!F139&lt;=5.5,
  IF(BQ136&gt;200,"no application - soil conc. already above limit",
  IF(BR136&gt;200,"application rate too high - soil conc. will exceed limit",
  IF(BQ136&gt;200*0.9,"soil conc. is at or above 90% of the limit",
  IF(10*BP136*1000/3000+BQ136&gt;200,"soil limit likely to be exceeded in 10yrs",
  IF(50*BP136*1000/3000+BQ136&gt;200,"soil limit likely to be exceeded in 50yrs","ok"))))),
IF('Soil results'!F139&lt;=6,
  IF(BQ136&gt;250,"no application - soil conc. already above limit",
  IF(BR136&gt;250,"application rate too high - soil conc. will exceed limit",
  IF(BQ136&gt;250*0.9,"soil conc. is at or above 90% of the limit",
  IF(10*BP136*1000/3000+BQ136&gt;250,"soil limit likely to be exceeded in 10yrs",
  IF(50*BP136*1000/3000+BQ136&gt;250,"soil limit likely to be exceeded in 50yrs","ok"))))),
IF('Soil results'!F139&lt;=7,
  IF(BQ136&gt;300,"no application - soil conc. already above limit",
  IF(BR136&gt;300,"application rate too high - soil conc. will exceed limit",
  IF(BQ136&gt;300*0.9,"soil conc. is at or above 90% of the limit",
  IF(10*BP136*1000/3000+BQ136&gt;300,"soil limit likey to be exceeded in 10yrs",
  IF(50*BP136*1000/3000+BQ136&gt;300,"soil limit likely to be exceeded in 50yrs","ok"))))),
IF('Soil results'!F139&gt;7,
  IF(BQ136&gt;450,"no application - soil conc. already above limit",
  IF(BR136&gt;450,"application rate too high - soil conc. will exceed limit",
  IF(AW136&gt;450*0.9,"soil conc. is at or above 90% of the limit",
  IF(10*BP136*1000/3000+BQ136&gt;450,"soil limit likely to be exceeded in 10yrs",
  IF(50*BP136*1000/3000+BQ136&gt;450,"soil limit likely to be exceeded in 50yrs","ok")))))
))))))))</f>
        <v/>
      </c>
    </row>
    <row r="137" spans="2:71" ht="15" x14ac:dyDescent="0.25">
      <c r="B137" s="236" t="str">
        <f ca="1">'Soil results'!B140</f>
        <v/>
      </c>
      <c r="C137" s="91" t="str">
        <f ca="1">IF(B137="","",
IF(AND('Field information 2'!$O$5="", 'Field information 2'!$Q$5=""),
   IF('Waste results'!$S$12&lt;&gt;"data missing", Calc!BC135*'Waste results'!$S$12, "data missing"),
IF('Field information 2'!$Q$5="",
   IF(Calc!BD135=0,
     IF('Waste results'!$S$12&lt;&gt;"data missing", Calc!BC135*'Waste results'!$S$12, "data missing"),
   IF(Calc!BC135=0,
     IF('Waste results'!$S$48&lt;&gt;"data missing", Calc!BD135*'Waste results'!$S$48, "data missing"),
   IF(OR('Waste results'!$S$12&lt;&gt;"data missing", 'Waste results'!$S$48&lt;&gt;"data missing"), Calc!BC135*'Waste results'!$S$12+ Calc!BD135*'Waste results'!$S$48, "data missing"))),
IF(AND('Field information 2'!$M$5&lt;&gt;"", 'Field information 2'!$O$5&lt;&gt;"", 'Field information 2'!$Q$5&lt;&gt;""),
   IF(AND(Calc!BD135=0,Calc!BE135=0),
     IF('Waste results'!$S$12&lt;&gt;"data missing", Calc!BC135*'Waste results'!$S$12, "data missing"),
   IF(AND(Calc!BC135=0,Calc!BE135=0),
     IF('Waste results'!$S$48&lt;&gt;"data missing", Calc!BD135*'Waste results'!$S$48, "data missing"),
   IF(AND(Calc!BC135=0,Calc!BD135=0),
     IF('Waste results'!$S$84&lt;&gt;"data missing", Calc!BE135*'Waste results'!$S$84, "data missing"),
   IF(Calc!BE135=0,
     IF(OR('Waste results'!$S$12&lt;&gt;"data missing", 'Waste results'!$S$48&lt;&gt;"data missing"), Calc!BC135*'Waste results'!$S$12+ Calc!BD135*'Waste results'!$S$48, "data missing"),
   IF(Calc!BD135=0,
     IF(OR('Waste results'!$S$12&lt;&gt;"data missing", 'Waste results'!$S$84&lt;&gt;"data missing"), Calc!BC135*'Waste results'!$S$12+ Calc!BE135*'Waste results'!$S$84, "data missing"),
   IF(Calc!BC135=0,
     IF(OR('Waste results'!$S$48&lt;&gt;"data missing", 'Waste results'!$S$84&lt;&gt;"data missing"), Calc!BD135*'Waste results'!$S$48+Calc!BE135*'Waste results'!$S$84, "data missing"),
   IF(OR('Waste results'!$S$12&lt;&gt;"data missing", 'Waste results'!$S$48&lt;&gt;"data missing", 'Waste results'!$S$84&lt;&gt;"data missing"), Calc!BC135*'Waste results'!$S$12+Calc!BD135*'Waste results'!$S$48+ Calc!BE135*'Waste results'!$S$84, "data missing")))))))))))</f>
        <v/>
      </c>
      <c r="D137" s="161" t="str">
        <f ca="1">IF(B137="","",
IF(Calc!BG135="","soil texture missing",
IF(OR(Calc!BG135="SL; SZL; ZL",Calc!BG135="SCL; CL; ZCL; SC; ZC; C"),VLOOKUP(Calc!BI135,'Fertiliser recommendations'!$A$4:$C$63,3,FALSE),
IF(Calc!BG135="S; LS",VLOOKUP(Calc!BI135,'Fertiliser recommendations'!$A$4:$C$63,3,FALSE)+VLOOKUP(Calc!BI135,'Fertiliser recommendations'!$A$4:$D$63,4,FALSE),
IF(Calc!BG135="10-25% OM",VLOOKUP(Calc!BI135,'Fertiliser recommendations'!$A$4:$C$63,3,FALSE)+VLOOKUP(Calc!BI135,'Fertiliser recommendations'!$A$4:$E$63,5,FALSE),
IF(Calc!BG135="&gt;25% OM",VLOOKUP(Calc!BI135,'Fertiliser recommendations'!$A$4:$C$63,3,FALSE)+VLOOKUP(Calc!BI135,'Fertiliser recommendations'!$A$4:$F$63,6,FALSE),
""))))))</f>
        <v/>
      </c>
      <c r="E137" s="91" t="str">
        <f t="shared" ca="1" si="34"/>
        <v/>
      </c>
      <c r="F137" s="9" t="str">
        <f ca="1">IF(B137="","",
IF(OR(C137="data missing",D137="soil texture missing"),"data missing",
IF(Calc!BF135=0,"n/a",
IF(C137&lt;0.1*D137,"no benefit",
IF(C137&lt;0.3*D137,"limited benefit",
IF(C137&gt;250,"exceeds limit",
IF(OR(AND(D137=0,C137&gt;75),C137&gt;1.25*D137),"excessive",
IF(D137=0, "no requirement",
"benefit"))))))))</f>
        <v/>
      </c>
      <c r="G137" s="9"/>
      <c r="H137" s="91" t="str">
        <f ca="1">IF(B137="","",
IF(AND('Field information 2'!$O$5="", 'Field information 2'!$Q$5=""),
   IF('Waste results'!$S$17&lt;&gt;"data missing", Calc!BC135*'Waste results'!$S$17, "data missing"),
IF('Field information 2'!$Q$5="",
   IF(Calc!BD135=0,
     IF('Waste results'!$S$17&lt;&gt;"data missing", Calc!BC135*'Waste results'!$S$17, "data missing"),
   IF(Calc!BC135=0,
     IF('Waste results'!$S$53&lt;&gt;"data missing", Calc!BD135*'Waste results'!$S$53, "data missing"),
   IF(OR('Waste results'!$S$17&lt;&gt;"data missing", 'Waste results'!$S$53&lt;&gt;"data missing"), Calc!BC135*'Waste results'!$S$17+ Calc!BD135*'Waste results'!$S$53, "data missing"))),
IF(AND('Field information 2'!$M$5&lt;&gt;"", 'Field information 2'!$O$5&lt;&gt;"", 'Field information 2'!$Q$5&lt;&gt;""),
   IF(AND(Calc!BD135=0,Calc!BE135=0),
     IF('Waste results'!$S$17&lt;&gt;"data missing", Calc!BC135*'Waste results'!$S$17, "data missing"),
   IF(AND(Calc!BC135=0,Calc!BE135=0),
     IF('Waste results'!$S$53&lt;&gt;"data missing", Calc!BD135*'Waste results'!$S$53, "data missing"),
   IF(AND(Calc!BC135=0,Calc!BD135=0),
     IF('Waste results'!$S$89&lt;&gt;"data missing", Calc!BE135*'Waste results'!$S$89, "data missing"),
   IF(Calc!BE135=0,
     IF(OR('Waste results'!$S$17&lt;&gt;"data missing", 'Waste results'!$S$53&lt;&gt;"data missing"), Calc!BC135*'Waste results'!$S$17+ Calc!BD135*'Waste results'!$S$53, "data missing"),
   IF(Calc!BD135=0,
     IF(OR('Waste results'!$S$17&lt;&gt;"data missing", 'Waste results'!$S$89&lt;&gt;"data missing"), Calc!BC135*'Waste results'!$S$17+ Calc!BE135*'Waste results'!$S$89, "data missing"),
   IF(Calc!BC135=0,
     IF(OR('Waste results'!$S$53&lt;&gt;"data missing", 'Waste results'!$S$89&lt;&gt;"data missing"), Calc!BD135*'Waste results'!$S$53+Calc!BE135*'Waste results'!$S$89, "data missing"),
   IF(OR('Waste results'!$S$17&lt;&gt;"data missing", 'Waste results'!$S$53&lt;&gt;"data missing", 'Waste results'!$S$89&lt;&gt;"data missing"), Calc!BC135*'Waste results'!$S$17+Calc!BD135*'Waste results'!$S$53+ Calc!BE135*'Waste results'!$S$89, "data missing")))))))))))</f>
        <v/>
      </c>
      <c r="I137" s="195" t="str">
        <f ca="1">IF(B137="","",
IF(OR(ISBLANK('Soil results'!G140), ISBLANK('Soil results'!G$7)),"data missing",
IF(OR(AND('Soil results'!G$7="Olsen (ADAS)",'Soil results'!G140&lt;16),AND('Soil results'!G$7="modified Morgan (SAC)",'Soil results'!G140&lt;4.5)),50,100)))</f>
        <v/>
      </c>
      <c r="J137" s="49" t="str">
        <f ca="1">IF(B137="","",
IF(OR(ISBLANK('Soil results'!G$7),ISBLANK('Soil results'!G140)),"data missing",
IF(OR(AND('Soil results'!G$7="Olsen (ADAS)",'Soil results'!G140&gt;45),AND('Soil results'!G$7="modified Morgan (SAC)",'Soil results'!G140&gt;30)),0,
IF(OR(AND('Soil results'!G$7="Olsen (ADAS)",'Soil results'!G140&gt;=16,'Soil results'!G140&lt;=20),AND('Soil results'!G$7="modified Morgan (SAC)",'Soil results'!G140&gt;=4.5,'Soil results'!G140&lt;=9.4)),VLOOKUP(Calc!BI135,'Fertiliser recommendations'!$A$4:$I$63,9,FALSE),
IF(OR(AND('Soil results'!G$7="Olsen (ADAS)",'Soil results'!G140&lt;10),AND('Soil results'!G$7="modified Morgan (SAC)",'Soil results'!G140&lt;1.8)),VLOOKUP(Calc!BI135,'Fertiliser recommendations'!$A$4:$I$63,9,FALSE)+VLOOKUP(Calc!BI135,'Fertiliser recommendations'!$A$4:$J$63,10,FALSE),
IF(OR(AND('Soil results'!G$7="Olsen (ADAS)",'Soil results'!G140&lt;16),AND('Soil results'!G$7="modified Morgan (SAC)",'Soil results'!G140&lt;4.5)),VLOOKUP(Calc!BI135,'Fertiliser recommendations'!$A$4:$I$63,9,FALSE)+VLOOKUP(Calc!BI135,'Fertiliser recommendations'!$A$4:$K$63,11,FALSE),
IF(OR(AND('Soil results'!G$7="Olsen (ADAS)",'Soil results'!G140&lt;26),AND('Soil results'!G$7="modified Morgan (SAC)",'Soil results'!G140&lt;13.5)),VLOOKUP(Calc!BI135,'Fertiliser recommendations'!$A$4:$I$63,9,FALSE)+VLOOKUP(Calc!BI135,'Fertiliser recommendations'!$A$4:$L$63,12,FALSE),
IF(OR(AND('Soil results'!G$7="Olsen (ADAS)",'Soil results'!G140&lt;=45),AND('Soil results'!G$7="modified Morgan (SAC)",'Soil results'!G140&lt;=30)),VLOOKUP(Calc!BI135,'Fertiliser recommendations'!$A$4:$I$63,9,FALSE)+VLOOKUP(Calc!BI135,'Fertiliser recommendations'!$A$4:$M$63,13,FALSE),
""))))))))</f>
        <v/>
      </c>
      <c r="K137" s="161" t="str">
        <f t="shared" ca="1" si="35"/>
        <v/>
      </c>
      <c r="L137" s="47" t="str">
        <f ca="1">IF(OR(ISBLANK('Soil results'!G$7),ISBLANK('Soil results'!G140),B137="", H137="data missing"),"",
IF('Soil results'!G$7="Olsen (ADAS)",
IF(((H137*Calc!BM135/2.291-(VLOOKUP(Calc!BI135,'Fertiliser recommendations'!$A$4:$I$63,9,FALSE))/2.291)*10/(400/2.291)+'Soil results'!G140)&lt;10,"0 (VL)",
IF(((H137*Calc!BM135/2.291-(VLOOKUP(Calc!BI135,'Fertiliser recommendations'!$A$4:$I$63,9,FALSE))/2.291)*10/(400/2.291)+'Soil results'!G140)&lt;16,"1 (L)",
IF(((H137*Calc!BM135/2.291-(VLOOKUP(Calc!BI135,'Fertiliser recommendations'!$A$4:$I$63,9,FALSE))/2.291)*10/(400/2.291)+'Soil results'!G140)&lt;21,"2 (M-)",
IF(((H137*Calc!BM135/2.291-(VLOOKUP(Calc!BI135,'Fertiliser recommendations'!$A$4:$I$63,9,FALSE))/2.291)*10/(400/2.291)+'Soil results'!G140)&lt;26,"2 (M+)",
IF(((H137*Calc!BM135/2.291-(VLOOKUP(Calc!BI135,'Fertiliser recommendations'!$A$4:$I$63,9,FALSE))/2.291)*10/(400/2.291)+'Soil results'!G140)&lt;45,"3 (H)","&gt;3 (VH)"))))),
IF('Soil results'!G$7="modified Morgan (SAC)",
IF('Soil results'!G140&gt;=6,
IF(((H137*Calc!BM135/2.291-(VLOOKUP(Calc!BI135,'Fertiliser recommendations'!$A$4:$I$63,9,FALSE))/2.291)*5/(147/2.291)+'Soil results'!G140)&lt;9.5,"2 (M-)",
IF(((H137*Calc!BM135/2.291-(VLOOKUP(Calc!BI135,'Fertiliser recommendations'!$A$4:$I$63,9,FALSE))/2.291)*5/(147/2.291)+'Soil results'!G140)&lt;13.5,"2 (M+)",
IF(((H137*Calc!BM135/2.291-(VLOOKUP(Calc!BI135,'Fertiliser recommendations'!$A$4:$I$63,9,FALSE))/2.291)*5/(147/2.291)+'Soil results'!G140)&lt;30,"3 (H)","4 (VH)"))),
IF(((H137*Calc!BM135/2.291-(VLOOKUP(Calc!BI135,'Fertiliser recommendations'!$A$4:$I$63,9,FALSE))/2.291)*5/(346/2.291)+'Soil results'!G140)&lt;1.8,"0 (VL)",
IF(((H137*Calc!BM135/2.291-(VLOOKUP(Calc!BI135,'Fertiliser recommendations'!$A$4:$I$63,9,FALSE))/2.291)*5/(147/2.291)+'Soil results'!G140)&lt;4.5,"1 (L)","2 (M-)"))))))</f>
        <v/>
      </c>
      <c r="M137" s="9" t="str">
        <f ca="1">IF(B137="","",
IF(OR(H137="data missing",I137="data missing",J137="data missing"),"data missing",
IF(Calc!BF135=0,"n/a",
IF(OR(AND('Soil results'!G$7="Olsen (ADAS)",'Soil results'!G140&gt;45),AND('Soil results'!G$7="modified Morgan (SAC)",'Soil results'!G140&gt;30)),
IF(H137&gt;2,"too high, not acceptable","no requirement"),IF(OR(AND('Soil results'!G$7="Olsen (ADAS)",'Soil results'!G140&gt;25),AND('Soil results'!G$7="modified Morgan (SAC)",'Soil results'!G140&gt;13.4)),
IF(H137*(I137/100)&lt;0.1*J137,"no benefit",
IF(H137*(I137/100)&lt;0.3*J137,"limited benefit",
IF(H137*(I137/100)&lt;1.1*J137,"benefit",
IF(H137*(I137/100)&lt;0.7*VLOOKUP(Calc!BI135,'Fertiliser recommendations'!$A$4:$I$63,9,FALSE),"excessive","too high, not acceptable")))),
IF(OR(AND('Soil results'!G$7="Olsen (ADAS)",'Soil results'!G140&gt;20),AND('Soil results'!G$7="modified Morgan (SAC)",'Soil results'!G140&gt;9.4)),
IF(H137*Calc!BM135*(I137/100)&lt;0.1*J137,"no benefit",
IF(H137*Calc!BM135*(I137/100)&lt;0.3*J137,"limited benefit",
IF(H137*Calc!BM135*(I137/100)&lt;1.1*J137,"benefit",
IF(L137="3 (H)","too high, not acceptable","excessive")))),
IF(OR(AND('Soil results'!G$7="Olsen (ADAS)",'Soil results'!G140&gt;15),AND('Soil results'!G$7="modified Morgan (SAC)",'Soil results'!G140&gt;4.4)),
IF(H137*Calc!BM135*(I137/100)&lt;0.1*VLOOKUP(Calc!BI135,'Fertiliser recommendations'!$A$4:$I$63,9,FALSE),"no benefit",
IF(H137*Calc!BM135*(I137/100)&lt;0.3*VLOOKUP(Calc!BI135,'Fertiliser recommendations'!$A$4:$I$63,9,FALSE),"limited benefit",
IF(H137*Calc!BM135*(I137/100)&lt;1.1*VLOOKUP(Calc!BI135,'Fertiliser recommendations'!$A$4:$I$63,9,FALSE),"benefit",
IF(L137="3 (H)", "too high, not acceptable", "excessive")))),
IF(OR(AND('Soil results'!G$7="Olsen (ADAS)",'Soil results'!G140&lt;=15),AND('Soil results'!G$7="modified Morgan (SAC)",'Soil results'!G140&lt;=4.4)),
IF(H137*Calc!BM135*(I137/100)&lt;0.1*VLOOKUP(Calc!BI135,'Fertiliser recommendations'!$A$4:$I$63,9,FALSE),"no benefit",
IF(H137*Calc!BM135*(I137/100)&lt;0.3*VLOOKUP(Calc!BI135,'Fertiliser recommendations'!$A$4:$I$63,9,FALSE),"limited benefit",
IF(H137*Calc!BM135*(I137/100)&lt;1.1*J137,"benefit","excessive")))))))))))</f>
        <v/>
      </c>
      <c r="N137" s="9"/>
      <c r="O137" s="91" t="str">
        <f ca="1">IF(B137="","",
IF(AND('Field information 2'!$O$5="", 'Field information 2'!$Q$5=""),
   IF('Waste results'!$S$19&lt;&gt;"data missing", Calc!BC135*'Waste results'!$S$19, "data missing"),
IF('Field information 2'!$Q$5="",
   IF(Calc!BD135=0,
     IF('Waste results'!$S$19&lt;&gt;"data missing", Calc!BC135*'Waste results'!$S$19, "data missing"),
   IF(Calc!BC135=0,
     IF('Waste results'!$S$55&lt;&gt;"data missing", Calc!BD135*'Waste results'!$S$55, "data missing"),
   IF(OR('Waste results'!$S$19&lt;&gt;"data missing", 'Waste results'!$S$55&lt;&gt;"data missing"), Calc!BC135*'Waste results'!$S$19+ Calc!BD135*'Waste results'!$S$55, "data missing"))),
IF(AND('Field information 2'!$M$5&lt;&gt;"", 'Field information 2'!$O$5&lt;&gt;"", 'Field information 2'!$Q$5&lt;&gt;""),
   IF(AND(Calc!BD135=0,Calc!BE135=0),
     IF('Waste results'!$S$19&lt;&gt;"data missing", Calc!BC135*'Waste results'!$S$19, "data missing"),
   IF(AND(Calc!BC135=0,Calc!BE135=0),
     IF('Waste results'!$S$55&lt;&gt;"data missing", Calc!BD135*'Waste results'!$S$55, "data missing"),
   IF(AND(Calc!BC135=0,Calc!BD135=0),
     IF('Waste results'!$S$91&lt;&gt;"data missing", Calc!BE135*'Waste results'!$S$91, "data missing"),
   IF(Calc!BE135=0,
     IF(OR('Waste results'!$S$19&lt;&gt;"data missing", 'Waste results'!$S$55&lt;&gt;"data missing"), Calc!BC135*'Waste results'!$S$19+ Calc!BD135*'Waste results'!$S$55, "data missing"),
   IF(Calc!BD135=0,
     IF(OR('Waste results'!$S$19&lt;&gt;"data missing", 'Waste results'!$S$91&lt;&gt;"data missing"), Calc!BC135*'Waste results'!$S$19+ Calc!BE135*'Waste results'!$S$91, "data missing"),
   IF(Calc!BC135=0,
     IF(OR('Waste results'!$S$55&lt;&gt;"data missing", 'Waste results'!$S$91&lt;&gt;"data missing"), Calc!BD135*'Waste results'!$S$55+Calc!BE135*'Waste results'!$S$91, "data missing"),
   IF(OR('Waste results'!$S$19&lt;&gt;"data missing", 'Waste results'!$S$55&lt;&gt;"data missing", 'Waste results'!$S$91&lt;&gt;"data missing"), Calc!BC135*'Waste results'!$S$19+Calc!BD135*'Waste results'!$S$55+ Calc!BE135*'Waste results'!$S$91, "data missing")))))))))))</f>
        <v/>
      </c>
      <c r="P137" s="91" t="str">
        <f ca="1">IF(B137="","",
IF(OR(ISBLANK('Soil results'!H$7),ISBLANK('Soil results'!H140)),"data missing",
IF(OR(AND('Soil results'!H$7="ammonium nitrate (ADAS)",'Soil results'!H140&gt;400),AND('Soil results'!H$7="modified Morgan (SAC)",'Soil results'!H140&gt;400)),0,
IF(OR(AND('Soil results'!H$7="ammonium nitrate (ADAS)",'Soil results'!H140&gt;=121,'Soil results'!H140&lt;=180),AND('Soil results'!H$7="modified Morgan (SAC)",'Soil results'!H140&gt;=76,'Soil results'!H140&lt;=140)),VLOOKUP(Calc!BI135,'Fertiliser recommendations'!$A$4:$Z$63,26,FALSE),
IF(OR(AND('Soil results'!H$7="ammonium nitrate (ADAS)",'Soil results'!H140&lt;61),AND('Soil results'!H$7="modified Morgan (SAC)",'Soil results'!H140&lt;40)),VLOOKUP(Calc!BI135,'Fertiliser recommendations'!$A$4:$Z$63,26,FALSE)+VLOOKUP(Calc!BI135,'Fertiliser recommendations'!$A$4:$AA$63,27,FALSE),
IF(OR(AND('Soil results'!H$7="ammonium nitrate (ADAS)",'Soil results'!H140&lt;121),AND('Soil results'!H$7="modified Morgan (SAC)",'Soil results'!H140&lt;76)),VLOOKUP(Calc!BI135,'Fertiliser recommendations'!$A$4:$Z$63,26,FALSE)+VLOOKUP(Calc!BI135,'Fertiliser recommendations'!$A$4:$AB$63,28,FALSE),
IF(OR(AND('Soil results'!H$7="ammonium nitrate (ADAS)",'Soil results'!H140&lt;241),AND('Soil results'!H$7="modified Morgan (SAC)",'Soil results'!H140&lt;201)),VLOOKUP(Calc!BI135,'Fertiliser recommendations'!$A$4:$Z$63,26,FALSE)+VLOOKUP(Calc!BI135,'Fertiliser recommendations'!$A$4:$AC$63,29,FALSE),
IF(OR(AND('Soil results'!H$7="ammonium nitrate (ADAS)",'Soil results'!H140&lt;=400),AND('Soil results'!H$7="modified Morgan (SAC)",'Soil results'!H140&lt;=400)),VLOOKUP(Calc!BI135,'Fertiliser recommendations'!$A$4:$Z$63,26,FALSE)+VLOOKUP(Calc!BI135,'Fertiliser recommendations'!$A$4:$AD$63,30,FALSE),
"??"))))))))</f>
        <v/>
      </c>
      <c r="Q137" s="91" t="str">
        <f t="shared" ca="1" si="36"/>
        <v/>
      </c>
      <c r="R137" s="9" t="str">
        <f ca="1">IF(B137="","",
IF(OR(O137="data missing",P137="data missing"),"data missing",
IF(Calc!BF135=0,"n/a",
IF(P137=0, "no requirement",
IF(O137&lt;0.1*P137,"no benefit",
IF(O137&lt;0.3*P137,"limited benefit",
IF(O137&gt;1.25*P137,"excessive",
"benefit")))))))</f>
        <v/>
      </c>
      <c r="S137" s="9"/>
      <c r="T137" s="91" t="str">
        <f ca="1">IF(B137="","",
IF(AND('Field information 2'!$O$5="", 'Field information 2'!$Q$5=""),
   IF('Waste results'!$S$21&lt;&gt;"data missing", Calc!BC135*'Waste results'!$S$21, "data missing"),
IF('Field information 2'!$Q$5="",
   IF(Calc!BD135=0,
     IF('Waste results'!$S$21&lt;&gt;"data missing", Calc!BC135*'Waste results'!$S$21, "data missing"),
   IF(Calc!BC135=0,
     IF('Waste results'!$S$57&lt;&gt;"data missing", Calc!BD135*'Waste results'!$S$57, "data missing"),
   IF(OR('Waste results'!$S$21&lt;&gt;"data missing", 'Waste results'!$S$57&lt;&gt;"data missing"), Calc!BC135*'Waste results'!$S$21+ Calc!BD135*'Waste results'!$S$57, "data missing"))),
IF(AND('Field information 2'!$M$5&lt;&gt;"", 'Field information 2'!$O$5&lt;&gt;"", 'Field information 2'!$Q$5&lt;&gt;""),
   IF(AND(Calc!BD135=0,Calc!BE135=0),
     IF('Waste results'!$S$21&lt;&gt;"data missing", Calc!BC135*'Waste results'!$S$21, "data missing"),
   IF(AND(Calc!BC135=0,Calc!BE135=0),
     IF('Waste results'!$S$57&lt;&gt;"data missing", Calc!BD135*'Waste results'!$S$57, "data missing"),
   IF(AND(Calc!BC135=0,Calc!BD135=0),
     IF('Waste results'!$S$93&lt;&gt;"data missing", Calc!BE135*'Waste results'!$S$93, "data missing"),
   IF(Calc!BE135=0,
     IF(OR('Waste results'!$S$21&lt;&gt;"data missing", 'Waste results'!$S$57&lt;&gt;"data missing"), Calc!BC135*'Waste results'!$S$21+ Calc!BD135*'Waste results'!$S$57, "data missing"),
   IF(Calc!BD135=0,
     IF(OR('Waste results'!$S$21&lt;&gt;"data missing", 'Waste results'!$S$93&lt;&gt;"data missing"), Calc!BC135*'Waste results'!$S$21+ Calc!BE135*'Waste results'!$S$93, "data missing"),
   IF(Calc!BC135=0,
     IF(OR('Waste results'!$S$57&lt;&gt;"data missing", 'Waste results'!$S$93&lt;&gt;"data missing"), Calc!BD135*'Waste results'!$S$57+Calc!BE135*'Waste results'!$S$93, "data missing"),
   IF(OR('Waste results'!$S$21&lt;&gt;"data missing", 'Waste results'!$S$57&lt;&gt;"data missing", 'Waste results'!$S$93&lt;&gt;"data missing"), Calc!BC135*'Waste results'!$S$21+Calc!BD135*'Waste results'!$S$57+ Calc!BE135*'Waste results'!$S$93, "data missing")))))))))))</f>
        <v/>
      </c>
      <c r="U137" s="7" t="str">
        <f ca="1">IF(B137="","",
IF(OR(ISBLANK('Soil results'!I$7),ISBLANK('Soil results'!I140)),"data missing",
IF(OR(AND('Soil results'!I$7="ammonium nitrate (ADAS)",'Soil results'!I140&gt;51),AND('Soil results'!I$7="modified Morgan (SAC)",'Soil results'!I140&gt;61)),0,
IF(OR(AND('Soil results'!I$7="ammonium nitrate (ADAS)",'Soil results'!I140&lt;25),AND('Soil results'!I$7="modified Morgan (SAC)",'Soil results'!I140&lt;19)),VLOOKUP(Calc!BI135,'Fertiliser recommendations'!$A$4:$AH$63,34,FALSE),
IF(OR(AND('Soil results'!I$7="ammonium nitrate (ADAS)",'Soil results'!I140&lt;=51),AND('Soil results'!I$7="modified Morgan (SAC)",'Soil results'!I140&lt;=61)),VLOOKUP(Calc!BI135,'Fertiliser recommendations'!$A$4:$AI$63,35,FALSE),
"")))))</f>
        <v/>
      </c>
      <c r="V137" s="91" t="str">
        <f t="shared" ca="1" si="37"/>
        <v/>
      </c>
      <c r="W137" s="9" t="str">
        <f ca="1">IF(B137="","",
IF(OR(T137="data missing",U137="data missing"),"data missing",
IF(Calc!BF135=0,"n/a",
IF(U137=0,"no requirement",
IF(T137&lt;0.1*U137,"no benefit",
IF(T137&lt;0.3*U137,"limited benefit",
IF(OR(T137&gt;1.5*U137,AND(Calc!BJ135="g",T137&gt;100)),"excessive",
"benefit")))))))</f>
        <v/>
      </c>
      <c r="X137" s="9"/>
      <c r="Y137" s="91" t="str">
        <f ca="1">IF(B137="","",
IF(AND('Field information 2'!$O$5="", 'Field information 2'!$Q$5=""),
   IF('Waste results'!$P$23&lt;&gt;"", Calc!BC135*'Waste results'!$P$23, "no data"),
IF('Field information 2'!$Q$5="",
   IF(Calc!BD135=0,
     IF('Waste results'!$P$23&lt;&gt;"", Calc!BC135*'Waste results'!$P$23, "no data"),
   IF(Calc!BC135=0,
     IF('Waste results'!$P$59&lt;&gt;"", Calc!BD135*'Waste results'!$P$59, "no data"),
   IF(OR('Waste results'!$P$23&lt;&gt;"", 'Waste results'!$P$59&lt;&gt;""), Calc!BC135*'Waste results'!$P$23+ Calc!BD135*'Waste results'!$P$59, "no data"))),
IF(AND('Field information 2'!$M$5&lt;&gt;"", 'Field information 2'!$O$5&lt;&gt;"", 'Field information 2'!$Q$5&lt;&gt;""),
   IF(AND(Calc!BD135=0,Calc!BE135=0),
     IF('Waste results'!$P$23&lt;&gt;"", Calc!BC135*'Waste results'!$P$23, "no data"),
   IF(AND(Calc!BC135=0,Calc!BE135=0),
     IF('Waste results'!$P$59&lt;&gt;"", Calc!BD135*'Waste results'!$P$59, "no data"),
   IF(AND(Calc!BC135=0,Calc!BD135=0),
     IF('Waste results'!$P$95&lt;&gt;"", Calc!BE135*'Waste results'!$P$95, "no data"),
   IF(Calc!BE135=0,
     IF(OR('Waste results'!$P$23&lt;&gt;"", 'Waste results'!$P$59&lt;&gt;""), Calc!BC135*'Waste results'!$P$23+ Calc!BD135*'Waste results'!$P$59, "no data"),
   IF(Calc!BD135=0,
     IF(OR('Waste results'!$P$23&lt;&gt;"", 'Waste results'!$P$95&lt;&gt;""), Calc!BC135*'Waste results'!$P$23+ Calc!BE135*'Waste results'!$P$95, "no data"),
   IF(Calc!BC135=0,
     IF(OR('Waste results'!$P$59&lt;&gt;"", 'Waste results'!$P$95&lt;&gt;""), Calc!BD135*'Waste results'!$P$59+Calc!BE135*'Waste results'!$P$95, "no data"),
   IF(OR('Waste results'!$P$23&lt;&gt;"", 'Waste results'!$P$59&lt;&gt;"", 'Waste results'!$P$95&lt;&gt;""), Calc!BC135*'Waste results'!$P$23+Calc!BD135*'Waste results'!$P$59+ Calc!BE135*'Waste results'!$P$95, "no data")))))))))))</f>
        <v/>
      </c>
      <c r="Z137" s="7" t="str">
        <f ca="1">IF(OR(ISBLANK('Soil results'!I$7),ISBLANK('Soil results'!I140),'Soil results'!B140=""),"",
VLOOKUP(Calc!BI135,'Fertiliser recommendations'!$A$4:$AM$63,39,FALSE))</f>
        <v/>
      </c>
      <c r="AA137" s="91" t="str">
        <f t="shared" ca="1" si="38"/>
        <v/>
      </c>
      <c r="AB137" s="9" t="str">
        <f t="shared" ca="1" si="39"/>
        <v/>
      </c>
      <c r="AC137" s="9"/>
      <c r="AD137" s="48" t="str">
        <f>IF(ISBLANK('Soil results'!F140),"",'Soil results'!F140)</f>
        <v/>
      </c>
      <c r="AE137" s="49" t="str">
        <f ca="1">IF(B137="","",
IF(AND(Calc!BJ135="g", VLOOKUP(LEFT($B137,LEN($B137)-2),'Field information 2'!$B$12:$P$111,9,FALSE)&lt;&gt;"yes"),
 IF(Calc!BG135="10-25% OM", 5.9, IF(Calc!BG135="&gt;25% OM", 5.5, 6.2)),
IF(OR(Calc!BJ135="a", VLOOKUP(LEFT($B137,LEN($B137)-2),'Field information 2'!$B$12:$P$111,9,FALSE)="yes"),
 IF(Calc!BG135="10-25% OM", 6.4, IF(Calc!BG135="&gt;25% OM", 6, 6.7)), "")))</f>
        <v/>
      </c>
      <c r="AF137" s="91" t="str">
        <f ca="1">IF(B137="","",
IF('Waste results'!$Q$33="","no (significant) liming properties",
IF('Waste results'!Q$33&gt;100,"no (significant) liming properties",
IF(AD137="","",
IF(AD137&gt;=AE137,0,ROUNDDOWN((AE137-AD137)*Calc!BK135*'Waste results'!$Q$33+0.2,0))))))</f>
        <v/>
      </c>
      <c r="AG137" s="9" t="str">
        <f ca="1">IF(B137="","",
IF(T137=0,"n/a",
IF(AD137="","data missing",
IF(AND(AD137&lt;5,AF137="no (significant) liming properties"),"no waste application - pH too low",
IF(AND(AD137&gt;5.1,AF137="no (significant) liming properties",Calc!BH135&gt;25, LEFT(Calc!BI135,4)="graz"),"ok",
IF(AND(AD137&lt;=5.2,AF137="no (significant) liming properties"),"liming highly recommended",
IF(AF137=0,"no waste application - liming not required",
IF(AF137&lt;Calc!BC135,"application rate too high - exceeds liming requirement",
"ok"))))))))</f>
        <v/>
      </c>
      <c r="AH137" s="9"/>
      <c r="AI137" s="91" t="str">
        <f ca="1">IF(B137="","",
IF(AND('Field information 2'!$O$5="", 'Field information 2'!$Q$5=""),
   IF('Waste results'!$P$10&lt;&gt;"data missing", Calc!BC135*'Waste results'!$P$10, "data missing"),
IF('Field information 2'!$Q$5="",
   IF(Calc!BD135=0,
     IF('Waste results'!$P$10&lt;&gt;"data missing", Calc!BC135*'Waste results'!$P$10, "data missing"),
   IF(Calc!BC135=0,
     IF('Waste results'!$P$45&lt;&gt;"data missing", Calc!BD135*'Waste results'!$P$45, "data missing"),
   IF(OR('Waste results'!$P$10&lt;&gt;"data missing", 'Waste results'!$P$45&lt;&gt;"data missing"), Calc!BC135*'Waste results'!$P$10+ Calc!BD135*'Waste results'!$P$45, "data missing"))),
IF(AND('Field information 2'!$M$5&lt;&gt;"", 'Field information 2'!$O$5&lt;&gt;"", 'Field information 2'!$Q$5&lt;&gt;""),
   IF(AND(Calc!BD135=0,Calc!BE135=0),
     IF('Waste results'!$P$10&lt;&gt;"data missing", Calc!BC135*'Waste results'!$P$10, "data missing"),
   IF(AND(Calc!BC135=0,Calc!BE135=0),
     IF('Waste results'!$P$45&lt;&gt;"data missing", Calc!BD135*'Waste results'!$P$45, "data missing"),
   IF(AND(Calc!BC135=0,Calc!BD135=0),
     IF('Waste results'!$P$82&lt;&gt;"data missing", Calc!BE135*'Waste results'!$P$82, "data missing"),
   IF(Calc!BE135=0,
     IF(OR('Waste results'!$P$10&lt;&gt;"data missing", 'Waste results'!$P$45&lt;&gt;"data missing"), Calc!BC135*'Waste results'!$P$10+ Calc!BD135*'Waste results'!$P$45, "data missing"),
   IF(Calc!BD135=0,
     IF(OR('Waste results'!$P$10&lt;&gt;"data missing", 'Waste results'!$P$82&lt;&gt;"data missing"), Calc!BC135*'Waste results'!$P$10+ Calc!BE135*'Waste results'!$P$82, "data missing"),
   IF(Calc!BC135=0,
     IF(OR('Waste results'!$P$45&lt;&gt;"data missing", 'Waste results'!$P$82&lt;&gt;"data missing"), Calc!BD135*'Waste results'!$P$45+Calc!BE135*'Waste results'!$P$82, "data missing"),
   IF(OR('Waste results'!$P$10&lt;&gt;"data missing", 'Waste results'!$P$45&lt;&gt;"data missing", 'Waste results'!$P$82&lt;&gt;"data missing"), Calc!BC135*'Waste results'!$P$10+Calc!BD135*'Waste results'!$P$45+ Calc!BE135*'Waste results'!$P$82, "data missing")))))))))))</f>
        <v/>
      </c>
      <c r="AJ137" s="237" t="str">
        <f ca="1">IF(B137="","",
IF(AI137="data missing","data missing",
IF(Calc!BF135=0,"n/a",
IF(AND(Calc!BH135&gt;=8,AI137&lt;500),"no benefit",
IF(OR(AND(Calc!BH135&lt;=4,AI137&gt;=500),AND(Calc!BH135&lt;8,AI137&gt;5000)),"benefit",
"limited benefit")))))</f>
        <v/>
      </c>
      <c r="AK137" s="9"/>
      <c r="AL137" s="238" t="str">
        <f ca="1">IF(B137="","",
IF(AND('Field information 2'!$O$5="", 'Field information 2'!$Q$5=""),
   IF('Waste results'!$S$25&lt;&gt;"data missing", Calc!BC135*'Waste results'!$S$25, "data missing"),
IF('Field information 2'!$Q$5="",
   IF(Calc!BD135=0,
     IF('Waste results'!$S$25&lt;&gt;"data missing", Calc!BC135*'Waste results'!$S$25, "data missing"),
   IF(Calc!BC135=0,
     IF('Waste results'!$S$61&lt;&gt;"data missing", Calc!BD135*'Waste results'!$S$61, "data missing"),
   IF(OR('Waste results'!$S$25&lt;&gt;"data missing", 'Waste results'!$S$61&lt;&gt;"data missing"), Calc!BC135*'Waste results'!$S$25+ Calc!BD135*'Waste results'!$S$61, "data missing"))),
IF(AND('Field information 2'!$M$5&lt;&gt;"", 'Field information 2'!$O$5&lt;&gt;"", 'Field information 2'!$Q$5&lt;&gt;""),
   IF(AND(Calc!BD135=0,Calc!BE135=0),
     IF('Waste results'!$S$25&lt;&gt;"data missing", Calc!BC135*'Waste results'!$S$25, "data missing"),
   IF(AND(Calc!BC135=0,Calc!BE135=0),
     IF('Waste results'!$S$61&lt;&gt;"data missing", Calc!BD135*'Waste results'!$S$61, "data missing"),
   IF(AND(Calc!BC135=0,Calc!BD135=0),
     IF('Waste results'!$S$97&lt;&gt;"data missing", Calc!BE135*'Waste results'!$S$97, "data missing"),
   IF(Calc!BE135=0,
     IF(OR('Waste results'!$S$25&lt;&gt;"data missing", 'Waste results'!$S$61&lt;&gt;"data missing"), Calc!BC135*'Waste results'!$S$25+ Calc!BD135*'Waste results'!$S$61, "data missing"),
   IF(Calc!BD135=0,
     IF(OR('Waste results'!$S$25&lt;&gt;"data missing", 'Waste results'!$S$97&lt;&gt;"data missing"), Calc!BC135*'Waste results'!$S$25+ Calc!BE135*'Waste results'!$S$97, "data missing"),
   IF(Calc!BC135=0,
     IF(OR('Waste results'!$S$61&lt;&gt;"data missing", 'Waste results'!$S$97&lt;&gt;"data missing"), Calc!BD135*'Waste results'!$S$61+Calc!BE135*'Waste results'!$S$97, "data missing"),
   IF(OR('Waste results'!$S$25&lt;&gt;"data missing", 'Waste results'!$S$61&lt;&gt;"data missing", 'Waste results'!$S$97&lt;&gt;"data missing"), Calc!BC135*'Waste results'!$S$25+Calc!BD135*'Waste results'!$S$61+ Calc!BE135*'Waste results'!$S$97, "data missing")))))))))))</f>
        <v/>
      </c>
      <c r="AM137" s="239" t="str">
        <f ca="1">IF($B137="","",
IF(ISBLANK('Soil results'!K140),"data missing",'Soil results'!K140))</f>
        <v/>
      </c>
      <c r="AN137" s="239" t="str">
        <f t="shared" ca="1" si="40"/>
        <v/>
      </c>
      <c r="AO137" s="9" t="str">
        <f t="shared" ca="1" si="41"/>
        <v/>
      </c>
      <c r="AP137" s="9"/>
      <c r="AQ137" s="240" t="str">
        <f ca="1">IF(B137="","",
IF(AND('Field information 2'!$O$5="", 'Field information 2'!$Q$5=""),
   IF('Waste results'!$S$26&lt;&gt;"data missing", Calc!BC135*'Waste results'!$S$26, "data missing"),
IF('Field information 2'!$Q$5="",
   IF(Calc!BD135=0,
     IF('Waste results'!$S$26&lt;&gt;"data missing", Calc!BC135*'Waste results'!$S$26, "data missing"),
   IF(Calc!BC135=0,
     IF('Waste results'!$S$62&lt;&gt;"data missing", Calc!BD135*'Waste results'!$S$62, "data missing"),
   IF(OR('Waste results'!$S$26&lt;&gt;"data missing", 'Waste results'!$S$62&lt;&gt;"data missing"), Calc!BC135*'Waste results'!$S$26+ Calc!BD135*'Waste results'!$S$62, "data missing"))),
IF(AND('Field information 2'!$M$5&lt;&gt;"", 'Field information 2'!$O$5&lt;&gt;"", 'Field information 2'!$Q$5&lt;&gt;""),
   IF(AND(Calc!BD135=0,Calc!BE135=0),
     IF('Waste results'!$S$26&lt;&gt;"data missing", Calc!BC135*'Waste results'!$S$26, "data missing"),
   IF(AND(Calc!BC135=0,Calc!BE135=0),
     IF('Waste results'!$S$62&lt;&gt;"data missing", Calc!BD135*'Waste results'!$S$62, "data missing"),
   IF(AND(Calc!BC135=0,Calc!BD135=0),
     IF('Waste results'!$S$98&lt;&gt;"data missing", Calc!BE135*'Waste results'!$S$98, "data missing"),
   IF(Calc!BE135=0,
     IF(OR('Waste results'!$S$26&lt;&gt;"data missing", 'Waste results'!$S$62&lt;&gt;"data missing"), Calc!BC135*'Waste results'!$S$26+ Calc!BD135*'Waste results'!$S$62, "data missing"),
   IF(Calc!BD135=0,
     IF(OR('Waste results'!$S$26&lt;&gt;"data missing", 'Waste results'!$S$98&lt;&gt;"data missing"), Calc!BC135*'Waste results'!$S$26+ Calc!BE135*'Waste results'!$S$98, "data missing"),
   IF(Calc!BC135=0,
     IF(OR('Waste results'!$S$62&lt;&gt;"data missing", 'Waste results'!$S$98&lt;&gt;"data missing"), Calc!BD135*'Waste results'!$S$62+Calc!BE135*'Waste results'!$S$98, "data missing"),
   IF(OR('Waste results'!$S$26&lt;&gt;"data missing", 'Waste results'!$S$62&lt;&gt;"data missing", 'Waste results'!$S$98&lt;&gt;"data missing"), Calc!BC135*'Waste results'!$S$26+Calc!BD135*'Waste results'!$S$62+ Calc!BE135*'Waste results'!$S$98, "data missing")))))))))))</f>
        <v/>
      </c>
      <c r="AR137" s="241" t="str">
        <f ca="1">IF($B137="","",
IF(ISBLANK('Soil results'!L140),"data missing",'Soil results'!L140))</f>
        <v/>
      </c>
      <c r="AS137" s="241" t="str">
        <f t="shared" ca="1" si="42"/>
        <v/>
      </c>
      <c r="AT137" s="66" t="str">
        <f t="shared" ca="1" si="43"/>
        <v/>
      </c>
      <c r="AU137" s="9"/>
      <c r="AV137" s="238" t="str">
        <f ca="1">IF(B137="","",
IF(AND('Field information 2'!$O$5="", 'Field information 2'!$Q$5=""),
   IF('Waste results'!$S$27&lt;&gt;"data missing", Calc!BC135*'Waste results'!$S$27, "data missing"),
IF('Field information 2'!$Q$5="",
   IF(Calc!BD135=0,
     IF('Waste results'!$S$27&lt;&gt;"data missing", Calc!BC135*'Waste results'!$S$27, "data missing"),
   IF(Calc!BC135=0,
     IF('Waste results'!$S$63&lt;&gt;"data missing", Calc!BD135*'Waste results'!$S$63, "data missing"),
   IF(OR('Waste results'!$S$27&lt;&gt;"data missing", 'Waste results'!$S$63&lt;&gt;"data missing"), Calc!BC135*'Waste results'!$S$27+ Calc!BD135*'Waste results'!$S$63, "data missing"))),
IF(AND('Field information 2'!$M$5&lt;&gt;"", 'Field information 2'!$O$5&lt;&gt;"", 'Field information 2'!$Q$5&lt;&gt;""),
   IF(AND(Calc!BD135=0,Calc!BE135=0),
     IF('Waste results'!$S$27&lt;&gt;"data missing", Calc!BC135*'Waste results'!$S$27, "data missing"),
   IF(AND(Calc!BC135=0,Calc!BE135=0),
     IF('Waste results'!$S$63&lt;&gt;"data missing", Calc!BD135*'Waste results'!$S$63, "data missing"),
   IF(AND(Calc!BC135=0,Calc!BD135=0),
     IF('Waste results'!$S$99&lt;&gt;"data missing", Calc!BE135*'Waste results'!$S$99, "data missing"),
   IF(Calc!BE135=0,
     IF(OR('Waste results'!$S$27&lt;&gt;"data missing", 'Waste results'!$S$63&lt;&gt;"data missing"), Calc!BC135*'Waste results'!$S$27+ Calc!BD135*'Waste results'!$S$63, "data missing"),
   IF(Calc!BD135=0,
     IF(OR('Waste results'!$S$27&lt;&gt;"data missing", 'Waste results'!$S$99&lt;&gt;"data missing"), Calc!BC135*'Waste results'!$S$27+ Calc!BE135*'Waste results'!$S$99, "data missing"),
   IF(Calc!BC135=0,
     IF(OR('Waste results'!$S$63&lt;&gt;"data missing", 'Waste results'!$S$99&lt;&gt;"data missing"), Calc!BD135*'Waste results'!$S$63+Calc!BE135*'Waste results'!$S$99, "data missing"),
   IF(OR('Waste results'!$S$27&lt;&gt;"data missing", 'Waste results'!$S$63&lt;&gt;"data missing", 'Waste results'!$S$99&lt;&gt;"data missing"), Calc!BC135*'Waste results'!$S$27+Calc!BD135*'Waste results'!$S$63+ Calc!BE135*'Waste results'!$S$99, "data missing")))))))))))</f>
        <v/>
      </c>
      <c r="AW137" s="239" t="str">
        <f ca="1">IF($B137="","",
IF(ISBLANK('Soil results'!M140),"data missing",'Soil results'!M140))</f>
        <v/>
      </c>
      <c r="AX137" s="239" t="str">
        <f t="shared" ca="1" si="44"/>
        <v/>
      </c>
      <c r="AY137" s="9" t="str">
        <f ca="1">IF(B137="","",
IF(AV137=0,"n/a",
IF(OR(AV137="data missing",AW137="data missing"),"data missing",
IF(AV137&gt;7.5,"application rate too high - permissible rate exceeds limit",
IF('Soil results'!$F140&lt;=5.5,
  IF(AW137&gt;80,"no application - soil conc. already above limit",
  IF(AX137&gt;80,"application rate too high - soil conc. will exceed limit",
  IF(AW137&gt;80*0.9,"soil conc. is at or above 90% of the limit",
  IF(10*AV137*1000/3000+AW137&gt;80,"soil limit likely to be exceeded in 10yrs",
  IF(50*AV137*1000/3000+AW137&gt;80,"soil limit likely to be exceeded in 50yrs","ok"))))),
IF('Soil results'!$F140&lt;=6,
  IF(AW137&gt;100,"no application - soil conc. already above limit",
  IF(AX137&gt;100,"application rate too high - soil conc. will exceed limit",
  IF(AW137&gt;100*0.9,"soil conc. is at or above 90% of the limit",
  IF(10*AV137*1000/3000+AW137&gt;100,"soil limit likely to be exceeded in 10yrs",
  IF(50*AV137*1000/3000+AW137&gt;100,"soil limit likely to be exceeded in 50yrs","ok"))))),
IF('Soil results'!$F140&lt;=7,
  IF(AW137&gt;135,"no application - soil conc. already above limit",
  IF(AX137&gt;135,"application rate too high - soil conc. will exceed limit",
  IF(AW137&gt;135*0.9,"soil conc. is at or above 90% of the limit",
  IF(10*AV137*1000/3000+AW137&gt;135,"soil limit likely to be exceeded in 10yrs",
  IF(50*AV137*1000/3000+AW137&gt;135,"soil limit likely to be exceeded in 50yrs","ok"))))),
IF('Soil results'!$F140&gt;7,
  IF(AW137&gt;200,"no application - soil conc. already above limit",
  IF(AX137&gt;200,"application too high - soil conc. will exceed limit",
  IF(AW137&gt;200*0.9,"soil conc. is at or above 90% of the limit",
  IF(10*AV137*1000/3000+AW137&gt;200,"soil limit likely to be exceeded in 10yrs",
  IF(50*AV137*1000/3000+AW137&gt;200,"soil limit likely to be exceeded in 50yrs","ok")))))
))))))))</f>
        <v/>
      </c>
      <c r="AZ137" s="9"/>
      <c r="BA137" s="238" t="str">
        <f ca="1">IF(B137="","",
IF(AND('Field information 2'!$O$5="", 'Field information 2'!$Q$5=""),
   IF('Waste results'!$S$28&lt;&gt;"data missing", Calc!BC135*'Waste results'!$S$28, "data missing"),
IF('Field information 2'!$Q$5="",
   IF(Calc!BD135=0,
     IF('Waste results'!$S$28&lt;&gt;"data missing", Calc!BC135*'Waste results'!$S$28, "data missing"),
   IF(Calc!BC135=0,
     IF('Waste results'!$S$64&lt;&gt;"data missing", Calc!BD135*'Waste results'!$S$64, "data missing"),
   IF(OR('Waste results'!$S$28&lt;&gt;"data missing", 'Waste results'!$S$64&lt;&gt;"data missing"), Calc!BC135*'Waste results'!$S$28+ Calc!BD135*'Waste results'!$S$64, "data missing"))),
IF(AND('Field information 2'!$M$5&lt;&gt;"", 'Field information 2'!$O$5&lt;&gt;"", 'Field information 2'!$Q$5&lt;&gt;""),
   IF(AND(Calc!BD135=0,Calc!BE135=0),
     IF('Waste results'!$S$28&lt;&gt;"data missing", Calc!BC135*'Waste results'!$S$28, "data missing"),
   IF(AND(Calc!BC135=0,Calc!BE135=0),
     IF('Waste results'!$S$64&lt;&gt;"data missing", Calc!BD135*'Waste results'!$S$64, "data missing"),
   IF(AND(Calc!BC135=0,Calc!BD135=0),
     IF('Waste results'!$S$100&lt;&gt;"data missing", Calc!BE135*'Waste results'!$S$100, "data missing"),
   IF(Calc!BE135=0,
     IF(OR('Waste results'!$S$28&lt;&gt;"data missing", 'Waste results'!$S$64&lt;&gt;"data missing"), Calc!BC135*'Waste results'!$S$28+ Calc!BD135*'Waste results'!$S$64, "data missing"),
   IF(Calc!BD135=0,
     IF(OR('Waste results'!$S$28&lt;&gt;"data missing", 'Waste results'!$S$100&lt;&gt;"data missing"), Calc!BC135*'Waste results'!$S$28+ Calc!BE135*'Waste results'!$S$100, "data missing"),
   IF(Calc!BC135=0,
     IF(OR('Waste results'!$S$64&lt;&gt;"data missing", 'Waste results'!$S$100&lt;&gt;"data missing"), Calc!BD135*'Waste results'!$S$64+Calc!BE135*'Waste results'!$S$100, "data missing"),
   IF(OR('Waste results'!$S$28&lt;&gt;"data missing", 'Waste results'!$S$64&lt;&gt;"data missing", 'Waste results'!$S$100&lt;&gt;"data missing"), Calc!BC135*'Waste results'!$S$28+Calc!BD135*'Waste results'!$S$64+ Calc!BE135*'Waste results'!$S$100, "data missing")))))))))))</f>
        <v/>
      </c>
      <c r="BB137" s="239" t="str">
        <f ca="1">IF($B137="","",
IF(ISBLANK('Soil results'!N140),"data missing",'Soil results'!N140))</f>
        <v/>
      </c>
      <c r="BC137" s="239" t="str">
        <f t="shared" ca="1" si="45"/>
        <v/>
      </c>
      <c r="BD137" s="9" t="str">
        <f t="shared" ca="1" si="46"/>
        <v/>
      </c>
      <c r="BE137" s="9"/>
      <c r="BF137" s="238" t="str">
        <f ca="1">IF(B137="","",
IF(AND('Field information 2'!$O$5="", 'Field information 2'!$Q$5=""),
   IF('Waste results'!$S$29&lt;&gt;"data missing", Calc!BC135*'Waste results'!$S$29, "data missing"),
IF('Field information 2'!$Q$5="",
   IF(Calc!BD135=0,
     IF('Waste results'!$S$29&lt;&gt;"data missing", Calc!BC135*'Waste results'!$S$29, "data missing"),
   IF(Calc!BC135=0,
     IF('Waste results'!$S$65&lt;&gt;"data missing", Calc!BD135*'Waste results'!$S$65, "data missing"),
   IF(OR('Waste results'!$S$29&lt;&gt;"data missing", 'Waste results'!$S$65&lt;&gt;"data missing"), Calc!BC135*'Waste results'!$S$29+ Calc!BD135*'Waste results'!$S$65, "data missing"))),
IF(AND('Field information 2'!$M$5&lt;&gt;"", 'Field information 2'!$O$5&lt;&gt;"", 'Field information 2'!$Q$5&lt;&gt;""),
   IF(AND(Calc!BD135=0,Calc!BE135=0),
     IF('Waste results'!$S$29&lt;&gt;"data missing", Calc!BC135*'Waste results'!$S$29, "data missing"),
   IF(AND(Calc!BC135=0,Calc!BE135=0),
     IF('Waste results'!$S$65&lt;&gt;"data missing", Calc!BD135*'Waste results'!$S$65, "data missing"),
   IF(AND(Calc!BC135=0,Calc!BD135=0),
     IF('Waste results'!$S$101&lt;&gt;"data missing", Calc!BE135*'Waste results'!$S$101, "data missing"),
   IF(Calc!BE135=0,
     IF(OR('Waste results'!$S$29&lt;&gt;"data missing", 'Waste results'!$S$65&lt;&gt;"data missing"), Calc!BC135*'Waste results'!$S$29+ Calc!BD135*'Waste results'!$S$65, "data missing"),
   IF(Calc!BD135=0,
     IF(OR('Waste results'!$S$29&lt;&gt;"data missing", 'Waste results'!$S$101&lt;&gt;"data missing"), Calc!BC135*'Waste results'!$S$29+ Calc!BE135*'Waste results'!$S$101, "data missing"),
   IF(Calc!BC135=0,
     IF(OR('Waste results'!$S$65&lt;&gt;"data missing", 'Waste results'!$S$101&lt;&gt;"data missing"), Calc!BD135*'Waste results'!$S$65+Calc!BE135*'Waste results'!$S$101, "data missing"),
   IF(OR('Waste results'!$S$29&lt;&gt;"data missing", 'Waste results'!$S$65&lt;&gt;"data missing", 'Waste results'!$S$101&lt;&gt;"data missing"), Calc!BC135*'Waste results'!$S$29+Calc!BD135*'Waste results'!$S$65+ Calc!BE135*'Waste results'!$S$101, "data missing")))))))))))</f>
        <v/>
      </c>
      <c r="BG137" s="239" t="str">
        <f ca="1">IF($B137="","",
IF(ISBLANK('Soil results'!O140),"data missing",'Soil results'!O140))</f>
        <v/>
      </c>
      <c r="BH137" s="239" t="str">
        <f t="shared" ca="1" si="47"/>
        <v/>
      </c>
      <c r="BI137" s="9" t="str">
        <f ca="1">IF(B137="","",
IF(BF137=0,"n/a",
IF(OR(BF137="data missing",BG137="data missing"),"data missing",
IF(BF137&gt;3,"application rate too high - permissible rate exceeds limit",
IF('Soil results'!F140&lt;=5.5,
  IF(BG137&gt;50,"no application - soil conc. already above limit",
  IF(BH137&gt;50,"application rate too high - soil conc. will exceed limit",
  IF(BG137&gt;50*0.9,"soil conc. is at or above 90% of the limit",
  IF(10*BF137*1000/3000+BG137&gt;50,"soil limit likely to be exceeded in 10yrs",
  IF(50*BF137*1000/3000+BG137&gt;50,"soil limit likely to be exceeded in 50yrs","ok"))))),
IF('Soil results'!F140&lt;=6,
  IF(BG137&gt;60,"no application - soil conc. already above limit",
  IF(BH137&gt;60,"application rate too high - soil conc. will exceed limit",
  IF(BG137&gt;60*0.9,"soil conc. is at or above 90% of the limit",
  IF(10*BF137*1000/3000+BG137&gt;60,"soil limit likely to be exceeded in 10yrs",
  IF(50*BF137*1000/3000+BG137&gt;60,"soil limit likely to be exceeded in 50yrs","ok"))))),
IF('Soil results'!F140&lt;=7,
  IF(BG137&gt;75,"no application - soil conc. already above limit",
  IF(BH137&gt;75,"application rate too high - soil conc. will exceed limit",
  IF(BG137&gt;75*0.9,"soil conc. is at or above 90% of the limit",
  IF(10*BF137*1000/3000+BG137&gt;75,"soil limit likely to be exceeded in 10yrs",
  IF(50*BF137*1000/3000+BG137&gt;75,"soil limit likely to be exceeded in 50yrs","ok"))))),
IF('Soil results'!F140&gt;7,
  IF(BG137&gt;100,"no application - soil conc. already above limit",
  IF(BH137&gt;100,"application rate too high - soil conc. will exceed limit",
  IF(BG137&gt;100*0.9,"soil conc. is at or above 90% of the limit",
  IF(10*BF137*1000/3000+BG137&gt;100,"soil limit likely to be exceeded in 10yrs",
  IF(50*BF137*1000/3000+BG137&gt;100,"soil limit likely to beexceeded in 50yrs","ok")))))
))))))))</f>
        <v/>
      </c>
      <c r="BJ137" s="9"/>
      <c r="BK137" s="240" t="str">
        <f ca="1">IF(B137="","",
IF(AND('Field information 2'!$O$5="", 'Field information 2'!$Q$5=""),
   IF('Waste results'!$S$30&lt;&gt;"data missing", Calc!BC135*'Waste results'!$S$30, "data missing"),
IF('Field information 2'!$Q$5="",
   IF(Calc!BD135=0,
     IF('Waste results'!$S$30&lt;&gt;"data missing", Calc!BC135*'Waste results'!$S$30, "data missing"),
   IF(Calc!BC135=0,
     IF('Waste results'!$S$66&lt;&gt;"data missing", Calc!BD135*'Waste results'!$S$66, "data missing"),
   IF(OR('Waste results'!$S$30&lt;&gt;"data missing", 'Waste results'!$S$66&lt;&gt;"data missing"), Calc!BC135*'Waste results'!$S$30+ Calc!BD135*'Waste results'!$S$66, "data missing"))),
IF(AND('Field information 2'!$M$5&lt;&gt;"", 'Field information 2'!$O$5&lt;&gt;"", 'Field information 2'!$Q$5&lt;&gt;""),
   IF(AND(Calc!BD135=0,Calc!BE135=0),
     IF('Waste results'!$S$30&lt;&gt;"data missing", Calc!BC135*'Waste results'!$S$30, "data missing"),
   IF(AND(Calc!BC135=0,Calc!BE135=0),
     IF('Waste results'!$S$66&lt;&gt;"data missing", Calc!BD135*'Waste results'!$S$66, "data missing"),
   IF(AND(Calc!BC135=0,Calc!BD135=0),
     IF('Waste results'!$S$102&lt;&gt;"data missing", Calc!BE135*'Waste results'!$S$102, "data missing"),
   IF(Calc!BE135=0,
     IF(OR('Waste results'!$S$30&lt;&gt;"data missing", 'Waste results'!$S$66&lt;&gt;"data missing"), Calc!BC135*'Waste results'!$S$30+ Calc!BD135*'Waste results'!$S$66, "data missing"),
   IF(Calc!BD135=0,
     IF(OR('Waste results'!$S$30&lt;&gt;"data missing", 'Waste results'!$S$102&lt;&gt;"data missing"), Calc!BC135*'Waste results'!$S$30+ Calc!BE135*'Waste results'!$S$102, "data missing"),
   IF(Calc!BC135=0,
     IF(OR('Waste results'!$S$66&lt;&gt;"data missing", 'Waste results'!$S$102&lt;&gt;"data missing"), Calc!BD135*'Waste results'!$S$66+Calc!BE135*'Waste results'!$S$102, "data missing"),
   IF(OR('Waste results'!$S$30&lt;&gt;"data missing", 'Waste results'!$S$66&lt;&gt;"data missing", 'Waste results'!$S$102&lt;&gt;"data missing"), Calc!BC135*'Waste results'!$S$30+Calc!BD135*'Waste results'!$S$66+ Calc!BE135*'Waste results'!$S$102, "data missing")))))))))))</f>
        <v/>
      </c>
      <c r="BL137" s="241" t="str">
        <f ca="1">IF($B137="","",
IF(ISBLANK('Soil results'!P140),"data missing",'Soil results'!P140))</f>
        <v/>
      </c>
      <c r="BM137" s="241" t="str">
        <f t="shared" ca="1" si="48"/>
        <v/>
      </c>
      <c r="BN137" s="66" t="str">
        <f t="shared" ca="1" si="49"/>
        <v/>
      </c>
      <c r="BO137" s="9"/>
      <c r="BP137" s="238" t="str">
        <f ca="1">IF(B137="","",
IF(AND('Field information 2'!$O$5="", 'Field information 2'!$Q$5=""),
   IF('Waste results'!$S$31&lt;&gt;"data missing", Calc!BC135*'Waste results'!$S$31, "data missing"),
IF('Field information 2'!$Q$5="",
   IF(Calc!BD135=0,
     IF('Waste results'!$S$31&lt;&gt;"data missing", Calc!BC135*'Waste results'!$S$31, "data missing"),
   IF(Calc!BC135=0,
     IF('Waste results'!$S$67&lt;&gt;"data missing", Calc!BD135*'Waste results'!$S$67, "data missing"),
   IF(OR('Waste results'!$S$31&lt;&gt;"data missing", 'Waste results'!$S$67&lt;&gt;"data missing"), Calc!BC135*'Waste results'!$S$31+ Calc!BD135*'Waste results'!$S$67, "data missing"))),
IF(AND('Field information 2'!$M$5&lt;&gt;"", 'Field information 2'!$O$5&lt;&gt;"", 'Field information 2'!$Q$5&lt;&gt;""),
   IF(AND(Calc!BD135=0,Calc!BE135=0),
     IF('Waste results'!$S$31&lt;&gt;"data missing", Calc!BC135*'Waste results'!$S$31, "data missing"),
   IF(AND(Calc!BC135=0,Calc!BE135=0),
     IF('Waste results'!$S$67&lt;&gt;"data missing", Calc!BD135*'Waste results'!$S$67, "data missing"),
   IF(AND(Calc!BC135=0,Calc!BD135=0),
     IF('Waste results'!$S$103&lt;&gt;"data missing", Calc!BE135*'Waste results'!$S$103, "data missing"),
   IF(Calc!BE135=0,
     IF(OR('Waste results'!$S$31&lt;&gt;"data missing", 'Waste results'!$S$67&lt;&gt;"data missing"), Calc!BC135*'Waste results'!$S$31+ Calc!BD135*'Waste results'!$S$67, "data missing"),
   IF(Calc!BD135=0,
     IF(OR('Waste results'!$S$31&lt;&gt;"data missing", 'Waste results'!$S$103&lt;&gt;"data missing"), Calc!BC135*'Waste results'!$S$31+ Calc!BE135*'Waste results'!$S$103, "data missing"),
   IF(Calc!BC135=0,
     IF(OR('Waste results'!$S$67&lt;&gt;"data missing", 'Waste results'!$S$103&lt;&gt;"data missing"), Calc!BD135*'Waste results'!$S$67+Calc!BE135*'Waste results'!$S$103, "data missing"),
   IF(OR('Waste results'!$S$31&lt;&gt;"data missing", 'Waste results'!$S$67&lt;&gt;"data missing", 'Waste results'!$S$103&lt;&gt;"data missing"), Calc!BC135*'Waste results'!$S$31+Calc!BD135*'Waste results'!$S$67+ Calc!BE135*'Waste results'!$S$103, "data missing")))))))))))</f>
        <v/>
      </c>
      <c r="BQ137" s="239" t="str">
        <f ca="1">IF($B137="","",
IF(ISBLANK('Soil results'!Q140),"data missing",'Soil results'!Q140))</f>
        <v/>
      </c>
      <c r="BR137" s="239" t="str">
        <f t="shared" ca="1" si="50"/>
        <v/>
      </c>
      <c r="BS137" s="9" t="str">
        <f ca="1">IF(B137="","",
IF(BP137=0,"n/a",
IF(OR(BP137="data missing",BQ137=""),"data missing",
IF(BP137&gt;15,"application rate too high - permissible rate exceeds limit",
IF('Soil results'!F140&lt;=5.5,
  IF(BQ137&gt;200,"no application - soil conc. already above limit",
  IF(BR137&gt;200,"application rate too high - soil conc. will exceed limit",
  IF(BQ137&gt;200*0.9,"soil conc. is at or above 90% of the limit",
  IF(10*BP137*1000/3000+BQ137&gt;200,"soil limit likely to be exceeded in 10yrs",
  IF(50*BP137*1000/3000+BQ137&gt;200,"soil limit likely to be exceeded in 50yrs","ok"))))),
IF('Soil results'!F140&lt;=6,
  IF(BQ137&gt;250,"no application - soil conc. already above limit",
  IF(BR137&gt;250,"application rate too high - soil conc. will exceed limit",
  IF(BQ137&gt;250*0.9,"soil conc. is at or above 90% of the limit",
  IF(10*BP137*1000/3000+BQ137&gt;250,"soil limit likely to be exceeded in 10yrs",
  IF(50*BP137*1000/3000+BQ137&gt;250,"soil limit likely to be exceeded in 50yrs","ok"))))),
IF('Soil results'!F140&lt;=7,
  IF(BQ137&gt;300,"no application - soil conc. already above limit",
  IF(BR137&gt;300,"application rate too high - soil conc. will exceed limit",
  IF(BQ137&gt;300*0.9,"soil conc. is at or above 90% of the limit",
  IF(10*BP137*1000/3000+BQ137&gt;300,"soil limit likey to be exceeded in 10yrs",
  IF(50*BP137*1000/3000+BQ137&gt;300,"soil limit likely to be exceeded in 50yrs","ok"))))),
IF('Soil results'!F140&gt;7,
  IF(BQ137&gt;450,"no application - soil conc. already above limit",
  IF(BR137&gt;450,"application rate too high - soil conc. will exceed limit",
  IF(AW137&gt;450*0.9,"soil conc. is at or above 90% of the limit",
  IF(10*BP137*1000/3000+BQ137&gt;450,"soil limit likely to be exceeded in 10yrs",
  IF(50*BP137*1000/3000+BQ137&gt;450,"soil limit likely to be exceeded in 50yrs","ok")))))
))))))))</f>
        <v/>
      </c>
    </row>
    <row r="138" spans="2:71" ht="15" x14ac:dyDescent="0.25">
      <c r="B138" s="236" t="str">
        <f ca="1">'Soil results'!B141</f>
        <v/>
      </c>
      <c r="C138" s="91" t="str">
        <f ca="1">IF(B138="","",
IF(AND('Field information 2'!$O$5="", 'Field information 2'!$Q$5=""),
   IF('Waste results'!$S$12&lt;&gt;"data missing", Calc!BC136*'Waste results'!$S$12, "data missing"),
IF('Field information 2'!$Q$5="",
   IF(Calc!BD136=0,
     IF('Waste results'!$S$12&lt;&gt;"data missing", Calc!BC136*'Waste results'!$S$12, "data missing"),
   IF(Calc!BC136=0,
     IF('Waste results'!$S$48&lt;&gt;"data missing", Calc!BD136*'Waste results'!$S$48, "data missing"),
   IF(OR('Waste results'!$S$12&lt;&gt;"data missing", 'Waste results'!$S$48&lt;&gt;"data missing"), Calc!BC136*'Waste results'!$S$12+ Calc!BD136*'Waste results'!$S$48, "data missing"))),
IF(AND('Field information 2'!$M$5&lt;&gt;"", 'Field information 2'!$O$5&lt;&gt;"", 'Field information 2'!$Q$5&lt;&gt;""),
   IF(AND(Calc!BD136=0,Calc!BE136=0),
     IF('Waste results'!$S$12&lt;&gt;"data missing", Calc!BC136*'Waste results'!$S$12, "data missing"),
   IF(AND(Calc!BC136=0,Calc!BE136=0),
     IF('Waste results'!$S$48&lt;&gt;"data missing", Calc!BD136*'Waste results'!$S$48, "data missing"),
   IF(AND(Calc!BC136=0,Calc!BD136=0),
     IF('Waste results'!$S$84&lt;&gt;"data missing", Calc!BE136*'Waste results'!$S$84, "data missing"),
   IF(Calc!BE136=0,
     IF(OR('Waste results'!$S$12&lt;&gt;"data missing", 'Waste results'!$S$48&lt;&gt;"data missing"), Calc!BC136*'Waste results'!$S$12+ Calc!BD136*'Waste results'!$S$48, "data missing"),
   IF(Calc!BD136=0,
     IF(OR('Waste results'!$S$12&lt;&gt;"data missing", 'Waste results'!$S$84&lt;&gt;"data missing"), Calc!BC136*'Waste results'!$S$12+ Calc!BE136*'Waste results'!$S$84, "data missing"),
   IF(Calc!BC136=0,
     IF(OR('Waste results'!$S$48&lt;&gt;"data missing", 'Waste results'!$S$84&lt;&gt;"data missing"), Calc!BD136*'Waste results'!$S$48+Calc!BE136*'Waste results'!$S$84, "data missing"),
   IF(OR('Waste results'!$S$12&lt;&gt;"data missing", 'Waste results'!$S$48&lt;&gt;"data missing", 'Waste results'!$S$84&lt;&gt;"data missing"), Calc!BC136*'Waste results'!$S$12+Calc!BD136*'Waste results'!$S$48+ Calc!BE136*'Waste results'!$S$84, "data missing")))))))))))</f>
        <v/>
      </c>
      <c r="D138" s="161" t="str">
        <f ca="1">IF(B138="","",
IF(Calc!BG136="","soil texture missing",
IF(OR(Calc!BG136="SL; SZL; ZL",Calc!BG136="SCL; CL; ZCL; SC; ZC; C"),VLOOKUP(Calc!BI136,'Fertiliser recommendations'!$A$4:$C$63,3,FALSE),
IF(Calc!BG136="S; LS",VLOOKUP(Calc!BI136,'Fertiliser recommendations'!$A$4:$C$63,3,FALSE)+VLOOKUP(Calc!BI136,'Fertiliser recommendations'!$A$4:$D$63,4,FALSE),
IF(Calc!BG136="10-25% OM",VLOOKUP(Calc!BI136,'Fertiliser recommendations'!$A$4:$C$63,3,FALSE)+VLOOKUP(Calc!BI136,'Fertiliser recommendations'!$A$4:$E$63,5,FALSE),
IF(Calc!BG136="&gt;25% OM",VLOOKUP(Calc!BI136,'Fertiliser recommendations'!$A$4:$C$63,3,FALSE)+VLOOKUP(Calc!BI136,'Fertiliser recommendations'!$A$4:$F$63,6,FALSE),
""))))))</f>
        <v/>
      </c>
      <c r="E138" s="91" t="str">
        <f t="shared" ca="1" si="34"/>
        <v/>
      </c>
      <c r="F138" s="9" t="str">
        <f ca="1">IF(B138="","",
IF(OR(C138="data missing",D138="soil texture missing"),"data missing",
IF(Calc!BF136=0,"n/a",
IF(C138&lt;0.1*D138,"no benefit",
IF(C138&lt;0.3*D138,"limited benefit",
IF(C138&gt;250,"exceeds limit",
IF(OR(AND(D138=0,C138&gt;75),C138&gt;1.25*D138),"excessive",
IF(D138=0, "no requirement",
"benefit"))))))))</f>
        <v/>
      </c>
      <c r="G138" s="9"/>
      <c r="H138" s="91" t="str">
        <f ca="1">IF(B138="","",
IF(AND('Field information 2'!$O$5="", 'Field information 2'!$Q$5=""),
   IF('Waste results'!$S$17&lt;&gt;"data missing", Calc!BC136*'Waste results'!$S$17, "data missing"),
IF('Field information 2'!$Q$5="",
   IF(Calc!BD136=0,
     IF('Waste results'!$S$17&lt;&gt;"data missing", Calc!BC136*'Waste results'!$S$17, "data missing"),
   IF(Calc!BC136=0,
     IF('Waste results'!$S$53&lt;&gt;"data missing", Calc!BD136*'Waste results'!$S$53, "data missing"),
   IF(OR('Waste results'!$S$17&lt;&gt;"data missing", 'Waste results'!$S$53&lt;&gt;"data missing"), Calc!BC136*'Waste results'!$S$17+ Calc!BD136*'Waste results'!$S$53, "data missing"))),
IF(AND('Field information 2'!$M$5&lt;&gt;"", 'Field information 2'!$O$5&lt;&gt;"", 'Field information 2'!$Q$5&lt;&gt;""),
   IF(AND(Calc!BD136=0,Calc!BE136=0),
     IF('Waste results'!$S$17&lt;&gt;"data missing", Calc!BC136*'Waste results'!$S$17, "data missing"),
   IF(AND(Calc!BC136=0,Calc!BE136=0),
     IF('Waste results'!$S$53&lt;&gt;"data missing", Calc!BD136*'Waste results'!$S$53, "data missing"),
   IF(AND(Calc!BC136=0,Calc!BD136=0),
     IF('Waste results'!$S$89&lt;&gt;"data missing", Calc!BE136*'Waste results'!$S$89, "data missing"),
   IF(Calc!BE136=0,
     IF(OR('Waste results'!$S$17&lt;&gt;"data missing", 'Waste results'!$S$53&lt;&gt;"data missing"), Calc!BC136*'Waste results'!$S$17+ Calc!BD136*'Waste results'!$S$53, "data missing"),
   IF(Calc!BD136=0,
     IF(OR('Waste results'!$S$17&lt;&gt;"data missing", 'Waste results'!$S$89&lt;&gt;"data missing"), Calc!BC136*'Waste results'!$S$17+ Calc!BE136*'Waste results'!$S$89, "data missing"),
   IF(Calc!BC136=0,
     IF(OR('Waste results'!$S$53&lt;&gt;"data missing", 'Waste results'!$S$89&lt;&gt;"data missing"), Calc!BD136*'Waste results'!$S$53+Calc!BE136*'Waste results'!$S$89, "data missing"),
   IF(OR('Waste results'!$S$17&lt;&gt;"data missing", 'Waste results'!$S$53&lt;&gt;"data missing", 'Waste results'!$S$89&lt;&gt;"data missing"), Calc!BC136*'Waste results'!$S$17+Calc!BD136*'Waste results'!$S$53+ Calc!BE136*'Waste results'!$S$89, "data missing")))))))))))</f>
        <v/>
      </c>
      <c r="I138" s="195" t="str">
        <f ca="1">IF(B138="","",
IF(OR(ISBLANK('Soil results'!G141), ISBLANK('Soil results'!G$7)),"data missing",
IF(OR(AND('Soil results'!G$7="Olsen (ADAS)",'Soil results'!G141&lt;16),AND('Soil results'!G$7="modified Morgan (SAC)",'Soil results'!G141&lt;4.5)),50,100)))</f>
        <v/>
      </c>
      <c r="J138" s="49" t="str">
        <f ca="1">IF(B138="","",
IF(OR(ISBLANK('Soil results'!G$7),ISBLANK('Soil results'!G141)),"data missing",
IF(OR(AND('Soil results'!G$7="Olsen (ADAS)",'Soil results'!G141&gt;45),AND('Soil results'!G$7="modified Morgan (SAC)",'Soil results'!G141&gt;30)),0,
IF(OR(AND('Soil results'!G$7="Olsen (ADAS)",'Soil results'!G141&gt;=16,'Soil results'!G141&lt;=20),AND('Soil results'!G$7="modified Morgan (SAC)",'Soil results'!G141&gt;=4.5,'Soil results'!G141&lt;=9.4)),VLOOKUP(Calc!BI136,'Fertiliser recommendations'!$A$4:$I$63,9,FALSE),
IF(OR(AND('Soil results'!G$7="Olsen (ADAS)",'Soil results'!G141&lt;10),AND('Soil results'!G$7="modified Morgan (SAC)",'Soil results'!G141&lt;1.8)),VLOOKUP(Calc!BI136,'Fertiliser recommendations'!$A$4:$I$63,9,FALSE)+VLOOKUP(Calc!BI136,'Fertiliser recommendations'!$A$4:$J$63,10,FALSE),
IF(OR(AND('Soil results'!G$7="Olsen (ADAS)",'Soil results'!G141&lt;16),AND('Soil results'!G$7="modified Morgan (SAC)",'Soil results'!G141&lt;4.5)),VLOOKUP(Calc!BI136,'Fertiliser recommendations'!$A$4:$I$63,9,FALSE)+VLOOKUP(Calc!BI136,'Fertiliser recommendations'!$A$4:$K$63,11,FALSE),
IF(OR(AND('Soil results'!G$7="Olsen (ADAS)",'Soil results'!G141&lt;26),AND('Soil results'!G$7="modified Morgan (SAC)",'Soil results'!G141&lt;13.5)),VLOOKUP(Calc!BI136,'Fertiliser recommendations'!$A$4:$I$63,9,FALSE)+VLOOKUP(Calc!BI136,'Fertiliser recommendations'!$A$4:$L$63,12,FALSE),
IF(OR(AND('Soil results'!G$7="Olsen (ADAS)",'Soil results'!G141&lt;=45),AND('Soil results'!G$7="modified Morgan (SAC)",'Soil results'!G141&lt;=30)),VLOOKUP(Calc!BI136,'Fertiliser recommendations'!$A$4:$I$63,9,FALSE)+VLOOKUP(Calc!BI136,'Fertiliser recommendations'!$A$4:$M$63,13,FALSE),
""))))))))</f>
        <v/>
      </c>
      <c r="K138" s="161" t="str">
        <f t="shared" ca="1" si="35"/>
        <v/>
      </c>
      <c r="L138" s="47" t="str">
        <f ca="1">IF(OR(ISBLANK('Soil results'!G$7),ISBLANK('Soil results'!G141),B138="", H138="data missing"),"",
IF('Soil results'!G$7="Olsen (ADAS)",
IF(((H138*Calc!BM136/2.291-(VLOOKUP(Calc!BI136,'Fertiliser recommendations'!$A$4:$I$63,9,FALSE))/2.291)*10/(400/2.291)+'Soil results'!G141)&lt;10,"0 (VL)",
IF(((H138*Calc!BM136/2.291-(VLOOKUP(Calc!BI136,'Fertiliser recommendations'!$A$4:$I$63,9,FALSE))/2.291)*10/(400/2.291)+'Soil results'!G141)&lt;16,"1 (L)",
IF(((H138*Calc!BM136/2.291-(VLOOKUP(Calc!BI136,'Fertiliser recommendations'!$A$4:$I$63,9,FALSE))/2.291)*10/(400/2.291)+'Soil results'!G141)&lt;21,"2 (M-)",
IF(((H138*Calc!BM136/2.291-(VLOOKUP(Calc!BI136,'Fertiliser recommendations'!$A$4:$I$63,9,FALSE))/2.291)*10/(400/2.291)+'Soil results'!G141)&lt;26,"2 (M+)",
IF(((H138*Calc!BM136/2.291-(VLOOKUP(Calc!BI136,'Fertiliser recommendations'!$A$4:$I$63,9,FALSE))/2.291)*10/(400/2.291)+'Soil results'!G141)&lt;45,"3 (H)","&gt;3 (VH)"))))),
IF('Soil results'!G$7="modified Morgan (SAC)",
IF('Soil results'!G141&gt;=6,
IF(((H138*Calc!BM136/2.291-(VLOOKUP(Calc!BI136,'Fertiliser recommendations'!$A$4:$I$63,9,FALSE))/2.291)*5/(147/2.291)+'Soil results'!G141)&lt;9.5,"2 (M-)",
IF(((H138*Calc!BM136/2.291-(VLOOKUP(Calc!BI136,'Fertiliser recommendations'!$A$4:$I$63,9,FALSE))/2.291)*5/(147/2.291)+'Soil results'!G141)&lt;13.5,"2 (M+)",
IF(((H138*Calc!BM136/2.291-(VLOOKUP(Calc!BI136,'Fertiliser recommendations'!$A$4:$I$63,9,FALSE))/2.291)*5/(147/2.291)+'Soil results'!G141)&lt;30,"3 (H)","4 (VH)"))),
IF(((H138*Calc!BM136/2.291-(VLOOKUP(Calc!BI136,'Fertiliser recommendations'!$A$4:$I$63,9,FALSE))/2.291)*5/(346/2.291)+'Soil results'!G141)&lt;1.8,"0 (VL)",
IF(((H138*Calc!BM136/2.291-(VLOOKUP(Calc!BI136,'Fertiliser recommendations'!$A$4:$I$63,9,FALSE))/2.291)*5/(147/2.291)+'Soil results'!G141)&lt;4.5,"1 (L)","2 (M-)"))))))</f>
        <v/>
      </c>
      <c r="M138" s="9" t="str">
        <f ca="1">IF(B138="","",
IF(OR(H138="data missing",I138="data missing",J138="data missing"),"data missing",
IF(Calc!BF136=0,"n/a",
IF(OR(AND('Soil results'!G$7="Olsen (ADAS)",'Soil results'!G141&gt;45),AND('Soil results'!G$7="modified Morgan (SAC)",'Soil results'!G141&gt;30)),
IF(H138&gt;2,"too high, not acceptable","no requirement"),IF(OR(AND('Soil results'!G$7="Olsen (ADAS)",'Soil results'!G141&gt;25),AND('Soil results'!G$7="modified Morgan (SAC)",'Soil results'!G141&gt;13.4)),
IF(H138*(I138/100)&lt;0.1*J138,"no benefit",
IF(H138*(I138/100)&lt;0.3*J138,"limited benefit",
IF(H138*(I138/100)&lt;1.1*J138,"benefit",
IF(H138*(I138/100)&lt;0.7*VLOOKUP(Calc!BI136,'Fertiliser recommendations'!$A$4:$I$63,9,FALSE),"excessive","too high, not acceptable")))),
IF(OR(AND('Soil results'!G$7="Olsen (ADAS)",'Soil results'!G141&gt;20),AND('Soil results'!G$7="modified Morgan (SAC)",'Soil results'!G141&gt;9.4)),
IF(H138*Calc!BM136*(I138/100)&lt;0.1*J138,"no benefit",
IF(H138*Calc!BM136*(I138/100)&lt;0.3*J138,"limited benefit",
IF(H138*Calc!BM136*(I138/100)&lt;1.1*J138,"benefit",
IF(L138="3 (H)","too high, not acceptable","excessive")))),
IF(OR(AND('Soil results'!G$7="Olsen (ADAS)",'Soil results'!G141&gt;15),AND('Soil results'!G$7="modified Morgan (SAC)",'Soil results'!G141&gt;4.4)),
IF(H138*Calc!BM136*(I138/100)&lt;0.1*VLOOKUP(Calc!BI136,'Fertiliser recommendations'!$A$4:$I$63,9,FALSE),"no benefit",
IF(H138*Calc!BM136*(I138/100)&lt;0.3*VLOOKUP(Calc!BI136,'Fertiliser recommendations'!$A$4:$I$63,9,FALSE),"limited benefit",
IF(H138*Calc!BM136*(I138/100)&lt;1.1*VLOOKUP(Calc!BI136,'Fertiliser recommendations'!$A$4:$I$63,9,FALSE),"benefit",
IF(L138="3 (H)", "too high, not acceptable", "excessive")))),
IF(OR(AND('Soil results'!G$7="Olsen (ADAS)",'Soil results'!G141&lt;=15),AND('Soil results'!G$7="modified Morgan (SAC)",'Soil results'!G141&lt;=4.4)),
IF(H138*Calc!BM136*(I138/100)&lt;0.1*VLOOKUP(Calc!BI136,'Fertiliser recommendations'!$A$4:$I$63,9,FALSE),"no benefit",
IF(H138*Calc!BM136*(I138/100)&lt;0.3*VLOOKUP(Calc!BI136,'Fertiliser recommendations'!$A$4:$I$63,9,FALSE),"limited benefit",
IF(H138*Calc!BM136*(I138/100)&lt;1.1*J138,"benefit","excessive")))))))))))</f>
        <v/>
      </c>
      <c r="N138" s="9"/>
      <c r="O138" s="91" t="str">
        <f ca="1">IF(B138="","",
IF(AND('Field information 2'!$O$5="", 'Field information 2'!$Q$5=""),
   IF('Waste results'!$S$19&lt;&gt;"data missing", Calc!BC136*'Waste results'!$S$19, "data missing"),
IF('Field information 2'!$Q$5="",
   IF(Calc!BD136=0,
     IF('Waste results'!$S$19&lt;&gt;"data missing", Calc!BC136*'Waste results'!$S$19, "data missing"),
   IF(Calc!BC136=0,
     IF('Waste results'!$S$55&lt;&gt;"data missing", Calc!BD136*'Waste results'!$S$55, "data missing"),
   IF(OR('Waste results'!$S$19&lt;&gt;"data missing", 'Waste results'!$S$55&lt;&gt;"data missing"), Calc!BC136*'Waste results'!$S$19+ Calc!BD136*'Waste results'!$S$55, "data missing"))),
IF(AND('Field information 2'!$M$5&lt;&gt;"", 'Field information 2'!$O$5&lt;&gt;"", 'Field information 2'!$Q$5&lt;&gt;""),
   IF(AND(Calc!BD136=0,Calc!BE136=0),
     IF('Waste results'!$S$19&lt;&gt;"data missing", Calc!BC136*'Waste results'!$S$19, "data missing"),
   IF(AND(Calc!BC136=0,Calc!BE136=0),
     IF('Waste results'!$S$55&lt;&gt;"data missing", Calc!BD136*'Waste results'!$S$55, "data missing"),
   IF(AND(Calc!BC136=0,Calc!BD136=0),
     IF('Waste results'!$S$91&lt;&gt;"data missing", Calc!BE136*'Waste results'!$S$91, "data missing"),
   IF(Calc!BE136=0,
     IF(OR('Waste results'!$S$19&lt;&gt;"data missing", 'Waste results'!$S$55&lt;&gt;"data missing"), Calc!BC136*'Waste results'!$S$19+ Calc!BD136*'Waste results'!$S$55, "data missing"),
   IF(Calc!BD136=0,
     IF(OR('Waste results'!$S$19&lt;&gt;"data missing", 'Waste results'!$S$91&lt;&gt;"data missing"), Calc!BC136*'Waste results'!$S$19+ Calc!BE136*'Waste results'!$S$91, "data missing"),
   IF(Calc!BC136=0,
     IF(OR('Waste results'!$S$55&lt;&gt;"data missing", 'Waste results'!$S$91&lt;&gt;"data missing"), Calc!BD136*'Waste results'!$S$55+Calc!BE136*'Waste results'!$S$91, "data missing"),
   IF(OR('Waste results'!$S$19&lt;&gt;"data missing", 'Waste results'!$S$55&lt;&gt;"data missing", 'Waste results'!$S$91&lt;&gt;"data missing"), Calc!BC136*'Waste results'!$S$19+Calc!BD136*'Waste results'!$S$55+ Calc!BE136*'Waste results'!$S$91, "data missing")))))))))))</f>
        <v/>
      </c>
      <c r="P138" s="91" t="str">
        <f ca="1">IF(B138="","",
IF(OR(ISBLANK('Soil results'!H$7),ISBLANK('Soil results'!H141)),"data missing",
IF(OR(AND('Soil results'!H$7="ammonium nitrate (ADAS)",'Soil results'!H141&gt;400),AND('Soil results'!H$7="modified Morgan (SAC)",'Soil results'!H141&gt;400)),0,
IF(OR(AND('Soil results'!H$7="ammonium nitrate (ADAS)",'Soil results'!H141&gt;=121,'Soil results'!H141&lt;=180),AND('Soil results'!H$7="modified Morgan (SAC)",'Soil results'!H141&gt;=76,'Soil results'!H141&lt;=140)),VLOOKUP(Calc!BI136,'Fertiliser recommendations'!$A$4:$Z$63,26,FALSE),
IF(OR(AND('Soil results'!H$7="ammonium nitrate (ADAS)",'Soil results'!H141&lt;61),AND('Soil results'!H$7="modified Morgan (SAC)",'Soil results'!H141&lt;40)),VLOOKUP(Calc!BI136,'Fertiliser recommendations'!$A$4:$Z$63,26,FALSE)+VLOOKUP(Calc!BI136,'Fertiliser recommendations'!$A$4:$AA$63,27,FALSE),
IF(OR(AND('Soil results'!H$7="ammonium nitrate (ADAS)",'Soil results'!H141&lt;121),AND('Soil results'!H$7="modified Morgan (SAC)",'Soil results'!H141&lt;76)),VLOOKUP(Calc!BI136,'Fertiliser recommendations'!$A$4:$Z$63,26,FALSE)+VLOOKUP(Calc!BI136,'Fertiliser recommendations'!$A$4:$AB$63,28,FALSE),
IF(OR(AND('Soil results'!H$7="ammonium nitrate (ADAS)",'Soil results'!H141&lt;241),AND('Soil results'!H$7="modified Morgan (SAC)",'Soil results'!H141&lt;201)),VLOOKUP(Calc!BI136,'Fertiliser recommendations'!$A$4:$Z$63,26,FALSE)+VLOOKUP(Calc!BI136,'Fertiliser recommendations'!$A$4:$AC$63,29,FALSE),
IF(OR(AND('Soil results'!H$7="ammonium nitrate (ADAS)",'Soil results'!H141&lt;=400),AND('Soil results'!H$7="modified Morgan (SAC)",'Soil results'!H141&lt;=400)),VLOOKUP(Calc!BI136,'Fertiliser recommendations'!$A$4:$Z$63,26,FALSE)+VLOOKUP(Calc!BI136,'Fertiliser recommendations'!$A$4:$AD$63,30,FALSE),
"??"))))))))</f>
        <v/>
      </c>
      <c r="Q138" s="91" t="str">
        <f t="shared" ca="1" si="36"/>
        <v/>
      </c>
      <c r="R138" s="9" t="str">
        <f ca="1">IF(B138="","",
IF(OR(O138="data missing",P138="data missing"),"data missing",
IF(Calc!BF136=0,"n/a",
IF(P138=0, "no requirement",
IF(O138&lt;0.1*P138,"no benefit",
IF(O138&lt;0.3*P138,"limited benefit",
IF(O138&gt;1.25*P138,"excessive",
"benefit")))))))</f>
        <v/>
      </c>
      <c r="S138" s="9"/>
      <c r="T138" s="91" t="str">
        <f ca="1">IF(B138="","",
IF(AND('Field information 2'!$O$5="", 'Field information 2'!$Q$5=""),
   IF('Waste results'!$S$21&lt;&gt;"data missing", Calc!BC136*'Waste results'!$S$21, "data missing"),
IF('Field information 2'!$Q$5="",
   IF(Calc!BD136=0,
     IF('Waste results'!$S$21&lt;&gt;"data missing", Calc!BC136*'Waste results'!$S$21, "data missing"),
   IF(Calc!BC136=0,
     IF('Waste results'!$S$57&lt;&gt;"data missing", Calc!BD136*'Waste results'!$S$57, "data missing"),
   IF(OR('Waste results'!$S$21&lt;&gt;"data missing", 'Waste results'!$S$57&lt;&gt;"data missing"), Calc!BC136*'Waste results'!$S$21+ Calc!BD136*'Waste results'!$S$57, "data missing"))),
IF(AND('Field information 2'!$M$5&lt;&gt;"", 'Field information 2'!$O$5&lt;&gt;"", 'Field information 2'!$Q$5&lt;&gt;""),
   IF(AND(Calc!BD136=0,Calc!BE136=0),
     IF('Waste results'!$S$21&lt;&gt;"data missing", Calc!BC136*'Waste results'!$S$21, "data missing"),
   IF(AND(Calc!BC136=0,Calc!BE136=0),
     IF('Waste results'!$S$57&lt;&gt;"data missing", Calc!BD136*'Waste results'!$S$57, "data missing"),
   IF(AND(Calc!BC136=0,Calc!BD136=0),
     IF('Waste results'!$S$93&lt;&gt;"data missing", Calc!BE136*'Waste results'!$S$93, "data missing"),
   IF(Calc!BE136=0,
     IF(OR('Waste results'!$S$21&lt;&gt;"data missing", 'Waste results'!$S$57&lt;&gt;"data missing"), Calc!BC136*'Waste results'!$S$21+ Calc!BD136*'Waste results'!$S$57, "data missing"),
   IF(Calc!BD136=0,
     IF(OR('Waste results'!$S$21&lt;&gt;"data missing", 'Waste results'!$S$93&lt;&gt;"data missing"), Calc!BC136*'Waste results'!$S$21+ Calc!BE136*'Waste results'!$S$93, "data missing"),
   IF(Calc!BC136=0,
     IF(OR('Waste results'!$S$57&lt;&gt;"data missing", 'Waste results'!$S$93&lt;&gt;"data missing"), Calc!BD136*'Waste results'!$S$57+Calc!BE136*'Waste results'!$S$93, "data missing"),
   IF(OR('Waste results'!$S$21&lt;&gt;"data missing", 'Waste results'!$S$57&lt;&gt;"data missing", 'Waste results'!$S$93&lt;&gt;"data missing"), Calc!BC136*'Waste results'!$S$21+Calc!BD136*'Waste results'!$S$57+ Calc!BE136*'Waste results'!$S$93, "data missing")))))))))))</f>
        <v/>
      </c>
      <c r="U138" s="7" t="str">
        <f ca="1">IF(B138="","",
IF(OR(ISBLANK('Soil results'!I$7),ISBLANK('Soil results'!I141)),"data missing",
IF(OR(AND('Soil results'!I$7="ammonium nitrate (ADAS)",'Soil results'!I141&gt;51),AND('Soil results'!I$7="modified Morgan (SAC)",'Soil results'!I141&gt;61)),0,
IF(OR(AND('Soil results'!I$7="ammonium nitrate (ADAS)",'Soil results'!I141&lt;25),AND('Soil results'!I$7="modified Morgan (SAC)",'Soil results'!I141&lt;19)),VLOOKUP(Calc!BI136,'Fertiliser recommendations'!$A$4:$AH$63,34,FALSE),
IF(OR(AND('Soil results'!I$7="ammonium nitrate (ADAS)",'Soil results'!I141&lt;=51),AND('Soil results'!I$7="modified Morgan (SAC)",'Soil results'!I141&lt;=61)),VLOOKUP(Calc!BI136,'Fertiliser recommendations'!$A$4:$AI$63,35,FALSE),
"")))))</f>
        <v/>
      </c>
      <c r="V138" s="91" t="str">
        <f t="shared" ca="1" si="37"/>
        <v/>
      </c>
      <c r="W138" s="9" t="str">
        <f ca="1">IF(B138="","",
IF(OR(T138="data missing",U138="data missing"),"data missing",
IF(Calc!BF136=0,"n/a",
IF(U138=0,"no requirement",
IF(T138&lt;0.1*U138,"no benefit",
IF(T138&lt;0.3*U138,"limited benefit",
IF(OR(T138&gt;1.5*U138,AND(Calc!BJ136="g",T138&gt;100)),"excessive",
"benefit")))))))</f>
        <v/>
      </c>
      <c r="X138" s="9"/>
      <c r="Y138" s="91" t="str">
        <f ca="1">IF(B138="","",
IF(AND('Field information 2'!$O$5="", 'Field information 2'!$Q$5=""),
   IF('Waste results'!$P$23&lt;&gt;"", Calc!BC136*'Waste results'!$P$23, "no data"),
IF('Field information 2'!$Q$5="",
   IF(Calc!BD136=0,
     IF('Waste results'!$P$23&lt;&gt;"", Calc!BC136*'Waste results'!$P$23, "no data"),
   IF(Calc!BC136=0,
     IF('Waste results'!$P$59&lt;&gt;"", Calc!BD136*'Waste results'!$P$59, "no data"),
   IF(OR('Waste results'!$P$23&lt;&gt;"", 'Waste results'!$P$59&lt;&gt;""), Calc!BC136*'Waste results'!$P$23+ Calc!BD136*'Waste results'!$P$59, "no data"))),
IF(AND('Field information 2'!$M$5&lt;&gt;"", 'Field information 2'!$O$5&lt;&gt;"", 'Field information 2'!$Q$5&lt;&gt;""),
   IF(AND(Calc!BD136=0,Calc!BE136=0),
     IF('Waste results'!$P$23&lt;&gt;"", Calc!BC136*'Waste results'!$P$23, "no data"),
   IF(AND(Calc!BC136=0,Calc!BE136=0),
     IF('Waste results'!$P$59&lt;&gt;"", Calc!BD136*'Waste results'!$P$59, "no data"),
   IF(AND(Calc!BC136=0,Calc!BD136=0),
     IF('Waste results'!$P$95&lt;&gt;"", Calc!BE136*'Waste results'!$P$95, "no data"),
   IF(Calc!BE136=0,
     IF(OR('Waste results'!$P$23&lt;&gt;"", 'Waste results'!$P$59&lt;&gt;""), Calc!BC136*'Waste results'!$P$23+ Calc!BD136*'Waste results'!$P$59, "no data"),
   IF(Calc!BD136=0,
     IF(OR('Waste results'!$P$23&lt;&gt;"", 'Waste results'!$P$95&lt;&gt;""), Calc!BC136*'Waste results'!$P$23+ Calc!BE136*'Waste results'!$P$95, "no data"),
   IF(Calc!BC136=0,
     IF(OR('Waste results'!$P$59&lt;&gt;"", 'Waste results'!$P$95&lt;&gt;""), Calc!BD136*'Waste results'!$P$59+Calc!BE136*'Waste results'!$P$95, "no data"),
   IF(OR('Waste results'!$P$23&lt;&gt;"", 'Waste results'!$P$59&lt;&gt;"", 'Waste results'!$P$95&lt;&gt;""), Calc!BC136*'Waste results'!$P$23+Calc!BD136*'Waste results'!$P$59+ Calc!BE136*'Waste results'!$P$95, "no data")))))))))))</f>
        <v/>
      </c>
      <c r="Z138" s="7" t="str">
        <f ca="1">IF(OR(ISBLANK('Soil results'!I$7),ISBLANK('Soil results'!I141),'Soil results'!B141=""),"",
VLOOKUP(Calc!BI136,'Fertiliser recommendations'!$A$4:$AM$63,39,FALSE))</f>
        <v/>
      </c>
      <c r="AA138" s="91" t="str">
        <f t="shared" ca="1" si="38"/>
        <v/>
      </c>
      <c r="AB138" s="9" t="str">
        <f t="shared" ca="1" si="39"/>
        <v/>
      </c>
      <c r="AC138" s="9"/>
      <c r="AD138" s="48" t="str">
        <f>IF(ISBLANK('Soil results'!F141),"",'Soil results'!F141)</f>
        <v/>
      </c>
      <c r="AE138" s="49" t="str">
        <f ca="1">IF(B138="","",
IF(AND(Calc!BJ136="g", VLOOKUP(LEFT($B138,LEN($B138)-2),'Field information 2'!$B$12:$P$111,9,FALSE)&lt;&gt;"yes"),
 IF(Calc!BG136="10-25% OM", 5.9, IF(Calc!BG136="&gt;25% OM", 5.5, 6.2)),
IF(OR(Calc!BJ136="a", VLOOKUP(LEFT($B138,LEN($B138)-2),'Field information 2'!$B$12:$P$111,9,FALSE)="yes"),
 IF(Calc!BG136="10-25% OM", 6.4, IF(Calc!BG136="&gt;25% OM", 6, 6.7)), "")))</f>
        <v/>
      </c>
      <c r="AF138" s="91" t="str">
        <f ca="1">IF(B138="","",
IF('Waste results'!$Q$33="","no (significant) liming properties",
IF('Waste results'!Q$33&gt;100,"no (significant) liming properties",
IF(AD138="","",
IF(AD138&gt;=AE138,0,ROUNDDOWN((AE138-AD138)*Calc!BK136*'Waste results'!$Q$33+0.2,0))))))</f>
        <v/>
      </c>
      <c r="AG138" s="9" t="str">
        <f ca="1">IF(B138="","",
IF(T138=0,"n/a",
IF(AD138="","data missing",
IF(AND(AD138&lt;5,AF138="no (significant) liming properties"),"no waste application - pH too low",
IF(AND(AD138&gt;5.1,AF138="no (significant) liming properties",Calc!BH136&gt;25, LEFT(Calc!BI136,4)="graz"),"ok",
IF(AND(AD138&lt;=5.2,AF138="no (significant) liming properties"),"liming highly recommended",
IF(AF138=0,"no waste application - liming not required",
IF(AF138&lt;Calc!BC136,"application rate too high - exceeds liming requirement",
"ok"))))))))</f>
        <v/>
      </c>
      <c r="AH138" s="9"/>
      <c r="AI138" s="91" t="str">
        <f ca="1">IF(B138="","",
IF(AND('Field information 2'!$O$5="", 'Field information 2'!$Q$5=""),
   IF('Waste results'!$P$10&lt;&gt;"data missing", Calc!BC136*'Waste results'!$P$10, "data missing"),
IF('Field information 2'!$Q$5="",
   IF(Calc!BD136=0,
     IF('Waste results'!$P$10&lt;&gt;"data missing", Calc!BC136*'Waste results'!$P$10, "data missing"),
   IF(Calc!BC136=0,
     IF('Waste results'!$P$45&lt;&gt;"data missing", Calc!BD136*'Waste results'!$P$45, "data missing"),
   IF(OR('Waste results'!$P$10&lt;&gt;"data missing", 'Waste results'!$P$45&lt;&gt;"data missing"), Calc!BC136*'Waste results'!$P$10+ Calc!BD136*'Waste results'!$P$45, "data missing"))),
IF(AND('Field information 2'!$M$5&lt;&gt;"", 'Field information 2'!$O$5&lt;&gt;"", 'Field information 2'!$Q$5&lt;&gt;""),
   IF(AND(Calc!BD136=0,Calc!BE136=0),
     IF('Waste results'!$P$10&lt;&gt;"data missing", Calc!BC136*'Waste results'!$P$10, "data missing"),
   IF(AND(Calc!BC136=0,Calc!BE136=0),
     IF('Waste results'!$P$45&lt;&gt;"data missing", Calc!BD136*'Waste results'!$P$45, "data missing"),
   IF(AND(Calc!BC136=0,Calc!BD136=0),
     IF('Waste results'!$P$82&lt;&gt;"data missing", Calc!BE136*'Waste results'!$P$82, "data missing"),
   IF(Calc!BE136=0,
     IF(OR('Waste results'!$P$10&lt;&gt;"data missing", 'Waste results'!$P$45&lt;&gt;"data missing"), Calc!BC136*'Waste results'!$P$10+ Calc!BD136*'Waste results'!$P$45, "data missing"),
   IF(Calc!BD136=0,
     IF(OR('Waste results'!$P$10&lt;&gt;"data missing", 'Waste results'!$P$82&lt;&gt;"data missing"), Calc!BC136*'Waste results'!$P$10+ Calc!BE136*'Waste results'!$P$82, "data missing"),
   IF(Calc!BC136=0,
     IF(OR('Waste results'!$P$45&lt;&gt;"data missing", 'Waste results'!$P$82&lt;&gt;"data missing"), Calc!BD136*'Waste results'!$P$45+Calc!BE136*'Waste results'!$P$82, "data missing"),
   IF(OR('Waste results'!$P$10&lt;&gt;"data missing", 'Waste results'!$P$45&lt;&gt;"data missing", 'Waste results'!$P$82&lt;&gt;"data missing"), Calc!BC136*'Waste results'!$P$10+Calc!BD136*'Waste results'!$P$45+ Calc!BE136*'Waste results'!$P$82, "data missing")))))))))))</f>
        <v/>
      </c>
      <c r="AJ138" s="237" t="str">
        <f ca="1">IF(B138="","",
IF(AI138="data missing","data missing",
IF(Calc!BF136=0,"n/a",
IF(AND(Calc!BH136&gt;=8,AI138&lt;500),"no benefit",
IF(OR(AND(Calc!BH136&lt;=4,AI138&gt;=500),AND(Calc!BH136&lt;8,AI138&gt;5000)),"benefit",
"limited benefit")))))</f>
        <v/>
      </c>
      <c r="AK138" s="9"/>
      <c r="AL138" s="238" t="str">
        <f ca="1">IF(B138="","",
IF(AND('Field information 2'!$O$5="", 'Field information 2'!$Q$5=""),
   IF('Waste results'!$S$25&lt;&gt;"data missing", Calc!BC136*'Waste results'!$S$25, "data missing"),
IF('Field information 2'!$Q$5="",
   IF(Calc!BD136=0,
     IF('Waste results'!$S$25&lt;&gt;"data missing", Calc!BC136*'Waste results'!$S$25, "data missing"),
   IF(Calc!BC136=0,
     IF('Waste results'!$S$61&lt;&gt;"data missing", Calc!BD136*'Waste results'!$S$61, "data missing"),
   IF(OR('Waste results'!$S$25&lt;&gt;"data missing", 'Waste results'!$S$61&lt;&gt;"data missing"), Calc!BC136*'Waste results'!$S$25+ Calc!BD136*'Waste results'!$S$61, "data missing"))),
IF(AND('Field information 2'!$M$5&lt;&gt;"", 'Field information 2'!$O$5&lt;&gt;"", 'Field information 2'!$Q$5&lt;&gt;""),
   IF(AND(Calc!BD136=0,Calc!BE136=0),
     IF('Waste results'!$S$25&lt;&gt;"data missing", Calc!BC136*'Waste results'!$S$25, "data missing"),
   IF(AND(Calc!BC136=0,Calc!BE136=0),
     IF('Waste results'!$S$61&lt;&gt;"data missing", Calc!BD136*'Waste results'!$S$61, "data missing"),
   IF(AND(Calc!BC136=0,Calc!BD136=0),
     IF('Waste results'!$S$97&lt;&gt;"data missing", Calc!BE136*'Waste results'!$S$97, "data missing"),
   IF(Calc!BE136=0,
     IF(OR('Waste results'!$S$25&lt;&gt;"data missing", 'Waste results'!$S$61&lt;&gt;"data missing"), Calc!BC136*'Waste results'!$S$25+ Calc!BD136*'Waste results'!$S$61, "data missing"),
   IF(Calc!BD136=0,
     IF(OR('Waste results'!$S$25&lt;&gt;"data missing", 'Waste results'!$S$97&lt;&gt;"data missing"), Calc!BC136*'Waste results'!$S$25+ Calc!BE136*'Waste results'!$S$97, "data missing"),
   IF(Calc!BC136=0,
     IF(OR('Waste results'!$S$61&lt;&gt;"data missing", 'Waste results'!$S$97&lt;&gt;"data missing"), Calc!BD136*'Waste results'!$S$61+Calc!BE136*'Waste results'!$S$97, "data missing"),
   IF(OR('Waste results'!$S$25&lt;&gt;"data missing", 'Waste results'!$S$61&lt;&gt;"data missing", 'Waste results'!$S$97&lt;&gt;"data missing"), Calc!BC136*'Waste results'!$S$25+Calc!BD136*'Waste results'!$S$61+ Calc!BE136*'Waste results'!$S$97, "data missing")))))))))))</f>
        <v/>
      </c>
      <c r="AM138" s="239" t="str">
        <f ca="1">IF($B138="","",
IF(ISBLANK('Soil results'!K141),"data missing",'Soil results'!K141))</f>
        <v/>
      </c>
      <c r="AN138" s="239" t="str">
        <f t="shared" ca="1" si="40"/>
        <v/>
      </c>
      <c r="AO138" s="9" t="str">
        <f t="shared" ca="1" si="41"/>
        <v/>
      </c>
      <c r="AP138" s="9"/>
      <c r="AQ138" s="240" t="str">
        <f ca="1">IF(B138="","",
IF(AND('Field information 2'!$O$5="", 'Field information 2'!$Q$5=""),
   IF('Waste results'!$S$26&lt;&gt;"data missing", Calc!BC136*'Waste results'!$S$26, "data missing"),
IF('Field information 2'!$Q$5="",
   IF(Calc!BD136=0,
     IF('Waste results'!$S$26&lt;&gt;"data missing", Calc!BC136*'Waste results'!$S$26, "data missing"),
   IF(Calc!BC136=0,
     IF('Waste results'!$S$62&lt;&gt;"data missing", Calc!BD136*'Waste results'!$S$62, "data missing"),
   IF(OR('Waste results'!$S$26&lt;&gt;"data missing", 'Waste results'!$S$62&lt;&gt;"data missing"), Calc!BC136*'Waste results'!$S$26+ Calc!BD136*'Waste results'!$S$62, "data missing"))),
IF(AND('Field information 2'!$M$5&lt;&gt;"", 'Field information 2'!$O$5&lt;&gt;"", 'Field information 2'!$Q$5&lt;&gt;""),
   IF(AND(Calc!BD136=0,Calc!BE136=0),
     IF('Waste results'!$S$26&lt;&gt;"data missing", Calc!BC136*'Waste results'!$S$26, "data missing"),
   IF(AND(Calc!BC136=0,Calc!BE136=0),
     IF('Waste results'!$S$62&lt;&gt;"data missing", Calc!BD136*'Waste results'!$S$62, "data missing"),
   IF(AND(Calc!BC136=0,Calc!BD136=0),
     IF('Waste results'!$S$98&lt;&gt;"data missing", Calc!BE136*'Waste results'!$S$98, "data missing"),
   IF(Calc!BE136=0,
     IF(OR('Waste results'!$S$26&lt;&gt;"data missing", 'Waste results'!$S$62&lt;&gt;"data missing"), Calc!BC136*'Waste results'!$S$26+ Calc!BD136*'Waste results'!$S$62, "data missing"),
   IF(Calc!BD136=0,
     IF(OR('Waste results'!$S$26&lt;&gt;"data missing", 'Waste results'!$S$98&lt;&gt;"data missing"), Calc!BC136*'Waste results'!$S$26+ Calc!BE136*'Waste results'!$S$98, "data missing"),
   IF(Calc!BC136=0,
     IF(OR('Waste results'!$S$62&lt;&gt;"data missing", 'Waste results'!$S$98&lt;&gt;"data missing"), Calc!BD136*'Waste results'!$S$62+Calc!BE136*'Waste results'!$S$98, "data missing"),
   IF(OR('Waste results'!$S$26&lt;&gt;"data missing", 'Waste results'!$S$62&lt;&gt;"data missing", 'Waste results'!$S$98&lt;&gt;"data missing"), Calc!BC136*'Waste results'!$S$26+Calc!BD136*'Waste results'!$S$62+ Calc!BE136*'Waste results'!$S$98, "data missing")))))))))))</f>
        <v/>
      </c>
      <c r="AR138" s="241" t="str">
        <f ca="1">IF($B138="","",
IF(ISBLANK('Soil results'!L141),"data missing",'Soil results'!L141))</f>
        <v/>
      </c>
      <c r="AS138" s="241" t="str">
        <f t="shared" ca="1" si="42"/>
        <v/>
      </c>
      <c r="AT138" s="66" t="str">
        <f t="shared" ca="1" si="43"/>
        <v/>
      </c>
      <c r="AU138" s="9"/>
      <c r="AV138" s="238" t="str">
        <f ca="1">IF(B138="","",
IF(AND('Field information 2'!$O$5="", 'Field information 2'!$Q$5=""),
   IF('Waste results'!$S$27&lt;&gt;"data missing", Calc!BC136*'Waste results'!$S$27, "data missing"),
IF('Field information 2'!$Q$5="",
   IF(Calc!BD136=0,
     IF('Waste results'!$S$27&lt;&gt;"data missing", Calc!BC136*'Waste results'!$S$27, "data missing"),
   IF(Calc!BC136=0,
     IF('Waste results'!$S$63&lt;&gt;"data missing", Calc!BD136*'Waste results'!$S$63, "data missing"),
   IF(OR('Waste results'!$S$27&lt;&gt;"data missing", 'Waste results'!$S$63&lt;&gt;"data missing"), Calc!BC136*'Waste results'!$S$27+ Calc!BD136*'Waste results'!$S$63, "data missing"))),
IF(AND('Field information 2'!$M$5&lt;&gt;"", 'Field information 2'!$O$5&lt;&gt;"", 'Field information 2'!$Q$5&lt;&gt;""),
   IF(AND(Calc!BD136=0,Calc!BE136=0),
     IF('Waste results'!$S$27&lt;&gt;"data missing", Calc!BC136*'Waste results'!$S$27, "data missing"),
   IF(AND(Calc!BC136=0,Calc!BE136=0),
     IF('Waste results'!$S$63&lt;&gt;"data missing", Calc!BD136*'Waste results'!$S$63, "data missing"),
   IF(AND(Calc!BC136=0,Calc!BD136=0),
     IF('Waste results'!$S$99&lt;&gt;"data missing", Calc!BE136*'Waste results'!$S$99, "data missing"),
   IF(Calc!BE136=0,
     IF(OR('Waste results'!$S$27&lt;&gt;"data missing", 'Waste results'!$S$63&lt;&gt;"data missing"), Calc!BC136*'Waste results'!$S$27+ Calc!BD136*'Waste results'!$S$63, "data missing"),
   IF(Calc!BD136=0,
     IF(OR('Waste results'!$S$27&lt;&gt;"data missing", 'Waste results'!$S$99&lt;&gt;"data missing"), Calc!BC136*'Waste results'!$S$27+ Calc!BE136*'Waste results'!$S$99, "data missing"),
   IF(Calc!BC136=0,
     IF(OR('Waste results'!$S$63&lt;&gt;"data missing", 'Waste results'!$S$99&lt;&gt;"data missing"), Calc!BD136*'Waste results'!$S$63+Calc!BE136*'Waste results'!$S$99, "data missing"),
   IF(OR('Waste results'!$S$27&lt;&gt;"data missing", 'Waste results'!$S$63&lt;&gt;"data missing", 'Waste results'!$S$99&lt;&gt;"data missing"), Calc!BC136*'Waste results'!$S$27+Calc!BD136*'Waste results'!$S$63+ Calc!BE136*'Waste results'!$S$99, "data missing")))))))))))</f>
        <v/>
      </c>
      <c r="AW138" s="239" t="str">
        <f ca="1">IF($B138="","",
IF(ISBLANK('Soil results'!M141),"data missing",'Soil results'!M141))</f>
        <v/>
      </c>
      <c r="AX138" s="239" t="str">
        <f t="shared" ca="1" si="44"/>
        <v/>
      </c>
      <c r="AY138" s="9" t="str">
        <f ca="1">IF(B138="","",
IF(AV138=0,"n/a",
IF(OR(AV138="data missing",AW138="data missing"),"data missing",
IF(AV138&gt;7.5,"application rate too high - permissible rate exceeds limit",
IF('Soil results'!$F141&lt;=5.5,
  IF(AW138&gt;80,"no application - soil conc. already above limit",
  IF(AX138&gt;80,"application rate too high - soil conc. will exceed limit",
  IF(AW138&gt;80*0.9,"soil conc. is at or above 90% of the limit",
  IF(10*AV138*1000/3000+AW138&gt;80,"soil limit likely to be exceeded in 10yrs",
  IF(50*AV138*1000/3000+AW138&gt;80,"soil limit likely to be exceeded in 50yrs","ok"))))),
IF('Soil results'!$F141&lt;=6,
  IF(AW138&gt;100,"no application - soil conc. already above limit",
  IF(AX138&gt;100,"application rate too high - soil conc. will exceed limit",
  IF(AW138&gt;100*0.9,"soil conc. is at or above 90% of the limit",
  IF(10*AV138*1000/3000+AW138&gt;100,"soil limit likely to be exceeded in 10yrs",
  IF(50*AV138*1000/3000+AW138&gt;100,"soil limit likely to be exceeded in 50yrs","ok"))))),
IF('Soil results'!$F141&lt;=7,
  IF(AW138&gt;135,"no application - soil conc. already above limit",
  IF(AX138&gt;135,"application rate too high - soil conc. will exceed limit",
  IF(AW138&gt;135*0.9,"soil conc. is at or above 90% of the limit",
  IF(10*AV138*1000/3000+AW138&gt;135,"soil limit likely to be exceeded in 10yrs",
  IF(50*AV138*1000/3000+AW138&gt;135,"soil limit likely to be exceeded in 50yrs","ok"))))),
IF('Soil results'!$F141&gt;7,
  IF(AW138&gt;200,"no application - soil conc. already above limit",
  IF(AX138&gt;200,"application too high - soil conc. will exceed limit",
  IF(AW138&gt;200*0.9,"soil conc. is at or above 90% of the limit",
  IF(10*AV138*1000/3000+AW138&gt;200,"soil limit likely to be exceeded in 10yrs",
  IF(50*AV138*1000/3000+AW138&gt;200,"soil limit likely to be exceeded in 50yrs","ok")))))
))))))))</f>
        <v/>
      </c>
      <c r="AZ138" s="9"/>
      <c r="BA138" s="238" t="str">
        <f ca="1">IF(B138="","",
IF(AND('Field information 2'!$O$5="", 'Field information 2'!$Q$5=""),
   IF('Waste results'!$S$28&lt;&gt;"data missing", Calc!BC136*'Waste results'!$S$28, "data missing"),
IF('Field information 2'!$Q$5="",
   IF(Calc!BD136=0,
     IF('Waste results'!$S$28&lt;&gt;"data missing", Calc!BC136*'Waste results'!$S$28, "data missing"),
   IF(Calc!BC136=0,
     IF('Waste results'!$S$64&lt;&gt;"data missing", Calc!BD136*'Waste results'!$S$64, "data missing"),
   IF(OR('Waste results'!$S$28&lt;&gt;"data missing", 'Waste results'!$S$64&lt;&gt;"data missing"), Calc!BC136*'Waste results'!$S$28+ Calc!BD136*'Waste results'!$S$64, "data missing"))),
IF(AND('Field information 2'!$M$5&lt;&gt;"", 'Field information 2'!$O$5&lt;&gt;"", 'Field information 2'!$Q$5&lt;&gt;""),
   IF(AND(Calc!BD136=0,Calc!BE136=0),
     IF('Waste results'!$S$28&lt;&gt;"data missing", Calc!BC136*'Waste results'!$S$28, "data missing"),
   IF(AND(Calc!BC136=0,Calc!BE136=0),
     IF('Waste results'!$S$64&lt;&gt;"data missing", Calc!BD136*'Waste results'!$S$64, "data missing"),
   IF(AND(Calc!BC136=0,Calc!BD136=0),
     IF('Waste results'!$S$100&lt;&gt;"data missing", Calc!BE136*'Waste results'!$S$100, "data missing"),
   IF(Calc!BE136=0,
     IF(OR('Waste results'!$S$28&lt;&gt;"data missing", 'Waste results'!$S$64&lt;&gt;"data missing"), Calc!BC136*'Waste results'!$S$28+ Calc!BD136*'Waste results'!$S$64, "data missing"),
   IF(Calc!BD136=0,
     IF(OR('Waste results'!$S$28&lt;&gt;"data missing", 'Waste results'!$S$100&lt;&gt;"data missing"), Calc!BC136*'Waste results'!$S$28+ Calc!BE136*'Waste results'!$S$100, "data missing"),
   IF(Calc!BC136=0,
     IF(OR('Waste results'!$S$64&lt;&gt;"data missing", 'Waste results'!$S$100&lt;&gt;"data missing"), Calc!BD136*'Waste results'!$S$64+Calc!BE136*'Waste results'!$S$100, "data missing"),
   IF(OR('Waste results'!$S$28&lt;&gt;"data missing", 'Waste results'!$S$64&lt;&gt;"data missing", 'Waste results'!$S$100&lt;&gt;"data missing"), Calc!BC136*'Waste results'!$S$28+Calc!BD136*'Waste results'!$S$64+ Calc!BE136*'Waste results'!$S$100, "data missing")))))))))))</f>
        <v/>
      </c>
      <c r="BB138" s="239" t="str">
        <f ca="1">IF($B138="","",
IF(ISBLANK('Soil results'!N141),"data missing",'Soil results'!N141))</f>
        <v/>
      </c>
      <c r="BC138" s="239" t="str">
        <f t="shared" ca="1" si="45"/>
        <v/>
      </c>
      <c r="BD138" s="9" t="str">
        <f t="shared" ca="1" si="46"/>
        <v/>
      </c>
      <c r="BE138" s="9"/>
      <c r="BF138" s="238" t="str">
        <f ca="1">IF(B138="","",
IF(AND('Field information 2'!$O$5="", 'Field information 2'!$Q$5=""),
   IF('Waste results'!$S$29&lt;&gt;"data missing", Calc!BC136*'Waste results'!$S$29, "data missing"),
IF('Field information 2'!$Q$5="",
   IF(Calc!BD136=0,
     IF('Waste results'!$S$29&lt;&gt;"data missing", Calc!BC136*'Waste results'!$S$29, "data missing"),
   IF(Calc!BC136=0,
     IF('Waste results'!$S$65&lt;&gt;"data missing", Calc!BD136*'Waste results'!$S$65, "data missing"),
   IF(OR('Waste results'!$S$29&lt;&gt;"data missing", 'Waste results'!$S$65&lt;&gt;"data missing"), Calc!BC136*'Waste results'!$S$29+ Calc!BD136*'Waste results'!$S$65, "data missing"))),
IF(AND('Field information 2'!$M$5&lt;&gt;"", 'Field information 2'!$O$5&lt;&gt;"", 'Field information 2'!$Q$5&lt;&gt;""),
   IF(AND(Calc!BD136=0,Calc!BE136=0),
     IF('Waste results'!$S$29&lt;&gt;"data missing", Calc!BC136*'Waste results'!$S$29, "data missing"),
   IF(AND(Calc!BC136=0,Calc!BE136=0),
     IF('Waste results'!$S$65&lt;&gt;"data missing", Calc!BD136*'Waste results'!$S$65, "data missing"),
   IF(AND(Calc!BC136=0,Calc!BD136=0),
     IF('Waste results'!$S$101&lt;&gt;"data missing", Calc!BE136*'Waste results'!$S$101, "data missing"),
   IF(Calc!BE136=0,
     IF(OR('Waste results'!$S$29&lt;&gt;"data missing", 'Waste results'!$S$65&lt;&gt;"data missing"), Calc!BC136*'Waste results'!$S$29+ Calc!BD136*'Waste results'!$S$65, "data missing"),
   IF(Calc!BD136=0,
     IF(OR('Waste results'!$S$29&lt;&gt;"data missing", 'Waste results'!$S$101&lt;&gt;"data missing"), Calc!BC136*'Waste results'!$S$29+ Calc!BE136*'Waste results'!$S$101, "data missing"),
   IF(Calc!BC136=0,
     IF(OR('Waste results'!$S$65&lt;&gt;"data missing", 'Waste results'!$S$101&lt;&gt;"data missing"), Calc!BD136*'Waste results'!$S$65+Calc!BE136*'Waste results'!$S$101, "data missing"),
   IF(OR('Waste results'!$S$29&lt;&gt;"data missing", 'Waste results'!$S$65&lt;&gt;"data missing", 'Waste results'!$S$101&lt;&gt;"data missing"), Calc!BC136*'Waste results'!$S$29+Calc!BD136*'Waste results'!$S$65+ Calc!BE136*'Waste results'!$S$101, "data missing")))))))))))</f>
        <v/>
      </c>
      <c r="BG138" s="239" t="str">
        <f ca="1">IF($B138="","",
IF(ISBLANK('Soil results'!O141),"data missing",'Soil results'!O141))</f>
        <v/>
      </c>
      <c r="BH138" s="239" t="str">
        <f t="shared" ca="1" si="47"/>
        <v/>
      </c>
      <c r="BI138" s="9" t="str">
        <f ca="1">IF(B138="","",
IF(BF138=0,"n/a",
IF(OR(BF138="data missing",BG138="data missing"),"data missing",
IF(BF138&gt;3,"application rate too high - permissible rate exceeds limit",
IF('Soil results'!F141&lt;=5.5,
  IF(BG138&gt;50,"no application - soil conc. already above limit",
  IF(BH138&gt;50,"application rate too high - soil conc. will exceed limit",
  IF(BG138&gt;50*0.9,"soil conc. is at or above 90% of the limit",
  IF(10*BF138*1000/3000+BG138&gt;50,"soil limit likely to be exceeded in 10yrs",
  IF(50*BF138*1000/3000+BG138&gt;50,"soil limit likely to be exceeded in 50yrs","ok"))))),
IF('Soil results'!F141&lt;=6,
  IF(BG138&gt;60,"no application - soil conc. already above limit",
  IF(BH138&gt;60,"application rate too high - soil conc. will exceed limit",
  IF(BG138&gt;60*0.9,"soil conc. is at or above 90% of the limit",
  IF(10*BF138*1000/3000+BG138&gt;60,"soil limit likely to be exceeded in 10yrs",
  IF(50*BF138*1000/3000+BG138&gt;60,"soil limit likely to be exceeded in 50yrs","ok"))))),
IF('Soil results'!F141&lt;=7,
  IF(BG138&gt;75,"no application - soil conc. already above limit",
  IF(BH138&gt;75,"application rate too high - soil conc. will exceed limit",
  IF(BG138&gt;75*0.9,"soil conc. is at or above 90% of the limit",
  IF(10*BF138*1000/3000+BG138&gt;75,"soil limit likely to be exceeded in 10yrs",
  IF(50*BF138*1000/3000+BG138&gt;75,"soil limit likely to be exceeded in 50yrs","ok"))))),
IF('Soil results'!F141&gt;7,
  IF(BG138&gt;100,"no application - soil conc. already above limit",
  IF(BH138&gt;100,"application rate too high - soil conc. will exceed limit",
  IF(BG138&gt;100*0.9,"soil conc. is at or above 90% of the limit",
  IF(10*BF138*1000/3000+BG138&gt;100,"soil limit likely to be exceeded in 10yrs",
  IF(50*BF138*1000/3000+BG138&gt;100,"soil limit likely to beexceeded in 50yrs","ok")))))
))))))))</f>
        <v/>
      </c>
      <c r="BJ138" s="9"/>
      <c r="BK138" s="240" t="str">
        <f ca="1">IF(B138="","",
IF(AND('Field information 2'!$O$5="", 'Field information 2'!$Q$5=""),
   IF('Waste results'!$S$30&lt;&gt;"data missing", Calc!BC136*'Waste results'!$S$30, "data missing"),
IF('Field information 2'!$Q$5="",
   IF(Calc!BD136=0,
     IF('Waste results'!$S$30&lt;&gt;"data missing", Calc!BC136*'Waste results'!$S$30, "data missing"),
   IF(Calc!BC136=0,
     IF('Waste results'!$S$66&lt;&gt;"data missing", Calc!BD136*'Waste results'!$S$66, "data missing"),
   IF(OR('Waste results'!$S$30&lt;&gt;"data missing", 'Waste results'!$S$66&lt;&gt;"data missing"), Calc!BC136*'Waste results'!$S$30+ Calc!BD136*'Waste results'!$S$66, "data missing"))),
IF(AND('Field information 2'!$M$5&lt;&gt;"", 'Field information 2'!$O$5&lt;&gt;"", 'Field information 2'!$Q$5&lt;&gt;""),
   IF(AND(Calc!BD136=0,Calc!BE136=0),
     IF('Waste results'!$S$30&lt;&gt;"data missing", Calc!BC136*'Waste results'!$S$30, "data missing"),
   IF(AND(Calc!BC136=0,Calc!BE136=0),
     IF('Waste results'!$S$66&lt;&gt;"data missing", Calc!BD136*'Waste results'!$S$66, "data missing"),
   IF(AND(Calc!BC136=0,Calc!BD136=0),
     IF('Waste results'!$S$102&lt;&gt;"data missing", Calc!BE136*'Waste results'!$S$102, "data missing"),
   IF(Calc!BE136=0,
     IF(OR('Waste results'!$S$30&lt;&gt;"data missing", 'Waste results'!$S$66&lt;&gt;"data missing"), Calc!BC136*'Waste results'!$S$30+ Calc!BD136*'Waste results'!$S$66, "data missing"),
   IF(Calc!BD136=0,
     IF(OR('Waste results'!$S$30&lt;&gt;"data missing", 'Waste results'!$S$102&lt;&gt;"data missing"), Calc!BC136*'Waste results'!$S$30+ Calc!BE136*'Waste results'!$S$102, "data missing"),
   IF(Calc!BC136=0,
     IF(OR('Waste results'!$S$66&lt;&gt;"data missing", 'Waste results'!$S$102&lt;&gt;"data missing"), Calc!BD136*'Waste results'!$S$66+Calc!BE136*'Waste results'!$S$102, "data missing"),
   IF(OR('Waste results'!$S$30&lt;&gt;"data missing", 'Waste results'!$S$66&lt;&gt;"data missing", 'Waste results'!$S$102&lt;&gt;"data missing"), Calc!BC136*'Waste results'!$S$30+Calc!BD136*'Waste results'!$S$66+ Calc!BE136*'Waste results'!$S$102, "data missing")))))))))))</f>
        <v/>
      </c>
      <c r="BL138" s="241" t="str">
        <f ca="1">IF($B138="","",
IF(ISBLANK('Soil results'!P141),"data missing",'Soil results'!P141))</f>
        <v/>
      </c>
      <c r="BM138" s="241" t="str">
        <f t="shared" ca="1" si="48"/>
        <v/>
      </c>
      <c r="BN138" s="66" t="str">
        <f t="shared" ca="1" si="49"/>
        <v/>
      </c>
      <c r="BO138" s="9"/>
      <c r="BP138" s="238" t="str">
        <f ca="1">IF(B138="","",
IF(AND('Field information 2'!$O$5="", 'Field information 2'!$Q$5=""),
   IF('Waste results'!$S$31&lt;&gt;"data missing", Calc!BC136*'Waste results'!$S$31, "data missing"),
IF('Field information 2'!$Q$5="",
   IF(Calc!BD136=0,
     IF('Waste results'!$S$31&lt;&gt;"data missing", Calc!BC136*'Waste results'!$S$31, "data missing"),
   IF(Calc!BC136=0,
     IF('Waste results'!$S$67&lt;&gt;"data missing", Calc!BD136*'Waste results'!$S$67, "data missing"),
   IF(OR('Waste results'!$S$31&lt;&gt;"data missing", 'Waste results'!$S$67&lt;&gt;"data missing"), Calc!BC136*'Waste results'!$S$31+ Calc!BD136*'Waste results'!$S$67, "data missing"))),
IF(AND('Field information 2'!$M$5&lt;&gt;"", 'Field information 2'!$O$5&lt;&gt;"", 'Field information 2'!$Q$5&lt;&gt;""),
   IF(AND(Calc!BD136=0,Calc!BE136=0),
     IF('Waste results'!$S$31&lt;&gt;"data missing", Calc!BC136*'Waste results'!$S$31, "data missing"),
   IF(AND(Calc!BC136=0,Calc!BE136=0),
     IF('Waste results'!$S$67&lt;&gt;"data missing", Calc!BD136*'Waste results'!$S$67, "data missing"),
   IF(AND(Calc!BC136=0,Calc!BD136=0),
     IF('Waste results'!$S$103&lt;&gt;"data missing", Calc!BE136*'Waste results'!$S$103, "data missing"),
   IF(Calc!BE136=0,
     IF(OR('Waste results'!$S$31&lt;&gt;"data missing", 'Waste results'!$S$67&lt;&gt;"data missing"), Calc!BC136*'Waste results'!$S$31+ Calc!BD136*'Waste results'!$S$67, "data missing"),
   IF(Calc!BD136=0,
     IF(OR('Waste results'!$S$31&lt;&gt;"data missing", 'Waste results'!$S$103&lt;&gt;"data missing"), Calc!BC136*'Waste results'!$S$31+ Calc!BE136*'Waste results'!$S$103, "data missing"),
   IF(Calc!BC136=0,
     IF(OR('Waste results'!$S$67&lt;&gt;"data missing", 'Waste results'!$S$103&lt;&gt;"data missing"), Calc!BD136*'Waste results'!$S$67+Calc!BE136*'Waste results'!$S$103, "data missing"),
   IF(OR('Waste results'!$S$31&lt;&gt;"data missing", 'Waste results'!$S$67&lt;&gt;"data missing", 'Waste results'!$S$103&lt;&gt;"data missing"), Calc!BC136*'Waste results'!$S$31+Calc!BD136*'Waste results'!$S$67+ Calc!BE136*'Waste results'!$S$103, "data missing")))))))))))</f>
        <v/>
      </c>
      <c r="BQ138" s="239" t="str">
        <f ca="1">IF($B138="","",
IF(ISBLANK('Soil results'!Q141),"data missing",'Soil results'!Q141))</f>
        <v/>
      </c>
      <c r="BR138" s="239" t="str">
        <f t="shared" ca="1" si="50"/>
        <v/>
      </c>
      <c r="BS138" s="9" t="str">
        <f ca="1">IF(B138="","",
IF(BP138=0,"n/a",
IF(OR(BP138="data missing",BQ138=""),"data missing",
IF(BP138&gt;15,"application rate too high - permissible rate exceeds limit",
IF('Soil results'!F141&lt;=5.5,
  IF(BQ138&gt;200,"no application - soil conc. already above limit",
  IF(BR138&gt;200,"application rate too high - soil conc. will exceed limit",
  IF(BQ138&gt;200*0.9,"soil conc. is at or above 90% of the limit",
  IF(10*BP138*1000/3000+BQ138&gt;200,"soil limit likely to be exceeded in 10yrs",
  IF(50*BP138*1000/3000+BQ138&gt;200,"soil limit likely to be exceeded in 50yrs","ok"))))),
IF('Soil results'!F141&lt;=6,
  IF(BQ138&gt;250,"no application - soil conc. already above limit",
  IF(BR138&gt;250,"application rate too high - soil conc. will exceed limit",
  IF(BQ138&gt;250*0.9,"soil conc. is at or above 90% of the limit",
  IF(10*BP138*1000/3000+BQ138&gt;250,"soil limit likely to be exceeded in 10yrs",
  IF(50*BP138*1000/3000+BQ138&gt;250,"soil limit likely to be exceeded in 50yrs","ok"))))),
IF('Soil results'!F141&lt;=7,
  IF(BQ138&gt;300,"no application - soil conc. already above limit",
  IF(BR138&gt;300,"application rate too high - soil conc. will exceed limit",
  IF(BQ138&gt;300*0.9,"soil conc. is at or above 90% of the limit",
  IF(10*BP138*1000/3000+BQ138&gt;300,"soil limit likey to be exceeded in 10yrs",
  IF(50*BP138*1000/3000+BQ138&gt;300,"soil limit likely to be exceeded in 50yrs","ok"))))),
IF('Soil results'!F141&gt;7,
  IF(BQ138&gt;450,"no application - soil conc. already above limit",
  IF(BR138&gt;450,"application rate too high - soil conc. will exceed limit",
  IF(AW138&gt;450*0.9,"soil conc. is at or above 90% of the limit",
  IF(10*BP138*1000/3000+BQ138&gt;450,"soil limit likely to be exceeded in 10yrs",
  IF(50*BP138*1000/3000+BQ138&gt;450,"soil limit likely to be exceeded in 50yrs","ok")))))
))))))))</f>
        <v/>
      </c>
    </row>
    <row r="139" spans="2:71" ht="15" x14ac:dyDescent="0.25">
      <c r="B139" s="236" t="str">
        <f ca="1">'Soil results'!B142</f>
        <v/>
      </c>
      <c r="C139" s="91" t="str">
        <f ca="1">IF(B139="","",
IF(AND('Field information 2'!$O$5="", 'Field information 2'!$Q$5=""),
   IF('Waste results'!$S$12&lt;&gt;"data missing", Calc!BC137*'Waste results'!$S$12, "data missing"),
IF('Field information 2'!$Q$5="",
   IF(Calc!BD137=0,
     IF('Waste results'!$S$12&lt;&gt;"data missing", Calc!BC137*'Waste results'!$S$12, "data missing"),
   IF(Calc!BC137=0,
     IF('Waste results'!$S$48&lt;&gt;"data missing", Calc!BD137*'Waste results'!$S$48, "data missing"),
   IF(OR('Waste results'!$S$12&lt;&gt;"data missing", 'Waste results'!$S$48&lt;&gt;"data missing"), Calc!BC137*'Waste results'!$S$12+ Calc!BD137*'Waste results'!$S$48, "data missing"))),
IF(AND('Field information 2'!$M$5&lt;&gt;"", 'Field information 2'!$O$5&lt;&gt;"", 'Field information 2'!$Q$5&lt;&gt;""),
   IF(AND(Calc!BD137=0,Calc!BE137=0),
     IF('Waste results'!$S$12&lt;&gt;"data missing", Calc!BC137*'Waste results'!$S$12, "data missing"),
   IF(AND(Calc!BC137=0,Calc!BE137=0),
     IF('Waste results'!$S$48&lt;&gt;"data missing", Calc!BD137*'Waste results'!$S$48, "data missing"),
   IF(AND(Calc!BC137=0,Calc!BD137=0),
     IF('Waste results'!$S$84&lt;&gt;"data missing", Calc!BE137*'Waste results'!$S$84, "data missing"),
   IF(Calc!BE137=0,
     IF(OR('Waste results'!$S$12&lt;&gt;"data missing", 'Waste results'!$S$48&lt;&gt;"data missing"), Calc!BC137*'Waste results'!$S$12+ Calc!BD137*'Waste results'!$S$48, "data missing"),
   IF(Calc!BD137=0,
     IF(OR('Waste results'!$S$12&lt;&gt;"data missing", 'Waste results'!$S$84&lt;&gt;"data missing"), Calc!BC137*'Waste results'!$S$12+ Calc!BE137*'Waste results'!$S$84, "data missing"),
   IF(Calc!BC137=0,
     IF(OR('Waste results'!$S$48&lt;&gt;"data missing", 'Waste results'!$S$84&lt;&gt;"data missing"), Calc!BD137*'Waste results'!$S$48+Calc!BE137*'Waste results'!$S$84, "data missing"),
   IF(OR('Waste results'!$S$12&lt;&gt;"data missing", 'Waste results'!$S$48&lt;&gt;"data missing", 'Waste results'!$S$84&lt;&gt;"data missing"), Calc!BC137*'Waste results'!$S$12+Calc!BD137*'Waste results'!$S$48+ Calc!BE137*'Waste results'!$S$84, "data missing")))))))))))</f>
        <v/>
      </c>
      <c r="D139" s="161" t="str">
        <f ca="1">IF(B139="","",
IF(Calc!BG137="","soil texture missing",
IF(OR(Calc!BG137="SL; SZL; ZL",Calc!BG137="SCL; CL; ZCL; SC; ZC; C"),VLOOKUP(Calc!BI137,'Fertiliser recommendations'!$A$4:$C$63,3,FALSE),
IF(Calc!BG137="S; LS",VLOOKUP(Calc!BI137,'Fertiliser recommendations'!$A$4:$C$63,3,FALSE)+VLOOKUP(Calc!BI137,'Fertiliser recommendations'!$A$4:$D$63,4,FALSE),
IF(Calc!BG137="10-25% OM",VLOOKUP(Calc!BI137,'Fertiliser recommendations'!$A$4:$C$63,3,FALSE)+VLOOKUP(Calc!BI137,'Fertiliser recommendations'!$A$4:$E$63,5,FALSE),
IF(Calc!BG137="&gt;25% OM",VLOOKUP(Calc!BI137,'Fertiliser recommendations'!$A$4:$C$63,3,FALSE)+VLOOKUP(Calc!BI137,'Fertiliser recommendations'!$A$4:$F$63,6,FALSE),
""))))))</f>
        <v/>
      </c>
      <c r="E139" s="91" t="str">
        <f t="shared" ca="1" si="34"/>
        <v/>
      </c>
      <c r="F139" s="9" t="str">
        <f ca="1">IF(B139="","",
IF(OR(C139="data missing",D139="soil texture missing"),"data missing",
IF(Calc!BF137=0,"n/a",
IF(C139&lt;0.1*D139,"no benefit",
IF(C139&lt;0.3*D139,"limited benefit",
IF(C139&gt;250,"exceeds limit",
IF(OR(AND(D139=0,C139&gt;75),C139&gt;1.25*D139),"excessive",
IF(D139=0, "no requirement",
"benefit"))))))))</f>
        <v/>
      </c>
      <c r="G139" s="9"/>
      <c r="H139" s="91" t="str">
        <f ca="1">IF(B139="","",
IF(AND('Field information 2'!$O$5="", 'Field information 2'!$Q$5=""),
   IF('Waste results'!$S$17&lt;&gt;"data missing", Calc!BC137*'Waste results'!$S$17, "data missing"),
IF('Field information 2'!$Q$5="",
   IF(Calc!BD137=0,
     IF('Waste results'!$S$17&lt;&gt;"data missing", Calc!BC137*'Waste results'!$S$17, "data missing"),
   IF(Calc!BC137=0,
     IF('Waste results'!$S$53&lt;&gt;"data missing", Calc!BD137*'Waste results'!$S$53, "data missing"),
   IF(OR('Waste results'!$S$17&lt;&gt;"data missing", 'Waste results'!$S$53&lt;&gt;"data missing"), Calc!BC137*'Waste results'!$S$17+ Calc!BD137*'Waste results'!$S$53, "data missing"))),
IF(AND('Field information 2'!$M$5&lt;&gt;"", 'Field information 2'!$O$5&lt;&gt;"", 'Field information 2'!$Q$5&lt;&gt;""),
   IF(AND(Calc!BD137=0,Calc!BE137=0),
     IF('Waste results'!$S$17&lt;&gt;"data missing", Calc!BC137*'Waste results'!$S$17, "data missing"),
   IF(AND(Calc!BC137=0,Calc!BE137=0),
     IF('Waste results'!$S$53&lt;&gt;"data missing", Calc!BD137*'Waste results'!$S$53, "data missing"),
   IF(AND(Calc!BC137=0,Calc!BD137=0),
     IF('Waste results'!$S$89&lt;&gt;"data missing", Calc!BE137*'Waste results'!$S$89, "data missing"),
   IF(Calc!BE137=0,
     IF(OR('Waste results'!$S$17&lt;&gt;"data missing", 'Waste results'!$S$53&lt;&gt;"data missing"), Calc!BC137*'Waste results'!$S$17+ Calc!BD137*'Waste results'!$S$53, "data missing"),
   IF(Calc!BD137=0,
     IF(OR('Waste results'!$S$17&lt;&gt;"data missing", 'Waste results'!$S$89&lt;&gt;"data missing"), Calc!BC137*'Waste results'!$S$17+ Calc!BE137*'Waste results'!$S$89, "data missing"),
   IF(Calc!BC137=0,
     IF(OR('Waste results'!$S$53&lt;&gt;"data missing", 'Waste results'!$S$89&lt;&gt;"data missing"), Calc!BD137*'Waste results'!$S$53+Calc!BE137*'Waste results'!$S$89, "data missing"),
   IF(OR('Waste results'!$S$17&lt;&gt;"data missing", 'Waste results'!$S$53&lt;&gt;"data missing", 'Waste results'!$S$89&lt;&gt;"data missing"), Calc!BC137*'Waste results'!$S$17+Calc!BD137*'Waste results'!$S$53+ Calc!BE137*'Waste results'!$S$89, "data missing")))))))))))</f>
        <v/>
      </c>
      <c r="I139" s="195" t="str">
        <f ca="1">IF(B139="","",
IF(OR(ISBLANK('Soil results'!G142), ISBLANK('Soil results'!G$7)),"data missing",
IF(OR(AND('Soil results'!G$7="Olsen (ADAS)",'Soil results'!G142&lt;16),AND('Soil results'!G$7="modified Morgan (SAC)",'Soil results'!G142&lt;4.5)),50,100)))</f>
        <v/>
      </c>
      <c r="J139" s="49" t="str">
        <f ca="1">IF(B139="","",
IF(OR(ISBLANK('Soil results'!G$7),ISBLANK('Soil results'!G142)),"data missing",
IF(OR(AND('Soil results'!G$7="Olsen (ADAS)",'Soil results'!G142&gt;45),AND('Soil results'!G$7="modified Morgan (SAC)",'Soil results'!G142&gt;30)),0,
IF(OR(AND('Soil results'!G$7="Olsen (ADAS)",'Soil results'!G142&gt;=16,'Soil results'!G142&lt;=20),AND('Soil results'!G$7="modified Morgan (SAC)",'Soil results'!G142&gt;=4.5,'Soil results'!G142&lt;=9.4)),VLOOKUP(Calc!BI137,'Fertiliser recommendations'!$A$4:$I$63,9,FALSE),
IF(OR(AND('Soil results'!G$7="Olsen (ADAS)",'Soil results'!G142&lt;10),AND('Soil results'!G$7="modified Morgan (SAC)",'Soil results'!G142&lt;1.8)),VLOOKUP(Calc!BI137,'Fertiliser recommendations'!$A$4:$I$63,9,FALSE)+VLOOKUP(Calc!BI137,'Fertiliser recommendations'!$A$4:$J$63,10,FALSE),
IF(OR(AND('Soil results'!G$7="Olsen (ADAS)",'Soil results'!G142&lt;16),AND('Soil results'!G$7="modified Morgan (SAC)",'Soil results'!G142&lt;4.5)),VLOOKUP(Calc!BI137,'Fertiliser recommendations'!$A$4:$I$63,9,FALSE)+VLOOKUP(Calc!BI137,'Fertiliser recommendations'!$A$4:$K$63,11,FALSE),
IF(OR(AND('Soil results'!G$7="Olsen (ADAS)",'Soil results'!G142&lt;26),AND('Soil results'!G$7="modified Morgan (SAC)",'Soil results'!G142&lt;13.5)),VLOOKUP(Calc!BI137,'Fertiliser recommendations'!$A$4:$I$63,9,FALSE)+VLOOKUP(Calc!BI137,'Fertiliser recommendations'!$A$4:$L$63,12,FALSE),
IF(OR(AND('Soil results'!G$7="Olsen (ADAS)",'Soil results'!G142&lt;=45),AND('Soil results'!G$7="modified Morgan (SAC)",'Soil results'!G142&lt;=30)),VLOOKUP(Calc!BI137,'Fertiliser recommendations'!$A$4:$I$63,9,FALSE)+VLOOKUP(Calc!BI137,'Fertiliser recommendations'!$A$4:$M$63,13,FALSE),
""))))))))</f>
        <v/>
      </c>
      <c r="K139" s="161" t="str">
        <f t="shared" ca="1" si="35"/>
        <v/>
      </c>
      <c r="L139" s="47" t="str">
        <f ca="1">IF(OR(ISBLANK('Soil results'!G$7),ISBLANK('Soil results'!G142),B139="", H139="data missing"),"",
IF('Soil results'!G$7="Olsen (ADAS)",
IF(((H139*Calc!BM137/2.291-(VLOOKUP(Calc!BI137,'Fertiliser recommendations'!$A$4:$I$63,9,FALSE))/2.291)*10/(400/2.291)+'Soil results'!G142)&lt;10,"0 (VL)",
IF(((H139*Calc!BM137/2.291-(VLOOKUP(Calc!BI137,'Fertiliser recommendations'!$A$4:$I$63,9,FALSE))/2.291)*10/(400/2.291)+'Soil results'!G142)&lt;16,"1 (L)",
IF(((H139*Calc!BM137/2.291-(VLOOKUP(Calc!BI137,'Fertiliser recommendations'!$A$4:$I$63,9,FALSE))/2.291)*10/(400/2.291)+'Soil results'!G142)&lt;21,"2 (M-)",
IF(((H139*Calc!BM137/2.291-(VLOOKUP(Calc!BI137,'Fertiliser recommendations'!$A$4:$I$63,9,FALSE))/2.291)*10/(400/2.291)+'Soil results'!G142)&lt;26,"2 (M+)",
IF(((H139*Calc!BM137/2.291-(VLOOKUP(Calc!BI137,'Fertiliser recommendations'!$A$4:$I$63,9,FALSE))/2.291)*10/(400/2.291)+'Soil results'!G142)&lt;45,"3 (H)","&gt;3 (VH)"))))),
IF('Soil results'!G$7="modified Morgan (SAC)",
IF('Soil results'!G142&gt;=6,
IF(((H139*Calc!BM137/2.291-(VLOOKUP(Calc!BI137,'Fertiliser recommendations'!$A$4:$I$63,9,FALSE))/2.291)*5/(147/2.291)+'Soil results'!G142)&lt;9.5,"2 (M-)",
IF(((H139*Calc!BM137/2.291-(VLOOKUP(Calc!BI137,'Fertiliser recommendations'!$A$4:$I$63,9,FALSE))/2.291)*5/(147/2.291)+'Soil results'!G142)&lt;13.5,"2 (M+)",
IF(((H139*Calc!BM137/2.291-(VLOOKUP(Calc!BI137,'Fertiliser recommendations'!$A$4:$I$63,9,FALSE))/2.291)*5/(147/2.291)+'Soil results'!G142)&lt;30,"3 (H)","4 (VH)"))),
IF(((H139*Calc!BM137/2.291-(VLOOKUP(Calc!BI137,'Fertiliser recommendations'!$A$4:$I$63,9,FALSE))/2.291)*5/(346/2.291)+'Soil results'!G142)&lt;1.8,"0 (VL)",
IF(((H139*Calc!BM137/2.291-(VLOOKUP(Calc!BI137,'Fertiliser recommendations'!$A$4:$I$63,9,FALSE))/2.291)*5/(147/2.291)+'Soil results'!G142)&lt;4.5,"1 (L)","2 (M-)"))))))</f>
        <v/>
      </c>
      <c r="M139" s="9" t="str">
        <f ca="1">IF(B139="","",
IF(OR(H139="data missing",I139="data missing",J139="data missing"),"data missing",
IF(Calc!BF137=0,"n/a",
IF(OR(AND('Soil results'!G$7="Olsen (ADAS)",'Soil results'!G142&gt;45),AND('Soil results'!G$7="modified Morgan (SAC)",'Soil results'!G142&gt;30)),
IF(H139&gt;2,"too high, not acceptable","no requirement"),IF(OR(AND('Soil results'!G$7="Olsen (ADAS)",'Soil results'!G142&gt;25),AND('Soil results'!G$7="modified Morgan (SAC)",'Soil results'!G142&gt;13.4)),
IF(H139*(I139/100)&lt;0.1*J139,"no benefit",
IF(H139*(I139/100)&lt;0.3*J139,"limited benefit",
IF(H139*(I139/100)&lt;1.1*J139,"benefit",
IF(H139*(I139/100)&lt;0.7*VLOOKUP(Calc!BI137,'Fertiliser recommendations'!$A$4:$I$63,9,FALSE),"excessive","too high, not acceptable")))),
IF(OR(AND('Soil results'!G$7="Olsen (ADAS)",'Soil results'!G142&gt;20),AND('Soil results'!G$7="modified Morgan (SAC)",'Soil results'!G142&gt;9.4)),
IF(H139*Calc!BM137*(I139/100)&lt;0.1*J139,"no benefit",
IF(H139*Calc!BM137*(I139/100)&lt;0.3*J139,"limited benefit",
IF(H139*Calc!BM137*(I139/100)&lt;1.1*J139,"benefit",
IF(L139="3 (H)","too high, not acceptable","excessive")))),
IF(OR(AND('Soil results'!G$7="Olsen (ADAS)",'Soil results'!G142&gt;15),AND('Soil results'!G$7="modified Morgan (SAC)",'Soil results'!G142&gt;4.4)),
IF(H139*Calc!BM137*(I139/100)&lt;0.1*VLOOKUP(Calc!BI137,'Fertiliser recommendations'!$A$4:$I$63,9,FALSE),"no benefit",
IF(H139*Calc!BM137*(I139/100)&lt;0.3*VLOOKUP(Calc!BI137,'Fertiliser recommendations'!$A$4:$I$63,9,FALSE),"limited benefit",
IF(H139*Calc!BM137*(I139/100)&lt;1.1*VLOOKUP(Calc!BI137,'Fertiliser recommendations'!$A$4:$I$63,9,FALSE),"benefit",
IF(L139="3 (H)", "too high, not acceptable", "excessive")))),
IF(OR(AND('Soil results'!G$7="Olsen (ADAS)",'Soil results'!G142&lt;=15),AND('Soil results'!G$7="modified Morgan (SAC)",'Soil results'!G142&lt;=4.4)),
IF(H139*Calc!BM137*(I139/100)&lt;0.1*VLOOKUP(Calc!BI137,'Fertiliser recommendations'!$A$4:$I$63,9,FALSE),"no benefit",
IF(H139*Calc!BM137*(I139/100)&lt;0.3*VLOOKUP(Calc!BI137,'Fertiliser recommendations'!$A$4:$I$63,9,FALSE),"limited benefit",
IF(H139*Calc!BM137*(I139/100)&lt;1.1*J139,"benefit","excessive")))))))))))</f>
        <v/>
      </c>
      <c r="N139" s="9"/>
      <c r="O139" s="91" t="str">
        <f ca="1">IF(B139="","",
IF(AND('Field information 2'!$O$5="", 'Field information 2'!$Q$5=""),
   IF('Waste results'!$S$19&lt;&gt;"data missing", Calc!BC137*'Waste results'!$S$19, "data missing"),
IF('Field information 2'!$Q$5="",
   IF(Calc!BD137=0,
     IF('Waste results'!$S$19&lt;&gt;"data missing", Calc!BC137*'Waste results'!$S$19, "data missing"),
   IF(Calc!BC137=0,
     IF('Waste results'!$S$55&lt;&gt;"data missing", Calc!BD137*'Waste results'!$S$55, "data missing"),
   IF(OR('Waste results'!$S$19&lt;&gt;"data missing", 'Waste results'!$S$55&lt;&gt;"data missing"), Calc!BC137*'Waste results'!$S$19+ Calc!BD137*'Waste results'!$S$55, "data missing"))),
IF(AND('Field information 2'!$M$5&lt;&gt;"", 'Field information 2'!$O$5&lt;&gt;"", 'Field information 2'!$Q$5&lt;&gt;""),
   IF(AND(Calc!BD137=0,Calc!BE137=0),
     IF('Waste results'!$S$19&lt;&gt;"data missing", Calc!BC137*'Waste results'!$S$19, "data missing"),
   IF(AND(Calc!BC137=0,Calc!BE137=0),
     IF('Waste results'!$S$55&lt;&gt;"data missing", Calc!BD137*'Waste results'!$S$55, "data missing"),
   IF(AND(Calc!BC137=0,Calc!BD137=0),
     IF('Waste results'!$S$91&lt;&gt;"data missing", Calc!BE137*'Waste results'!$S$91, "data missing"),
   IF(Calc!BE137=0,
     IF(OR('Waste results'!$S$19&lt;&gt;"data missing", 'Waste results'!$S$55&lt;&gt;"data missing"), Calc!BC137*'Waste results'!$S$19+ Calc!BD137*'Waste results'!$S$55, "data missing"),
   IF(Calc!BD137=0,
     IF(OR('Waste results'!$S$19&lt;&gt;"data missing", 'Waste results'!$S$91&lt;&gt;"data missing"), Calc!BC137*'Waste results'!$S$19+ Calc!BE137*'Waste results'!$S$91, "data missing"),
   IF(Calc!BC137=0,
     IF(OR('Waste results'!$S$55&lt;&gt;"data missing", 'Waste results'!$S$91&lt;&gt;"data missing"), Calc!BD137*'Waste results'!$S$55+Calc!BE137*'Waste results'!$S$91, "data missing"),
   IF(OR('Waste results'!$S$19&lt;&gt;"data missing", 'Waste results'!$S$55&lt;&gt;"data missing", 'Waste results'!$S$91&lt;&gt;"data missing"), Calc!BC137*'Waste results'!$S$19+Calc!BD137*'Waste results'!$S$55+ Calc!BE137*'Waste results'!$S$91, "data missing")))))))))))</f>
        <v/>
      </c>
      <c r="P139" s="91" t="str">
        <f ca="1">IF(B139="","",
IF(OR(ISBLANK('Soil results'!H$7),ISBLANK('Soil results'!H142)),"data missing",
IF(OR(AND('Soil results'!H$7="ammonium nitrate (ADAS)",'Soil results'!H142&gt;400),AND('Soil results'!H$7="modified Morgan (SAC)",'Soil results'!H142&gt;400)),0,
IF(OR(AND('Soil results'!H$7="ammonium nitrate (ADAS)",'Soil results'!H142&gt;=121,'Soil results'!H142&lt;=180),AND('Soil results'!H$7="modified Morgan (SAC)",'Soil results'!H142&gt;=76,'Soil results'!H142&lt;=140)),VLOOKUP(Calc!BI137,'Fertiliser recommendations'!$A$4:$Z$63,26,FALSE),
IF(OR(AND('Soil results'!H$7="ammonium nitrate (ADAS)",'Soil results'!H142&lt;61),AND('Soil results'!H$7="modified Morgan (SAC)",'Soil results'!H142&lt;40)),VLOOKUP(Calc!BI137,'Fertiliser recommendations'!$A$4:$Z$63,26,FALSE)+VLOOKUP(Calc!BI137,'Fertiliser recommendations'!$A$4:$AA$63,27,FALSE),
IF(OR(AND('Soil results'!H$7="ammonium nitrate (ADAS)",'Soil results'!H142&lt;121),AND('Soil results'!H$7="modified Morgan (SAC)",'Soil results'!H142&lt;76)),VLOOKUP(Calc!BI137,'Fertiliser recommendations'!$A$4:$Z$63,26,FALSE)+VLOOKUP(Calc!BI137,'Fertiliser recommendations'!$A$4:$AB$63,28,FALSE),
IF(OR(AND('Soil results'!H$7="ammonium nitrate (ADAS)",'Soil results'!H142&lt;241),AND('Soil results'!H$7="modified Morgan (SAC)",'Soil results'!H142&lt;201)),VLOOKUP(Calc!BI137,'Fertiliser recommendations'!$A$4:$Z$63,26,FALSE)+VLOOKUP(Calc!BI137,'Fertiliser recommendations'!$A$4:$AC$63,29,FALSE),
IF(OR(AND('Soil results'!H$7="ammonium nitrate (ADAS)",'Soil results'!H142&lt;=400),AND('Soil results'!H$7="modified Morgan (SAC)",'Soil results'!H142&lt;=400)),VLOOKUP(Calc!BI137,'Fertiliser recommendations'!$A$4:$Z$63,26,FALSE)+VLOOKUP(Calc!BI137,'Fertiliser recommendations'!$A$4:$AD$63,30,FALSE),
"??"))))))))</f>
        <v/>
      </c>
      <c r="Q139" s="91" t="str">
        <f t="shared" ca="1" si="36"/>
        <v/>
      </c>
      <c r="R139" s="9" t="str">
        <f ca="1">IF(B139="","",
IF(OR(O139="data missing",P139="data missing"),"data missing",
IF(Calc!BF137=0,"n/a",
IF(P139=0, "no requirement",
IF(O139&lt;0.1*P139,"no benefit",
IF(O139&lt;0.3*P139,"limited benefit",
IF(O139&gt;1.25*P139,"excessive",
"benefit")))))))</f>
        <v/>
      </c>
      <c r="S139" s="9"/>
      <c r="T139" s="91" t="str">
        <f ca="1">IF(B139="","",
IF(AND('Field information 2'!$O$5="", 'Field information 2'!$Q$5=""),
   IF('Waste results'!$S$21&lt;&gt;"data missing", Calc!BC137*'Waste results'!$S$21, "data missing"),
IF('Field information 2'!$Q$5="",
   IF(Calc!BD137=0,
     IF('Waste results'!$S$21&lt;&gt;"data missing", Calc!BC137*'Waste results'!$S$21, "data missing"),
   IF(Calc!BC137=0,
     IF('Waste results'!$S$57&lt;&gt;"data missing", Calc!BD137*'Waste results'!$S$57, "data missing"),
   IF(OR('Waste results'!$S$21&lt;&gt;"data missing", 'Waste results'!$S$57&lt;&gt;"data missing"), Calc!BC137*'Waste results'!$S$21+ Calc!BD137*'Waste results'!$S$57, "data missing"))),
IF(AND('Field information 2'!$M$5&lt;&gt;"", 'Field information 2'!$O$5&lt;&gt;"", 'Field information 2'!$Q$5&lt;&gt;""),
   IF(AND(Calc!BD137=0,Calc!BE137=0),
     IF('Waste results'!$S$21&lt;&gt;"data missing", Calc!BC137*'Waste results'!$S$21, "data missing"),
   IF(AND(Calc!BC137=0,Calc!BE137=0),
     IF('Waste results'!$S$57&lt;&gt;"data missing", Calc!BD137*'Waste results'!$S$57, "data missing"),
   IF(AND(Calc!BC137=0,Calc!BD137=0),
     IF('Waste results'!$S$93&lt;&gt;"data missing", Calc!BE137*'Waste results'!$S$93, "data missing"),
   IF(Calc!BE137=0,
     IF(OR('Waste results'!$S$21&lt;&gt;"data missing", 'Waste results'!$S$57&lt;&gt;"data missing"), Calc!BC137*'Waste results'!$S$21+ Calc!BD137*'Waste results'!$S$57, "data missing"),
   IF(Calc!BD137=0,
     IF(OR('Waste results'!$S$21&lt;&gt;"data missing", 'Waste results'!$S$93&lt;&gt;"data missing"), Calc!BC137*'Waste results'!$S$21+ Calc!BE137*'Waste results'!$S$93, "data missing"),
   IF(Calc!BC137=0,
     IF(OR('Waste results'!$S$57&lt;&gt;"data missing", 'Waste results'!$S$93&lt;&gt;"data missing"), Calc!BD137*'Waste results'!$S$57+Calc!BE137*'Waste results'!$S$93, "data missing"),
   IF(OR('Waste results'!$S$21&lt;&gt;"data missing", 'Waste results'!$S$57&lt;&gt;"data missing", 'Waste results'!$S$93&lt;&gt;"data missing"), Calc!BC137*'Waste results'!$S$21+Calc!BD137*'Waste results'!$S$57+ Calc!BE137*'Waste results'!$S$93, "data missing")))))))))))</f>
        <v/>
      </c>
      <c r="U139" s="7" t="str">
        <f ca="1">IF(B139="","",
IF(OR(ISBLANK('Soil results'!I$7),ISBLANK('Soil results'!I142)),"data missing",
IF(OR(AND('Soil results'!I$7="ammonium nitrate (ADAS)",'Soil results'!I142&gt;51),AND('Soil results'!I$7="modified Morgan (SAC)",'Soil results'!I142&gt;61)),0,
IF(OR(AND('Soil results'!I$7="ammonium nitrate (ADAS)",'Soil results'!I142&lt;25),AND('Soil results'!I$7="modified Morgan (SAC)",'Soil results'!I142&lt;19)),VLOOKUP(Calc!BI137,'Fertiliser recommendations'!$A$4:$AH$63,34,FALSE),
IF(OR(AND('Soil results'!I$7="ammonium nitrate (ADAS)",'Soil results'!I142&lt;=51),AND('Soil results'!I$7="modified Morgan (SAC)",'Soil results'!I142&lt;=61)),VLOOKUP(Calc!BI137,'Fertiliser recommendations'!$A$4:$AI$63,35,FALSE),
"")))))</f>
        <v/>
      </c>
      <c r="V139" s="91" t="str">
        <f t="shared" ca="1" si="37"/>
        <v/>
      </c>
      <c r="W139" s="9" t="str">
        <f ca="1">IF(B139="","",
IF(OR(T139="data missing",U139="data missing"),"data missing",
IF(Calc!BF137=0,"n/a",
IF(U139=0,"no requirement",
IF(T139&lt;0.1*U139,"no benefit",
IF(T139&lt;0.3*U139,"limited benefit",
IF(OR(T139&gt;1.5*U139,AND(Calc!BJ137="g",T139&gt;100)),"excessive",
"benefit")))))))</f>
        <v/>
      </c>
      <c r="X139" s="9"/>
      <c r="Y139" s="91" t="str">
        <f ca="1">IF(B139="","",
IF(AND('Field information 2'!$O$5="", 'Field information 2'!$Q$5=""),
   IF('Waste results'!$P$23&lt;&gt;"", Calc!BC137*'Waste results'!$P$23, "no data"),
IF('Field information 2'!$Q$5="",
   IF(Calc!BD137=0,
     IF('Waste results'!$P$23&lt;&gt;"", Calc!BC137*'Waste results'!$P$23, "no data"),
   IF(Calc!BC137=0,
     IF('Waste results'!$P$59&lt;&gt;"", Calc!BD137*'Waste results'!$P$59, "no data"),
   IF(OR('Waste results'!$P$23&lt;&gt;"", 'Waste results'!$P$59&lt;&gt;""), Calc!BC137*'Waste results'!$P$23+ Calc!BD137*'Waste results'!$P$59, "no data"))),
IF(AND('Field information 2'!$M$5&lt;&gt;"", 'Field information 2'!$O$5&lt;&gt;"", 'Field information 2'!$Q$5&lt;&gt;""),
   IF(AND(Calc!BD137=0,Calc!BE137=0),
     IF('Waste results'!$P$23&lt;&gt;"", Calc!BC137*'Waste results'!$P$23, "no data"),
   IF(AND(Calc!BC137=0,Calc!BE137=0),
     IF('Waste results'!$P$59&lt;&gt;"", Calc!BD137*'Waste results'!$P$59, "no data"),
   IF(AND(Calc!BC137=0,Calc!BD137=0),
     IF('Waste results'!$P$95&lt;&gt;"", Calc!BE137*'Waste results'!$P$95, "no data"),
   IF(Calc!BE137=0,
     IF(OR('Waste results'!$P$23&lt;&gt;"", 'Waste results'!$P$59&lt;&gt;""), Calc!BC137*'Waste results'!$P$23+ Calc!BD137*'Waste results'!$P$59, "no data"),
   IF(Calc!BD137=0,
     IF(OR('Waste results'!$P$23&lt;&gt;"", 'Waste results'!$P$95&lt;&gt;""), Calc!BC137*'Waste results'!$P$23+ Calc!BE137*'Waste results'!$P$95, "no data"),
   IF(Calc!BC137=0,
     IF(OR('Waste results'!$P$59&lt;&gt;"", 'Waste results'!$P$95&lt;&gt;""), Calc!BD137*'Waste results'!$P$59+Calc!BE137*'Waste results'!$P$95, "no data"),
   IF(OR('Waste results'!$P$23&lt;&gt;"", 'Waste results'!$P$59&lt;&gt;"", 'Waste results'!$P$95&lt;&gt;""), Calc!BC137*'Waste results'!$P$23+Calc!BD137*'Waste results'!$P$59+ Calc!BE137*'Waste results'!$P$95, "no data")))))))))))</f>
        <v/>
      </c>
      <c r="Z139" s="7" t="str">
        <f ca="1">IF(OR(ISBLANK('Soil results'!I$7),ISBLANK('Soil results'!I142),'Soil results'!B142=""),"",
VLOOKUP(Calc!BI137,'Fertiliser recommendations'!$A$4:$AM$63,39,FALSE))</f>
        <v/>
      </c>
      <c r="AA139" s="91" t="str">
        <f t="shared" ca="1" si="38"/>
        <v/>
      </c>
      <c r="AB139" s="9" t="str">
        <f t="shared" ca="1" si="39"/>
        <v/>
      </c>
      <c r="AC139" s="9"/>
      <c r="AD139" s="48" t="str">
        <f>IF(ISBLANK('Soil results'!F142),"",'Soil results'!F142)</f>
        <v/>
      </c>
      <c r="AE139" s="49" t="str">
        <f ca="1">IF(B139="","",
IF(AND(Calc!BJ137="g", VLOOKUP(LEFT($B139,LEN($B139)-2),'Field information 2'!$B$12:$P$111,9,FALSE)&lt;&gt;"yes"),
 IF(Calc!BG137="10-25% OM", 5.9, IF(Calc!BG137="&gt;25% OM", 5.5, 6.2)),
IF(OR(Calc!BJ137="a", VLOOKUP(LEFT($B139,LEN($B139)-2),'Field information 2'!$B$12:$P$111,9,FALSE)="yes"),
 IF(Calc!BG137="10-25% OM", 6.4, IF(Calc!BG137="&gt;25% OM", 6, 6.7)), "")))</f>
        <v/>
      </c>
      <c r="AF139" s="91" t="str">
        <f ca="1">IF(B139="","",
IF('Waste results'!$Q$33="","no (significant) liming properties",
IF('Waste results'!Q$33&gt;100,"no (significant) liming properties",
IF(AD139="","",
IF(AD139&gt;=AE139,0,ROUNDDOWN((AE139-AD139)*Calc!BK137*'Waste results'!$Q$33+0.2,0))))))</f>
        <v/>
      </c>
      <c r="AG139" s="9" t="str">
        <f ca="1">IF(B139="","",
IF(T139=0,"n/a",
IF(AD139="","data missing",
IF(AND(AD139&lt;5,AF139="no (significant) liming properties"),"no waste application - pH too low",
IF(AND(AD139&gt;5.1,AF139="no (significant) liming properties",Calc!BH137&gt;25, LEFT(Calc!BI137,4)="graz"),"ok",
IF(AND(AD139&lt;=5.2,AF139="no (significant) liming properties"),"liming highly recommended",
IF(AF139=0,"no waste application - liming not required",
IF(AF139&lt;Calc!BC137,"application rate too high - exceeds liming requirement",
"ok"))))))))</f>
        <v/>
      </c>
      <c r="AH139" s="9"/>
      <c r="AI139" s="91" t="str">
        <f ca="1">IF(B139="","",
IF(AND('Field information 2'!$O$5="", 'Field information 2'!$Q$5=""),
   IF('Waste results'!$P$10&lt;&gt;"data missing", Calc!BC137*'Waste results'!$P$10, "data missing"),
IF('Field information 2'!$Q$5="",
   IF(Calc!BD137=0,
     IF('Waste results'!$P$10&lt;&gt;"data missing", Calc!BC137*'Waste results'!$P$10, "data missing"),
   IF(Calc!BC137=0,
     IF('Waste results'!$P$45&lt;&gt;"data missing", Calc!BD137*'Waste results'!$P$45, "data missing"),
   IF(OR('Waste results'!$P$10&lt;&gt;"data missing", 'Waste results'!$P$45&lt;&gt;"data missing"), Calc!BC137*'Waste results'!$P$10+ Calc!BD137*'Waste results'!$P$45, "data missing"))),
IF(AND('Field information 2'!$M$5&lt;&gt;"", 'Field information 2'!$O$5&lt;&gt;"", 'Field information 2'!$Q$5&lt;&gt;""),
   IF(AND(Calc!BD137=0,Calc!BE137=0),
     IF('Waste results'!$P$10&lt;&gt;"data missing", Calc!BC137*'Waste results'!$P$10, "data missing"),
   IF(AND(Calc!BC137=0,Calc!BE137=0),
     IF('Waste results'!$P$45&lt;&gt;"data missing", Calc!BD137*'Waste results'!$P$45, "data missing"),
   IF(AND(Calc!BC137=0,Calc!BD137=0),
     IF('Waste results'!$P$82&lt;&gt;"data missing", Calc!BE137*'Waste results'!$P$82, "data missing"),
   IF(Calc!BE137=0,
     IF(OR('Waste results'!$P$10&lt;&gt;"data missing", 'Waste results'!$P$45&lt;&gt;"data missing"), Calc!BC137*'Waste results'!$P$10+ Calc!BD137*'Waste results'!$P$45, "data missing"),
   IF(Calc!BD137=0,
     IF(OR('Waste results'!$P$10&lt;&gt;"data missing", 'Waste results'!$P$82&lt;&gt;"data missing"), Calc!BC137*'Waste results'!$P$10+ Calc!BE137*'Waste results'!$P$82, "data missing"),
   IF(Calc!BC137=0,
     IF(OR('Waste results'!$P$45&lt;&gt;"data missing", 'Waste results'!$P$82&lt;&gt;"data missing"), Calc!BD137*'Waste results'!$P$45+Calc!BE137*'Waste results'!$P$82, "data missing"),
   IF(OR('Waste results'!$P$10&lt;&gt;"data missing", 'Waste results'!$P$45&lt;&gt;"data missing", 'Waste results'!$P$82&lt;&gt;"data missing"), Calc!BC137*'Waste results'!$P$10+Calc!BD137*'Waste results'!$P$45+ Calc!BE137*'Waste results'!$P$82, "data missing")))))))))))</f>
        <v/>
      </c>
      <c r="AJ139" s="237" t="str">
        <f ca="1">IF(B139="","",
IF(AI139="data missing","data missing",
IF(Calc!BF137=0,"n/a",
IF(AND(Calc!BH137&gt;=8,AI139&lt;500),"no benefit",
IF(OR(AND(Calc!BH137&lt;=4,AI139&gt;=500),AND(Calc!BH137&lt;8,AI139&gt;5000)),"benefit",
"limited benefit")))))</f>
        <v/>
      </c>
      <c r="AK139" s="9"/>
      <c r="AL139" s="238" t="str">
        <f ca="1">IF(B139="","",
IF(AND('Field information 2'!$O$5="", 'Field information 2'!$Q$5=""),
   IF('Waste results'!$S$25&lt;&gt;"data missing", Calc!BC137*'Waste results'!$S$25, "data missing"),
IF('Field information 2'!$Q$5="",
   IF(Calc!BD137=0,
     IF('Waste results'!$S$25&lt;&gt;"data missing", Calc!BC137*'Waste results'!$S$25, "data missing"),
   IF(Calc!BC137=0,
     IF('Waste results'!$S$61&lt;&gt;"data missing", Calc!BD137*'Waste results'!$S$61, "data missing"),
   IF(OR('Waste results'!$S$25&lt;&gt;"data missing", 'Waste results'!$S$61&lt;&gt;"data missing"), Calc!BC137*'Waste results'!$S$25+ Calc!BD137*'Waste results'!$S$61, "data missing"))),
IF(AND('Field information 2'!$M$5&lt;&gt;"", 'Field information 2'!$O$5&lt;&gt;"", 'Field information 2'!$Q$5&lt;&gt;""),
   IF(AND(Calc!BD137=0,Calc!BE137=0),
     IF('Waste results'!$S$25&lt;&gt;"data missing", Calc!BC137*'Waste results'!$S$25, "data missing"),
   IF(AND(Calc!BC137=0,Calc!BE137=0),
     IF('Waste results'!$S$61&lt;&gt;"data missing", Calc!BD137*'Waste results'!$S$61, "data missing"),
   IF(AND(Calc!BC137=0,Calc!BD137=0),
     IF('Waste results'!$S$97&lt;&gt;"data missing", Calc!BE137*'Waste results'!$S$97, "data missing"),
   IF(Calc!BE137=0,
     IF(OR('Waste results'!$S$25&lt;&gt;"data missing", 'Waste results'!$S$61&lt;&gt;"data missing"), Calc!BC137*'Waste results'!$S$25+ Calc!BD137*'Waste results'!$S$61, "data missing"),
   IF(Calc!BD137=0,
     IF(OR('Waste results'!$S$25&lt;&gt;"data missing", 'Waste results'!$S$97&lt;&gt;"data missing"), Calc!BC137*'Waste results'!$S$25+ Calc!BE137*'Waste results'!$S$97, "data missing"),
   IF(Calc!BC137=0,
     IF(OR('Waste results'!$S$61&lt;&gt;"data missing", 'Waste results'!$S$97&lt;&gt;"data missing"), Calc!BD137*'Waste results'!$S$61+Calc!BE137*'Waste results'!$S$97, "data missing"),
   IF(OR('Waste results'!$S$25&lt;&gt;"data missing", 'Waste results'!$S$61&lt;&gt;"data missing", 'Waste results'!$S$97&lt;&gt;"data missing"), Calc!BC137*'Waste results'!$S$25+Calc!BD137*'Waste results'!$S$61+ Calc!BE137*'Waste results'!$S$97, "data missing")))))))))))</f>
        <v/>
      </c>
      <c r="AM139" s="239" t="str">
        <f ca="1">IF($B139="","",
IF(ISBLANK('Soil results'!K142),"data missing",'Soil results'!K142))</f>
        <v/>
      </c>
      <c r="AN139" s="239" t="str">
        <f t="shared" ca="1" si="40"/>
        <v/>
      </c>
      <c r="AO139" s="9" t="str">
        <f t="shared" ca="1" si="41"/>
        <v/>
      </c>
      <c r="AP139" s="9"/>
      <c r="AQ139" s="240" t="str">
        <f ca="1">IF(B139="","",
IF(AND('Field information 2'!$O$5="", 'Field information 2'!$Q$5=""),
   IF('Waste results'!$S$26&lt;&gt;"data missing", Calc!BC137*'Waste results'!$S$26, "data missing"),
IF('Field information 2'!$Q$5="",
   IF(Calc!BD137=0,
     IF('Waste results'!$S$26&lt;&gt;"data missing", Calc!BC137*'Waste results'!$S$26, "data missing"),
   IF(Calc!BC137=0,
     IF('Waste results'!$S$62&lt;&gt;"data missing", Calc!BD137*'Waste results'!$S$62, "data missing"),
   IF(OR('Waste results'!$S$26&lt;&gt;"data missing", 'Waste results'!$S$62&lt;&gt;"data missing"), Calc!BC137*'Waste results'!$S$26+ Calc!BD137*'Waste results'!$S$62, "data missing"))),
IF(AND('Field information 2'!$M$5&lt;&gt;"", 'Field information 2'!$O$5&lt;&gt;"", 'Field information 2'!$Q$5&lt;&gt;""),
   IF(AND(Calc!BD137=0,Calc!BE137=0),
     IF('Waste results'!$S$26&lt;&gt;"data missing", Calc!BC137*'Waste results'!$S$26, "data missing"),
   IF(AND(Calc!BC137=0,Calc!BE137=0),
     IF('Waste results'!$S$62&lt;&gt;"data missing", Calc!BD137*'Waste results'!$S$62, "data missing"),
   IF(AND(Calc!BC137=0,Calc!BD137=0),
     IF('Waste results'!$S$98&lt;&gt;"data missing", Calc!BE137*'Waste results'!$S$98, "data missing"),
   IF(Calc!BE137=0,
     IF(OR('Waste results'!$S$26&lt;&gt;"data missing", 'Waste results'!$S$62&lt;&gt;"data missing"), Calc!BC137*'Waste results'!$S$26+ Calc!BD137*'Waste results'!$S$62, "data missing"),
   IF(Calc!BD137=0,
     IF(OR('Waste results'!$S$26&lt;&gt;"data missing", 'Waste results'!$S$98&lt;&gt;"data missing"), Calc!BC137*'Waste results'!$S$26+ Calc!BE137*'Waste results'!$S$98, "data missing"),
   IF(Calc!BC137=0,
     IF(OR('Waste results'!$S$62&lt;&gt;"data missing", 'Waste results'!$S$98&lt;&gt;"data missing"), Calc!BD137*'Waste results'!$S$62+Calc!BE137*'Waste results'!$S$98, "data missing"),
   IF(OR('Waste results'!$S$26&lt;&gt;"data missing", 'Waste results'!$S$62&lt;&gt;"data missing", 'Waste results'!$S$98&lt;&gt;"data missing"), Calc!BC137*'Waste results'!$S$26+Calc!BD137*'Waste results'!$S$62+ Calc!BE137*'Waste results'!$S$98, "data missing")))))))))))</f>
        <v/>
      </c>
      <c r="AR139" s="241" t="str">
        <f ca="1">IF($B139="","",
IF(ISBLANK('Soil results'!L142),"data missing",'Soil results'!L142))</f>
        <v/>
      </c>
      <c r="AS139" s="241" t="str">
        <f t="shared" ca="1" si="42"/>
        <v/>
      </c>
      <c r="AT139" s="66" t="str">
        <f t="shared" ca="1" si="43"/>
        <v/>
      </c>
      <c r="AU139" s="9"/>
      <c r="AV139" s="238" t="str">
        <f ca="1">IF(B139="","",
IF(AND('Field information 2'!$O$5="", 'Field information 2'!$Q$5=""),
   IF('Waste results'!$S$27&lt;&gt;"data missing", Calc!BC137*'Waste results'!$S$27, "data missing"),
IF('Field information 2'!$Q$5="",
   IF(Calc!BD137=0,
     IF('Waste results'!$S$27&lt;&gt;"data missing", Calc!BC137*'Waste results'!$S$27, "data missing"),
   IF(Calc!BC137=0,
     IF('Waste results'!$S$63&lt;&gt;"data missing", Calc!BD137*'Waste results'!$S$63, "data missing"),
   IF(OR('Waste results'!$S$27&lt;&gt;"data missing", 'Waste results'!$S$63&lt;&gt;"data missing"), Calc!BC137*'Waste results'!$S$27+ Calc!BD137*'Waste results'!$S$63, "data missing"))),
IF(AND('Field information 2'!$M$5&lt;&gt;"", 'Field information 2'!$O$5&lt;&gt;"", 'Field information 2'!$Q$5&lt;&gt;""),
   IF(AND(Calc!BD137=0,Calc!BE137=0),
     IF('Waste results'!$S$27&lt;&gt;"data missing", Calc!BC137*'Waste results'!$S$27, "data missing"),
   IF(AND(Calc!BC137=0,Calc!BE137=0),
     IF('Waste results'!$S$63&lt;&gt;"data missing", Calc!BD137*'Waste results'!$S$63, "data missing"),
   IF(AND(Calc!BC137=0,Calc!BD137=0),
     IF('Waste results'!$S$99&lt;&gt;"data missing", Calc!BE137*'Waste results'!$S$99, "data missing"),
   IF(Calc!BE137=0,
     IF(OR('Waste results'!$S$27&lt;&gt;"data missing", 'Waste results'!$S$63&lt;&gt;"data missing"), Calc!BC137*'Waste results'!$S$27+ Calc!BD137*'Waste results'!$S$63, "data missing"),
   IF(Calc!BD137=0,
     IF(OR('Waste results'!$S$27&lt;&gt;"data missing", 'Waste results'!$S$99&lt;&gt;"data missing"), Calc!BC137*'Waste results'!$S$27+ Calc!BE137*'Waste results'!$S$99, "data missing"),
   IF(Calc!BC137=0,
     IF(OR('Waste results'!$S$63&lt;&gt;"data missing", 'Waste results'!$S$99&lt;&gt;"data missing"), Calc!BD137*'Waste results'!$S$63+Calc!BE137*'Waste results'!$S$99, "data missing"),
   IF(OR('Waste results'!$S$27&lt;&gt;"data missing", 'Waste results'!$S$63&lt;&gt;"data missing", 'Waste results'!$S$99&lt;&gt;"data missing"), Calc!BC137*'Waste results'!$S$27+Calc!BD137*'Waste results'!$S$63+ Calc!BE137*'Waste results'!$S$99, "data missing")))))))))))</f>
        <v/>
      </c>
      <c r="AW139" s="239" t="str">
        <f ca="1">IF($B139="","",
IF(ISBLANK('Soil results'!M142),"data missing",'Soil results'!M142))</f>
        <v/>
      </c>
      <c r="AX139" s="239" t="str">
        <f t="shared" ca="1" si="44"/>
        <v/>
      </c>
      <c r="AY139" s="9" t="str">
        <f ca="1">IF(B139="","",
IF(AV139=0,"n/a",
IF(OR(AV139="data missing",AW139="data missing"),"data missing",
IF(AV139&gt;7.5,"application rate too high - permissible rate exceeds limit",
IF('Soil results'!$F142&lt;=5.5,
  IF(AW139&gt;80,"no application - soil conc. already above limit",
  IF(AX139&gt;80,"application rate too high - soil conc. will exceed limit",
  IF(AW139&gt;80*0.9,"soil conc. is at or above 90% of the limit",
  IF(10*AV139*1000/3000+AW139&gt;80,"soil limit likely to be exceeded in 10yrs",
  IF(50*AV139*1000/3000+AW139&gt;80,"soil limit likely to be exceeded in 50yrs","ok"))))),
IF('Soil results'!$F142&lt;=6,
  IF(AW139&gt;100,"no application - soil conc. already above limit",
  IF(AX139&gt;100,"application rate too high - soil conc. will exceed limit",
  IF(AW139&gt;100*0.9,"soil conc. is at or above 90% of the limit",
  IF(10*AV139*1000/3000+AW139&gt;100,"soil limit likely to be exceeded in 10yrs",
  IF(50*AV139*1000/3000+AW139&gt;100,"soil limit likely to be exceeded in 50yrs","ok"))))),
IF('Soil results'!$F142&lt;=7,
  IF(AW139&gt;135,"no application - soil conc. already above limit",
  IF(AX139&gt;135,"application rate too high - soil conc. will exceed limit",
  IF(AW139&gt;135*0.9,"soil conc. is at or above 90% of the limit",
  IF(10*AV139*1000/3000+AW139&gt;135,"soil limit likely to be exceeded in 10yrs",
  IF(50*AV139*1000/3000+AW139&gt;135,"soil limit likely to be exceeded in 50yrs","ok"))))),
IF('Soil results'!$F142&gt;7,
  IF(AW139&gt;200,"no application - soil conc. already above limit",
  IF(AX139&gt;200,"application too high - soil conc. will exceed limit",
  IF(AW139&gt;200*0.9,"soil conc. is at or above 90% of the limit",
  IF(10*AV139*1000/3000+AW139&gt;200,"soil limit likely to be exceeded in 10yrs",
  IF(50*AV139*1000/3000+AW139&gt;200,"soil limit likely to be exceeded in 50yrs","ok")))))
))))))))</f>
        <v/>
      </c>
      <c r="AZ139" s="9"/>
      <c r="BA139" s="238" t="str">
        <f ca="1">IF(B139="","",
IF(AND('Field information 2'!$O$5="", 'Field information 2'!$Q$5=""),
   IF('Waste results'!$S$28&lt;&gt;"data missing", Calc!BC137*'Waste results'!$S$28, "data missing"),
IF('Field information 2'!$Q$5="",
   IF(Calc!BD137=0,
     IF('Waste results'!$S$28&lt;&gt;"data missing", Calc!BC137*'Waste results'!$S$28, "data missing"),
   IF(Calc!BC137=0,
     IF('Waste results'!$S$64&lt;&gt;"data missing", Calc!BD137*'Waste results'!$S$64, "data missing"),
   IF(OR('Waste results'!$S$28&lt;&gt;"data missing", 'Waste results'!$S$64&lt;&gt;"data missing"), Calc!BC137*'Waste results'!$S$28+ Calc!BD137*'Waste results'!$S$64, "data missing"))),
IF(AND('Field information 2'!$M$5&lt;&gt;"", 'Field information 2'!$O$5&lt;&gt;"", 'Field information 2'!$Q$5&lt;&gt;""),
   IF(AND(Calc!BD137=0,Calc!BE137=0),
     IF('Waste results'!$S$28&lt;&gt;"data missing", Calc!BC137*'Waste results'!$S$28, "data missing"),
   IF(AND(Calc!BC137=0,Calc!BE137=0),
     IF('Waste results'!$S$64&lt;&gt;"data missing", Calc!BD137*'Waste results'!$S$64, "data missing"),
   IF(AND(Calc!BC137=0,Calc!BD137=0),
     IF('Waste results'!$S$100&lt;&gt;"data missing", Calc!BE137*'Waste results'!$S$100, "data missing"),
   IF(Calc!BE137=0,
     IF(OR('Waste results'!$S$28&lt;&gt;"data missing", 'Waste results'!$S$64&lt;&gt;"data missing"), Calc!BC137*'Waste results'!$S$28+ Calc!BD137*'Waste results'!$S$64, "data missing"),
   IF(Calc!BD137=0,
     IF(OR('Waste results'!$S$28&lt;&gt;"data missing", 'Waste results'!$S$100&lt;&gt;"data missing"), Calc!BC137*'Waste results'!$S$28+ Calc!BE137*'Waste results'!$S$100, "data missing"),
   IF(Calc!BC137=0,
     IF(OR('Waste results'!$S$64&lt;&gt;"data missing", 'Waste results'!$S$100&lt;&gt;"data missing"), Calc!BD137*'Waste results'!$S$64+Calc!BE137*'Waste results'!$S$100, "data missing"),
   IF(OR('Waste results'!$S$28&lt;&gt;"data missing", 'Waste results'!$S$64&lt;&gt;"data missing", 'Waste results'!$S$100&lt;&gt;"data missing"), Calc!BC137*'Waste results'!$S$28+Calc!BD137*'Waste results'!$S$64+ Calc!BE137*'Waste results'!$S$100, "data missing")))))))))))</f>
        <v/>
      </c>
      <c r="BB139" s="239" t="str">
        <f ca="1">IF($B139="","",
IF(ISBLANK('Soil results'!N142),"data missing",'Soil results'!N142))</f>
        <v/>
      </c>
      <c r="BC139" s="239" t="str">
        <f t="shared" ca="1" si="45"/>
        <v/>
      </c>
      <c r="BD139" s="9" t="str">
        <f t="shared" ca="1" si="46"/>
        <v/>
      </c>
      <c r="BE139" s="9"/>
      <c r="BF139" s="238" t="str">
        <f ca="1">IF(B139="","",
IF(AND('Field information 2'!$O$5="", 'Field information 2'!$Q$5=""),
   IF('Waste results'!$S$29&lt;&gt;"data missing", Calc!BC137*'Waste results'!$S$29, "data missing"),
IF('Field information 2'!$Q$5="",
   IF(Calc!BD137=0,
     IF('Waste results'!$S$29&lt;&gt;"data missing", Calc!BC137*'Waste results'!$S$29, "data missing"),
   IF(Calc!BC137=0,
     IF('Waste results'!$S$65&lt;&gt;"data missing", Calc!BD137*'Waste results'!$S$65, "data missing"),
   IF(OR('Waste results'!$S$29&lt;&gt;"data missing", 'Waste results'!$S$65&lt;&gt;"data missing"), Calc!BC137*'Waste results'!$S$29+ Calc!BD137*'Waste results'!$S$65, "data missing"))),
IF(AND('Field information 2'!$M$5&lt;&gt;"", 'Field information 2'!$O$5&lt;&gt;"", 'Field information 2'!$Q$5&lt;&gt;""),
   IF(AND(Calc!BD137=0,Calc!BE137=0),
     IF('Waste results'!$S$29&lt;&gt;"data missing", Calc!BC137*'Waste results'!$S$29, "data missing"),
   IF(AND(Calc!BC137=0,Calc!BE137=0),
     IF('Waste results'!$S$65&lt;&gt;"data missing", Calc!BD137*'Waste results'!$S$65, "data missing"),
   IF(AND(Calc!BC137=0,Calc!BD137=0),
     IF('Waste results'!$S$101&lt;&gt;"data missing", Calc!BE137*'Waste results'!$S$101, "data missing"),
   IF(Calc!BE137=0,
     IF(OR('Waste results'!$S$29&lt;&gt;"data missing", 'Waste results'!$S$65&lt;&gt;"data missing"), Calc!BC137*'Waste results'!$S$29+ Calc!BD137*'Waste results'!$S$65, "data missing"),
   IF(Calc!BD137=0,
     IF(OR('Waste results'!$S$29&lt;&gt;"data missing", 'Waste results'!$S$101&lt;&gt;"data missing"), Calc!BC137*'Waste results'!$S$29+ Calc!BE137*'Waste results'!$S$101, "data missing"),
   IF(Calc!BC137=0,
     IF(OR('Waste results'!$S$65&lt;&gt;"data missing", 'Waste results'!$S$101&lt;&gt;"data missing"), Calc!BD137*'Waste results'!$S$65+Calc!BE137*'Waste results'!$S$101, "data missing"),
   IF(OR('Waste results'!$S$29&lt;&gt;"data missing", 'Waste results'!$S$65&lt;&gt;"data missing", 'Waste results'!$S$101&lt;&gt;"data missing"), Calc!BC137*'Waste results'!$S$29+Calc!BD137*'Waste results'!$S$65+ Calc!BE137*'Waste results'!$S$101, "data missing")))))))))))</f>
        <v/>
      </c>
      <c r="BG139" s="239" t="str">
        <f ca="1">IF($B139="","",
IF(ISBLANK('Soil results'!O142),"data missing",'Soil results'!O142))</f>
        <v/>
      </c>
      <c r="BH139" s="239" t="str">
        <f t="shared" ca="1" si="47"/>
        <v/>
      </c>
      <c r="BI139" s="9" t="str">
        <f ca="1">IF(B139="","",
IF(BF139=0,"n/a",
IF(OR(BF139="data missing",BG139="data missing"),"data missing",
IF(BF139&gt;3,"application rate too high - permissible rate exceeds limit",
IF('Soil results'!F142&lt;=5.5,
  IF(BG139&gt;50,"no application - soil conc. already above limit",
  IF(BH139&gt;50,"application rate too high - soil conc. will exceed limit",
  IF(BG139&gt;50*0.9,"soil conc. is at or above 90% of the limit",
  IF(10*BF139*1000/3000+BG139&gt;50,"soil limit likely to be exceeded in 10yrs",
  IF(50*BF139*1000/3000+BG139&gt;50,"soil limit likely to be exceeded in 50yrs","ok"))))),
IF('Soil results'!F142&lt;=6,
  IF(BG139&gt;60,"no application - soil conc. already above limit",
  IF(BH139&gt;60,"application rate too high - soil conc. will exceed limit",
  IF(BG139&gt;60*0.9,"soil conc. is at or above 90% of the limit",
  IF(10*BF139*1000/3000+BG139&gt;60,"soil limit likely to be exceeded in 10yrs",
  IF(50*BF139*1000/3000+BG139&gt;60,"soil limit likely to be exceeded in 50yrs","ok"))))),
IF('Soil results'!F142&lt;=7,
  IF(BG139&gt;75,"no application - soil conc. already above limit",
  IF(BH139&gt;75,"application rate too high - soil conc. will exceed limit",
  IF(BG139&gt;75*0.9,"soil conc. is at or above 90% of the limit",
  IF(10*BF139*1000/3000+BG139&gt;75,"soil limit likely to be exceeded in 10yrs",
  IF(50*BF139*1000/3000+BG139&gt;75,"soil limit likely to be exceeded in 50yrs","ok"))))),
IF('Soil results'!F142&gt;7,
  IF(BG139&gt;100,"no application - soil conc. already above limit",
  IF(BH139&gt;100,"application rate too high - soil conc. will exceed limit",
  IF(BG139&gt;100*0.9,"soil conc. is at or above 90% of the limit",
  IF(10*BF139*1000/3000+BG139&gt;100,"soil limit likely to be exceeded in 10yrs",
  IF(50*BF139*1000/3000+BG139&gt;100,"soil limit likely to beexceeded in 50yrs","ok")))))
))))))))</f>
        <v/>
      </c>
      <c r="BJ139" s="9"/>
      <c r="BK139" s="240" t="str">
        <f ca="1">IF(B139="","",
IF(AND('Field information 2'!$O$5="", 'Field information 2'!$Q$5=""),
   IF('Waste results'!$S$30&lt;&gt;"data missing", Calc!BC137*'Waste results'!$S$30, "data missing"),
IF('Field information 2'!$Q$5="",
   IF(Calc!BD137=0,
     IF('Waste results'!$S$30&lt;&gt;"data missing", Calc!BC137*'Waste results'!$S$30, "data missing"),
   IF(Calc!BC137=0,
     IF('Waste results'!$S$66&lt;&gt;"data missing", Calc!BD137*'Waste results'!$S$66, "data missing"),
   IF(OR('Waste results'!$S$30&lt;&gt;"data missing", 'Waste results'!$S$66&lt;&gt;"data missing"), Calc!BC137*'Waste results'!$S$30+ Calc!BD137*'Waste results'!$S$66, "data missing"))),
IF(AND('Field information 2'!$M$5&lt;&gt;"", 'Field information 2'!$O$5&lt;&gt;"", 'Field information 2'!$Q$5&lt;&gt;""),
   IF(AND(Calc!BD137=0,Calc!BE137=0),
     IF('Waste results'!$S$30&lt;&gt;"data missing", Calc!BC137*'Waste results'!$S$30, "data missing"),
   IF(AND(Calc!BC137=0,Calc!BE137=0),
     IF('Waste results'!$S$66&lt;&gt;"data missing", Calc!BD137*'Waste results'!$S$66, "data missing"),
   IF(AND(Calc!BC137=0,Calc!BD137=0),
     IF('Waste results'!$S$102&lt;&gt;"data missing", Calc!BE137*'Waste results'!$S$102, "data missing"),
   IF(Calc!BE137=0,
     IF(OR('Waste results'!$S$30&lt;&gt;"data missing", 'Waste results'!$S$66&lt;&gt;"data missing"), Calc!BC137*'Waste results'!$S$30+ Calc!BD137*'Waste results'!$S$66, "data missing"),
   IF(Calc!BD137=0,
     IF(OR('Waste results'!$S$30&lt;&gt;"data missing", 'Waste results'!$S$102&lt;&gt;"data missing"), Calc!BC137*'Waste results'!$S$30+ Calc!BE137*'Waste results'!$S$102, "data missing"),
   IF(Calc!BC137=0,
     IF(OR('Waste results'!$S$66&lt;&gt;"data missing", 'Waste results'!$S$102&lt;&gt;"data missing"), Calc!BD137*'Waste results'!$S$66+Calc!BE137*'Waste results'!$S$102, "data missing"),
   IF(OR('Waste results'!$S$30&lt;&gt;"data missing", 'Waste results'!$S$66&lt;&gt;"data missing", 'Waste results'!$S$102&lt;&gt;"data missing"), Calc!BC137*'Waste results'!$S$30+Calc!BD137*'Waste results'!$S$66+ Calc!BE137*'Waste results'!$S$102, "data missing")))))))))))</f>
        <v/>
      </c>
      <c r="BL139" s="241" t="str">
        <f ca="1">IF($B139="","",
IF(ISBLANK('Soil results'!P142),"data missing",'Soil results'!P142))</f>
        <v/>
      </c>
      <c r="BM139" s="241" t="str">
        <f t="shared" ca="1" si="48"/>
        <v/>
      </c>
      <c r="BN139" s="66" t="str">
        <f t="shared" ca="1" si="49"/>
        <v/>
      </c>
      <c r="BO139" s="9"/>
      <c r="BP139" s="238" t="str">
        <f ca="1">IF(B139="","",
IF(AND('Field information 2'!$O$5="", 'Field information 2'!$Q$5=""),
   IF('Waste results'!$S$31&lt;&gt;"data missing", Calc!BC137*'Waste results'!$S$31, "data missing"),
IF('Field information 2'!$Q$5="",
   IF(Calc!BD137=0,
     IF('Waste results'!$S$31&lt;&gt;"data missing", Calc!BC137*'Waste results'!$S$31, "data missing"),
   IF(Calc!BC137=0,
     IF('Waste results'!$S$67&lt;&gt;"data missing", Calc!BD137*'Waste results'!$S$67, "data missing"),
   IF(OR('Waste results'!$S$31&lt;&gt;"data missing", 'Waste results'!$S$67&lt;&gt;"data missing"), Calc!BC137*'Waste results'!$S$31+ Calc!BD137*'Waste results'!$S$67, "data missing"))),
IF(AND('Field information 2'!$M$5&lt;&gt;"", 'Field information 2'!$O$5&lt;&gt;"", 'Field information 2'!$Q$5&lt;&gt;""),
   IF(AND(Calc!BD137=0,Calc!BE137=0),
     IF('Waste results'!$S$31&lt;&gt;"data missing", Calc!BC137*'Waste results'!$S$31, "data missing"),
   IF(AND(Calc!BC137=0,Calc!BE137=0),
     IF('Waste results'!$S$67&lt;&gt;"data missing", Calc!BD137*'Waste results'!$S$67, "data missing"),
   IF(AND(Calc!BC137=0,Calc!BD137=0),
     IF('Waste results'!$S$103&lt;&gt;"data missing", Calc!BE137*'Waste results'!$S$103, "data missing"),
   IF(Calc!BE137=0,
     IF(OR('Waste results'!$S$31&lt;&gt;"data missing", 'Waste results'!$S$67&lt;&gt;"data missing"), Calc!BC137*'Waste results'!$S$31+ Calc!BD137*'Waste results'!$S$67, "data missing"),
   IF(Calc!BD137=0,
     IF(OR('Waste results'!$S$31&lt;&gt;"data missing", 'Waste results'!$S$103&lt;&gt;"data missing"), Calc!BC137*'Waste results'!$S$31+ Calc!BE137*'Waste results'!$S$103, "data missing"),
   IF(Calc!BC137=0,
     IF(OR('Waste results'!$S$67&lt;&gt;"data missing", 'Waste results'!$S$103&lt;&gt;"data missing"), Calc!BD137*'Waste results'!$S$67+Calc!BE137*'Waste results'!$S$103, "data missing"),
   IF(OR('Waste results'!$S$31&lt;&gt;"data missing", 'Waste results'!$S$67&lt;&gt;"data missing", 'Waste results'!$S$103&lt;&gt;"data missing"), Calc!BC137*'Waste results'!$S$31+Calc!BD137*'Waste results'!$S$67+ Calc!BE137*'Waste results'!$S$103, "data missing")))))))))))</f>
        <v/>
      </c>
      <c r="BQ139" s="239" t="str">
        <f ca="1">IF($B139="","",
IF(ISBLANK('Soil results'!Q142),"data missing",'Soil results'!Q142))</f>
        <v/>
      </c>
      <c r="BR139" s="239" t="str">
        <f t="shared" ca="1" si="50"/>
        <v/>
      </c>
      <c r="BS139" s="9" t="str">
        <f ca="1">IF(B139="","",
IF(BP139=0,"n/a",
IF(OR(BP139="data missing",BQ139=""),"data missing",
IF(BP139&gt;15,"application rate too high - permissible rate exceeds limit",
IF('Soil results'!F142&lt;=5.5,
  IF(BQ139&gt;200,"no application - soil conc. already above limit",
  IF(BR139&gt;200,"application rate too high - soil conc. will exceed limit",
  IF(BQ139&gt;200*0.9,"soil conc. is at or above 90% of the limit",
  IF(10*BP139*1000/3000+BQ139&gt;200,"soil limit likely to be exceeded in 10yrs",
  IF(50*BP139*1000/3000+BQ139&gt;200,"soil limit likely to be exceeded in 50yrs","ok"))))),
IF('Soil results'!F142&lt;=6,
  IF(BQ139&gt;250,"no application - soil conc. already above limit",
  IF(BR139&gt;250,"application rate too high - soil conc. will exceed limit",
  IF(BQ139&gt;250*0.9,"soil conc. is at or above 90% of the limit",
  IF(10*BP139*1000/3000+BQ139&gt;250,"soil limit likely to be exceeded in 10yrs",
  IF(50*BP139*1000/3000+BQ139&gt;250,"soil limit likely to be exceeded in 50yrs","ok"))))),
IF('Soil results'!F142&lt;=7,
  IF(BQ139&gt;300,"no application - soil conc. already above limit",
  IF(BR139&gt;300,"application rate too high - soil conc. will exceed limit",
  IF(BQ139&gt;300*0.9,"soil conc. is at or above 90% of the limit",
  IF(10*BP139*1000/3000+BQ139&gt;300,"soil limit likey to be exceeded in 10yrs",
  IF(50*BP139*1000/3000+BQ139&gt;300,"soil limit likely to be exceeded in 50yrs","ok"))))),
IF('Soil results'!F142&gt;7,
  IF(BQ139&gt;450,"no application - soil conc. already above limit",
  IF(BR139&gt;450,"application rate too high - soil conc. will exceed limit",
  IF(AW139&gt;450*0.9,"soil conc. is at or above 90% of the limit",
  IF(10*BP139*1000/3000+BQ139&gt;450,"soil limit likely to be exceeded in 10yrs",
  IF(50*BP139*1000/3000+BQ139&gt;450,"soil limit likely to be exceeded in 50yrs","ok")))))
))))))))</f>
        <v/>
      </c>
    </row>
    <row r="140" spans="2:71" ht="15" x14ac:dyDescent="0.25">
      <c r="B140" s="236" t="str">
        <f ca="1">'Soil results'!B143</f>
        <v/>
      </c>
      <c r="C140" s="91" t="str">
        <f ca="1">IF(B140="","",
IF(AND('Field information 2'!$O$5="", 'Field information 2'!$Q$5=""),
   IF('Waste results'!$S$12&lt;&gt;"data missing", Calc!BC138*'Waste results'!$S$12, "data missing"),
IF('Field information 2'!$Q$5="",
   IF(Calc!BD138=0,
     IF('Waste results'!$S$12&lt;&gt;"data missing", Calc!BC138*'Waste results'!$S$12, "data missing"),
   IF(Calc!BC138=0,
     IF('Waste results'!$S$48&lt;&gt;"data missing", Calc!BD138*'Waste results'!$S$48, "data missing"),
   IF(OR('Waste results'!$S$12&lt;&gt;"data missing", 'Waste results'!$S$48&lt;&gt;"data missing"), Calc!BC138*'Waste results'!$S$12+ Calc!BD138*'Waste results'!$S$48, "data missing"))),
IF(AND('Field information 2'!$M$5&lt;&gt;"", 'Field information 2'!$O$5&lt;&gt;"", 'Field information 2'!$Q$5&lt;&gt;""),
   IF(AND(Calc!BD138=0,Calc!BE138=0),
     IF('Waste results'!$S$12&lt;&gt;"data missing", Calc!BC138*'Waste results'!$S$12, "data missing"),
   IF(AND(Calc!BC138=0,Calc!BE138=0),
     IF('Waste results'!$S$48&lt;&gt;"data missing", Calc!BD138*'Waste results'!$S$48, "data missing"),
   IF(AND(Calc!BC138=0,Calc!BD138=0),
     IF('Waste results'!$S$84&lt;&gt;"data missing", Calc!BE138*'Waste results'!$S$84, "data missing"),
   IF(Calc!BE138=0,
     IF(OR('Waste results'!$S$12&lt;&gt;"data missing", 'Waste results'!$S$48&lt;&gt;"data missing"), Calc!BC138*'Waste results'!$S$12+ Calc!BD138*'Waste results'!$S$48, "data missing"),
   IF(Calc!BD138=0,
     IF(OR('Waste results'!$S$12&lt;&gt;"data missing", 'Waste results'!$S$84&lt;&gt;"data missing"), Calc!BC138*'Waste results'!$S$12+ Calc!BE138*'Waste results'!$S$84, "data missing"),
   IF(Calc!BC138=0,
     IF(OR('Waste results'!$S$48&lt;&gt;"data missing", 'Waste results'!$S$84&lt;&gt;"data missing"), Calc!BD138*'Waste results'!$S$48+Calc!BE138*'Waste results'!$S$84, "data missing"),
   IF(OR('Waste results'!$S$12&lt;&gt;"data missing", 'Waste results'!$S$48&lt;&gt;"data missing", 'Waste results'!$S$84&lt;&gt;"data missing"), Calc!BC138*'Waste results'!$S$12+Calc!BD138*'Waste results'!$S$48+ Calc!BE138*'Waste results'!$S$84, "data missing")))))))))))</f>
        <v/>
      </c>
      <c r="D140" s="161" t="str">
        <f ca="1">IF(B140="","",
IF(Calc!BG138="","soil texture missing",
IF(OR(Calc!BG138="SL; SZL; ZL",Calc!BG138="SCL; CL; ZCL; SC; ZC; C"),VLOOKUP(Calc!BI138,'Fertiliser recommendations'!$A$4:$C$63,3,FALSE),
IF(Calc!BG138="S; LS",VLOOKUP(Calc!BI138,'Fertiliser recommendations'!$A$4:$C$63,3,FALSE)+VLOOKUP(Calc!BI138,'Fertiliser recommendations'!$A$4:$D$63,4,FALSE),
IF(Calc!BG138="10-25% OM",VLOOKUP(Calc!BI138,'Fertiliser recommendations'!$A$4:$C$63,3,FALSE)+VLOOKUP(Calc!BI138,'Fertiliser recommendations'!$A$4:$E$63,5,FALSE),
IF(Calc!BG138="&gt;25% OM",VLOOKUP(Calc!BI138,'Fertiliser recommendations'!$A$4:$C$63,3,FALSE)+VLOOKUP(Calc!BI138,'Fertiliser recommendations'!$A$4:$F$63,6,FALSE),
""))))))</f>
        <v/>
      </c>
      <c r="E140" s="91" t="str">
        <f t="shared" ca="1" si="34"/>
        <v/>
      </c>
      <c r="F140" s="9" t="str">
        <f ca="1">IF(B140="","",
IF(OR(C140="data missing",D140="soil texture missing"),"data missing",
IF(Calc!BF138=0,"n/a",
IF(C140&lt;0.1*D140,"no benefit",
IF(C140&lt;0.3*D140,"limited benefit",
IF(C140&gt;250,"exceeds limit",
IF(OR(AND(D140=0,C140&gt;75),C140&gt;1.25*D140),"excessive",
IF(D140=0, "no requirement",
"benefit"))))))))</f>
        <v/>
      </c>
      <c r="G140" s="9"/>
      <c r="H140" s="91" t="str">
        <f ca="1">IF(B140="","",
IF(AND('Field information 2'!$O$5="", 'Field information 2'!$Q$5=""),
   IF('Waste results'!$S$17&lt;&gt;"data missing", Calc!BC138*'Waste results'!$S$17, "data missing"),
IF('Field information 2'!$Q$5="",
   IF(Calc!BD138=0,
     IF('Waste results'!$S$17&lt;&gt;"data missing", Calc!BC138*'Waste results'!$S$17, "data missing"),
   IF(Calc!BC138=0,
     IF('Waste results'!$S$53&lt;&gt;"data missing", Calc!BD138*'Waste results'!$S$53, "data missing"),
   IF(OR('Waste results'!$S$17&lt;&gt;"data missing", 'Waste results'!$S$53&lt;&gt;"data missing"), Calc!BC138*'Waste results'!$S$17+ Calc!BD138*'Waste results'!$S$53, "data missing"))),
IF(AND('Field information 2'!$M$5&lt;&gt;"", 'Field information 2'!$O$5&lt;&gt;"", 'Field information 2'!$Q$5&lt;&gt;""),
   IF(AND(Calc!BD138=0,Calc!BE138=0),
     IF('Waste results'!$S$17&lt;&gt;"data missing", Calc!BC138*'Waste results'!$S$17, "data missing"),
   IF(AND(Calc!BC138=0,Calc!BE138=0),
     IF('Waste results'!$S$53&lt;&gt;"data missing", Calc!BD138*'Waste results'!$S$53, "data missing"),
   IF(AND(Calc!BC138=0,Calc!BD138=0),
     IF('Waste results'!$S$89&lt;&gt;"data missing", Calc!BE138*'Waste results'!$S$89, "data missing"),
   IF(Calc!BE138=0,
     IF(OR('Waste results'!$S$17&lt;&gt;"data missing", 'Waste results'!$S$53&lt;&gt;"data missing"), Calc!BC138*'Waste results'!$S$17+ Calc!BD138*'Waste results'!$S$53, "data missing"),
   IF(Calc!BD138=0,
     IF(OR('Waste results'!$S$17&lt;&gt;"data missing", 'Waste results'!$S$89&lt;&gt;"data missing"), Calc!BC138*'Waste results'!$S$17+ Calc!BE138*'Waste results'!$S$89, "data missing"),
   IF(Calc!BC138=0,
     IF(OR('Waste results'!$S$53&lt;&gt;"data missing", 'Waste results'!$S$89&lt;&gt;"data missing"), Calc!BD138*'Waste results'!$S$53+Calc!BE138*'Waste results'!$S$89, "data missing"),
   IF(OR('Waste results'!$S$17&lt;&gt;"data missing", 'Waste results'!$S$53&lt;&gt;"data missing", 'Waste results'!$S$89&lt;&gt;"data missing"), Calc!BC138*'Waste results'!$S$17+Calc!BD138*'Waste results'!$S$53+ Calc!BE138*'Waste results'!$S$89, "data missing")))))))))))</f>
        <v/>
      </c>
      <c r="I140" s="195" t="str">
        <f ca="1">IF(B140="","",
IF(OR(ISBLANK('Soil results'!G143), ISBLANK('Soil results'!G$7)),"data missing",
IF(OR(AND('Soil results'!G$7="Olsen (ADAS)",'Soil results'!G143&lt;16),AND('Soil results'!G$7="modified Morgan (SAC)",'Soil results'!G143&lt;4.5)),50,100)))</f>
        <v/>
      </c>
      <c r="J140" s="49" t="str">
        <f ca="1">IF(B140="","",
IF(OR(ISBLANK('Soil results'!G$7),ISBLANK('Soil results'!G143)),"data missing",
IF(OR(AND('Soil results'!G$7="Olsen (ADAS)",'Soil results'!G143&gt;45),AND('Soil results'!G$7="modified Morgan (SAC)",'Soil results'!G143&gt;30)),0,
IF(OR(AND('Soil results'!G$7="Olsen (ADAS)",'Soil results'!G143&gt;=16,'Soil results'!G143&lt;=20),AND('Soil results'!G$7="modified Morgan (SAC)",'Soil results'!G143&gt;=4.5,'Soil results'!G143&lt;=9.4)),VLOOKUP(Calc!BI138,'Fertiliser recommendations'!$A$4:$I$63,9,FALSE),
IF(OR(AND('Soil results'!G$7="Olsen (ADAS)",'Soil results'!G143&lt;10),AND('Soil results'!G$7="modified Morgan (SAC)",'Soil results'!G143&lt;1.8)),VLOOKUP(Calc!BI138,'Fertiliser recommendations'!$A$4:$I$63,9,FALSE)+VLOOKUP(Calc!BI138,'Fertiliser recommendations'!$A$4:$J$63,10,FALSE),
IF(OR(AND('Soil results'!G$7="Olsen (ADAS)",'Soil results'!G143&lt;16),AND('Soil results'!G$7="modified Morgan (SAC)",'Soil results'!G143&lt;4.5)),VLOOKUP(Calc!BI138,'Fertiliser recommendations'!$A$4:$I$63,9,FALSE)+VLOOKUP(Calc!BI138,'Fertiliser recommendations'!$A$4:$K$63,11,FALSE),
IF(OR(AND('Soil results'!G$7="Olsen (ADAS)",'Soil results'!G143&lt;26),AND('Soil results'!G$7="modified Morgan (SAC)",'Soil results'!G143&lt;13.5)),VLOOKUP(Calc!BI138,'Fertiliser recommendations'!$A$4:$I$63,9,FALSE)+VLOOKUP(Calc!BI138,'Fertiliser recommendations'!$A$4:$L$63,12,FALSE),
IF(OR(AND('Soil results'!G$7="Olsen (ADAS)",'Soil results'!G143&lt;=45),AND('Soil results'!G$7="modified Morgan (SAC)",'Soil results'!G143&lt;=30)),VLOOKUP(Calc!BI138,'Fertiliser recommendations'!$A$4:$I$63,9,FALSE)+VLOOKUP(Calc!BI138,'Fertiliser recommendations'!$A$4:$M$63,13,FALSE),
""))))))))</f>
        <v/>
      </c>
      <c r="K140" s="161" t="str">
        <f t="shared" ca="1" si="35"/>
        <v/>
      </c>
      <c r="L140" s="47" t="str">
        <f ca="1">IF(OR(ISBLANK('Soil results'!G$7),ISBLANK('Soil results'!G143),B140="", H140="data missing"),"",
IF('Soil results'!G$7="Olsen (ADAS)",
IF(((H140*Calc!BM138/2.291-(VLOOKUP(Calc!BI138,'Fertiliser recommendations'!$A$4:$I$63,9,FALSE))/2.291)*10/(400/2.291)+'Soil results'!G143)&lt;10,"0 (VL)",
IF(((H140*Calc!BM138/2.291-(VLOOKUP(Calc!BI138,'Fertiliser recommendations'!$A$4:$I$63,9,FALSE))/2.291)*10/(400/2.291)+'Soil results'!G143)&lt;16,"1 (L)",
IF(((H140*Calc!BM138/2.291-(VLOOKUP(Calc!BI138,'Fertiliser recommendations'!$A$4:$I$63,9,FALSE))/2.291)*10/(400/2.291)+'Soil results'!G143)&lt;21,"2 (M-)",
IF(((H140*Calc!BM138/2.291-(VLOOKUP(Calc!BI138,'Fertiliser recommendations'!$A$4:$I$63,9,FALSE))/2.291)*10/(400/2.291)+'Soil results'!G143)&lt;26,"2 (M+)",
IF(((H140*Calc!BM138/2.291-(VLOOKUP(Calc!BI138,'Fertiliser recommendations'!$A$4:$I$63,9,FALSE))/2.291)*10/(400/2.291)+'Soil results'!G143)&lt;45,"3 (H)","&gt;3 (VH)"))))),
IF('Soil results'!G$7="modified Morgan (SAC)",
IF('Soil results'!G143&gt;=6,
IF(((H140*Calc!BM138/2.291-(VLOOKUP(Calc!BI138,'Fertiliser recommendations'!$A$4:$I$63,9,FALSE))/2.291)*5/(147/2.291)+'Soil results'!G143)&lt;9.5,"2 (M-)",
IF(((H140*Calc!BM138/2.291-(VLOOKUP(Calc!BI138,'Fertiliser recommendations'!$A$4:$I$63,9,FALSE))/2.291)*5/(147/2.291)+'Soil results'!G143)&lt;13.5,"2 (M+)",
IF(((H140*Calc!BM138/2.291-(VLOOKUP(Calc!BI138,'Fertiliser recommendations'!$A$4:$I$63,9,FALSE))/2.291)*5/(147/2.291)+'Soil results'!G143)&lt;30,"3 (H)","4 (VH)"))),
IF(((H140*Calc!BM138/2.291-(VLOOKUP(Calc!BI138,'Fertiliser recommendations'!$A$4:$I$63,9,FALSE))/2.291)*5/(346/2.291)+'Soil results'!G143)&lt;1.8,"0 (VL)",
IF(((H140*Calc!BM138/2.291-(VLOOKUP(Calc!BI138,'Fertiliser recommendations'!$A$4:$I$63,9,FALSE))/2.291)*5/(147/2.291)+'Soil results'!G143)&lt;4.5,"1 (L)","2 (M-)"))))))</f>
        <v/>
      </c>
      <c r="M140" s="9" t="str">
        <f ca="1">IF(B140="","",
IF(OR(H140="data missing",I140="data missing",J140="data missing"),"data missing",
IF(Calc!BF138=0,"n/a",
IF(OR(AND('Soil results'!G$7="Olsen (ADAS)",'Soil results'!G143&gt;45),AND('Soil results'!G$7="modified Morgan (SAC)",'Soil results'!G143&gt;30)),
IF(H140&gt;2,"too high, not acceptable","no requirement"),IF(OR(AND('Soil results'!G$7="Olsen (ADAS)",'Soil results'!G143&gt;25),AND('Soil results'!G$7="modified Morgan (SAC)",'Soil results'!G143&gt;13.4)),
IF(H140*(I140/100)&lt;0.1*J140,"no benefit",
IF(H140*(I140/100)&lt;0.3*J140,"limited benefit",
IF(H140*(I140/100)&lt;1.1*J140,"benefit",
IF(H140*(I140/100)&lt;0.7*VLOOKUP(Calc!BI138,'Fertiliser recommendations'!$A$4:$I$63,9,FALSE),"excessive","too high, not acceptable")))),
IF(OR(AND('Soil results'!G$7="Olsen (ADAS)",'Soil results'!G143&gt;20),AND('Soil results'!G$7="modified Morgan (SAC)",'Soil results'!G143&gt;9.4)),
IF(H140*Calc!BM138*(I140/100)&lt;0.1*J140,"no benefit",
IF(H140*Calc!BM138*(I140/100)&lt;0.3*J140,"limited benefit",
IF(H140*Calc!BM138*(I140/100)&lt;1.1*J140,"benefit",
IF(L140="3 (H)","too high, not acceptable","excessive")))),
IF(OR(AND('Soil results'!G$7="Olsen (ADAS)",'Soil results'!G143&gt;15),AND('Soil results'!G$7="modified Morgan (SAC)",'Soil results'!G143&gt;4.4)),
IF(H140*Calc!BM138*(I140/100)&lt;0.1*VLOOKUP(Calc!BI138,'Fertiliser recommendations'!$A$4:$I$63,9,FALSE),"no benefit",
IF(H140*Calc!BM138*(I140/100)&lt;0.3*VLOOKUP(Calc!BI138,'Fertiliser recommendations'!$A$4:$I$63,9,FALSE),"limited benefit",
IF(H140*Calc!BM138*(I140/100)&lt;1.1*VLOOKUP(Calc!BI138,'Fertiliser recommendations'!$A$4:$I$63,9,FALSE),"benefit",
IF(L140="3 (H)", "too high, not acceptable", "excessive")))),
IF(OR(AND('Soil results'!G$7="Olsen (ADAS)",'Soil results'!G143&lt;=15),AND('Soil results'!G$7="modified Morgan (SAC)",'Soil results'!G143&lt;=4.4)),
IF(H140*Calc!BM138*(I140/100)&lt;0.1*VLOOKUP(Calc!BI138,'Fertiliser recommendations'!$A$4:$I$63,9,FALSE),"no benefit",
IF(H140*Calc!BM138*(I140/100)&lt;0.3*VLOOKUP(Calc!BI138,'Fertiliser recommendations'!$A$4:$I$63,9,FALSE),"limited benefit",
IF(H140*Calc!BM138*(I140/100)&lt;1.1*J140,"benefit","excessive")))))))))))</f>
        <v/>
      </c>
      <c r="N140" s="9"/>
      <c r="O140" s="91" t="str">
        <f ca="1">IF(B140="","",
IF(AND('Field information 2'!$O$5="", 'Field information 2'!$Q$5=""),
   IF('Waste results'!$S$19&lt;&gt;"data missing", Calc!BC138*'Waste results'!$S$19, "data missing"),
IF('Field information 2'!$Q$5="",
   IF(Calc!BD138=0,
     IF('Waste results'!$S$19&lt;&gt;"data missing", Calc!BC138*'Waste results'!$S$19, "data missing"),
   IF(Calc!BC138=0,
     IF('Waste results'!$S$55&lt;&gt;"data missing", Calc!BD138*'Waste results'!$S$55, "data missing"),
   IF(OR('Waste results'!$S$19&lt;&gt;"data missing", 'Waste results'!$S$55&lt;&gt;"data missing"), Calc!BC138*'Waste results'!$S$19+ Calc!BD138*'Waste results'!$S$55, "data missing"))),
IF(AND('Field information 2'!$M$5&lt;&gt;"", 'Field information 2'!$O$5&lt;&gt;"", 'Field information 2'!$Q$5&lt;&gt;""),
   IF(AND(Calc!BD138=0,Calc!BE138=0),
     IF('Waste results'!$S$19&lt;&gt;"data missing", Calc!BC138*'Waste results'!$S$19, "data missing"),
   IF(AND(Calc!BC138=0,Calc!BE138=0),
     IF('Waste results'!$S$55&lt;&gt;"data missing", Calc!BD138*'Waste results'!$S$55, "data missing"),
   IF(AND(Calc!BC138=0,Calc!BD138=0),
     IF('Waste results'!$S$91&lt;&gt;"data missing", Calc!BE138*'Waste results'!$S$91, "data missing"),
   IF(Calc!BE138=0,
     IF(OR('Waste results'!$S$19&lt;&gt;"data missing", 'Waste results'!$S$55&lt;&gt;"data missing"), Calc!BC138*'Waste results'!$S$19+ Calc!BD138*'Waste results'!$S$55, "data missing"),
   IF(Calc!BD138=0,
     IF(OR('Waste results'!$S$19&lt;&gt;"data missing", 'Waste results'!$S$91&lt;&gt;"data missing"), Calc!BC138*'Waste results'!$S$19+ Calc!BE138*'Waste results'!$S$91, "data missing"),
   IF(Calc!BC138=0,
     IF(OR('Waste results'!$S$55&lt;&gt;"data missing", 'Waste results'!$S$91&lt;&gt;"data missing"), Calc!BD138*'Waste results'!$S$55+Calc!BE138*'Waste results'!$S$91, "data missing"),
   IF(OR('Waste results'!$S$19&lt;&gt;"data missing", 'Waste results'!$S$55&lt;&gt;"data missing", 'Waste results'!$S$91&lt;&gt;"data missing"), Calc!BC138*'Waste results'!$S$19+Calc!BD138*'Waste results'!$S$55+ Calc!BE138*'Waste results'!$S$91, "data missing")))))))))))</f>
        <v/>
      </c>
      <c r="P140" s="91" t="str">
        <f ca="1">IF(B140="","",
IF(OR(ISBLANK('Soil results'!H$7),ISBLANK('Soil results'!H143)),"data missing",
IF(OR(AND('Soil results'!H$7="ammonium nitrate (ADAS)",'Soil results'!H143&gt;400),AND('Soil results'!H$7="modified Morgan (SAC)",'Soil results'!H143&gt;400)),0,
IF(OR(AND('Soil results'!H$7="ammonium nitrate (ADAS)",'Soil results'!H143&gt;=121,'Soil results'!H143&lt;=180),AND('Soil results'!H$7="modified Morgan (SAC)",'Soil results'!H143&gt;=76,'Soil results'!H143&lt;=140)),VLOOKUP(Calc!BI138,'Fertiliser recommendations'!$A$4:$Z$63,26,FALSE),
IF(OR(AND('Soil results'!H$7="ammonium nitrate (ADAS)",'Soil results'!H143&lt;61),AND('Soil results'!H$7="modified Morgan (SAC)",'Soil results'!H143&lt;40)),VLOOKUP(Calc!BI138,'Fertiliser recommendations'!$A$4:$Z$63,26,FALSE)+VLOOKUP(Calc!BI138,'Fertiliser recommendations'!$A$4:$AA$63,27,FALSE),
IF(OR(AND('Soil results'!H$7="ammonium nitrate (ADAS)",'Soil results'!H143&lt;121),AND('Soil results'!H$7="modified Morgan (SAC)",'Soil results'!H143&lt;76)),VLOOKUP(Calc!BI138,'Fertiliser recommendations'!$A$4:$Z$63,26,FALSE)+VLOOKUP(Calc!BI138,'Fertiliser recommendations'!$A$4:$AB$63,28,FALSE),
IF(OR(AND('Soil results'!H$7="ammonium nitrate (ADAS)",'Soil results'!H143&lt;241),AND('Soil results'!H$7="modified Morgan (SAC)",'Soil results'!H143&lt;201)),VLOOKUP(Calc!BI138,'Fertiliser recommendations'!$A$4:$Z$63,26,FALSE)+VLOOKUP(Calc!BI138,'Fertiliser recommendations'!$A$4:$AC$63,29,FALSE),
IF(OR(AND('Soil results'!H$7="ammonium nitrate (ADAS)",'Soil results'!H143&lt;=400),AND('Soil results'!H$7="modified Morgan (SAC)",'Soil results'!H143&lt;=400)),VLOOKUP(Calc!BI138,'Fertiliser recommendations'!$A$4:$Z$63,26,FALSE)+VLOOKUP(Calc!BI138,'Fertiliser recommendations'!$A$4:$AD$63,30,FALSE),
"??"))))))))</f>
        <v/>
      </c>
      <c r="Q140" s="91" t="str">
        <f t="shared" ca="1" si="36"/>
        <v/>
      </c>
      <c r="R140" s="9" t="str">
        <f ca="1">IF(B140="","",
IF(OR(O140="data missing",P140="data missing"),"data missing",
IF(Calc!BF138=0,"n/a",
IF(P140=0, "no requirement",
IF(O140&lt;0.1*P140,"no benefit",
IF(O140&lt;0.3*P140,"limited benefit",
IF(O140&gt;1.25*P140,"excessive",
"benefit")))))))</f>
        <v/>
      </c>
      <c r="S140" s="9"/>
      <c r="T140" s="91" t="str">
        <f ca="1">IF(B140="","",
IF(AND('Field information 2'!$O$5="", 'Field information 2'!$Q$5=""),
   IF('Waste results'!$S$21&lt;&gt;"data missing", Calc!BC138*'Waste results'!$S$21, "data missing"),
IF('Field information 2'!$Q$5="",
   IF(Calc!BD138=0,
     IF('Waste results'!$S$21&lt;&gt;"data missing", Calc!BC138*'Waste results'!$S$21, "data missing"),
   IF(Calc!BC138=0,
     IF('Waste results'!$S$57&lt;&gt;"data missing", Calc!BD138*'Waste results'!$S$57, "data missing"),
   IF(OR('Waste results'!$S$21&lt;&gt;"data missing", 'Waste results'!$S$57&lt;&gt;"data missing"), Calc!BC138*'Waste results'!$S$21+ Calc!BD138*'Waste results'!$S$57, "data missing"))),
IF(AND('Field information 2'!$M$5&lt;&gt;"", 'Field information 2'!$O$5&lt;&gt;"", 'Field information 2'!$Q$5&lt;&gt;""),
   IF(AND(Calc!BD138=0,Calc!BE138=0),
     IF('Waste results'!$S$21&lt;&gt;"data missing", Calc!BC138*'Waste results'!$S$21, "data missing"),
   IF(AND(Calc!BC138=0,Calc!BE138=0),
     IF('Waste results'!$S$57&lt;&gt;"data missing", Calc!BD138*'Waste results'!$S$57, "data missing"),
   IF(AND(Calc!BC138=0,Calc!BD138=0),
     IF('Waste results'!$S$93&lt;&gt;"data missing", Calc!BE138*'Waste results'!$S$93, "data missing"),
   IF(Calc!BE138=0,
     IF(OR('Waste results'!$S$21&lt;&gt;"data missing", 'Waste results'!$S$57&lt;&gt;"data missing"), Calc!BC138*'Waste results'!$S$21+ Calc!BD138*'Waste results'!$S$57, "data missing"),
   IF(Calc!BD138=0,
     IF(OR('Waste results'!$S$21&lt;&gt;"data missing", 'Waste results'!$S$93&lt;&gt;"data missing"), Calc!BC138*'Waste results'!$S$21+ Calc!BE138*'Waste results'!$S$93, "data missing"),
   IF(Calc!BC138=0,
     IF(OR('Waste results'!$S$57&lt;&gt;"data missing", 'Waste results'!$S$93&lt;&gt;"data missing"), Calc!BD138*'Waste results'!$S$57+Calc!BE138*'Waste results'!$S$93, "data missing"),
   IF(OR('Waste results'!$S$21&lt;&gt;"data missing", 'Waste results'!$S$57&lt;&gt;"data missing", 'Waste results'!$S$93&lt;&gt;"data missing"), Calc!BC138*'Waste results'!$S$21+Calc!BD138*'Waste results'!$S$57+ Calc!BE138*'Waste results'!$S$93, "data missing")))))))))))</f>
        <v/>
      </c>
      <c r="U140" s="7" t="str">
        <f ca="1">IF(B140="","",
IF(OR(ISBLANK('Soil results'!I$7),ISBLANK('Soil results'!I143)),"data missing",
IF(OR(AND('Soil results'!I$7="ammonium nitrate (ADAS)",'Soil results'!I143&gt;51),AND('Soil results'!I$7="modified Morgan (SAC)",'Soil results'!I143&gt;61)),0,
IF(OR(AND('Soil results'!I$7="ammonium nitrate (ADAS)",'Soil results'!I143&lt;25),AND('Soil results'!I$7="modified Morgan (SAC)",'Soil results'!I143&lt;19)),VLOOKUP(Calc!BI138,'Fertiliser recommendations'!$A$4:$AH$63,34,FALSE),
IF(OR(AND('Soil results'!I$7="ammonium nitrate (ADAS)",'Soil results'!I143&lt;=51),AND('Soil results'!I$7="modified Morgan (SAC)",'Soil results'!I143&lt;=61)),VLOOKUP(Calc!BI138,'Fertiliser recommendations'!$A$4:$AI$63,35,FALSE),
"")))))</f>
        <v/>
      </c>
      <c r="V140" s="91" t="str">
        <f t="shared" ca="1" si="37"/>
        <v/>
      </c>
      <c r="W140" s="9" t="str">
        <f ca="1">IF(B140="","",
IF(OR(T140="data missing",U140="data missing"),"data missing",
IF(Calc!BF138=0,"n/a",
IF(U140=0,"no requirement",
IF(T140&lt;0.1*U140,"no benefit",
IF(T140&lt;0.3*U140,"limited benefit",
IF(OR(T140&gt;1.5*U140,AND(Calc!BJ138="g",T140&gt;100)),"excessive",
"benefit")))))))</f>
        <v/>
      </c>
      <c r="X140" s="9"/>
      <c r="Y140" s="91" t="str">
        <f ca="1">IF(B140="","",
IF(AND('Field information 2'!$O$5="", 'Field information 2'!$Q$5=""),
   IF('Waste results'!$P$23&lt;&gt;"", Calc!BC138*'Waste results'!$P$23, "no data"),
IF('Field information 2'!$Q$5="",
   IF(Calc!BD138=0,
     IF('Waste results'!$P$23&lt;&gt;"", Calc!BC138*'Waste results'!$P$23, "no data"),
   IF(Calc!BC138=0,
     IF('Waste results'!$P$59&lt;&gt;"", Calc!BD138*'Waste results'!$P$59, "no data"),
   IF(OR('Waste results'!$P$23&lt;&gt;"", 'Waste results'!$P$59&lt;&gt;""), Calc!BC138*'Waste results'!$P$23+ Calc!BD138*'Waste results'!$P$59, "no data"))),
IF(AND('Field information 2'!$M$5&lt;&gt;"", 'Field information 2'!$O$5&lt;&gt;"", 'Field information 2'!$Q$5&lt;&gt;""),
   IF(AND(Calc!BD138=0,Calc!BE138=0),
     IF('Waste results'!$P$23&lt;&gt;"", Calc!BC138*'Waste results'!$P$23, "no data"),
   IF(AND(Calc!BC138=0,Calc!BE138=0),
     IF('Waste results'!$P$59&lt;&gt;"", Calc!BD138*'Waste results'!$P$59, "no data"),
   IF(AND(Calc!BC138=0,Calc!BD138=0),
     IF('Waste results'!$P$95&lt;&gt;"", Calc!BE138*'Waste results'!$P$95, "no data"),
   IF(Calc!BE138=0,
     IF(OR('Waste results'!$P$23&lt;&gt;"", 'Waste results'!$P$59&lt;&gt;""), Calc!BC138*'Waste results'!$P$23+ Calc!BD138*'Waste results'!$P$59, "no data"),
   IF(Calc!BD138=0,
     IF(OR('Waste results'!$P$23&lt;&gt;"", 'Waste results'!$P$95&lt;&gt;""), Calc!BC138*'Waste results'!$P$23+ Calc!BE138*'Waste results'!$P$95, "no data"),
   IF(Calc!BC138=0,
     IF(OR('Waste results'!$P$59&lt;&gt;"", 'Waste results'!$P$95&lt;&gt;""), Calc!BD138*'Waste results'!$P$59+Calc!BE138*'Waste results'!$P$95, "no data"),
   IF(OR('Waste results'!$P$23&lt;&gt;"", 'Waste results'!$P$59&lt;&gt;"", 'Waste results'!$P$95&lt;&gt;""), Calc!BC138*'Waste results'!$P$23+Calc!BD138*'Waste results'!$P$59+ Calc!BE138*'Waste results'!$P$95, "no data")))))))))))</f>
        <v/>
      </c>
      <c r="Z140" s="7" t="str">
        <f ca="1">IF(OR(ISBLANK('Soil results'!I$7),ISBLANK('Soil results'!I143),'Soil results'!B143=""),"",
VLOOKUP(Calc!BI138,'Fertiliser recommendations'!$A$4:$AM$63,39,FALSE))</f>
        <v/>
      </c>
      <c r="AA140" s="91" t="str">
        <f t="shared" ca="1" si="38"/>
        <v/>
      </c>
      <c r="AB140" s="9" t="str">
        <f t="shared" ca="1" si="39"/>
        <v/>
      </c>
      <c r="AC140" s="9"/>
      <c r="AD140" s="48" t="str">
        <f>IF(ISBLANK('Soil results'!F143),"",'Soil results'!F143)</f>
        <v/>
      </c>
      <c r="AE140" s="49" t="str">
        <f ca="1">IF(B140="","",
IF(AND(Calc!BJ138="g", VLOOKUP(LEFT($B140,LEN($B140)-2),'Field information 2'!$B$12:$P$111,9,FALSE)&lt;&gt;"yes"),
 IF(Calc!BG138="10-25% OM", 5.9, IF(Calc!BG138="&gt;25% OM", 5.5, 6.2)),
IF(OR(Calc!BJ138="a", VLOOKUP(LEFT($B140,LEN($B140)-2),'Field information 2'!$B$12:$P$111,9,FALSE)="yes"),
 IF(Calc!BG138="10-25% OM", 6.4, IF(Calc!BG138="&gt;25% OM", 6, 6.7)), "")))</f>
        <v/>
      </c>
      <c r="AF140" s="91" t="str">
        <f ca="1">IF(B140="","",
IF('Waste results'!$Q$33="","no (significant) liming properties",
IF('Waste results'!Q$33&gt;100,"no (significant) liming properties",
IF(AD140="","",
IF(AD140&gt;=AE140,0,ROUNDDOWN((AE140-AD140)*Calc!BK138*'Waste results'!$Q$33+0.2,0))))))</f>
        <v/>
      </c>
      <c r="AG140" s="9" t="str">
        <f ca="1">IF(B140="","",
IF(T140=0,"n/a",
IF(AD140="","data missing",
IF(AND(AD140&lt;5,AF140="no (significant) liming properties"),"no waste application - pH too low",
IF(AND(AD140&gt;5.1,AF140="no (significant) liming properties",Calc!BH138&gt;25, LEFT(Calc!BI138,4)="graz"),"ok",
IF(AND(AD140&lt;=5.2,AF140="no (significant) liming properties"),"liming highly recommended",
IF(AF140=0,"no waste application - liming not required",
IF(AF140&lt;Calc!BC138,"application rate too high - exceeds liming requirement",
"ok"))))))))</f>
        <v/>
      </c>
      <c r="AH140" s="9"/>
      <c r="AI140" s="91" t="str">
        <f ca="1">IF(B140="","",
IF(AND('Field information 2'!$O$5="", 'Field information 2'!$Q$5=""),
   IF('Waste results'!$P$10&lt;&gt;"data missing", Calc!BC138*'Waste results'!$P$10, "data missing"),
IF('Field information 2'!$Q$5="",
   IF(Calc!BD138=0,
     IF('Waste results'!$P$10&lt;&gt;"data missing", Calc!BC138*'Waste results'!$P$10, "data missing"),
   IF(Calc!BC138=0,
     IF('Waste results'!$P$45&lt;&gt;"data missing", Calc!BD138*'Waste results'!$P$45, "data missing"),
   IF(OR('Waste results'!$P$10&lt;&gt;"data missing", 'Waste results'!$P$45&lt;&gt;"data missing"), Calc!BC138*'Waste results'!$P$10+ Calc!BD138*'Waste results'!$P$45, "data missing"))),
IF(AND('Field information 2'!$M$5&lt;&gt;"", 'Field information 2'!$O$5&lt;&gt;"", 'Field information 2'!$Q$5&lt;&gt;""),
   IF(AND(Calc!BD138=0,Calc!BE138=0),
     IF('Waste results'!$P$10&lt;&gt;"data missing", Calc!BC138*'Waste results'!$P$10, "data missing"),
   IF(AND(Calc!BC138=0,Calc!BE138=0),
     IF('Waste results'!$P$45&lt;&gt;"data missing", Calc!BD138*'Waste results'!$P$45, "data missing"),
   IF(AND(Calc!BC138=0,Calc!BD138=0),
     IF('Waste results'!$P$82&lt;&gt;"data missing", Calc!BE138*'Waste results'!$P$82, "data missing"),
   IF(Calc!BE138=0,
     IF(OR('Waste results'!$P$10&lt;&gt;"data missing", 'Waste results'!$P$45&lt;&gt;"data missing"), Calc!BC138*'Waste results'!$P$10+ Calc!BD138*'Waste results'!$P$45, "data missing"),
   IF(Calc!BD138=0,
     IF(OR('Waste results'!$P$10&lt;&gt;"data missing", 'Waste results'!$P$82&lt;&gt;"data missing"), Calc!BC138*'Waste results'!$P$10+ Calc!BE138*'Waste results'!$P$82, "data missing"),
   IF(Calc!BC138=0,
     IF(OR('Waste results'!$P$45&lt;&gt;"data missing", 'Waste results'!$P$82&lt;&gt;"data missing"), Calc!BD138*'Waste results'!$P$45+Calc!BE138*'Waste results'!$P$82, "data missing"),
   IF(OR('Waste results'!$P$10&lt;&gt;"data missing", 'Waste results'!$P$45&lt;&gt;"data missing", 'Waste results'!$P$82&lt;&gt;"data missing"), Calc!BC138*'Waste results'!$P$10+Calc!BD138*'Waste results'!$P$45+ Calc!BE138*'Waste results'!$P$82, "data missing")))))))))))</f>
        <v/>
      </c>
      <c r="AJ140" s="237" t="str">
        <f ca="1">IF(B140="","",
IF(AI140="data missing","data missing",
IF(Calc!BF138=0,"n/a",
IF(AND(Calc!BH138&gt;=8,AI140&lt;500),"no benefit",
IF(OR(AND(Calc!BH138&lt;=4,AI140&gt;=500),AND(Calc!BH138&lt;8,AI140&gt;5000)),"benefit",
"limited benefit")))))</f>
        <v/>
      </c>
      <c r="AK140" s="9"/>
      <c r="AL140" s="238" t="str">
        <f ca="1">IF(B140="","",
IF(AND('Field information 2'!$O$5="", 'Field information 2'!$Q$5=""),
   IF('Waste results'!$S$25&lt;&gt;"data missing", Calc!BC138*'Waste results'!$S$25, "data missing"),
IF('Field information 2'!$Q$5="",
   IF(Calc!BD138=0,
     IF('Waste results'!$S$25&lt;&gt;"data missing", Calc!BC138*'Waste results'!$S$25, "data missing"),
   IF(Calc!BC138=0,
     IF('Waste results'!$S$61&lt;&gt;"data missing", Calc!BD138*'Waste results'!$S$61, "data missing"),
   IF(OR('Waste results'!$S$25&lt;&gt;"data missing", 'Waste results'!$S$61&lt;&gt;"data missing"), Calc!BC138*'Waste results'!$S$25+ Calc!BD138*'Waste results'!$S$61, "data missing"))),
IF(AND('Field information 2'!$M$5&lt;&gt;"", 'Field information 2'!$O$5&lt;&gt;"", 'Field information 2'!$Q$5&lt;&gt;""),
   IF(AND(Calc!BD138=0,Calc!BE138=0),
     IF('Waste results'!$S$25&lt;&gt;"data missing", Calc!BC138*'Waste results'!$S$25, "data missing"),
   IF(AND(Calc!BC138=0,Calc!BE138=0),
     IF('Waste results'!$S$61&lt;&gt;"data missing", Calc!BD138*'Waste results'!$S$61, "data missing"),
   IF(AND(Calc!BC138=0,Calc!BD138=0),
     IF('Waste results'!$S$97&lt;&gt;"data missing", Calc!BE138*'Waste results'!$S$97, "data missing"),
   IF(Calc!BE138=0,
     IF(OR('Waste results'!$S$25&lt;&gt;"data missing", 'Waste results'!$S$61&lt;&gt;"data missing"), Calc!BC138*'Waste results'!$S$25+ Calc!BD138*'Waste results'!$S$61, "data missing"),
   IF(Calc!BD138=0,
     IF(OR('Waste results'!$S$25&lt;&gt;"data missing", 'Waste results'!$S$97&lt;&gt;"data missing"), Calc!BC138*'Waste results'!$S$25+ Calc!BE138*'Waste results'!$S$97, "data missing"),
   IF(Calc!BC138=0,
     IF(OR('Waste results'!$S$61&lt;&gt;"data missing", 'Waste results'!$S$97&lt;&gt;"data missing"), Calc!BD138*'Waste results'!$S$61+Calc!BE138*'Waste results'!$S$97, "data missing"),
   IF(OR('Waste results'!$S$25&lt;&gt;"data missing", 'Waste results'!$S$61&lt;&gt;"data missing", 'Waste results'!$S$97&lt;&gt;"data missing"), Calc!BC138*'Waste results'!$S$25+Calc!BD138*'Waste results'!$S$61+ Calc!BE138*'Waste results'!$S$97, "data missing")))))))))))</f>
        <v/>
      </c>
      <c r="AM140" s="239" t="str">
        <f ca="1">IF($B140="","",
IF(ISBLANK('Soil results'!K143),"data missing",'Soil results'!K143))</f>
        <v/>
      </c>
      <c r="AN140" s="239" t="str">
        <f t="shared" ca="1" si="40"/>
        <v/>
      </c>
      <c r="AO140" s="9" t="str">
        <f t="shared" ca="1" si="41"/>
        <v/>
      </c>
      <c r="AP140" s="9"/>
      <c r="AQ140" s="240" t="str">
        <f ca="1">IF(B140="","",
IF(AND('Field information 2'!$O$5="", 'Field information 2'!$Q$5=""),
   IF('Waste results'!$S$26&lt;&gt;"data missing", Calc!BC138*'Waste results'!$S$26, "data missing"),
IF('Field information 2'!$Q$5="",
   IF(Calc!BD138=0,
     IF('Waste results'!$S$26&lt;&gt;"data missing", Calc!BC138*'Waste results'!$S$26, "data missing"),
   IF(Calc!BC138=0,
     IF('Waste results'!$S$62&lt;&gt;"data missing", Calc!BD138*'Waste results'!$S$62, "data missing"),
   IF(OR('Waste results'!$S$26&lt;&gt;"data missing", 'Waste results'!$S$62&lt;&gt;"data missing"), Calc!BC138*'Waste results'!$S$26+ Calc!BD138*'Waste results'!$S$62, "data missing"))),
IF(AND('Field information 2'!$M$5&lt;&gt;"", 'Field information 2'!$O$5&lt;&gt;"", 'Field information 2'!$Q$5&lt;&gt;""),
   IF(AND(Calc!BD138=0,Calc!BE138=0),
     IF('Waste results'!$S$26&lt;&gt;"data missing", Calc!BC138*'Waste results'!$S$26, "data missing"),
   IF(AND(Calc!BC138=0,Calc!BE138=0),
     IF('Waste results'!$S$62&lt;&gt;"data missing", Calc!BD138*'Waste results'!$S$62, "data missing"),
   IF(AND(Calc!BC138=0,Calc!BD138=0),
     IF('Waste results'!$S$98&lt;&gt;"data missing", Calc!BE138*'Waste results'!$S$98, "data missing"),
   IF(Calc!BE138=0,
     IF(OR('Waste results'!$S$26&lt;&gt;"data missing", 'Waste results'!$S$62&lt;&gt;"data missing"), Calc!BC138*'Waste results'!$S$26+ Calc!BD138*'Waste results'!$S$62, "data missing"),
   IF(Calc!BD138=0,
     IF(OR('Waste results'!$S$26&lt;&gt;"data missing", 'Waste results'!$S$98&lt;&gt;"data missing"), Calc!BC138*'Waste results'!$S$26+ Calc!BE138*'Waste results'!$S$98, "data missing"),
   IF(Calc!BC138=0,
     IF(OR('Waste results'!$S$62&lt;&gt;"data missing", 'Waste results'!$S$98&lt;&gt;"data missing"), Calc!BD138*'Waste results'!$S$62+Calc!BE138*'Waste results'!$S$98, "data missing"),
   IF(OR('Waste results'!$S$26&lt;&gt;"data missing", 'Waste results'!$S$62&lt;&gt;"data missing", 'Waste results'!$S$98&lt;&gt;"data missing"), Calc!BC138*'Waste results'!$S$26+Calc!BD138*'Waste results'!$S$62+ Calc!BE138*'Waste results'!$S$98, "data missing")))))))))))</f>
        <v/>
      </c>
      <c r="AR140" s="241" t="str">
        <f ca="1">IF($B140="","",
IF(ISBLANK('Soil results'!L143),"data missing",'Soil results'!L143))</f>
        <v/>
      </c>
      <c r="AS140" s="241" t="str">
        <f t="shared" ca="1" si="42"/>
        <v/>
      </c>
      <c r="AT140" s="66" t="str">
        <f t="shared" ca="1" si="43"/>
        <v/>
      </c>
      <c r="AU140" s="9"/>
      <c r="AV140" s="238" t="str">
        <f ca="1">IF(B140="","",
IF(AND('Field information 2'!$O$5="", 'Field information 2'!$Q$5=""),
   IF('Waste results'!$S$27&lt;&gt;"data missing", Calc!BC138*'Waste results'!$S$27, "data missing"),
IF('Field information 2'!$Q$5="",
   IF(Calc!BD138=0,
     IF('Waste results'!$S$27&lt;&gt;"data missing", Calc!BC138*'Waste results'!$S$27, "data missing"),
   IF(Calc!BC138=0,
     IF('Waste results'!$S$63&lt;&gt;"data missing", Calc!BD138*'Waste results'!$S$63, "data missing"),
   IF(OR('Waste results'!$S$27&lt;&gt;"data missing", 'Waste results'!$S$63&lt;&gt;"data missing"), Calc!BC138*'Waste results'!$S$27+ Calc!BD138*'Waste results'!$S$63, "data missing"))),
IF(AND('Field information 2'!$M$5&lt;&gt;"", 'Field information 2'!$O$5&lt;&gt;"", 'Field information 2'!$Q$5&lt;&gt;""),
   IF(AND(Calc!BD138=0,Calc!BE138=0),
     IF('Waste results'!$S$27&lt;&gt;"data missing", Calc!BC138*'Waste results'!$S$27, "data missing"),
   IF(AND(Calc!BC138=0,Calc!BE138=0),
     IF('Waste results'!$S$63&lt;&gt;"data missing", Calc!BD138*'Waste results'!$S$63, "data missing"),
   IF(AND(Calc!BC138=0,Calc!BD138=0),
     IF('Waste results'!$S$99&lt;&gt;"data missing", Calc!BE138*'Waste results'!$S$99, "data missing"),
   IF(Calc!BE138=0,
     IF(OR('Waste results'!$S$27&lt;&gt;"data missing", 'Waste results'!$S$63&lt;&gt;"data missing"), Calc!BC138*'Waste results'!$S$27+ Calc!BD138*'Waste results'!$S$63, "data missing"),
   IF(Calc!BD138=0,
     IF(OR('Waste results'!$S$27&lt;&gt;"data missing", 'Waste results'!$S$99&lt;&gt;"data missing"), Calc!BC138*'Waste results'!$S$27+ Calc!BE138*'Waste results'!$S$99, "data missing"),
   IF(Calc!BC138=0,
     IF(OR('Waste results'!$S$63&lt;&gt;"data missing", 'Waste results'!$S$99&lt;&gt;"data missing"), Calc!BD138*'Waste results'!$S$63+Calc!BE138*'Waste results'!$S$99, "data missing"),
   IF(OR('Waste results'!$S$27&lt;&gt;"data missing", 'Waste results'!$S$63&lt;&gt;"data missing", 'Waste results'!$S$99&lt;&gt;"data missing"), Calc!BC138*'Waste results'!$S$27+Calc!BD138*'Waste results'!$S$63+ Calc!BE138*'Waste results'!$S$99, "data missing")))))))))))</f>
        <v/>
      </c>
      <c r="AW140" s="239" t="str">
        <f ca="1">IF($B140="","",
IF(ISBLANK('Soil results'!M143),"data missing",'Soil results'!M143))</f>
        <v/>
      </c>
      <c r="AX140" s="239" t="str">
        <f t="shared" ca="1" si="44"/>
        <v/>
      </c>
      <c r="AY140" s="9" t="str">
        <f ca="1">IF(B140="","",
IF(AV140=0,"n/a",
IF(OR(AV140="data missing",AW140="data missing"),"data missing",
IF(AV140&gt;7.5,"application rate too high - permissible rate exceeds limit",
IF('Soil results'!$F143&lt;=5.5,
  IF(AW140&gt;80,"no application - soil conc. already above limit",
  IF(AX140&gt;80,"application rate too high - soil conc. will exceed limit",
  IF(AW140&gt;80*0.9,"soil conc. is at or above 90% of the limit",
  IF(10*AV140*1000/3000+AW140&gt;80,"soil limit likely to be exceeded in 10yrs",
  IF(50*AV140*1000/3000+AW140&gt;80,"soil limit likely to be exceeded in 50yrs","ok"))))),
IF('Soil results'!$F143&lt;=6,
  IF(AW140&gt;100,"no application - soil conc. already above limit",
  IF(AX140&gt;100,"application rate too high - soil conc. will exceed limit",
  IF(AW140&gt;100*0.9,"soil conc. is at or above 90% of the limit",
  IF(10*AV140*1000/3000+AW140&gt;100,"soil limit likely to be exceeded in 10yrs",
  IF(50*AV140*1000/3000+AW140&gt;100,"soil limit likely to be exceeded in 50yrs","ok"))))),
IF('Soil results'!$F143&lt;=7,
  IF(AW140&gt;135,"no application - soil conc. already above limit",
  IF(AX140&gt;135,"application rate too high - soil conc. will exceed limit",
  IF(AW140&gt;135*0.9,"soil conc. is at or above 90% of the limit",
  IF(10*AV140*1000/3000+AW140&gt;135,"soil limit likely to be exceeded in 10yrs",
  IF(50*AV140*1000/3000+AW140&gt;135,"soil limit likely to be exceeded in 50yrs","ok"))))),
IF('Soil results'!$F143&gt;7,
  IF(AW140&gt;200,"no application - soil conc. already above limit",
  IF(AX140&gt;200,"application too high - soil conc. will exceed limit",
  IF(AW140&gt;200*0.9,"soil conc. is at or above 90% of the limit",
  IF(10*AV140*1000/3000+AW140&gt;200,"soil limit likely to be exceeded in 10yrs",
  IF(50*AV140*1000/3000+AW140&gt;200,"soil limit likely to be exceeded in 50yrs","ok")))))
))))))))</f>
        <v/>
      </c>
      <c r="AZ140" s="9"/>
      <c r="BA140" s="238" t="str">
        <f ca="1">IF(B140="","",
IF(AND('Field information 2'!$O$5="", 'Field information 2'!$Q$5=""),
   IF('Waste results'!$S$28&lt;&gt;"data missing", Calc!BC138*'Waste results'!$S$28, "data missing"),
IF('Field information 2'!$Q$5="",
   IF(Calc!BD138=0,
     IF('Waste results'!$S$28&lt;&gt;"data missing", Calc!BC138*'Waste results'!$S$28, "data missing"),
   IF(Calc!BC138=0,
     IF('Waste results'!$S$64&lt;&gt;"data missing", Calc!BD138*'Waste results'!$S$64, "data missing"),
   IF(OR('Waste results'!$S$28&lt;&gt;"data missing", 'Waste results'!$S$64&lt;&gt;"data missing"), Calc!BC138*'Waste results'!$S$28+ Calc!BD138*'Waste results'!$S$64, "data missing"))),
IF(AND('Field information 2'!$M$5&lt;&gt;"", 'Field information 2'!$O$5&lt;&gt;"", 'Field information 2'!$Q$5&lt;&gt;""),
   IF(AND(Calc!BD138=0,Calc!BE138=0),
     IF('Waste results'!$S$28&lt;&gt;"data missing", Calc!BC138*'Waste results'!$S$28, "data missing"),
   IF(AND(Calc!BC138=0,Calc!BE138=0),
     IF('Waste results'!$S$64&lt;&gt;"data missing", Calc!BD138*'Waste results'!$S$64, "data missing"),
   IF(AND(Calc!BC138=0,Calc!BD138=0),
     IF('Waste results'!$S$100&lt;&gt;"data missing", Calc!BE138*'Waste results'!$S$100, "data missing"),
   IF(Calc!BE138=0,
     IF(OR('Waste results'!$S$28&lt;&gt;"data missing", 'Waste results'!$S$64&lt;&gt;"data missing"), Calc!BC138*'Waste results'!$S$28+ Calc!BD138*'Waste results'!$S$64, "data missing"),
   IF(Calc!BD138=0,
     IF(OR('Waste results'!$S$28&lt;&gt;"data missing", 'Waste results'!$S$100&lt;&gt;"data missing"), Calc!BC138*'Waste results'!$S$28+ Calc!BE138*'Waste results'!$S$100, "data missing"),
   IF(Calc!BC138=0,
     IF(OR('Waste results'!$S$64&lt;&gt;"data missing", 'Waste results'!$S$100&lt;&gt;"data missing"), Calc!BD138*'Waste results'!$S$64+Calc!BE138*'Waste results'!$S$100, "data missing"),
   IF(OR('Waste results'!$S$28&lt;&gt;"data missing", 'Waste results'!$S$64&lt;&gt;"data missing", 'Waste results'!$S$100&lt;&gt;"data missing"), Calc!BC138*'Waste results'!$S$28+Calc!BD138*'Waste results'!$S$64+ Calc!BE138*'Waste results'!$S$100, "data missing")))))))))))</f>
        <v/>
      </c>
      <c r="BB140" s="239" t="str">
        <f ca="1">IF($B140="","",
IF(ISBLANK('Soil results'!N143),"data missing",'Soil results'!N143))</f>
        <v/>
      </c>
      <c r="BC140" s="239" t="str">
        <f t="shared" ca="1" si="45"/>
        <v/>
      </c>
      <c r="BD140" s="9" t="str">
        <f t="shared" ca="1" si="46"/>
        <v/>
      </c>
      <c r="BE140" s="9"/>
      <c r="BF140" s="238" t="str">
        <f ca="1">IF(B140="","",
IF(AND('Field information 2'!$O$5="", 'Field information 2'!$Q$5=""),
   IF('Waste results'!$S$29&lt;&gt;"data missing", Calc!BC138*'Waste results'!$S$29, "data missing"),
IF('Field information 2'!$Q$5="",
   IF(Calc!BD138=0,
     IF('Waste results'!$S$29&lt;&gt;"data missing", Calc!BC138*'Waste results'!$S$29, "data missing"),
   IF(Calc!BC138=0,
     IF('Waste results'!$S$65&lt;&gt;"data missing", Calc!BD138*'Waste results'!$S$65, "data missing"),
   IF(OR('Waste results'!$S$29&lt;&gt;"data missing", 'Waste results'!$S$65&lt;&gt;"data missing"), Calc!BC138*'Waste results'!$S$29+ Calc!BD138*'Waste results'!$S$65, "data missing"))),
IF(AND('Field information 2'!$M$5&lt;&gt;"", 'Field information 2'!$O$5&lt;&gt;"", 'Field information 2'!$Q$5&lt;&gt;""),
   IF(AND(Calc!BD138=0,Calc!BE138=0),
     IF('Waste results'!$S$29&lt;&gt;"data missing", Calc!BC138*'Waste results'!$S$29, "data missing"),
   IF(AND(Calc!BC138=0,Calc!BE138=0),
     IF('Waste results'!$S$65&lt;&gt;"data missing", Calc!BD138*'Waste results'!$S$65, "data missing"),
   IF(AND(Calc!BC138=0,Calc!BD138=0),
     IF('Waste results'!$S$101&lt;&gt;"data missing", Calc!BE138*'Waste results'!$S$101, "data missing"),
   IF(Calc!BE138=0,
     IF(OR('Waste results'!$S$29&lt;&gt;"data missing", 'Waste results'!$S$65&lt;&gt;"data missing"), Calc!BC138*'Waste results'!$S$29+ Calc!BD138*'Waste results'!$S$65, "data missing"),
   IF(Calc!BD138=0,
     IF(OR('Waste results'!$S$29&lt;&gt;"data missing", 'Waste results'!$S$101&lt;&gt;"data missing"), Calc!BC138*'Waste results'!$S$29+ Calc!BE138*'Waste results'!$S$101, "data missing"),
   IF(Calc!BC138=0,
     IF(OR('Waste results'!$S$65&lt;&gt;"data missing", 'Waste results'!$S$101&lt;&gt;"data missing"), Calc!BD138*'Waste results'!$S$65+Calc!BE138*'Waste results'!$S$101, "data missing"),
   IF(OR('Waste results'!$S$29&lt;&gt;"data missing", 'Waste results'!$S$65&lt;&gt;"data missing", 'Waste results'!$S$101&lt;&gt;"data missing"), Calc!BC138*'Waste results'!$S$29+Calc!BD138*'Waste results'!$S$65+ Calc!BE138*'Waste results'!$S$101, "data missing")))))))))))</f>
        <v/>
      </c>
      <c r="BG140" s="239" t="str">
        <f ca="1">IF($B140="","",
IF(ISBLANK('Soil results'!O143),"data missing",'Soil results'!O143))</f>
        <v/>
      </c>
      <c r="BH140" s="239" t="str">
        <f t="shared" ca="1" si="47"/>
        <v/>
      </c>
      <c r="BI140" s="9" t="str">
        <f ca="1">IF(B140="","",
IF(BF140=0,"n/a",
IF(OR(BF140="data missing",BG140="data missing"),"data missing",
IF(BF140&gt;3,"application rate too high - permissible rate exceeds limit",
IF('Soil results'!F143&lt;=5.5,
  IF(BG140&gt;50,"no application - soil conc. already above limit",
  IF(BH140&gt;50,"application rate too high - soil conc. will exceed limit",
  IF(BG140&gt;50*0.9,"soil conc. is at or above 90% of the limit",
  IF(10*BF140*1000/3000+BG140&gt;50,"soil limit likely to be exceeded in 10yrs",
  IF(50*BF140*1000/3000+BG140&gt;50,"soil limit likely to be exceeded in 50yrs","ok"))))),
IF('Soil results'!F143&lt;=6,
  IF(BG140&gt;60,"no application - soil conc. already above limit",
  IF(BH140&gt;60,"application rate too high - soil conc. will exceed limit",
  IF(BG140&gt;60*0.9,"soil conc. is at or above 90% of the limit",
  IF(10*BF140*1000/3000+BG140&gt;60,"soil limit likely to be exceeded in 10yrs",
  IF(50*BF140*1000/3000+BG140&gt;60,"soil limit likely to be exceeded in 50yrs","ok"))))),
IF('Soil results'!F143&lt;=7,
  IF(BG140&gt;75,"no application - soil conc. already above limit",
  IF(BH140&gt;75,"application rate too high - soil conc. will exceed limit",
  IF(BG140&gt;75*0.9,"soil conc. is at or above 90% of the limit",
  IF(10*BF140*1000/3000+BG140&gt;75,"soil limit likely to be exceeded in 10yrs",
  IF(50*BF140*1000/3000+BG140&gt;75,"soil limit likely to be exceeded in 50yrs","ok"))))),
IF('Soil results'!F143&gt;7,
  IF(BG140&gt;100,"no application - soil conc. already above limit",
  IF(BH140&gt;100,"application rate too high - soil conc. will exceed limit",
  IF(BG140&gt;100*0.9,"soil conc. is at or above 90% of the limit",
  IF(10*BF140*1000/3000+BG140&gt;100,"soil limit likely to be exceeded in 10yrs",
  IF(50*BF140*1000/3000+BG140&gt;100,"soil limit likely to beexceeded in 50yrs","ok")))))
))))))))</f>
        <v/>
      </c>
      <c r="BJ140" s="9"/>
      <c r="BK140" s="240" t="str">
        <f ca="1">IF(B140="","",
IF(AND('Field information 2'!$O$5="", 'Field information 2'!$Q$5=""),
   IF('Waste results'!$S$30&lt;&gt;"data missing", Calc!BC138*'Waste results'!$S$30, "data missing"),
IF('Field information 2'!$Q$5="",
   IF(Calc!BD138=0,
     IF('Waste results'!$S$30&lt;&gt;"data missing", Calc!BC138*'Waste results'!$S$30, "data missing"),
   IF(Calc!BC138=0,
     IF('Waste results'!$S$66&lt;&gt;"data missing", Calc!BD138*'Waste results'!$S$66, "data missing"),
   IF(OR('Waste results'!$S$30&lt;&gt;"data missing", 'Waste results'!$S$66&lt;&gt;"data missing"), Calc!BC138*'Waste results'!$S$30+ Calc!BD138*'Waste results'!$S$66, "data missing"))),
IF(AND('Field information 2'!$M$5&lt;&gt;"", 'Field information 2'!$O$5&lt;&gt;"", 'Field information 2'!$Q$5&lt;&gt;""),
   IF(AND(Calc!BD138=0,Calc!BE138=0),
     IF('Waste results'!$S$30&lt;&gt;"data missing", Calc!BC138*'Waste results'!$S$30, "data missing"),
   IF(AND(Calc!BC138=0,Calc!BE138=0),
     IF('Waste results'!$S$66&lt;&gt;"data missing", Calc!BD138*'Waste results'!$S$66, "data missing"),
   IF(AND(Calc!BC138=0,Calc!BD138=0),
     IF('Waste results'!$S$102&lt;&gt;"data missing", Calc!BE138*'Waste results'!$S$102, "data missing"),
   IF(Calc!BE138=0,
     IF(OR('Waste results'!$S$30&lt;&gt;"data missing", 'Waste results'!$S$66&lt;&gt;"data missing"), Calc!BC138*'Waste results'!$S$30+ Calc!BD138*'Waste results'!$S$66, "data missing"),
   IF(Calc!BD138=0,
     IF(OR('Waste results'!$S$30&lt;&gt;"data missing", 'Waste results'!$S$102&lt;&gt;"data missing"), Calc!BC138*'Waste results'!$S$30+ Calc!BE138*'Waste results'!$S$102, "data missing"),
   IF(Calc!BC138=0,
     IF(OR('Waste results'!$S$66&lt;&gt;"data missing", 'Waste results'!$S$102&lt;&gt;"data missing"), Calc!BD138*'Waste results'!$S$66+Calc!BE138*'Waste results'!$S$102, "data missing"),
   IF(OR('Waste results'!$S$30&lt;&gt;"data missing", 'Waste results'!$S$66&lt;&gt;"data missing", 'Waste results'!$S$102&lt;&gt;"data missing"), Calc!BC138*'Waste results'!$S$30+Calc!BD138*'Waste results'!$S$66+ Calc!BE138*'Waste results'!$S$102, "data missing")))))))))))</f>
        <v/>
      </c>
      <c r="BL140" s="241" t="str">
        <f ca="1">IF($B140="","",
IF(ISBLANK('Soil results'!P143),"data missing",'Soil results'!P143))</f>
        <v/>
      </c>
      <c r="BM140" s="241" t="str">
        <f t="shared" ca="1" si="48"/>
        <v/>
      </c>
      <c r="BN140" s="66" t="str">
        <f t="shared" ca="1" si="49"/>
        <v/>
      </c>
      <c r="BO140" s="9"/>
      <c r="BP140" s="238" t="str">
        <f ca="1">IF(B140="","",
IF(AND('Field information 2'!$O$5="", 'Field information 2'!$Q$5=""),
   IF('Waste results'!$S$31&lt;&gt;"data missing", Calc!BC138*'Waste results'!$S$31, "data missing"),
IF('Field information 2'!$Q$5="",
   IF(Calc!BD138=0,
     IF('Waste results'!$S$31&lt;&gt;"data missing", Calc!BC138*'Waste results'!$S$31, "data missing"),
   IF(Calc!BC138=0,
     IF('Waste results'!$S$67&lt;&gt;"data missing", Calc!BD138*'Waste results'!$S$67, "data missing"),
   IF(OR('Waste results'!$S$31&lt;&gt;"data missing", 'Waste results'!$S$67&lt;&gt;"data missing"), Calc!BC138*'Waste results'!$S$31+ Calc!BD138*'Waste results'!$S$67, "data missing"))),
IF(AND('Field information 2'!$M$5&lt;&gt;"", 'Field information 2'!$O$5&lt;&gt;"", 'Field information 2'!$Q$5&lt;&gt;""),
   IF(AND(Calc!BD138=0,Calc!BE138=0),
     IF('Waste results'!$S$31&lt;&gt;"data missing", Calc!BC138*'Waste results'!$S$31, "data missing"),
   IF(AND(Calc!BC138=0,Calc!BE138=0),
     IF('Waste results'!$S$67&lt;&gt;"data missing", Calc!BD138*'Waste results'!$S$67, "data missing"),
   IF(AND(Calc!BC138=0,Calc!BD138=0),
     IF('Waste results'!$S$103&lt;&gt;"data missing", Calc!BE138*'Waste results'!$S$103, "data missing"),
   IF(Calc!BE138=0,
     IF(OR('Waste results'!$S$31&lt;&gt;"data missing", 'Waste results'!$S$67&lt;&gt;"data missing"), Calc!BC138*'Waste results'!$S$31+ Calc!BD138*'Waste results'!$S$67, "data missing"),
   IF(Calc!BD138=0,
     IF(OR('Waste results'!$S$31&lt;&gt;"data missing", 'Waste results'!$S$103&lt;&gt;"data missing"), Calc!BC138*'Waste results'!$S$31+ Calc!BE138*'Waste results'!$S$103, "data missing"),
   IF(Calc!BC138=0,
     IF(OR('Waste results'!$S$67&lt;&gt;"data missing", 'Waste results'!$S$103&lt;&gt;"data missing"), Calc!BD138*'Waste results'!$S$67+Calc!BE138*'Waste results'!$S$103, "data missing"),
   IF(OR('Waste results'!$S$31&lt;&gt;"data missing", 'Waste results'!$S$67&lt;&gt;"data missing", 'Waste results'!$S$103&lt;&gt;"data missing"), Calc!BC138*'Waste results'!$S$31+Calc!BD138*'Waste results'!$S$67+ Calc!BE138*'Waste results'!$S$103, "data missing")))))))))))</f>
        <v/>
      </c>
      <c r="BQ140" s="239" t="str">
        <f ca="1">IF($B140="","",
IF(ISBLANK('Soil results'!Q143),"data missing",'Soil results'!Q143))</f>
        <v/>
      </c>
      <c r="BR140" s="239" t="str">
        <f t="shared" ca="1" si="50"/>
        <v/>
      </c>
      <c r="BS140" s="9" t="str">
        <f ca="1">IF(B140="","",
IF(BP140=0,"n/a",
IF(OR(BP140="data missing",BQ140=""),"data missing",
IF(BP140&gt;15,"application rate too high - permissible rate exceeds limit",
IF('Soil results'!F143&lt;=5.5,
  IF(BQ140&gt;200,"no application - soil conc. already above limit",
  IF(BR140&gt;200,"application rate too high - soil conc. will exceed limit",
  IF(BQ140&gt;200*0.9,"soil conc. is at or above 90% of the limit",
  IF(10*BP140*1000/3000+BQ140&gt;200,"soil limit likely to be exceeded in 10yrs",
  IF(50*BP140*1000/3000+BQ140&gt;200,"soil limit likely to be exceeded in 50yrs","ok"))))),
IF('Soil results'!F143&lt;=6,
  IF(BQ140&gt;250,"no application - soil conc. already above limit",
  IF(BR140&gt;250,"application rate too high - soil conc. will exceed limit",
  IF(BQ140&gt;250*0.9,"soil conc. is at or above 90% of the limit",
  IF(10*BP140*1000/3000+BQ140&gt;250,"soil limit likely to be exceeded in 10yrs",
  IF(50*BP140*1000/3000+BQ140&gt;250,"soil limit likely to be exceeded in 50yrs","ok"))))),
IF('Soil results'!F143&lt;=7,
  IF(BQ140&gt;300,"no application - soil conc. already above limit",
  IF(BR140&gt;300,"application rate too high - soil conc. will exceed limit",
  IF(BQ140&gt;300*0.9,"soil conc. is at or above 90% of the limit",
  IF(10*BP140*1000/3000+BQ140&gt;300,"soil limit likey to be exceeded in 10yrs",
  IF(50*BP140*1000/3000+BQ140&gt;300,"soil limit likely to be exceeded in 50yrs","ok"))))),
IF('Soil results'!F143&gt;7,
  IF(BQ140&gt;450,"no application - soil conc. already above limit",
  IF(BR140&gt;450,"application rate too high - soil conc. will exceed limit",
  IF(AW140&gt;450*0.9,"soil conc. is at or above 90% of the limit",
  IF(10*BP140*1000/3000+BQ140&gt;450,"soil limit likely to be exceeded in 10yrs",
  IF(50*BP140*1000/3000+BQ140&gt;450,"soil limit likely to be exceeded in 50yrs","ok")))))
))))))))</f>
        <v/>
      </c>
    </row>
    <row r="141" spans="2:71" ht="15" x14ac:dyDescent="0.25">
      <c r="B141" s="236" t="str">
        <f ca="1">'Soil results'!B144</f>
        <v/>
      </c>
      <c r="C141" s="91" t="str">
        <f ca="1">IF(B141="","",
IF(AND('Field information 2'!$O$5="", 'Field information 2'!$Q$5=""),
   IF('Waste results'!$S$12&lt;&gt;"data missing", Calc!BC139*'Waste results'!$S$12, "data missing"),
IF('Field information 2'!$Q$5="",
   IF(Calc!BD139=0,
     IF('Waste results'!$S$12&lt;&gt;"data missing", Calc!BC139*'Waste results'!$S$12, "data missing"),
   IF(Calc!BC139=0,
     IF('Waste results'!$S$48&lt;&gt;"data missing", Calc!BD139*'Waste results'!$S$48, "data missing"),
   IF(OR('Waste results'!$S$12&lt;&gt;"data missing", 'Waste results'!$S$48&lt;&gt;"data missing"), Calc!BC139*'Waste results'!$S$12+ Calc!BD139*'Waste results'!$S$48, "data missing"))),
IF(AND('Field information 2'!$M$5&lt;&gt;"", 'Field information 2'!$O$5&lt;&gt;"", 'Field information 2'!$Q$5&lt;&gt;""),
   IF(AND(Calc!BD139=0,Calc!BE139=0),
     IF('Waste results'!$S$12&lt;&gt;"data missing", Calc!BC139*'Waste results'!$S$12, "data missing"),
   IF(AND(Calc!BC139=0,Calc!BE139=0),
     IF('Waste results'!$S$48&lt;&gt;"data missing", Calc!BD139*'Waste results'!$S$48, "data missing"),
   IF(AND(Calc!BC139=0,Calc!BD139=0),
     IF('Waste results'!$S$84&lt;&gt;"data missing", Calc!BE139*'Waste results'!$S$84, "data missing"),
   IF(Calc!BE139=0,
     IF(OR('Waste results'!$S$12&lt;&gt;"data missing", 'Waste results'!$S$48&lt;&gt;"data missing"), Calc!BC139*'Waste results'!$S$12+ Calc!BD139*'Waste results'!$S$48, "data missing"),
   IF(Calc!BD139=0,
     IF(OR('Waste results'!$S$12&lt;&gt;"data missing", 'Waste results'!$S$84&lt;&gt;"data missing"), Calc!BC139*'Waste results'!$S$12+ Calc!BE139*'Waste results'!$S$84, "data missing"),
   IF(Calc!BC139=0,
     IF(OR('Waste results'!$S$48&lt;&gt;"data missing", 'Waste results'!$S$84&lt;&gt;"data missing"), Calc!BD139*'Waste results'!$S$48+Calc!BE139*'Waste results'!$S$84, "data missing"),
   IF(OR('Waste results'!$S$12&lt;&gt;"data missing", 'Waste results'!$S$48&lt;&gt;"data missing", 'Waste results'!$S$84&lt;&gt;"data missing"), Calc!BC139*'Waste results'!$S$12+Calc!BD139*'Waste results'!$S$48+ Calc!BE139*'Waste results'!$S$84, "data missing")))))))))))</f>
        <v/>
      </c>
      <c r="D141" s="161" t="str">
        <f ca="1">IF(B141="","",
IF(Calc!BG139="","soil texture missing",
IF(OR(Calc!BG139="SL; SZL; ZL",Calc!BG139="SCL; CL; ZCL; SC; ZC; C"),VLOOKUP(Calc!BI139,'Fertiliser recommendations'!$A$4:$C$63,3,FALSE),
IF(Calc!BG139="S; LS",VLOOKUP(Calc!BI139,'Fertiliser recommendations'!$A$4:$C$63,3,FALSE)+VLOOKUP(Calc!BI139,'Fertiliser recommendations'!$A$4:$D$63,4,FALSE),
IF(Calc!BG139="10-25% OM",VLOOKUP(Calc!BI139,'Fertiliser recommendations'!$A$4:$C$63,3,FALSE)+VLOOKUP(Calc!BI139,'Fertiliser recommendations'!$A$4:$E$63,5,FALSE),
IF(Calc!BG139="&gt;25% OM",VLOOKUP(Calc!BI139,'Fertiliser recommendations'!$A$4:$C$63,3,FALSE)+VLOOKUP(Calc!BI139,'Fertiliser recommendations'!$A$4:$F$63,6,FALSE),
""))))))</f>
        <v/>
      </c>
      <c r="E141" s="91" t="str">
        <f t="shared" ca="1" si="34"/>
        <v/>
      </c>
      <c r="F141" s="9" t="str">
        <f ca="1">IF(B141="","",
IF(OR(C141="data missing",D141="soil texture missing"),"data missing",
IF(Calc!BF139=0,"n/a",
IF(C141&lt;0.1*D141,"no benefit",
IF(C141&lt;0.3*D141,"limited benefit",
IF(C141&gt;250,"exceeds limit",
IF(OR(AND(D141=0,C141&gt;75),C141&gt;1.25*D141),"excessive",
IF(D141=0, "no requirement",
"benefit"))))))))</f>
        <v/>
      </c>
      <c r="G141" s="9"/>
      <c r="H141" s="91" t="str">
        <f ca="1">IF(B141="","",
IF(AND('Field information 2'!$O$5="", 'Field information 2'!$Q$5=""),
   IF('Waste results'!$S$17&lt;&gt;"data missing", Calc!BC139*'Waste results'!$S$17, "data missing"),
IF('Field information 2'!$Q$5="",
   IF(Calc!BD139=0,
     IF('Waste results'!$S$17&lt;&gt;"data missing", Calc!BC139*'Waste results'!$S$17, "data missing"),
   IF(Calc!BC139=0,
     IF('Waste results'!$S$53&lt;&gt;"data missing", Calc!BD139*'Waste results'!$S$53, "data missing"),
   IF(OR('Waste results'!$S$17&lt;&gt;"data missing", 'Waste results'!$S$53&lt;&gt;"data missing"), Calc!BC139*'Waste results'!$S$17+ Calc!BD139*'Waste results'!$S$53, "data missing"))),
IF(AND('Field information 2'!$M$5&lt;&gt;"", 'Field information 2'!$O$5&lt;&gt;"", 'Field information 2'!$Q$5&lt;&gt;""),
   IF(AND(Calc!BD139=0,Calc!BE139=0),
     IF('Waste results'!$S$17&lt;&gt;"data missing", Calc!BC139*'Waste results'!$S$17, "data missing"),
   IF(AND(Calc!BC139=0,Calc!BE139=0),
     IF('Waste results'!$S$53&lt;&gt;"data missing", Calc!BD139*'Waste results'!$S$53, "data missing"),
   IF(AND(Calc!BC139=0,Calc!BD139=0),
     IF('Waste results'!$S$89&lt;&gt;"data missing", Calc!BE139*'Waste results'!$S$89, "data missing"),
   IF(Calc!BE139=0,
     IF(OR('Waste results'!$S$17&lt;&gt;"data missing", 'Waste results'!$S$53&lt;&gt;"data missing"), Calc!BC139*'Waste results'!$S$17+ Calc!BD139*'Waste results'!$S$53, "data missing"),
   IF(Calc!BD139=0,
     IF(OR('Waste results'!$S$17&lt;&gt;"data missing", 'Waste results'!$S$89&lt;&gt;"data missing"), Calc!BC139*'Waste results'!$S$17+ Calc!BE139*'Waste results'!$S$89, "data missing"),
   IF(Calc!BC139=0,
     IF(OR('Waste results'!$S$53&lt;&gt;"data missing", 'Waste results'!$S$89&lt;&gt;"data missing"), Calc!BD139*'Waste results'!$S$53+Calc!BE139*'Waste results'!$S$89, "data missing"),
   IF(OR('Waste results'!$S$17&lt;&gt;"data missing", 'Waste results'!$S$53&lt;&gt;"data missing", 'Waste results'!$S$89&lt;&gt;"data missing"), Calc!BC139*'Waste results'!$S$17+Calc!BD139*'Waste results'!$S$53+ Calc!BE139*'Waste results'!$S$89, "data missing")))))))))))</f>
        <v/>
      </c>
      <c r="I141" s="195" t="str">
        <f ca="1">IF(B141="","",
IF(OR(ISBLANK('Soil results'!G144), ISBLANK('Soil results'!G$7)),"data missing",
IF(OR(AND('Soil results'!G$7="Olsen (ADAS)",'Soil results'!G144&lt;16),AND('Soil results'!G$7="modified Morgan (SAC)",'Soil results'!G144&lt;4.5)),50,100)))</f>
        <v/>
      </c>
      <c r="J141" s="49" t="str">
        <f ca="1">IF(B141="","",
IF(OR(ISBLANK('Soil results'!G$7),ISBLANK('Soil results'!G144)),"data missing",
IF(OR(AND('Soil results'!G$7="Olsen (ADAS)",'Soil results'!G144&gt;45),AND('Soil results'!G$7="modified Morgan (SAC)",'Soil results'!G144&gt;30)),0,
IF(OR(AND('Soil results'!G$7="Olsen (ADAS)",'Soil results'!G144&gt;=16,'Soil results'!G144&lt;=20),AND('Soil results'!G$7="modified Morgan (SAC)",'Soil results'!G144&gt;=4.5,'Soil results'!G144&lt;=9.4)),VLOOKUP(Calc!BI139,'Fertiliser recommendations'!$A$4:$I$63,9,FALSE),
IF(OR(AND('Soil results'!G$7="Olsen (ADAS)",'Soil results'!G144&lt;10),AND('Soil results'!G$7="modified Morgan (SAC)",'Soil results'!G144&lt;1.8)),VLOOKUP(Calc!BI139,'Fertiliser recommendations'!$A$4:$I$63,9,FALSE)+VLOOKUP(Calc!BI139,'Fertiliser recommendations'!$A$4:$J$63,10,FALSE),
IF(OR(AND('Soil results'!G$7="Olsen (ADAS)",'Soil results'!G144&lt;16),AND('Soil results'!G$7="modified Morgan (SAC)",'Soil results'!G144&lt;4.5)),VLOOKUP(Calc!BI139,'Fertiliser recommendations'!$A$4:$I$63,9,FALSE)+VLOOKUP(Calc!BI139,'Fertiliser recommendations'!$A$4:$K$63,11,FALSE),
IF(OR(AND('Soil results'!G$7="Olsen (ADAS)",'Soil results'!G144&lt;26),AND('Soil results'!G$7="modified Morgan (SAC)",'Soil results'!G144&lt;13.5)),VLOOKUP(Calc!BI139,'Fertiliser recommendations'!$A$4:$I$63,9,FALSE)+VLOOKUP(Calc!BI139,'Fertiliser recommendations'!$A$4:$L$63,12,FALSE),
IF(OR(AND('Soil results'!G$7="Olsen (ADAS)",'Soil results'!G144&lt;=45),AND('Soil results'!G$7="modified Morgan (SAC)",'Soil results'!G144&lt;=30)),VLOOKUP(Calc!BI139,'Fertiliser recommendations'!$A$4:$I$63,9,FALSE)+VLOOKUP(Calc!BI139,'Fertiliser recommendations'!$A$4:$M$63,13,FALSE),
""))))))))</f>
        <v/>
      </c>
      <c r="K141" s="161" t="str">
        <f t="shared" ca="1" si="35"/>
        <v/>
      </c>
      <c r="L141" s="47" t="str">
        <f ca="1">IF(OR(ISBLANK('Soil results'!G$7),ISBLANK('Soil results'!G144),B141="", H141="data missing"),"",
IF('Soil results'!G$7="Olsen (ADAS)",
IF(((H141*Calc!BM139/2.291-(VLOOKUP(Calc!BI139,'Fertiliser recommendations'!$A$4:$I$63,9,FALSE))/2.291)*10/(400/2.291)+'Soil results'!G144)&lt;10,"0 (VL)",
IF(((H141*Calc!BM139/2.291-(VLOOKUP(Calc!BI139,'Fertiliser recommendations'!$A$4:$I$63,9,FALSE))/2.291)*10/(400/2.291)+'Soil results'!G144)&lt;16,"1 (L)",
IF(((H141*Calc!BM139/2.291-(VLOOKUP(Calc!BI139,'Fertiliser recommendations'!$A$4:$I$63,9,FALSE))/2.291)*10/(400/2.291)+'Soil results'!G144)&lt;21,"2 (M-)",
IF(((H141*Calc!BM139/2.291-(VLOOKUP(Calc!BI139,'Fertiliser recommendations'!$A$4:$I$63,9,FALSE))/2.291)*10/(400/2.291)+'Soil results'!G144)&lt;26,"2 (M+)",
IF(((H141*Calc!BM139/2.291-(VLOOKUP(Calc!BI139,'Fertiliser recommendations'!$A$4:$I$63,9,FALSE))/2.291)*10/(400/2.291)+'Soil results'!G144)&lt;45,"3 (H)","&gt;3 (VH)"))))),
IF('Soil results'!G$7="modified Morgan (SAC)",
IF('Soil results'!G144&gt;=6,
IF(((H141*Calc!BM139/2.291-(VLOOKUP(Calc!BI139,'Fertiliser recommendations'!$A$4:$I$63,9,FALSE))/2.291)*5/(147/2.291)+'Soil results'!G144)&lt;9.5,"2 (M-)",
IF(((H141*Calc!BM139/2.291-(VLOOKUP(Calc!BI139,'Fertiliser recommendations'!$A$4:$I$63,9,FALSE))/2.291)*5/(147/2.291)+'Soil results'!G144)&lt;13.5,"2 (M+)",
IF(((H141*Calc!BM139/2.291-(VLOOKUP(Calc!BI139,'Fertiliser recommendations'!$A$4:$I$63,9,FALSE))/2.291)*5/(147/2.291)+'Soil results'!G144)&lt;30,"3 (H)","4 (VH)"))),
IF(((H141*Calc!BM139/2.291-(VLOOKUP(Calc!BI139,'Fertiliser recommendations'!$A$4:$I$63,9,FALSE))/2.291)*5/(346/2.291)+'Soil results'!G144)&lt;1.8,"0 (VL)",
IF(((H141*Calc!BM139/2.291-(VLOOKUP(Calc!BI139,'Fertiliser recommendations'!$A$4:$I$63,9,FALSE))/2.291)*5/(147/2.291)+'Soil results'!G144)&lt;4.5,"1 (L)","2 (M-)"))))))</f>
        <v/>
      </c>
      <c r="M141" s="9" t="str">
        <f ca="1">IF(B141="","",
IF(OR(H141="data missing",I141="data missing",J141="data missing"),"data missing",
IF(Calc!BF139=0,"n/a",
IF(OR(AND('Soil results'!G$7="Olsen (ADAS)",'Soil results'!G144&gt;45),AND('Soil results'!G$7="modified Morgan (SAC)",'Soil results'!G144&gt;30)),
IF(H141&gt;2,"too high, not acceptable","no requirement"),IF(OR(AND('Soil results'!G$7="Olsen (ADAS)",'Soil results'!G144&gt;25),AND('Soil results'!G$7="modified Morgan (SAC)",'Soil results'!G144&gt;13.4)),
IF(H141*(I141/100)&lt;0.1*J141,"no benefit",
IF(H141*(I141/100)&lt;0.3*J141,"limited benefit",
IF(H141*(I141/100)&lt;1.1*J141,"benefit",
IF(H141*(I141/100)&lt;0.7*VLOOKUP(Calc!BI139,'Fertiliser recommendations'!$A$4:$I$63,9,FALSE),"excessive","too high, not acceptable")))),
IF(OR(AND('Soil results'!G$7="Olsen (ADAS)",'Soil results'!G144&gt;20),AND('Soil results'!G$7="modified Morgan (SAC)",'Soil results'!G144&gt;9.4)),
IF(H141*Calc!BM139*(I141/100)&lt;0.1*J141,"no benefit",
IF(H141*Calc!BM139*(I141/100)&lt;0.3*J141,"limited benefit",
IF(H141*Calc!BM139*(I141/100)&lt;1.1*J141,"benefit",
IF(L141="3 (H)","too high, not acceptable","excessive")))),
IF(OR(AND('Soil results'!G$7="Olsen (ADAS)",'Soil results'!G144&gt;15),AND('Soil results'!G$7="modified Morgan (SAC)",'Soil results'!G144&gt;4.4)),
IF(H141*Calc!BM139*(I141/100)&lt;0.1*VLOOKUP(Calc!BI139,'Fertiliser recommendations'!$A$4:$I$63,9,FALSE),"no benefit",
IF(H141*Calc!BM139*(I141/100)&lt;0.3*VLOOKUP(Calc!BI139,'Fertiliser recommendations'!$A$4:$I$63,9,FALSE),"limited benefit",
IF(H141*Calc!BM139*(I141/100)&lt;1.1*VLOOKUP(Calc!BI139,'Fertiliser recommendations'!$A$4:$I$63,9,FALSE),"benefit",
IF(L141="3 (H)", "too high, not acceptable", "excessive")))),
IF(OR(AND('Soil results'!G$7="Olsen (ADAS)",'Soil results'!G144&lt;=15),AND('Soil results'!G$7="modified Morgan (SAC)",'Soil results'!G144&lt;=4.4)),
IF(H141*Calc!BM139*(I141/100)&lt;0.1*VLOOKUP(Calc!BI139,'Fertiliser recommendations'!$A$4:$I$63,9,FALSE),"no benefit",
IF(H141*Calc!BM139*(I141/100)&lt;0.3*VLOOKUP(Calc!BI139,'Fertiliser recommendations'!$A$4:$I$63,9,FALSE),"limited benefit",
IF(H141*Calc!BM139*(I141/100)&lt;1.1*J141,"benefit","excessive")))))))))))</f>
        <v/>
      </c>
      <c r="N141" s="9"/>
      <c r="O141" s="91" t="str">
        <f ca="1">IF(B141="","",
IF(AND('Field information 2'!$O$5="", 'Field information 2'!$Q$5=""),
   IF('Waste results'!$S$19&lt;&gt;"data missing", Calc!BC139*'Waste results'!$S$19, "data missing"),
IF('Field information 2'!$Q$5="",
   IF(Calc!BD139=0,
     IF('Waste results'!$S$19&lt;&gt;"data missing", Calc!BC139*'Waste results'!$S$19, "data missing"),
   IF(Calc!BC139=0,
     IF('Waste results'!$S$55&lt;&gt;"data missing", Calc!BD139*'Waste results'!$S$55, "data missing"),
   IF(OR('Waste results'!$S$19&lt;&gt;"data missing", 'Waste results'!$S$55&lt;&gt;"data missing"), Calc!BC139*'Waste results'!$S$19+ Calc!BD139*'Waste results'!$S$55, "data missing"))),
IF(AND('Field information 2'!$M$5&lt;&gt;"", 'Field information 2'!$O$5&lt;&gt;"", 'Field information 2'!$Q$5&lt;&gt;""),
   IF(AND(Calc!BD139=0,Calc!BE139=0),
     IF('Waste results'!$S$19&lt;&gt;"data missing", Calc!BC139*'Waste results'!$S$19, "data missing"),
   IF(AND(Calc!BC139=0,Calc!BE139=0),
     IF('Waste results'!$S$55&lt;&gt;"data missing", Calc!BD139*'Waste results'!$S$55, "data missing"),
   IF(AND(Calc!BC139=0,Calc!BD139=0),
     IF('Waste results'!$S$91&lt;&gt;"data missing", Calc!BE139*'Waste results'!$S$91, "data missing"),
   IF(Calc!BE139=0,
     IF(OR('Waste results'!$S$19&lt;&gt;"data missing", 'Waste results'!$S$55&lt;&gt;"data missing"), Calc!BC139*'Waste results'!$S$19+ Calc!BD139*'Waste results'!$S$55, "data missing"),
   IF(Calc!BD139=0,
     IF(OR('Waste results'!$S$19&lt;&gt;"data missing", 'Waste results'!$S$91&lt;&gt;"data missing"), Calc!BC139*'Waste results'!$S$19+ Calc!BE139*'Waste results'!$S$91, "data missing"),
   IF(Calc!BC139=0,
     IF(OR('Waste results'!$S$55&lt;&gt;"data missing", 'Waste results'!$S$91&lt;&gt;"data missing"), Calc!BD139*'Waste results'!$S$55+Calc!BE139*'Waste results'!$S$91, "data missing"),
   IF(OR('Waste results'!$S$19&lt;&gt;"data missing", 'Waste results'!$S$55&lt;&gt;"data missing", 'Waste results'!$S$91&lt;&gt;"data missing"), Calc!BC139*'Waste results'!$S$19+Calc!BD139*'Waste results'!$S$55+ Calc!BE139*'Waste results'!$S$91, "data missing")))))))))))</f>
        <v/>
      </c>
      <c r="P141" s="91" t="str">
        <f ca="1">IF(B141="","",
IF(OR(ISBLANK('Soil results'!H$7),ISBLANK('Soil results'!H144)),"data missing",
IF(OR(AND('Soil results'!H$7="ammonium nitrate (ADAS)",'Soil results'!H144&gt;400),AND('Soil results'!H$7="modified Morgan (SAC)",'Soil results'!H144&gt;400)),0,
IF(OR(AND('Soil results'!H$7="ammonium nitrate (ADAS)",'Soil results'!H144&gt;=121,'Soil results'!H144&lt;=180),AND('Soil results'!H$7="modified Morgan (SAC)",'Soil results'!H144&gt;=76,'Soil results'!H144&lt;=140)),VLOOKUP(Calc!BI139,'Fertiliser recommendations'!$A$4:$Z$63,26,FALSE),
IF(OR(AND('Soil results'!H$7="ammonium nitrate (ADAS)",'Soil results'!H144&lt;61),AND('Soil results'!H$7="modified Morgan (SAC)",'Soil results'!H144&lt;40)),VLOOKUP(Calc!BI139,'Fertiliser recommendations'!$A$4:$Z$63,26,FALSE)+VLOOKUP(Calc!BI139,'Fertiliser recommendations'!$A$4:$AA$63,27,FALSE),
IF(OR(AND('Soil results'!H$7="ammonium nitrate (ADAS)",'Soil results'!H144&lt;121),AND('Soil results'!H$7="modified Morgan (SAC)",'Soil results'!H144&lt;76)),VLOOKUP(Calc!BI139,'Fertiliser recommendations'!$A$4:$Z$63,26,FALSE)+VLOOKUP(Calc!BI139,'Fertiliser recommendations'!$A$4:$AB$63,28,FALSE),
IF(OR(AND('Soil results'!H$7="ammonium nitrate (ADAS)",'Soil results'!H144&lt;241),AND('Soil results'!H$7="modified Morgan (SAC)",'Soil results'!H144&lt;201)),VLOOKUP(Calc!BI139,'Fertiliser recommendations'!$A$4:$Z$63,26,FALSE)+VLOOKUP(Calc!BI139,'Fertiliser recommendations'!$A$4:$AC$63,29,FALSE),
IF(OR(AND('Soil results'!H$7="ammonium nitrate (ADAS)",'Soil results'!H144&lt;=400),AND('Soil results'!H$7="modified Morgan (SAC)",'Soil results'!H144&lt;=400)),VLOOKUP(Calc!BI139,'Fertiliser recommendations'!$A$4:$Z$63,26,FALSE)+VLOOKUP(Calc!BI139,'Fertiliser recommendations'!$A$4:$AD$63,30,FALSE),
"??"))))))))</f>
        <v/>
      </c>
      <c r="Q141" s="91" t="str">
        <f t="shared" ca="1" si="36"/>
        <v/>
      </c>
      <c r="R141" s="9" t="str">
        <f ca="1">IF(B141="","",
IF(OR(O141="data missing",P141="data missing"),"data missing",
IF(Calc!BF139=0,"n/a",
IF(P141=0, "no requirement",
IF(O141&lt;0.1*P141,"no benefit",
IF(O141&lt;0.3*P141,"limited benefit",
IF(O141&gt;1.25*P141,"excessive",
"benefit")))))))</f>
        <v/>
      </c>
      <c r="S141" s="9"/>
      <c r="T141" s="91" t="str">
        <f ca="1">IF(B141="","",
IF(AND('Field information 2'!$O$5="", 'Field information 2'!$Q$5=""),
   IF('Waste results'!$S$21&lt;&gt;"data missing", Calc!BC139*'Waste results'!$S$21, "data missing"),
IF('Field information 2'!$Q$5="",
   IF(Calc!BD139=0,
     IF('Waste results'!$S$21&lt;&gt;"data missing", Calc!BC139*'Waste results'!$S$21, "data missing"),
   IF(Calc!BC139=0,
     IF('Waste results'!$S$57&lt;&gt;"data missing", Calc!BD139*'Waste results'!$S$57, "data missing"),
   IF(OR('Waste results'!$S$21&lt;&gt;"data missing", 'Waste results'!$S$57&lt;&gt;"data missing"), Calc!BC139*'Waste results'!$S$21+ Calc!BD139*'Waste results'!$S$57, "data missing"))),
IF(AND('Field information 2'!$M$5&lt;&gt;"", 'Field information 2'!$O$5&lt;&gt;"", 'Field information 2'!$Q$5&lt;&gt;""),
   IF(AND(Calc!BD139=0,Calc!BE139=0),
     IF('Waste results'!$S$21&lt;&gt;"data missing", Calc!BC139*'Waste results'!$S$21, "data missing"),
   IF(AND(Calc!BC139=0,Calc!BE139=0),
     IF('Waste results'!$S$57&lt;&gt;"data missing", Calc!BD139*'Waste results'!$S$57, "data missing"),
   IF(AND(Calc!BC139=0,Calc!BD139=0),
     IF('Waste results'!$S$93&lt;&gt;"data missing", Calc!BE139*'Waste results'!$S$93, "data missing"),
   IF(Calc!BE139=0,
     IF(OR('Waste results'!$S$21&lt;&gt;"data missing", 'Waste results'!$S$57&lt;&gt;"data missing"), Calc!BC139*'Waste results'!$S$21+ Calc!BD139*'Waste results'!$S$57, "data missing"),
   IF(Calc!BD139=0,
     IF(OR('Waste results'!$S$21&lt;&gt;"data missing", 'Waste results'!$S$93&lt;&gt;"data missing"), Calc!BC139*'Waste results'!$S$21+ Calc!BE139*'Waste results'!$S$93, "data missing"),
   IF(Calc!BC139=0,
     IF(OR('Waste results'!$S$57&lt;&gt;"data missing", 'Waste results'!$S$93&lt;&gt;"data missing"), Calc!BD139*'Waste results'!$S$57+Calc!BE139*'Waste results'!$S$93, "data missing"),
   IF(OR('Waste results'!$S$21&lt;&gt;"data missing", 'Waste results'!$S$57&lt;&gt;"data missing", 'Waste results'!$S$93&lt;&gt;"data missing"), Calc!BC139*'Waste results'!$S$21+Calc!BD139*'Waste results'!$S$57+ Calc!BE139*'Waste results'!$S$93, "data missing")))))))))))</f>
        <v/>
      </c>
      <c r="U141" s="7" t="str">
        <f ca="1">IF(B141="","",
IF(OR(ISBLANK('Soil results'!I$7),ISBLANK('Soil results'!I144)),"data missing",
IF(OR(AND('Soil results'!I$7="ammonium nitrate (ADAS)",'Soil results'!I144&gt;51),AND('Soil results'!I$7="modified Morgan (SAC)",'Soil results'!I144&gt;61)),0,
IF(OR(AND('Soil results'!I$7="ammonium nitrate (ADAS)",'Soil results'!I144&lt;25),AND('Soil results'!I$7="modified Morgan (SAC)",'Soil results'!I144&lt;19)),VLOOKUP(Calc!BI139,'Fertiliser recommendations'!$A$4:$AH$63,34,FALSE),
IF(OR(AND('Soil results'!I$7="ammonium nitrate (ADAS)",'Soil results'!I144&lt;=51),AND('Soil results'!I$7="modified Morgan (SAC)",'Soil results'!I144&lt;=61)),VLOOKUP(Calc!BI139,'Fertiliser recommendations'!$A$4:$AI$63,35,FALSE),
"")))))</f>
        <v/>
      </c>
      <c r="V141" s="91" t="str">
        <f t="shared" ca="1" si="37"/>
        <v/>
      </c>
      <c r="W141" s="9" t="str">
        <f ca="1">IF(B141="","",
IF(OR(T141="data missing",U141="data missing"),"data missing",
IF(Calc!BF139=0,"n/a",
IF(U141=0,"no requirement",
IF(T141&lt;0.1*U141,"no benefit",
IF(T141&lt;0.3*U141,"limited benefit",
IF(OR(T141&gt;1.5*U141,AND(Calc!BJ139="g",T141&gt;100)),"excessive",
"benefit")))))))</f>
        <v/>
      </c>
      <c r="X141" s="9"/>
      <c r="Y141" s="91" t="str">
        <f ca="1">IF(B141="","",
IF(AND('Field information 2'!$O$5="", 'Field information 2'!$Q$5=""),
   IF('Waste results'!$P$23&lt;&gt;"", Calc!BC139*'Waste results'!$P$23, "no data"),
IF('Field information 2'!$Q$5="",
   IF(Calc!BD139=0,
     IF('Waste results'!$P$23&lt;&gt;"", Calc!BC139*'Waste results'!$P$23, "no data"),
   IF(Calc!BC139=0,
     IF('Waste results'!$P$59&lt;&gt;"", Calc!BD139*'Waste results'!$P$59, "no data"),
   IF(OR('Waste results'!$P$23&lt;&gt;"", 'Waste results'!$P$59&lt;&gt;""), Calc!BC139*'Waste results'!$P$23+ Calc!BD139*'Waste results'!$P$59, "no data"))),
IF(AND('Field information 2'!$M$5&lt;&gt;"", 'Field information 2'!$O$5&lt;&gt;"", 'Field information 2'!$Q$5&lt;&gt;""),
   IF(AND(Calc!BD139=0,Calc!BE139=0),
     IF('Waste results'!$P$23&lt;&gt;"", Calc!BC139*'Waste results'!$P$23, "no data"),
   IF(AND(Calc!BC139=0,Calc!BE139=0),
     IF('Waste results'!$P$59&lt;&gt;"", Calc!BD139*'Waste results'!$P$59, "no data"),
   IF(AND(Calc!BC139=0,Calc!BD139=0),
     IF('Waste results'!$P$95&lt;&gt;"", Calc!BE139*'Waste results'!$P$95, "no data"),
   IF(Calc!BE139=0,
     IF(OR('Waste results'!$P$23&lt;&gt;"", 'Waste results'!$P$59&lt;&gt;""), Calc!BC139*'Waste results'!$P$23+ Calc!BD139*'Waste results'!$P$59, "no data"),
   IF(Calc!BD139=0,
     IF(OR('Waste results'!$P$23&lt;&gt;"", 'Waste results'!$P$95&lt;&gt;""), Calc!BC139*'Waste results'!$P$23+ Calc!BE139*'Waste results'!$P$95, "no data"),
   IF(Calc!BC139=0,
     IF(OR('Waste results'!$P$59&lt;&gt;"", 'Waste results'!$P$95&lt;&gt;""), Calc!BD139*'Waste results'!$P$59+Calc!BE139*'Waste results'!$P$95, "no data"),
   IF(OR('Waste results'!$P$23&lt;&gt;"", 'Waste results'!$P$59&lt;&gt;"", 'Waste results'!$P$95&lt;&gt;""), Calc!BC139*'Waste results'!$P$23+Calc!BD139*'Waste results'!$P$59+ Calc!BE139*'Waste results'!$P$95, "no data")))))))))))</f>
        <v/>
      </c>
      <c r="Z141" s="7" t="str">
        <f ca="1">IF(OR(ISBLANK('Soil results'!I$7),ISBLANK('Soil results'!I144),'Soil results'!B144=""),"",
VLOOKUP(Calc!BI139,'Fertiliser recommendations'!$A$4:$AM$63,39,FALSE))</f>
        <v/>
      </c>
      <c r="AA141" s="91" t="str">
        <f t="shared" ca="1" si="38"/>
        <v/>
      </c>
      <c r="AB141" s="9" t="str">
        <f t="shared" ca="1" si="39"/>
        <v/>
      </c>
      <c r="AC141" s="9"/>
      <c r="AD141" s="48" t="str">
        <f>IF(ISBLANK('Soil results'!F144),"",'Soil results'!F144)</f>
        <v/>
      </c>
      <c r="AE141" s="49" t="str">
        <f ca="1">IF(B141="","",
IF(AND(Calc!BJ139="g", VLOOKUP(LEFT($B141,LEN($B141)-2),'Field information 2'!$B$12:$P$111,9,FALSE)&lt;&gt;"yes"),
 IF(Calc!BG139="10-25% OM", 5.9, IF(Calc!BG139="&gt;25% OM", 5.5, 6.2)),
IF(OR(Calc!BJ139="a", VLOOKUP(LEFT($B141,LEN($B141)-2),'Field information 2'!$B$12:$P$111,9,FALSE)="yes"),
 IF(Calc!BG139="10-25% OM", 6.4, IF(Calc!BG139="&gt;25% OM", 6, 6.7)), "")))</f>
        <v/>
      </c>
      <c r="AF141" s="91" t="str">
        <f ca="1">IF(B141="","",
IF('Waste results'!$Q$33="","no (significant) liming properties",
IF('Waste results'!Q$33&gt;100,"no (significant) liming properties",
IF(AD141="","",
IF(AD141&gt;=AE141,0,ROUNDDOWN((AE141-AD141)*Calc!BK139*'Waste results'!$Q$33+0.2,0))))))</f>
        <v/>
      </c>
      <c r="AG141" s="9" t="str">
        <f ca="1">IF(B141="","",
IF(T141=0,"n/a",
IF(AD141="","data missing",
IF(AND(AD141&lt;5,AF141="no (significant) liming properties"),"no waste application - pH too low",
IF(AND(AD141&gt;5.1,AF141="no (significant) liming properties",Calc!BH139&gt;25, LEFT(Calc!BI139,4)="graz"),"ok",
IF(AND(AD141&lt;=5.2,AF141="no (significant) liming properties"),"liming highly recommended",
IF(AF141=0,"no waste application - liming not required",
IF(AF141&lt;Calc!BC139,"application rate too high - exceeds liming requirement",
"ok"))))))))</f>
        <v/>
      </c>
      <c r="AH141" s="9"/>
      <c r="AI141" s="91" t="str">
        <f ca="1">IF(B141="","",
IF(AND('Field information 2'!$O$5="", 'Field information 2'!$Q$5=""),
   IF('Waste results'!$P$10&lt;&gt;"data missing", Calc!BC139*'Waste results'!$P$10, "data missing"),
IF('Field information 2'!$Q$5="",
   IF(Calc!BD139=0,
     IF('Waste results'!$P$10&lt;&gt;"data missing", Calc!BC139*'Waste results'!$P$10, "data missing"),
   IF(Calc!BC139=0,
     IF('Waste results'!$P$45&lt;&gt;"data missing", Calc!BD139*'Waste results'!$P$45, "data missing"),
   IF(OR('Waste results'!$P$10&lt;&gt;"data missing", 'Waste results'!$P$45&lt;&gt;"data missing"), Calc!BC139*'Waste results'!$P$10+ Calc!BD139*'Waste results'!$P$45, "data missing"))),
IF(AND('Field information 2'!$M$5&lt;&gt;"", 'Field information 2'!$O$5&lt;&gt;"", 'Field information 2'!$Q$5&lt;&gt;""),
   IF(AND(Calc!BD139=0,Calc!BE139=0),
     IF('Waste results'!$P$10&lt;&gt;"data missing", Calc!BC139*'Waste results'!$P$10, "data missing"),
   IF(AND(Calc!BC139=0,Calc!BE139=0),
     IF('Waste results'!$P$45&lt;&gt;"data missing", Calc!BD139*'Waste results'!$P$45, "data missing"),
   IF(AND(Calc!BC139=0,Calc!BD139=0),
     IF('Waste results'!$P$82&lt;&gt;"data missing", Calc!BE139*'Waste results'!$P$82, "data missing"),
   IF(Calc!BE139=0,
     IF(OR('Waste results'!$P$10&lt;&gt;"data missing", 'Waste results'!$P$45&lt;&gt;"data missing"), Calc!BC139*'Waste results'!$P$10+ Calc!BD139*'Waste results'!$P$45, "data missing"),
   IF(Calc!BD139=0,
     IF(OR('Waste results'!$P$10&lt;&gt;"data missing", 'Waste results'!$P$82&lt;&gt;"data missing"), Calc!BC139*'Waste results'!$P$10+ Calc!BE139*'Waste results'!$P$82, "data missing"),
   IF(Calc!BC139=0,
     IF(OR('Waste results'!$P$45&lt;&gt;"data missing", 'Waste results'!$P$82&lt;&gt;"data missing"), Calc!BD139*'Waste results'!$P$45+Calc!BE139*'Waste results'!$P$82, "data missing"),
   IF(OR('Waste results'!$P$10&lt;&gt;"data missing", 'Waste results'!$P$45&lt;&gt;"data missing", 'Waste results'!$P$82&lt;&gt;"data missing"), Calc!BC139*'Waste results'!$P$10+Calc!BD139*'Waste results'!$P$45+ Calc!BE139*'Waste results'!$P$82, "data missing")))))))))))</f>
        <v/>
      </c>
      <c r="AJ141" s="237" t="str">
        <f ca="1">IF(B141="","",
IF(AI141="data missing","data missing",
IF(Calc!BF139=0,"n/a",
IF(AND(Calc!BH139&gt;=8,AI141&lt;500),"no benefit",
IF(OR(AND(Calc!BH139&lt;=4,AI141&gt;=500),AND(Calc!BH139&lt;8,AI141&gt;5000)),"benefit",
"limited benefit")))))</f>
        <v/>
      </c>
      <c r="AK141" s="9"/>
      <c r="AL141" s="238" t="str">
        <f ca="1">IF(B141="","",
IF(AND('Field information 2'!$O$5="", 'Field information 2'!$Q$5=""),
   IF('Waste results'!$S$25&lt;&gt;"data missing", Calc!BC139*'Waste results'!$S$25, "data missing"),
IF('Field information 2'!$Q$5="",
   IF(Calc!BD139=0,
     IF('Waste results'!$S$25&lt;&gt;"data missing", Calc!BC139*'Waste results'!$S$25, "data missing"),
   IF(Calc!BC139=0,
     IF('Waste results'!$S$61&lt;&gt;"data missing", Calc!BD139*'Waste results'!$S$61, "data missing"),
   IF(OR('Waste results'!$S$25&lt;&gt;"data missing", 'Waste results'!$S$61&lt;&gt;"data missing"), Calc!BC139*'Waste results'!$S$25+ Calc!BD139*'Waste results'!$S$61, "data missing"))),
IF(AND('Field information 2'!$M$5&lt;&gt;"", 'Field information 2'!$O$5&lt;&gt;"", 'Field information 2'!$Q$5&lt;&gt;""),
   IF(AND(Calc!BD139=0,Calc!BE139=0),
     IF('Waste results'!$S$25&lt;&gt;"data missing", Calc!BC139*'Waste results'!$S$25, "data missing"),
   IF(AND(Calc!BC139=0,Calc!BE139=0),
     IF('Waste results'!$S$61&lt;&gt;"data missing", Calc!BD139*'Waste results'!$S$61, "data missing"),
   IF(AND(Calc!BC139=0,Calc!BD139=0),
     IF('Waste results'!$S$97&lt;&gt;"data missing", Calc!BE139*'Waste results'!$S$97, "data missing"),
   IF(Calc!BE139=0,
     IF(OR('Waste results'!$S$25&lt;&gt;"data missing", 'Waste results'!$S$61&lt;&gt;"data missing"), Calc!BC139*'Waste results'!$S$25+ Calc!BD139*'Waste results'!$S$61, "data missing"),
   IF(Calc!BD139=0,
     IF(OR('Waste results'!$S$25&lt;&gt;"data missing", 'Waste results'!$S$97&lt;&gt;"data missing"), Calc!BC139*'Waste results'!$S$25+ Calc!BE139*'Waste results'!$S$97, "data missing"),
   IF(Calc!BC139=0,
     IF(OR('Waste results'!$S$61&lt;&gt;"data missing", 'Waste results'!$S$97&lt;&gt;"data missing"), Calc!BD139*'Waste results'!$S$61+Calc!BE139*'Waste results'!$S$97, "data missing"),
   IF(OR('Waste results'!$S$25&lt;&gt;"data missing", 'Waste results'!$S$61&lt;&gt;"data missing", 'Waste results'!$S$97&lt;&gt;"data missing"), Calc!BC139*'Waste results'!$S$25+Calc!BD139*'Waste results'!$S$61+ Calc!BE139*'Waste results'!$S$97, "data missing")))))))))))</f>
        <v/>
      </c>
      <c r="AM141" s="239" t="str">
        <f ca="1">IF($B141="","",
IF(ISBLANK('Soil results'!K144),"data missing",'Soil results'!K144))</f>
        <v/>
      </c>
      <c r="AN141" s="239" t="str">
        <f t="shared" ca="1" si="40"/>
        <v/>
      </c>
      <c r="AO141" s="9" t="str">
        <f t="shared" ca="1" si="41"/>
        <v/>
      </c>
      <c r="AP141" s="9"/>
      <c r="AQ141" s="240" t="str">
        <f ca="1">IF(B141="","",
IF(AND('Field information 2'!$O$5="", 'Field information 2'!$Q$5=""),
   IF('Waste results'!$S$26&lt;&gt;"data missing", Calc!BC139*'Waste results'!$S$26, "data missing"),
IF('Field information 2'!$Q$5="",
   IF(Calc!BD139=0,
     IF('Waste results'!$S$26&lt;&gt;"data missing", Calc!BC139*'Waste results'!$S$26, "data missing"),
   IF(Calc!BC139=0,
     IF('Waste results'!$S$62&lt;&gt;"data missing", Calc!BD139*'Waste results'!$S$62, "data missing"),
   IF(OR('Waste results'!$S$26&lt;&gt;"data missing", 'Waste results'!$S$62&lt;&gt;"data missing"), Calc!BC139*'Waste results'!$S$26+ Calc!BD139*'Waste results'!$S$62, "data missing"))),
IF(AND('Field information 2'!$M$5&lt;&gt;"", 'Field information 2'!$O$5&lt;&gt;"", 'Field information 2'!$Q$5&lt;&gt;""),
   IF(AND(Calc!BD139=0,Calc!BE139=0),
     IF('Waste results'!$S$26&lt;&gt;"data missing", Calc!BC139*'Waste results'!$S$26, "data missing"),
   IF(AND(Calc!BC139=0,Calc!BE139=0),
     IF('Waste results'!$S$62&lt;&gt;"data missing", Calc!BD139*'Waste results'!$S$62, "data missing"),
   IF(AND(Calc!BC139=0,Calc!BD139=0),
     IF('Waste results'!$S$98&lt;&gt;"data missing", Calc!BE139*'Waste results'!$S$98, "data missing"),
   IF(Calc!BE139=0,
     IF(OR('Waste results'!$S$26&lt;&gt;"data missing", 'Waste results'!$S$62&lt;&gt;"data missing"), Calc!BC139*'Waste results'!$S$26+ Calc!BD139*'Waste results'!$S$62, "data missing"),
   IF(Calc!BD139=0,
     IF(OR('Waste results'!$S$26&lt;&gt;"data missing", 'Waste results'!$S$98&lt;&gt;"data missing"), Calc!BC139*'Waste results'!$S$26+ Calc!BE139*'Waste results'!$S$98, "data missing"),
   IF(Calc!BC139=0,
     IF(OR('Waste results'!$S$62&lt;&gt;"data missing", 'Waste results'!$S$98&lt;&gt;"data missing"), Calc!BD139*'Waste results'!$S$62+Calc!BE139*'Waste results'!$S$98, "data missing"),
   IF(OR('Waste results'!$S$26&lt;&gt;"data missing", 'Waste results'!$S$62&lt;&gt;"data missing", 'Waste results'!$S$98&lt;&gt;"data missing"), Calc!BC139*'Waste results'!$S$26+Calc!BD139*'Waste results'!$S$62+ Calc!BE139*'Waste results'!$S$98, "data missing")))))))))))</f>
        <v/>
      </c>
      <c r="AR141" s="241" t="str">
        <f ca="1">IF($B141="","",
IF(ISBLANK('Soil results'!L144),"data missing",'Soil results'!L144))</f>
        <v/>
      </c>
      <c r="AS141" s="241" t="str">
        <f t="shared" ca="1" si="42"/>
        <v/>
      </c>
      <c r="AT141" s="66" t="str">
        <f t="shared" ca="1" si="43"/>
        <v/>
      </c>
      <c r="AU141" s="9"/>
      <c r="AV141" s="238" t="str">
        <f ca="1">IF(B141="","",
IF(AND('Field information 2'!$O$5="", 'Field information 2'!$Q$5=""),
   IF('Waste results'!$S$27&lt;&gt;"data missing", Calc!BC139*'Waste results'!$S$27, "data missing"),
IF('Field information 2'!$Q$5="",
   IF(Calc!BD139=0,
     IF('Waste results'!$S$27&lt;&gt;"data missing", Calc!BC139*'Waste results'!$S$27, "data missing"),
   IF(Calc!BC139=0,
     IF('Waste results'!$S$63&lt;&gt;"data missing", Calc!BD139*'Waste results'!$S$63, "data missing"),
   IF(OR('Waste results'!$S$27&lt;&gt;"data missing", 'Waste results'!$S$63&lt;&gt;"data missing"), Calc!BC139*'Waste results'!$S$27+ Calc!BD139*'Waste results'!$S$63, "data missing"))),
IF(AND('Field information 2'!$M$5&lt;&gt;"", 'Field information 2'!$O$5&lt;&gt;"", 'Field information 2'!$Q$5&lt;&gt;""),
   IF(AND(Calc!BD139=0,Calc!BE139=0),
     IF('Waste results'!$S$27&lt;&gt;"data missing", Calc!BC139*'Waste results'!$S$27, "data missing"),
   IF(AND(Calc!BC139=0,Calc!BE139=0),
     IF('Waste results'!$S$63&lt;&gt;"data missing", Calc!BD139*'Waste results'!$S$63, "data missing"),
   IF(AND(Calc!BC139=0,Calc!BD139=0),
     IF('Waste results'!$S$99&lt;&gt;"data missing", Calc!BE139*'Waste results'!$S$99, "data missing"),
   IF(Calc!BE139=0,
     IF(OR('Waste results'!$S$27&lt;&gt;"data missing", 'Waste results'!$S$63&lt;&gt;"data missing"), Calc!BC139*'Waste results'!$S$27+ Calc!BD139*'Waste results'!$S$63, "data missing"),
   IF(Calc!BD139=0,
     IF(OR('Waste results'!$S$27&lt;&gt;"data missing", 'Waste results'!$S$99&lt;&gt;"data missing"), Calc!BC139*'Waste results'!$S$27+ Calc!BE139*'Waste results'!$S$99, "data missing"),
   IF(Calc!BC139=0,
     IF(OR('Waste results'!$S$63&lt;&gt;"data missing", 'Waste results'!$S$99&lt;&gt;"data missing"), Calc!BD139*'Waste results'!$S$63+Calc!BE139*'Waste results'!$S$99, "data missing"),
   IF(OR('Waste results'!$S$27&lt;&gt;"data missing", 'Waste results'!$S$63&lt;&gt;"data missing", 'Waste results'!$S$99&lt;&gt;"data missing"), Calc!BC139*'Waste results'!$S$27+Calc!BD139*'Waste results'!$S$63+ Calc!BE139*'Waste results'!$S$99, "data missing")))))))))))</f>
        <v/>
      </c>
      <c r="AW141" s="239" t="str">
        <f ca="1">IF($B141="","",
IF(ISBLANK('Soil results'!M144),"data missing",'Soil results'!M144))</f>
        <v/>
      </c>
      <c r="AX141" s="239" t="str">
        <f t="shared" ca="1" si="44"/>
        <v/>
      </c>
      <c r="AY141" s="9" t="str">
        <f ca="1">IF(B141="","",
IF(AV141=0,"n/a",
IF(OR(AV141="data missing",AW141="data missing"),"data missing",
IF(AV141&gt;7.5,"application rate too high - permissible rate exceeds limit",
IF('Soil results'!$F144&lt;=5.5,
  IF(AW141&gt;80,"no application - soil conc. already above limit",
  IF(AX141&gt;80,"application rate too high - soil conc. will exceed limit",
  IF(AW141&gt;80*0.9,"soil conc. is at or above 90% of the limit",
  IF(10*AV141*1000/3000+AW141&gt;80,"soil limit likely to be exceeded in 10yrs",
  IF(50*AV141*1000/3000+AW141&gt;80,"soil limit likely to be exceeded in 50yrs","ok"))))),
IF('Soil results'!$F144&lt;=6,
  IF(AW141&gt;100,"no application - soil conc. already above limit",
  IF(AX141&gt;100,"application rate too high - soil conc. will exceed limit",
  IF(AW141&gt;100*0.9,"soil conc. is at or above 90% of the limit",
  IF(10*AV141*1000/3000+AW141&gt;100,"soil limit likely to be exceeded in 10yrs",
  IF(50*AV141*1000/3000+AW141&gt;100,"soil limit likely to be exceeded in 50yrs","ok"))))),
IF('Soil results'!$F144&lt;=7,
  IF(AW141&gt;135,"no application - soil conc. already above limit",
  IF(AX141&gt;135,"application rate too high - soil conc. will exceed limit",
  IF(AW141&gt;135*0.9,"soil conc. is at or above 90% of the limit",
  IF(10*AV141*1000/3000+AW141&gt;135,"soil limit likely to be exceeded in 10yrs",
  IF(50*AV141*1000/3000+AW141&gt;135,"soil limit likely to be exceeded in 50yrs","ok"))))),
IF('Soil results'!$F144&gt;7,
  IF(AW141&gt;200,"no application - soil conc. already above limit",
  IF(AX141&gt;200,"application too high - soil conc. will exceed limit",
  IF(AW141&gt;200*0.9,"soil conc. is at or above 90% of the limit",
  IF(10*AV141*1000/3000+AW141&gt;200,"soil limit likely to be exceeded in 10yrs",
  IF(50*AV141*1000/3000+AW141&gt;200,"soil limit likely to be exceeded in 50yrs","ok")))))
))))))))</f>
        <v/>
      </c>
      <c r="AZ141" s="9"/>
      <c r="BA141" s="238" t="str">
        <f ca="1">IF(B141="","",
IF(AND('Field information 2'!$O$5="", 'Field information 2'!$Q$5=""),
   IF('Waste results'!$S$28&lt;&gt;"data missing", Calc!BC139*'Waste results'!$S$28, "data missing"),
IF('Field information 2'!$Q$5="",
   IF(Calc!BD139=0,
     IF('Waste results'!$S$28&lt;&gt;"data missing", Calc!BC139*'Waste results'!$S$28, "data missing"),
   IF(Calc!BC139=0,
     IF('Waste results'!$S$64&lt;&gt;"data missing", Calc!BD139*'Waste results'!$S$64, "data missing"),
   IF(OR('Waste results'!$S$28&lt;&gt;"data missing", 'Waste results'!$S$64&lt;&gt;"data missing"), Calc!BC139*'Waste results'!$S$28+ Calc!BD139*'Waste results'!$S$64, "data missing"))),
IF(AND('Field information 2'!$M$5&lt;&gt;"", 'Field information 2'!$O$5&lt;&gt;"", 'Field information 2'!$Q$5&lt;&gt;""),
   IF(AND(Calc!BD139=0,Calc!BE139=0),
     IF('Waste results'!$S$28&lt;&gt;"data missing", Calc!BC139*'Waste results'!$S$28, "data missing"),
   IF(AND(Calc!BC139=0,Calc!BE139=0),
     IF('Waste results'!$S$64&lt;&gt;"data missing", Calc!BD139*'Waste results'!$S$64, "data missing"),
   IF(AND(Calc!BC139=0,Calc!BD139=0),
     IF('Waste results'!$S$100&lt;&gt;"data missing", Calc!BE139*'Waste results'!$S$100, "data missing"),
   IF(Calc!BE139=0,
     IF(OR('Waste results'!$S$28&lt;&gt;"data missing", 'Waste results'!$S$64&lt;&gt;"data missing"), Calc!BC139*'Waste results'!$S$28+ Calc!BD139*'Waste results'!$S$64, "data missing"),
   IF(Calc!BD139=0,
     IF(OR('Waste results'!$S$28&lt;&gt;"data missing", 'Waste results'!$S$100&lt;&gt;"data missing"), Calc!BC139*'Waste results'!$S$28+ Calc!BE139*'Waste results'!$S$100, "data missing"),
   IF(Calc!BC139=0,
     IF(OR('Waste results'!$S$64&lt;&gt;"data missing", 'Waste results'!$S$100&lt;&gt;"data missing"), Calc!BD139*'Waste results'!$S$64+Calc!BE139*'Waste results'!$S$100, "data missing"),
   IF(OR('Waste results'!$S$28&lt;&gt;"data missing", 'Waste results'!$S$64&lt;&gt;"data missing", 'Waste results'!$S$100&lt;&gt;"data missing"), Calc!BC139*'Waste results'!$S$28+Calc!BD139*'Waste results'!$S$64+ Calc!BE139*'Waste results'!$S$100, "data missing")))))))))))</f>
        <v/>
      </c>
      <c r="BB141" s="239" t="str">
        <f ca="1">IF($B141="","",
IF(ISBLANK('Soil results'!N144),"data missing",'Soil results'!N144))</f>
        <v/>
      </c>
      <c r="BC141" s="239" t="str">
        <f t="shared" ca="1" si="45"/>
        <v/>
      </c>
      <c r="BD141" s="9" t="str">
        <f t="shared" ca="1" si="46"/>
        <v/>
      </c>
      <c r="BE141" s="9"/>
      <c r="BF141" s="238" t="str">
        <f ca="1">IF(B141="","",
IF(AND('Field information 2'!$O$5="", 'Field information 2'!$Q$5=""),
   IF('Waste results'!$S$29&lt;&gt;"data missing", Calc!BC139*'Waste results'!$S$29, "data missing"),
IF('Field information 2'!$Q$5="",
   IF(Calc!BD139=0,
     IF('Waste results'!$S$29&lt;&gt;"data missing", Calc!BC139*'Waste results'!$S$29, "data missing"),
   IF(Calc!BC139=0,
     IF('Waste results'!$S$65&lt;&gt;"data missing", Calc!BD139*'Waste results'!$S$65, "data missing"),
   IF(OR('Waste results'!$S$29&lt;&gt;"data missing", 'Waste results'!$S$65&lt;&gt;"data missing"), Calc!BC139*'Waste results'!$S$29+ Calc!BD139*'Waste results'!$S$65, "data missing"))),
IF(AND('Field information 2'!$M$5&lt;&gt;"", 'Field information 2'!$O$5&lt;&gt;"", 'Field information 2'!$Q$5&lt;&gt;""),
   IF(AND(Calc!BD139=0,Calc!BE139=0),
     IF('Waste results'!$S$29&lt;&gt;"data missing", Calc!BC139*'Waste results'!$S$29, "data missing"),
   IF(AND(Calc!BC139=0,Calc!BE139=0),
     IF('Waste results'!$S$65&lt;&gt;"data missing", Calc!BD139*'Waste results'!$S$65, "data missing"),
   IF(AND(Calc!BC139=0,Calc!BD139=0),
     IF('Waste results'!$S$101&lt;&gt;"data missing", Calc!BE139*'Waste results'!$S$101, "data missing"),
   IF(Calc!BE139=0,
     IF(OR('Waste results'!$S$29&lt;&gt;"data missing", 'Waste results'!$S$65&lt;&gt;"data missing"), Calc!BC139*'Waste results'!$S$29+ Calc!BD139*'Waste results'!$S$65, "data missing"),
   IF(Calc!BD139=0,
     IF(OR('Waste results'!$S$29&lt;&gt;"data missing", 'Waste results'!$S$101&lt;&gt;"data missing"), Calc!BC139*'Waste results'!$S$29+ Calc!BE139*'Waste results'!$S$101, "data missing"),
   IF(Calc!BC139=0,
     IF(OR('Waste results'!$S$65&lt;&gt;"data missing", 'Waste results'!$S$101&lt;&gt;"data missing"), Calc!BD139*'Waste results'!$S$65+Calc!BE139*'Waste results'!$S$101, "data missing"),
   IF(OR('Waste results'!$S$29&lt;&gt;"data missing", 'Waste results'!$S$65&lt;&gt;"data missing", 'Waste results'!$S$101&lt;&gt;"data missing"), Calc!BC139*'Waste results'!$S$29+Calc!BD139*'Waste results'!$S$65+ Calc!BE139*'Waste results'!$S$101, "data missing")))))))))))</f>
        <v/>
      </c>
      <c r="BG141" s="239" t="str">
        <f ca="1">IF($B141="","",
IF(ISBLANK('Soil results'!O144),"data missing",'Soil results'!O144))</f>
        <v/>
      </c>
      <c r="BH141" s="239" t="str">
        <f t="shared" ca="1" si="47"/>
        <v/>
      </c>
      <c r="BI141" s="9" t="str">
        <f ca="1">IF(B141="","",
IF(BF141=0,"n/a",
IF(OR(BF141="data missing",BG141="data missing"),"data missing",
IF(BF141&gt;3,"application rate too high - permissible rate exceeds limit",
IF('Soil results'!F144&lt;=5.5,
  IF(BG141&gt;50,"no application - soil conc. already above limit",
  IF(BH141&gt;50,"application rate too high - soil conc. will exceed limit",
  IF(BG141&gt;50*0.9,"soil conc. is at or above 90% of the limit",
  IF(10*BF141*1000/3000+BG141&gt;50,"soil limit likely to be exceeded in 10yrs",
  IF(50*BF141*1000/3000+BG141&gt;50,"soil limit likely to be exceeded in 50yrs","ok"))))),
IF('Soil results'!F144&lt;=6,
  IF(BG141&gt;60,"no application - soil conc. already above limit",
  IF(BH141&gt;60,"application rate too high - soil conc. will exceed limit",
  IF(BG141&gt;60*0.9,"soil conc. is at or above 90% of the limit",
  IF(10*BF141*1000/3000+BG141&gt;60,"soil limit likely to be exceeded in 10yrs",
  IF(50*BF141*1000/3000+BG141&gt;60,"soil limit likely to be exceeded in 50yrs","ok"))))),
IF('Soil results'!F144&lt;=7,
  IF(BG141&gt;75,"no application - soil conc. already above limit",
  IF(BH141&gt;75,"application rate too high - soil conc. will exceed limit",
  IF(BG141&gt;75*0.9,"soil conc. is at or above 90% of the limit",
  IF(10*BF141*1000/3000+BG141&gt;75,"soil limit likely to be exceeded in 10yrs",
  IF(50*BF141*1000/3000+BG141&gt;75,"soil limit likely to be exceeded in 50yrs","ok"))))),
IF('Soil results'!F144&gt;7,
  IF(BG141&gt;100,"no application - soil conc. already above limit",
  IF(BH141&gt;100,"application rate too high - soil conc. will exceed limit",
  IF(BG141&gt;100*0.9,"soil conc. is at or above 90% of the limit",
  IF(10*BF141*1000/3000+BG141&gt;100,"soil limit likely to be exceeded in 10yrs",
  IF(50*BF141*1000/3000+BG141&gt;100,"soil limit likely to beexceeded in 50yrs","ok")))))
))))))))</f>
        <v/>
      </c>
      <c r="BJ141" s="9"/>
      <c r="BK141" s="240" t="str">
        <f ca="1">IF(B141="","",
IF(AND('Field information 2'!$O$5="", 'Field information 2'!$Q$5=""),
   IF('Waste results'!$S$30&lt;&gt;"data missing", Calc!BC139*'Waste results'!$S$30, "data missing"),
IF('Field information 2'!$Q$5="",
   IF(Calc!BD139=0,
     IF('Waste results'!$S$30&lt;&gt;"data missing", Calc!BC139*'Waste results'!$S$30, "data missing"),
   IF(Calc!BC139=0,
     IF('Waste results'!$S$66&lt;&gt;"data missing", Calc!BD139*'Waste results'!$S$66, "data missing"),
   IF(OR('Waste results'!$S$30&lt;&gt;"data missing", 'Waste results'!$S$66&lt;&gt;"data missing"), Calc!BC139*'Waste results'!$S$30+ Calc!BD139*'Waste results'!$S$66, "data missing"))),
IF(AND('Field information 2'!$M$5&lt;&gt;"", 'Field information 2'!$O$5&lt;&gt;"", 'Field information 2'!$Q$5&lt;&gt;""),
   IF(AND(Calc!BD139=0,Calc!BE139=0),
     IF('Waste results'!$S$30&lt;&gt;"data missing", Calc!BC139*'Waste results'!$S$30, "data missing"),
   IF(AND(Calc!BC139=0,Calc!BE139=0),
     IF('Waste results'!$S$66&lt;&gt;"data missing", Calc!BD139*'Waste results'!$S$66, "data missing"),
   IF(AND(Calc!BC139=0,Calc!BD139=0),
     IF('Waste results'!$S$102&lt;&gt;"data missing", Calc!BE139*'Waste results'!$S$102, "data missing"),
   IF(Calc!BE139=0,
     IF(OR('Waste results'!$S$30&lt;&gt;"data missing", 'Waste results'!$S$66&lt;&gt;"data missing"), Calc!BC139*'Waste results'!$S$30+ Calc!BD139*'Waste results'!$S$66, "data missing"),
   IF(Calc!BD139=0,
     IF(OR('Waste results'!$S$30&lt;&gt;"data missing", 'Waste results'!$S$102&lt;&gt;"data missing"), Calc!BC139*'Waste results'!$S$30+ Calc!BE139*'Waste results'!$S$102, "data missing"),
   IF(Calc!BC139=0,
     IF(OR('Waste results'!$S$66&lt;&gt;"data missing", 'Waste results'!$S$102&lt;&gt;"data missing"), Calc!BD139*'Waste results'!$S$66+Calc!BE139*'Waste results'!$S$102, "data missing"),
   IF(OR('Waste results'!$S$30&lt;&gt;"data missing", 'Waste results'!$S$66&lt;&gt;"data missing", 'Waste results'!$S$102&lt;&gt;"data missing"), Calc!BC139*'Waste results'!$S$30+Calc!BD139*'Waste results'!$S$66+ Calc!BE139*'Waste results'!$S$102, "data missing")))))))))))</f>
        <v/>
      </c>
      <c r="BL141" s="241" t="str">
        <f ca="1">IF($B141="","",
IF(ISBLANK('Soil results'!P144),"data missing",'Soil results'!P144))</f>
        <v/>
      </c>
      <c r="BM141" s="241" t="str">
        <f t="shared" ca="1" si="48"/>
        <v/>
      </c>
      <c r="BN141" s="66" t="str">
        <f t="shared" ca="1" si="49"/>
        <v/>
      </c>
      <c r="BO141" s="9"/>
      <c r="BP141" s="238" t="str">
        <f ca="1">IF(B141="","",
IF(AND('Field information 2'!$O$5="", 'Field information 2'!$Q$5=""),
   IF('Waste results'!$S$31&lt;&gt;"data missing", Calc!BC139*'Waste results'!$S$31, "data missing"),
IF('Field information 2'!$Q$5="",
   IF(Calc!BD139=0,
     IF('Waste results'!$S$31&lt;&gt;"data missing", Calc!BC139*'Waste results'!$S$31, "data missing"),
   IF(Calc!BC139=0,
     IF('Waste results'!$S$67&lt;&gt;"data missing", Calc!BD139*'Waste results'!$S$67, "data missing"),
   IF(OR('Waste results'!$S$31&lt;&gt;"data missing", 'Waste results'!$S$67&lt;&gt;"data missing"), Calc!BC139*'Waste results'!$S$31+ Calc!BD139*'Waste results'!$S$67, "data missing"))),
IF(AND('Field information 2'!$M$5&lt;&gt;"", 'Field information 2'!$O$5&lt;&gt;"", 'Field information 2'!$Q$5&lt;&gt;""),
   IF(AND(Calc!BD139=0,Calc!BE139=0),
     IF('Waste results'!$S$31&lt;&gt;"data missing", Calc!BC139*'Waste results'!$S$31, "data missing"),
   IF(AND(Calc!BC139=0,Calc!BE139=0),
     IF('Waste results'!$S$67&lt;&gt;"data missing", Calc!BD139*'Waste results'!$S$67, "data missing"),
   IF(AND(Calc!BC139=0,Calc!BD139=0),
     IF('Waste results'!$S$103&lt;&gt;"data missing", Calc!BE139*'Waste results'!$S$103, "data missing"),
   IF(Calc!BE139=0,
     IF(OR('Waste results'!$S$31&lt;&gt;"data missing", 'Waste results'!$S$67&lt;&gt;"data missing"), Calc!BC139*'Waste results'!$S$31+ Calc!BD139*'Waste results'!$S$67, "data missing"),
   IF(Calc!BD139=0,
     IF(OR('Waste results'!$S$31&lt;&gt;"data missing", 'Waste results'!$S$103&lt;&gt;"data missing"), Calc!BC139*'Waste results'!$S$31+ Calc!BE139*'Waste results'!$S$103, "data missing"),
   IF(Calc!BC139=0,
     IF(OR('Waste results'!$S$67&lt;&gt;"data missing", 'Waste results'!$S$103&lt;&gt;"data missing"), Calc!BD139*'Waste results'!$S$67+Calc!BE139*'Waste results'!$S$103, "data missing"),
   IF(OR('Waste results'!$S$31&lt;&gt;"data missing", 'Waste results'!$S$67&lt;&gt;"data missing", 'Waste results'!$S$103&lt;&gt;"data missing"), Calc!BC139*'Waste results'!$S$31+Calc!BD139*'Waste results'!$S$67+ Calc!BE139*'Waste results'!$S$103, "data missing")))))))))))</f>
        <v/>
      </c>
      <c r="BQ141" s="239" t="str">
        <f ca="1">IF($B141="","",
IF(ISBLANK('Soil results'!Q144),"data missing",'Soil results'!Q144))</f>
        <v/>
      </c>
      <c r="BR141" s="239" t="str">
        <f t="shared" ca="1" si="50"/>
        <v/>
      </c>
      <c r="BS141" s="9" t="str">
        <f ca="1">IF(B141="","",
IF(BP141=0,"n/a",
IF(OR(BP141="data missing",BQ141=""),"data missing",
IF(BP141&gt;15,"application rate too high - permissible rate exceeds limit",
IF('Soil results'!F144&lt;=5.5,
  IF(BQ141&gt;200,"no application - soil conc. already above limit",
  IF(BR141&gt;200,"application rate too high - soil conc. will exceed limit",
  IF(BQ141&gt;200*0.9,"soil conc. is at or above 90% of the limit",
  IF(10*BP141*1000/3000+BQ141&gt;200,"soil limit likely to be exceeded in 10yrs",
  IF(50*BP141*1000/3000+BQ141&gt;200,"soil limit likely to be exceeded in 50yrs","ok"))))),
IF('Soil results'!F144&lt;=6,
  IF(BQ141&gt;250,"no application - soil conc. already above limit",
  IF(BR141&gt;250,"application rate too high - soil conc. will exceed limit",
  IF(BQ141&gt;250*0.9,"soil conc. is at or above 90% of the limit",
  IF(10*BP141*1000/3000+BQ141&gt;250,"soil limit likely to be exceeded in 10yrs",
  IF(50*BP141*1000/3000+BQ141&gt;250,"soil limit likely to be exceeded in 50yrs","ok"))))),
IF('Soil results'!F144&lt;=7,
  IF(BQ141&gt;300,"no application - soil conc. already above limit",
  IF(BR141&gt;300,"application rate too high - soil conc. will exceed limit",
  IF(BQ141&gt;300*0.9,"soil conc. is at or above 90% of the limit",
  IF(10*BP141*1000/3000+BQ141&gt;300,"soil limit likey to be exceeded in 10yrs",
  IF(50*BP141*1000/3000+BQ141&gt;300,"soil limit likely to be exceeded in 50yrs","ok"))))),
IF('Soil results'!F144&gt;7,
  IF(BQ141&gt;450,"no application - soil conc. already above limit",
  IF(BR141&gt;450,"application rate too high - soil conc. will exceed limit",
  IF(AW141&gt;450*0.9,"soil conc. is at or above 90% of the limit",
  IF(10*BP141*1000/3000+BQ141&gt;450,"soil limit likely to be exceeded in 10yrs",
  IF(50*BP141*1000/3000+BQ141&gt;450,"soil limit likely to be exceeded in 50yrs","ok")))))
))))))))</f>
        <v/>
      </c>
    </row>
    <row r="142" spans="2:71" ht="15" x14ac:dyDescent="0.25">
      <c r="B142" s="236" t="str">
        <f ca="1">'Soil results'!B145</f>
        <v/>
      </c>
      <c r="C142" s="91" t="str">
        <f ca="1">IF(B142="","",
IF(AND('Field information 2'!$O$5="", 'Field information 2'!$Q$5=""),
   IF('Waste results'!$S$12&lt;&gt;"data missing", Calc!BC140*'Waste results'!$S$12, "data missing"),
IF('Field information 2'!$Q$5="",
   IF(Calc!BD140=0,
     IF('Waste results'!$S$12&lt;&gt;"data missing", Calc!BC140*'Waste results'!$S$12, "data missing"),
   IF(Calc!BC140=0,
     IF('Waste results'!$S$48&lt;&gt;"data missing", Calc!BD140*'Waste results'!$S$48, "data missing"),
   IF(OR('Waste results'!$S$12&lt;&gt;"data missing", 'Waste results'!$S$48&lt;&gt;"data missing"), Calc!BC140*'Waste results'!$S$12+ Calc!BD140*'Waste results'!$S$48, "data missing"))),
IF(AND('Field information 2'!$M$5&lt;&gt;"", 'Field information 2'!$O$5&lt;&gt;"", 'Field information 2'!$Q$5&lt;&gt;""),
   IF(AND(Calc!BD140=0,Calc!BE140=0),
     IF('Waste results'!$S$12&lt;&gt;"data missing", Calc!BC140*'Waste results'!$S$12, "data missing"),
   IF(AND(Calc!BC140=0,Calc!BE140=0),
     IF('Waste results'!$S$48&lt;&gt;"data missing", Calc!BD140*'Waste results'!$S$48, "data missing"),
   IF(AND(Calc!BC140=0,Calc!BD140=0),
     IF('Waste results'!$S$84&lt;&gt;"data missing", Calc!BE140*'Waste results'!$S$84, "data missing"),
   IF(Calc!BE140=0,
     IF(OR('Waste results'!$S$12&lt;&gt;"data missing", 'Waste results'!$S$48&lt;&gt;"data missing"), Calc!BC140*'Waste results'!$S$12+ Calc!BD140*'Waste results'!$S$48, "data missing"),
   IF(Calc!BD140=0,
     IF(OR('Waste results'!$S$12&lt;&gt;"data missing", 'Waste results'!$S$84&lt;&gt;"data missing"), Calc!BC140*'Waste results'!$S$12+ Calc!BE140*'Waste results'!$S$84, "data missing"),
   IF(Calc!BC140=0,
     IF(OR('Waste results'!$S$48&lt;&gt;"data missing", 'Waste results'!$S$84&lt;&gt;"data missing"), Calc!BD140*'Waste results'!$S$48+Calc!BE140*'Waste results'!$S$84, "data missing"),
   IF(OR('Waste results'!$S$12&lt;&gt;"data missing", 'Waste results'!$S$48&lt;&gt;"data missing", 'Waste results'!$S$84&lt;&gt;"data missing"), Calc!BC140*'Waste results'!$S$12+Calc!BD140*'Waste results'!$S$48+ Calc!BE140*'Waste results'!$S$84, "data missing")))))))))))</f>
        <v/>
      </c>
      <c r="D142" s="161" t="str">
        <f ca="1">IF(B142="","",
IF(Calc!BG140="","soil texture missing",
IF(OR(Calc!BG140="SL; SZL; ZL",Calc!BG140="SCL; CL; ZCL; SC; ZC; C"),VLOOKUP(Calc!BI140,'Fertiliser recommendations'!$A$4:$C$63,3,FALSE),
IF(Calc!BG140="S; LS",VLOOKUP(Calc!BI140,'Fertiliser recommendations'!$A$4:$C$63,3,FALSE)+VLOOKUP(Calc!BI140,'Fertiliser recommendations'!$A$4:$D$63,4,FALSE),
IF(Calc!BG140="10-25% OM",VLOOKUP(Calc!BI140,'Fertiliser recommendations'!$A$4:$C$63,3,FALSE)+VLOOKUP(Calc!BI140,'Fertiliser recommendations'!$A$4:$E$63,5,FALSE),
IF(Calc!BG140="&gt;25% OM",VLOOKUP(Calc!BI140,'Fertiliser recommendations'!$A$4:$C$63,3,FALSE)+VLOOKUP(Calc!BI140,'Fertiliser recommendations'!$A$4:$F$63,6,FALSE),
""))))))</f>
        <v/>
      </c>
      <c r="E142" s="91" t="str">
        <f t="shared" ca="1" si="34"/>
        <v/>
      </c>
      <c r="F142" s="9" t="str">
        <f ca="1">IF(B142="","",
IF(OR(C142="data missing",D142="soil texture missing"),"data missing",
IF(Calc!BF140=0,"n/a",
IF(C142&lt;0.1*D142,"no benefit",
IF(C142&lt;0.3*D142,"limited benefit",
IF(C142&gt;250,"exceeds limit",
IF(OR(AND(D142=0,C142&gt;75),C142&gt;1.25*D142),"excessive",
IF(D142=0, "no requirement",
"benefit"))))))))</f>
        <v/>
      </c>
      <c r="G142" s="9"/>
      <c r="H142" s="91" t="str">
        <f ca="1">IF(B142="","",
IF(AND('Field information 2'!$O$5="", 'Field information 2'!$Q$5=""),
   IF('Waste results'!$S$17&lt;&gt;"data missing", Calc!BC140*'Waste results'!$S$17, "data missing"),
IF('Field information 2'!$Q$5="",
   IF(Calc!BD140=0,
     IF('Waste results'!$S$17&lt;&gt;"data missing", Calc!BC140*'Waste results'!$S$17, "data missing"),
   IF(Calc!BC140=0,
     IF('Waste results'!$S$53&lt;&gt;"data missing", Calc!BD140*'Waste results'!$S$53, "data missing"),
   IF(OR('Waste results'!$S$17&lt;&gt;"data missing", 'Waste results'!$S$53&lt;&gt;"data missing"), Calc!BC140*'Waste results'!$S$17+ Calc!BD140*'Waste results'!$S$53, "data missing"))),
IF(AND('Field information 2'!$M$5&lt;&gt;"", 'Field information 2'!$O$5&lt;&gt;"", 'Field information 2'!$Q$5&lt;&gt;""),
   IF(AND(Calc!BD140=0,Calc!BE140=0),
     IF('Waste results'!$S$17&lt;&gt;"data missing", Calc!BC140*'Waste results'!$S$17, "data missing"),
   IF(AND(Calc!BC140=0,Calc!BE140=0),
     IF('Waste results'!$S$53&lt;&gt;"data missing", Calc!BD140*'Waste results'!$S$53, "data missing"),
   IF(AND(Calc!BC140=0,Calc!BD140=0),
     IF('Waste results'!$S$89&lt;&gt;"data missing", Calc!BE140*'Waste results'!$S$89, "data missing"),
   IF(Calc!BE140=0,
     IF(OR('Waste results'!$S$17&lt;&gt;"data missing", 'Waste results'!$S$53&lt;&gt;"data missing"), Calc!BC140*'Waste results'!$S$17+ Calc!BD140*'Waste results'!$S$53, "data missing"),
   IF(Calc!BD140=0,
     IF(OR('Waste results'!$S$17&lt;&gt;"data missing", 'Waste results'!$S$89&lt;&gt;"data missing"), Calc!BC140*'Waste results'!$S$17+ Calc!BE140*'Waste results'!$S$89, "data missing"),
   IF(Calc!BC140=0,
     IF(OR('Waste results'!$S$53&lt;&gt;"data missing", 'Waste results'!$S$89&lt;&gt;"data missing"), Calc!BD140*'Waste results'!$S$53+Calc!BE140*'Waste results'!$S$89, "data missing"),
   IF(OR('Waste results'!$S$17&lt;&gt;"data missing", 'Waste results'!$S$53&lt;&gt;"data missing", 'Waste results'!$S$89&lt;&gt;"data missing"), Calc!BC140*'Waste results'!$S$17+Calc!BD140*'Waste results'!$S$53+ Calc!BE140*'Waste results'!$S$89, "data missing")))))))))))</f>
        <v/>
      </c>
      <c r="I142" s="195" t="str">
        <f ca="1">IF(B142="","",
IF(OR(ISBLANK('Soil results'!G145), ISBLANK('Soil results'!G$7)),"data missing",
IF(OR(AND('Soil results'!G$7="Olsen (ADAS)",'Soil results'!G145&lt;16),AND('Soil results'!G$7="modified Morgan (SAC)",'Soil results'!G145&lt;4.5)),50,100)))</f>
        <v/>
      </c>
      <c r="J142" s="49" t="str">
        <f ca="1">IF(B142="","",
IF(OR(ISBLANK('Soil results'!G$7),ISBLANK('Soil results'!G145)),"data missing",
IF(OR(AND('Soil results'!G$7="Olsen (ADAS)",'Soil results'!G145&gt;45),AND('Soil results'!G$7="modified Morgan (SAC)",'Soil results'!G145&gt;30)),0,
IF(OR(AND('Soil results'!G$7="Olsen (ADAS)",'Soil results'!G145&gt;=16,'Soil results'!G145&lt;=20),AND('Soil results'!G$7="modified Morgan (SAC)",'Soil results'!G145&gt;=4.5,'Soil results'!G145&lt;=9.4)),VLOOKUP(Calc!BI140,'Fertiliser recommendations'!$A$4:$I$63,9,FALSE),
IF(OR(AND('Soil results'!G$7="Olsen (ADAS)",'Soil results'!G145&lt;10),AND('Soil results'!G$7="modified Morgan (SAC)",'Soil results'!G145&lt;1.8)),VLOOKUP(Calc!BI140,'Fertiliser recommendations'!$A$4:$I$63,9,FALSE)+VLOOKUP(Calc!BI140,'Fertiliser recommendations'!$A$4:$J$63,10,FALSE),
IF(OR(AND('Soil results'!G$7="Olsen (ADAS)",'Soil results'!G145&lt;16),AND('Soil results'!G$7="modified Morgan (SAC)",'Soil results'!G145&lt;4.5)),VLOOKUP(Calc!BI140,'Fertiliser recommendations'!$A$4:$I$63,9,FALSE)+VLOOKUP(Calc!BI140,'Fertiliser recommendations'!$A$4:$K$63,11,FALSE),
IF(OR(AND('Soil results'!G$7="Olsen (ADAS)",'Soil results'!G145&lt;26),AND('Soil results'!G$7="modified Morgan (SAC)",'Soil results'!G145&lt;13.5)),VLOOKUP(Calc!BI140,'Fertiliser recommendations'!$A$4:$I$63,9,FALSE)+VLOOKUP(Calc!BI140,'Fertiliser recommendations'!$A$4:$L$63,12,FALSE),
IF(OR(AND('Soil results'!G$7="Olsen (ADAS)",'Soil results'!G145&lt;=45),AND('Soil results'!G$7="modified Morgan (SAC)",'Soil results'!G145&lt;=30)),VLOOKUP(Calc!BI140,'Fertiliser recommendations'!$A$4:$I$63,9,FALSE)+VLOOKUP(Calc!BI140,'Fertiliser recommendations'!$A$4:$M$63,13,FALSE),
""))))))))</f>
        <v/>
      </c>
      <c r="K142" s="161" t="str">
        <f t="shared" ca="1" si="35"/>
        <v/>
      </c>
      <c r="L142" s="47" t="str">
        <f ca="1">IF(OR(ISBLANK('Soil results'!G$7),ISBLANK('Soil results'!G145),B142="", H142="data missing"),"",
IF('Soil results'!G$7="Olsen (ADAS)",
IF(((H142*Calc!BM140/2.291-(VLOOKUP(Calc!BI140,'Fertiliser recommendations'!$A$4:$I$63,9,FALSE))/2.291)*10/(400/2.291)+'Soil results'!G145)&lt;10,"0 (VL)",
IF(((H142*Calc!BM140/2.291-(VLOOKUP(Calc!BI140,'Fertiliser recommendations'!$A$4:$I$63,9,FALSE))/2.291)*10/(400/2.291)+'Soil results'!G145)&lt;16,"1 (L)",
IF(((H142*Calc!BM140/2.291-(VLOOKUP(Calc!BI140,'Fertiliser recommendations'!$A$4:$I$63,9,FALSE))/2.291)*10/(400/2.291)+'Soil results'!G145)&lt;21,"2 (M-)",
IF(((H142*Calc!BM140/2.291-(VLOOKUP(Calc!BI140,'Fertiliser recommendations'!$A$4:$I$63,9,FALSE))/2.291)*10/(400/2.291)+'Soil results'!G145)&lt;26,"2 (M+)",
IF(((H142*Calc!BM140/2.291-(VLOOKUP(Calc!BI140,'Fertiliser recommendations'!$A$4:$I$63,9,FALSE))/2.291)*10/(400/2.291)+'Soil results'!G145)&lt;45,"3 (H)","&gt;3 (VH)"))))),
IF('Soil results'!G$7="modified Morgan (SAC)",
IF('Soil results'!G145&gt;=6,
IF(((H142*Calc!BM140/2.291-(VLOOKUP(Calc!BI140,'Fertiliser recommendations'!$A$4:$I$63,9,FALSE))/2.291)*5/(147/2.291)+'Soil results'!G145)&lt;9.5,"2 (M-)",
IF(((H142*Calc!BM140/2.291-(VLOOKUP(Calc!BI140,'Fertiliser recommendations'!$A$4:$I$63,9,FALSE))/2.291)*5/(147/2.291)+'Soil results'!G145)&lt;13.5,"2 (M+)",
IF(((H142*Calc!BM140/2.291-(VLOOKUP(Calc!BI140,'Fertiliser recommendations'!$A$4:$I$63,9,FALSE))/2.291)*5/(147/2.291)+'Soil results'!G145)&lt;30,"3 (H)","4 (VH)"))),
IF(((H142*Calc!BM140/2.291-(VLOOKUP(Calc!BI140,'Fertiliser recommendations'!$A$4:$I$63,9,FALSE))/2.291)*5/(346/2.291)+'Soil results'!G145)&lt;1.8,"0 (VL)",
IF(((H142*Calc!BM140/2.291-(VLOOKUP(Calc!BI140,'Fertiliser recommendations'!$A$4:$I$63,9,FALSE))/2.291)*5/(147/2.291)+'Soil results'!G145)&lt;4.5,"1 (L)","2 (M-)"))))))</f>
        <v/>
      </c>
      <c r="M142" s="9" t="str">
        <f ca="1">IF(B142="","",
IF(OR(H142="data missing",I142="data missing",J142="data missing"),"data missing",
IF(Calc!BF140=0,"n/a",
IF(OR(AND('Soil results'!G$7="Olsen (ADAS)",'Soil results'!G145&gt;45),AND('Soil results'!G$7="modified Morgan (SAC)",'Soil results'!G145&gt;30)),
IF(H142&gt;2,"too high, not acceptable","no requirement"),IF(OR(AND('Soil results'!G$7="Olsen (ADAS)",'Soil results'!G145&gt;25),AND('Soil results'!G$7="modified Morgan (SAC)",'Soil results'!G145&gt;13.4)),
IF(H142*(I142/100)&lt;0.1*J142,"no benefit",
IF(H142*(I142/100)&lt;0.3*J142,"limited benefit",
IF(H142*(I142/100)&lt;1.1*J142,"benefit",
IF(H142*(I142/100)&lt;0.7*VLOOKUP(Calc!BI140,'Fertiliser recommendations'!$A$4:$I$63,9,FALSE),"excessive","too high, not acceptable")))),
IF(OR(AND('Soil results'!G$7="Olsen (ADAS)",'Soil results'!G145&gt;20),AND('Soil results'!G$7="modified Morgan (SAC)",'Soil results'!G145&gt;9.4)),
IF(H142*Calc!BM140*(I142/100)&lt;0.1*J142,"no benefit",
IF(H142*Calc!BM140*(I142/100)&lt;0.3*J142,"limited benefit",
IF(H142*Calc!BM140*(I142/100)&lt;1.1*J142,"benefit",
IF(L142="3 (H)","too high, not acceptable","excessive")))),
IF(OR(AND('Soil results'!G$7="Olsen (ADAS)",'Soil results'!G145&gt;15),AND('Soil results'!G$7="modified Morgan (SAC)",'Soil results'!G145&gt;4.4)),
IF(H142*Calc!BM140*(I142/100)&lt;0.1*VLOOKUP(Calc!BI140,'Fertiliser recommendations'!$A$4:$I$63,9,FALSE),"no benefit",
IF(H142*Calc!BM140*(I142/100)&lt;0.3*VLOOKUP(Calc!BI140,'Fertiliser recommendations'!$A$4:$I$63,9,FALSE),"limited benefit",
IF(H142*Calc!BM140*(I142/100)&lt;1.1*VLOOKUP(Calc!BI140,'Fertiliser recommendations'!$A$4:$I$63,9,FALSE),"benefit",
IF(L142="3 (H)", "too high, not acceptable", "excessive")))),
IF(OR(AND('Soil results'!G$7="Olsen (ADAS)",'Soil results'!G145&lt;=15),AND('Soil results'!G$7="modified Morgan (SAC)",'Soil results'!G145&lt;=4.4)),
IF(H142*Calc!BM140*(I142/100)&lt;0.1*VLOOKUP(Calc!BI140,'Fertiliser recommendations'!$A$4:$I$63,9,FALSE),"no benefit",
IF(H142*Calc!BM140*(I142/100)&lt;0.3*VLOOKUP(Calc!BI140,'Fertiliser recommendations'!$A$4:$I$63,9,FALSE),"limited benefit",
IF(H142*Calc!BM140*(I142/100)&lt;1.1*J142,"benefit","excessive")))))))))))</f>
        <v/>
      </c>
      <c r="N142" s="9"/>
      <c r="O142" s="91" t="str">
        <f ca="1">IF(B142="","",
IF(AND('Field information 2'!$O$5="", 'Field information 2'!$Q$5=""),
   IF('Waste results'!$S$19&lt;&gt;"data missing", Calc!BC140*'Waste results'!$S$19, "data missing"),
IF('Field information 2'!$Q$5="",
   IF(Calc!BD140=0,
     IF('Waste results'!$S$19&lt;&gt;"data missing", Calc!BC140*'Waste results'!$S$19, "data missing"),
   IF(Calc!BC140=0,
     IF('Waste results'!$S$55&lt;&gt;"data missing", Calc!BD140*'Waste results'!$S$55, "data missing"),
   IF(OR('Waste results'!$S$19&lt;&gt;"data missing", 'Waste results'!$S$55&lt;&gt;"data missing"), Calc!BC140*'Waste results'!$S$19+ Calc!BD140*'Waste results'!$S$55, "data missing"))),
IF(AND('Field information 2'!$M$5&lt;&gt;"", 'Field information 2'!$O$5&lt;&gt;"", 'Field information 2'!$Q$5&lt;&gt;""),
   IF(AND(Calc!BD140=0,Calc!BE140=0),
     IF('Waste results'!$S$19&lt;&gt;"data missing", Calc!BC140*'Waste results'!$S$19, "data missing"),
   IF(AND(Calc!BC140=0,Calc!BE140=0),
     IF('Waste results'!$S$55&lt;&gt;"data missing", Calc!BD140*'Waste results'!$S$55, "data missing"),
   IF(AND(Calc!BC140=0,Calc!BD140=0),
     IF('Waste results'!$S$91&lt;&gt;"data missing", Calc!BE140*'Waste results'!$S$91, "data missing"),
   IF(Calc!BE140=0,
     IF(OR('Waste results'!$S$19&lt;&gt;"data missing", 'Waste results'!$S$55&lt;&gt;"data missing"), Calc!BC140*'Waste results'!$S$19+ Calc!BD140*'Waste results'!$S$55, "data missing"),
   IF(Calc!BD140=0,
     IF(OR('Waste results'!$S$19&lt;&gt;"data missing", 'Waste results'!$S$91&lt;&gt;"data missing"), Calc!BC140*'Waste results'!$S$19+ Calc!BE140*'Waste results'!$S$91, "data missing"),
   IF(Calc!BC140=0,
     IF(OR('Waste results'!$S$55&lt;&gt;"data missing", 'Waste results'!$S$91&lt;&gt;"data missing"), Calc!BD140*'Waste results'!$S$55+Calc!BE140*'Waste results'!$S$91, "data missing"),
   IF(OR('Waste results'!$S$19&lt;&gt;"data missing", 'Waste results'!$S$55&lt;&gt;"data missing", 'Waste results'!$S$91&lt;&gt;"data missing"), Calc!BC140*'Waste results'!$S$19+Calc!BD140*'Waste results'!$S$55+ Calc!BE140*'Waste results'!$S$91, "data missing")))))))))))</f>
        <v/>
      </c>
      <c r="P142" s="91" t="str">
        <f ca="1">IF(B142="","",
IF(OR(ISBLANK('Soil results'!H$7),ISBLANK('Soil results'!H145)),"data missing",
IF(OR(AND('Soil results'!H$7="ammonium nitrate (ADAS)",'Soil results'!H145&gt;400),AND('Soil results'!H$7="modified Morgan (SAC)",'Soil results'!H145&gt;400)),0,
IF(OR(AND('Soil results'!H$7="ammonium nitrate (ADAS)",'Soil results'!H145&gt;=121,'Soil results'!H145&lt;=180),AND('Soil results'!H$7="modified Morgan (SAC)",'Soil results'!H145&gt;=76,'Soil results'!H145&lt;=140)),VLOOKUP(Calc!BI140,'Fertiliser recommendations'!$A$4:$Z$63,26,FALSE),
IF(OR(AND('Soil results'!H$7="ammonium nitrate (ADAS)",'Soil results'!H145&lt;61),AND('Soil results'!H$7="modified Morgan (SAC)",'Soil results'!H145&lt;40)),VLOOKUP(Calc!BI140,'Fertiliser recommendations'!$A$4:$Z$63,26,FALSE)+VLOOKUP(Calc!BI140,'Fertiliser recommendations'!$A$4:$AA$63,27,FALSE),
IF(OR(AND('Soil results'!H$7="ammonium nitrate (ADAS)",'Soil results'!H145&lt;121),AND('Soil results'!H$7="modified Morgan (SAC)",'Soil results'!H145&lt;76)),VLOOKUP(Calc!BI140,'Fertiliser recommendations'!$A$4:$Z$63,26,FALSE)+VLOOKUP(Calc!BI140,'Fertiliser recommendations'!$A$4:$AB$63,28,FALSE),
IF(OR(AND('Soil results'!H$7="ammonium nitrate (ADAS)",'Soil results'!H145&lt;241),AND('Soil results'!H$7="modified Morgan (SAC)",'Soil results'!H145&lt;201)),VLOOKUP(Calc!BI140,'Fertiliser recommendations'!$A$4:$Z$63,26,FALSE)+VLOOKUP(Calc!BI140,'Fertiliser recommendations'!$A$4:$AC$63,29,FALSE),
IF(OR(AND('Soil results'!H$7="ammonium nitrate (ADAS)",'Soil results'!H145&lt;=400),AND('Soil results'!H$7="modified Morgan (SAC)",'Soil results'!H145&lt;=400)),VLOOKUP(Calc!BI140,'Fertiliser recommendations'!$A$4:$Z$63,26,FALSE)+VLOOKUP(Calc!BI140,'Fertiliser recommendations'!$A$4:$AD$63,30,FALSE),
"??"))))))))</f>
        <v/>
      </c>
      <c r="Q142" s="91" t="str">
        <f t="shared" ca="1" si="36"/>
        <v/>
      </c>
      <c r="R142" s="9" t="str">
        <f ca="1">IF(B142="","",
IF(OR(O142="data missing",P142="data missing"),"data missing",
IF(Calc!BF140=0,"n/a",
IF(P142=0, "no requirement",
IF(O142&lt;0.1*P142,"no benefit",
IF(O142&lt;0.3*P142,"limited benefit",
IF(O142&gt;1.25*P142,"excessive",
"benefit")))))))</f>
        <v/>
      </c>
      <c r="S142" s="9"/>
      <c r="T142" s="91" t="str">
        <f ca="1">IF(B142="","",
IF(AND('Field information 2'!$O$5="", 'Field information 2'!$Q$5=""),
   IF('Waste results'!$S$21&lt;&gt;"data missing", Calc!BC140*'Waste results'!$S$21, "data missing"),
IF('Field information 2'!$Q$5="",
   IF(Calc!BD140=0,
     IF('Waste results'!$S$21&lt;&gt;"data missing", Calc!BC140*'Waste results'!$S$21, "data missing"),
   IF(Calc!BC140=0,
     IF('Waste results'!$S$57&lt;&gt;"data missing", Calc!BD140*'Waste results'!$S$57, "data missing"),
   IF(OR('Waste results'!$S$21&lt;&gt;"data missing", 'Waste results'!$S$57&lt;&gt;"data missing"), Calc!BC140*'Waste results'!$S$21+ Calc!BD140*'Waste results'!$S$57, "data missing"))),
IF(AND('Field information 2'!$M$5&lt;&gt;"", 'Field information 2'!$O$5&lt;&gt;"", 'Field information 2'!$Q$5&lt;&gt;""),
   IF(AND(Calc!BD140=0,Calc!BE140=0),
     IF('Waste results'!$S$21&lt;&gt;"data missing", Calc!BC140*'Waste results'!$S$21, "data missing"),
   IF(AND(Calc!BC140=0,Calc!BE140=0),
     IF('Waste results'!$S$57&lt;&gt;"data missing", Calc!BD140*'Waste results'!$S$57, "data missing"),
   IF(AND(Calc!BC140=0,Calc!BD140=0),
     IF('Waste results'!$S$93&lt;&gt;"data missing", Calc!BE140*'Waste results'!$S$93, "data missing"),
   IF(Calc!BE140=0,
     IF(OR('Waste results'!$S$21&lt;&gt;"data missing", 'Waste results'!$S$57&lt;&gt;"data missing"), Calc!BC140*'Waste results'!$S$21+ Calc!BD140*'Waste results'!$S$57, "data missing"),
   IF(Calc!BD140=0,
     IF(OR('Waste results'!$S$21&lt;&gt;"data missing", 'Waste results'!$S$93&lt;&gt;"data missing"), Calc!BC140*'Waste results'!$S$21+ Calc!BE140*'Waste results'!$S$93, "data missing"),
   IF(Calc!BC140=0,
     IF(OR('Waste results'!$S$57&lt;&gt;"data missing", 'Waste results'!$S$93&lt;&gt;"data missing"), Calc!BD140*'Waste results'!$S$57+Calc!BE140*'Waste results'!$S$93, "data missing"),
   IF(OR('Waste results'!$S$21&lt;&gt;"data missing", 'Waste results'!$S$57&lt;&gt;"data missing", 'Waste results'!$S$93&lt;&gt;"data missing"), Calc!BC140*'Waste results'!$S$21+Calc!BD140*'Waste results'!$S$57+ Calc!BE140*'Waste results'!$S$93, "data missing")))))))))))</f>
        <v/>
      </c>
      <c r="U142" s="7" t="str">
        <f ca="1">IF(B142="","",
IF(OR(ISBLANK('Soil results'!I$7),ISBLANK('Soil results'!I145)),"data missing",
IF(OR(AND('Soil results'!I$7="ammonium nitrate (ADAS)",'Soil results'!I145&gt;51),AND('Soil results'!I$7="modified Morgan (SAC)",'Soil results'!I145&gt;61)),0,
IF(OR(AND('Soil results'!I$7="ammonium nitrate (ADAS)",'Soil results'!I145&lt;25),AND('Soil results'!I$7="modified Morgan (SAC)",'Soil results'!I145&lt;19)),VLOOKUP(Calc!BI140,'Fertiliser recommendations'!$A$4:$AH$63,34,FALSE),
IF(OR(AND('Soil results'!I$7="ammonium nitrate (ADAS)",'Soil results'!I145&lt;=51),AND('Soil results'!I$7="modified Morgan (SAC)",'Soil results'!I145&lt;=61)),VLOOKUP(Calc!BI140,'Fertiliser recommendations'!$A$4:$AI$63,35,FALSE),
"")))))</f>
        <v/>
      </c>
      <c r="V142" s="91" t="str">
        <f t="shared" ca="1" si="37"/>
        <v/>
      </c>
      <c r="W142" s="9" t="str">
        <f ca="1">IF(B142="","",
IF(OR(T142="data missing",U142="data missing"),"data missing",
IF(Calc!BF140=0,"n/a",
IF(U142=0,"no requirement",
IF(T142&lt;0.1*U142,"no benefit",
IF(T142&lt;0.3*U142,"limited benefit",
IF(OR(T142&gt;1.5*U142,AND(Calc!BJ140="g",T142&gt;100)),"excessive",
"benefit")))))))</f>
        <v/>
      </c>
      <c r="X142" s="9"/>
      <c r="Y142" s="91" t="str">
        <f ca="1">IF(B142="","",
IF(AND('Field information 2'!$O$5="", 'Field information 2'!$Q$5=""),
   IF('Waste results'!$P$23&lt;&gt;"", Calc!BC140*'Waste results'!$P$23, "no data"),
IF('Field information 2'!$Q$5="",
   IF(Calc!BD140=0,
     IF('Waste results'!$P$23&lt;&gt;"", Calc!BC140*'Waste results'!$P$23, "no data"),
   IF(Calc!BC140=0,
     IF('Waste results'!$P$59&lt;&gt;"", Calc!BD140*'Waste results'!$P$59, "no data"),
   IF(OR('Waste results'!$P$23&lt;&gt;"", 'Waste results'!$P$59&lt;&gt;""), Calc!BC140*'Waste results'!$P$23+ Calc!BD140*'Waste results'!$P$59, "no data"))),
IF(AND('Field information 2'!$M$5&lt;&gt;"", 'Field information 2'!$O$5&lt;&gt;"", 'Field information 2'!$Q$5&lt;&gt;""),
   IF(AND(Calc!BD140=0,Calc!BE140=0),
     IF('Waste results'!$P$23&lt;&gt;"", Calc!BC140*'Waste results'!$P$23, "no data"),
   IF(AND(Calc!BC140=0,Calc!BE140=0),
     IF('Waste results'!$P$59&lt;&gt;"", Calc!BD140*'Waste results'!$P$59, "no data"),
   IF(AND(Calc!BC140=0,Calc!BD140=0),
     IF('Waste results'!$P$95&lt;&gt;"", Calc!BE140*'Waste results'!$P$95, "no data"),
   IF(Calc!BE140=0,
     IF(OR('Waste results'!$P$23&lt;&gt;"", 'Waste results'!$P$59&lt;&gt;""), Calc!BC140*'Waste results'!$P$23+ Calc!BD140*'Waste results'!$P$59, "no data"),
   IF(Calc!BD140=0,
     IF(OR('Waste results'!$P$23&lt;&gt;"", 'Waste results'!$P$95&lt;&gt;""), Calc!BC140*'Waste results'!$P$23+ Calc!BE140*'Waste results'!$P$95, "no data"),
   IF(Calc!BC140=0,
     IF(OR('Waste results'!$P$59&lt;&gt;"", 'Waste results'!$P$95&lt;&gt;""), Calc!BD140*'Waste results'!$P$59+Calc!BE140*'Waste results'!$P$95, "no data"),
   IF(OR('Waste results'!$P$23&lt;&gt;"", 'Waste results'!$P$59&lt;&gt;"", 'Waste results'!$P$95&lt;&gt;""), Calc!BC140*'Waste results'!$P$23+Calc!BD140*'Waste results'!$P$59+ Calc!BE140*'Waste results'!$P$95, "no data")))))))))))</f>
        <v/>
      </c>
      <c r="Z142" s="7" t="str">
        <f ca="1">IF(OR(ISBLANK('Soil results'!I$7),ISBLANK('Soil results'!I145),'Soil results'!B145=""),"",
VLOOKUP(Calc!BI140,'Fertiliser recommendations'!$A$4:$AM$63,39,FALSE))</f>
        <v/>
      </c>
      <c r="AA142" s="91" t="str">
        <f t="shared" ca="1" si="38"/>
        <v/>
      </c>
      <c r="AB142" s="9" t="str">
        <f t="shared" ca="1" si="39"/>
        <v/>
      </c>
      <c r="AC142" s="9"/>
      <c r="AD142" s="48" t="str">
        <f>IF(ISBLANK('Soil results'!F145),"",'Soil results'!F145)</f>
        <v/>
      </c>
      <c r="AE142" s="49" t="str">
        <f ca="1">IF(B142="","",
IF(AND(Calc!BJ140="g", VLOOKUP(LEFT($B142,LEN($B142)-2),'Field information 2'!$B$12:$P$111,9,FALSE)&lt;&gt;"yes"),
 IF(Calc!BG140="10-25% OM", 5.9, IF(Calc!BG140="&gt;25% OM", 5.5, 6.2)),
IF(OR(Calc!BJ140="a", VLOOKUP(LEFT($B142,LEN($B142)-2),'Field information 2'!$B$12:$P$111,9,FALSE)="yes"),
 IF(Calc!BG140="10-25% OM", 6.4, IF(Calc!BG140="&gt;25% OM", 6, 6.7)), "")))</f>
        <v/>
      </c>
      <c r="AF142" s="91" t="str">
        <f ca="1">IF(B142="","",
IF('Waste results'!$Q$33="","no (significant) liming properties",
IF('Waste results'!Q$33&gt;100,"no (significant) liming properties",
IF(AD142="","",
IF(AD142&gt;=AE142,0,ROUNDDOWN((AE142-AD142)*Calc!BK140*'Waste results'!$Q$33+0.2,0))))))</f>
        <v/>
      </c>
      <c r="AG142" s="9" t="str">
        <f ca="1">IF(B142="","",
IF(T142=0,"n/a",
IF(AD142="","data missing",
IF(AND(AD142&lt;5,AF142="no (significant) liming properties"),"no waste application - pH too low",
IF(AND(AD142&gt;5.1,AF142="no (significant) liming properties",Calc!BH140&gt;25, LEFT(Calc!BI140,4)="graz"),"ok",
IF(AND(AD142&lt;=5.2,AF142="no (significant) liming properties"),"liming highly recommended",
IF(AF142=0,"no waste application - liming not required",
IF(AF142&lt;Calc!BC140,"application rate too high - exceeds liming requirement",
"ok"))))))))</f>
        <v/>
      </c>
      <c r="AH142" s="9"/>
      <c r="AI142" s="91" t="str">
        <f ca="1">IF(B142="","",
IF(AND('Field information 2'!$O$5="", 'Field information 2'!$Q$5=""),
   IF('Waste results'!$P$10&lt;&gt;"data missing", Calc!BC140*'Waste results'!$P$10, "data missing"),
IF('Field information 2'!$Q$5="",
   IF(Calc!BD140=0,
     IF('Waste results'!$P$10&lt;&gt;"data missing", Calc!BC140*'Waste results'!$P$10, "data missing"),
   IF(Calc!BC140=0,
     IF('Waste results'!$P$45&lt;&gt;"data missing", Calc!BD140*'Waste results'!$P$45, "data missing"),
   IF(OR('Waste results'!$P$10&lt;&gt;"data missing", 'Waste results'!$P$45&lt;&gt;"data missing"), Calc!BC140*'Waste results'!$P$10+ Calc!BD140*'Waste results'!$P$45, "data missing"))),
IF(AND('Field information 2'!$M$5&lt;&gt;"", 'Field information 2'!$O$5&lt;&gt;"", 'Field information 2'!$Q$5&lt;&gt;""),
   IF(AND(Calc!BD140=0,Calc!BE140=0),
     IF('Waste results'!$P$10&lt;&gt;"data missing", Calc!BC140*'Waste results'!$P$10, "data missing"),
   IF(AND(Calc!BC140=0,Calc!BE140=0),
     IF('Waste results'!$P$45&lt;&gt;"data missing", Calc!BD140*'Waste results'!$P$45, "data missing"),
   IF(AND(Calc!BC140=0,Calc!BD140=0),
     IF('Waste results'!$P$82&lt;&gt;"data missing", Calc!BE140*'Waste results'!$P$82, "data missing"),
   IF(Calc!BE140=0,
     IF(OR('Waste results'!$P$10&lt;&gt;"data missing", 'Waste results'!$P$45&lt;&gt;"data missing"), Calc!BC140*'Waste results'!$P$10+ Calc!BD140*'Waste results'!$P$45, "data missing"),
   IF(Calc!BD140=0,
     IF(OR('Waste results'!$P$10&lt;&gt;"data missing", 'Waste results'!$P$82&lt;&gt;"data missing"), Calc!BC140*'Waste results'!$P$10+ Calc!BE140*'Waste results'!$P$82, "data missing"),
   IF(Calc!BC140=0,
     IF(OR('Waste results'!$P$45&lt;&gt;"data missing", 'Waste results'!$P$82&lt;&gt;"data missing"), Calc!BD140*'Waste results'!$P$45+Calc!BE140*'Waste results'!$P$82, "data missing"),
   IF(OR('Waste results'!$P$10&lt;&gt;"data missing", 'Waste results'!$P$45&lt;&gt;"data missing", 'Waste results'!$P$82&lt;&gt;"data missing"), Calc!BC140*'Waste results'!$P$10+Calc!BD140*'Waste results'!$P$45+ Calc!BE140*'Waste results'!$P$82, "data missing")))))))))))</f>
        <v/>
      </c>
      <c r="AJ142" s="237" t="str">
        <f ca="1">IF(B142="","",
IF(AI142="data missing","data missing",
IF(Calc!BF140=0,"n/a",
IF(AND(Calc!BH140&gt;=8,AI142&lt;500),"no benefit",
IF(OR(AND(Calc!BH140&lt;=4,AI142&gt;=500),AND(Calc!BH140&lt;8,AI142&gt;5000)),"benefit",
"limited benefit")))))</f>
        <v/>
      </c>
      <c r="AK142" s="9"/>
      <c r="AL142" s="238" t="str">
        <f ca="1">IF(B142="","",
IF(AND('Field information 2'!$O$5="", 'Field information 2'!$Q$5=""),
   IF('Waste results'!$S$25&lt;&gt;"data missing", Calc!BC140*'Waste results'!$S$25, "data missing"),
IF('Field information 2'!$Q$5="",
   IF(Calc!BD140=0,
     IF('Waste results'!$S$25&lt;&gt;"data missing", Calc!BC140*'Waste results'!$S$25, "data missing"),
   IF(Calc!BC140=0,
     IF('Waste results'!$S$61&lt;&gt;"data missing", Calc!BD140*'Waste results'!$S$61, "data missing"),
   IF(OR('Waste results'!$S$25&lt;&gt;"data missing", 'Waste results'!$S$61&lt;&gt;"data missing"), Calc!BC140*'Waste results'!$S$25+ Calc!BD140*'Waste results'!$S$61, "data missing"))),
IF(AND('Field information 2'!$M$5&lt;&gt;"", 'Field information 2'!$O$5&lt;&gt;"", 'Field information 2'!$Q$5&lt;&gt;""),
   IF(AND(Calc!BD140=0,Calc!BE140=0),
     IF('Waste results'!$S$25&lt;&gt;"data missing", Calc!BC140*'Waste results'!$S$25, "data missing"),
   IF(AND(Calc!BC140=0,Calc!BE140=0),
     IF('Waste results'!$S$61&lt;&gt;"data missing", Calc!BD140*'Waste results'!$S$61, "data missing"),
   IF(AND(Calc!BC140=0,Calc!BD140=0),
     IF('Waste results'!$S$97&lt;&gt;"data missing", Calc!BE140*'Waste results'!$S$97, "data missing"),
   IF(Calc!BE140=0,
     IF(OR('Waste results'!$S$25&lt;&gt;"data missing", 'Waste results'!$S$61&lt;&gt;"data missing"), Calc!BC140*'Waste results'!$S$25+ Calc!BD140*'Waste results'!$S$61, "data missing"),
   IF(Calc!BD140=0,
     IF(OR('Waste results'!$S$25&lt;&gt;"data missing", 'Waste results'!$S$97&lt;&gt;"data missing"), Calc!BC140*'Waste results'!$S$25+ Calc!BE140*'Waste results'!$S$97, "data missing"),
   IF(Calc!BC140=0,
     IF(OR('Waste results'!$S$61&lt;&gt;"data missing", 'Waste results'!$S$97&lt;&gt;"data missing"), Calc!BD140*'Waste results'!$S$61+Calc!BE140*'Waste results'!$S$97, "data missing"),
   IF(OR('Waste results'!$S$25&lt;&gt;"data missing", 'Waste results'!$S$61&lt;&gt;"data missing", 'Waste results'!$S$97&lt;&gt;"data missing"), Calc!BC140*'Waste results'!$S$25+Calc!BD140*'Waste results'!$S$61+ Calc!BE140*'Waste results'!$S$97, "data missing")))))))))))</f>
        <v/>
      </c>
      <c r="AM142" s="239" t="str">
        <f ca="1">IF($B142="","",
IF(ISBLANK('Soil results'!K145),"data missing",'Soil results'!K145))</f>
        <v/>
      </c>
      <c r="AN142" s="239" t="str">
        <f t="shared" ca="1" si="40"/>
        <v/>
      </c>
      <c r="AO142" s="9" t="str">
        <f t="shared" ca="1" si="41"/>
        <v/>
      </c>
      <c r="AP142" s="9"/>
      <c r="AQ142" s="240" t="str">
        <f ca="1">IF(B142="","",
IF(AND('Field information 2'!$O$5="", 'Field information 2'!$Q$5=""),
   IF('Waste results'!$S$26&lt;&gt;"data missing", Calc!BC140*'Waste results'!$S$26, "data missing"),
IF('Field information 2'!$Q$5="",
   IF(Calc!BD140=0,
     IF('Waste results'!$S$26&lt;&gt;"data missing", Calc!BC140*'Waste results'!$S$26, "data missing"),
   IF(Calc!BC140=0,
     IF('Waste results'!$S$62&lt;&gt;"data missing", Calc!BD140*'Waste results'!$S$62, "data missing"),
   IF(OR('Waste results'!$S$26&lt;&gt;"data missing", 'Waste results'!$S$62&lt;&gt;"data missing"), Calc!BC140*'Waste results'!$S$26+ Calc!BD140*'Waste results'!$S$62, "data missing"))),
IF(AND('Field information 2'!$M$5&lt;&gt;"", 'Field information 2'!$O$5&lt;&gt;"", 'Field information 2'!$Q$5&lt;&gt;""),
   IF(AND(Calc!BD140=0,Calc!BE140=0),
     IF('Waste results'!$S$26&lt;&gt;"data missing", Calc!BC140*'Waste results'!$S$26, "data missing"),
   IF(AND(Calc!BC140=0,Calc!BE140=0),
     IF('Waste results'!$S$62&lt;&gt;"data missing", Calc!BD140*'Waste results'!$S$62, "data missing"),
   IF(AND(Calc!BC140=0,Calc!BD140=0),
     IF('Waste results'!$S$98&lt;&gt;"data missing", Calc!BE140*'Waste results'!$S$98, "data missing"),
   IF(Calc!BE140=0,
     IF(OR('Waste results'!$S$26&lt;&gt;"data missing", 'Waste results'!$S$62&lt;&gt;"data missing"), Calc!BC140*'Waste results'!$S$26+ Calc!BD140*'Waste results'!$S$62, "data missing"),
   IF(Calc!BD140=0,
     IF(OR('Waste results'!$S$26&lt;&gt;"data missing", 'Waste results'!$S$98&lt;&gt;"data missing"), Calc!BC140*'Waste results'!$S$26+ Calc!BE140*'Waste results'!$S$98, "data missing"),
   IF(Calc!BC140=0,
     IF(OR('Waste results'!$S$62&lt;&gt;"data missing", 'Waste results'!$S$98&lt;&gt;"data missing"), Calc!BD140*'Waste results'!$S$62+Calc!BE140*'Waste results'!$S$98, "data missing"),
   IF(OR('Waste results'!$S$26&lt;&gt;"data missing", 'Waste results'!$S$62&lt;&gt;"data missing", 'Waste results'!$S$98&lt;&gt;"data missing"), Calc!BC140*'Waste results'!$S$26+Calc!BD140*'Waste results'!$S$62+ Calc!BE140*'Waste results'!$S$98, "data missing")))))))))))</f>
        <v/>
      </c>
      <c r="AR142" s="241" t="str">
        <f ca="1">IF($B142="","",
IF(ISBLANK('Soil results'!L145),"data missing",'Soil results'!L145))</f>
        <v/>
      </c>
      <c r="AS142" s="241" t="str">
        <f t="shared" ca="1" si="42"/>
        <v/>
      </c>
      <c r="AT142" s="66" t="str">
        <f t="shared" ca="1" si="43"/>
        <v/>
      </c>
      <c r="AU142" s="9"/>
      <c r="AV142" s="238" t="str">
        <f ca="1">IF(B142="","",
IF(AND('Field information 2'!$O$5="", 'Field information 2'!$Q$5=""),
   IF('Waste results'!$S$27&lt;&gt;"data missing", Calc!BC140*'Waste results'!$S$27, "data missing"),
IF('Field information 2'!$Q$5="",
   IF(Calc!BD140=0,
     IF('Waste results'!$S$27&lt;&gt;"data missing", Calc!BC140*'Waste results'!$S$27, "data missing"),
   IF(Calc!BC140=0,
     IF('Waste results'!$S$63&lt;&gt;"data missing", Calc!BD140*'Waste results'!$S$63, "data missing"),
   IF(OR('Waste results'!$S$27&lt;&gt;"data missing", 'Waste results'!$S$63&lt;&gt;"data missing"), Calc!BC140*'Waste results'!$S$27+ Calc!BD140*'Waste results'!$S$63, "data missing"))),
IF(AND('Field information 2'!$M$5&lt;&gt;"", 'Field information 2'!$O$5&lt;&gt;"", 'Field information 2'!$Q$5&lt;&gt;""),
   IF(AND(Calc!BD140=0,Calc!BE140=0),
     IF('Waste results'!$S$27&lt;&gt;"data missing", Calc!BC140*'Waste results'!$S$27, "data missing"),
   IF(AND(Calc!BC140=0,Calc!BE140=0),
     IF('Waste results'!$S$63&lt;&gt;"data missing", Calc!BD140*'Waste results'!$S$63, "data missing"),
   IF(AND(Calc!BC140=0,Calc!BD140=0),
     IF('Waste results'!$S$99&lt;&gt;"data missing", Calc!BE140*'Waste results'!$S$99, "data missing"),
   IF(Calc!BE140=0,
     IF(OR('Waste results'!$S$27&lt;&gt;"data missing", 'Waste results'!$S$63&lt;&gt;"data missing"), Calc!BC140*'Waste results'!$S$27+ Calc!BD140*'Waste results'!$S$63, "data missing"),
   IF(Calc!BD140=0,
     IF(OR('Waste results'!$S$27&lt;&gt;"data missing", 'Waste results'!$S$99&lt;&gt;"data missing"), Calc!BC140*'Waste results'!$S$27+ Calc!BE140*'Waste results'!$S$99, "data missing"),
   IF(Calc!BC140=0,
     IF(OR('Waste results'!$S$63&lt;&gt;"data missing", 'Waste results'!$S$99&lt;&gt;"data missing"), Calc!BD140*'Waste results'!$S$63+Calc!BE140*'Waste results'!$S$99, "data missing"),
   IF(OR('Waste results'!$S$27&lt;&gt;"data missing", 'Waste results'!$S$63&lt;&gt;"data missing", 'Waste results'!$S$99&lt;&gt;"data missing"), Calc!BC140*'Waste results'!$S$27+Calc!BD140*'Waste results'!$S$63+ Calc!BE140*'Waste results'!$S$99, "data missing")))))))))))</f>
        <v/>
      </c>
      <c r="AW142" s="239" t="str">
        <f ca="1">IF($B142="","",
IF(ISBLANK('Soil results'!M145),"data missing",'Soil results'!M145))</f>
        <v/>
      </c>
      <c r="AX142" s="239" t="str">
        <f t="shared" ca="1" si="44"/>
        <v/>
      </c>
      <c r="AY142" s="9" t="str">
        <f ca="1">IF(B142="","",
IF(AV142=0,"n/a",
IF(OR(AV142="data missing",AW142="data missing"),"data missing",
IF(AV142&gt;7.5,"application rate too high - permissible rate exceeds limit",
IF('Soil results'!$F145&lt;=5.5,
  IF(AW142&gt;80,"no application - soil conc. already above limit",
  IF(AX142&gt;80,"application rate too high - soil conc. will exceed limit",
  IF(AW142&gt;80*0.9,"soil conc. is at or above 90% of the limit",
  IF(10*AV142*1000/3000+AW142&gt;80,"soil limit likely to be exceeded in 10yrs",
  IF(50*AV142*1000/3000+AW142&gt;80,"soil limit likely to be exceeded in 50yrs","ok"))))),
IF('Soil results'!$F145&lt;=6,
  IF(AW142&gt;100,"no application - soil conc. already above limit",
  IF(AX142&gt;100,"application rate too high - soil conc. will exceed limit",
  IF(AW142&gt;100*0.9,"soil conc. is at or above 90% of the limit",
  IF(10*AV142*1000/3000+AW142&gt;100,"soil limit likely to be exceeded in 10yrs",
  IF(50*AV142*1000/3000+AW142&gt;100,"soil limit likely to be exceeded in 50yrs","ok"))))),
IF('Soil results'!$F145&lt;=7,
  IF(AW142&gt;135,"no application - soil conc. already above limit",
  IF(AX142&gt;135,"application rate too high - soil conc. will exceed limit",
  IF(AW142&gt;135*0.9,"soil conc. is at or above 90% of the limit",
  IF(10*AV142*1000/3000+AW142&gt;135,"soil limit likely to be exceeded in 10yrs",
  IF(50*AV142*1000/3000+AW142&gt;135,"soil limit likely to be exceeded in 50yrs","ok"))))),
IF('Soil results'!$F145&gt;7,
  IF(AW142&gt;200,"no application - soil conc. already above limit",
  IF(AX142&gt;200,"application too high - soil conc. will exceed limit",
  IF(AW142&gt;200*0.9,"soil conc. is at or above 90% of the limit",
  IF(10*AV142*1000/3000+AW142&gt;200,"soil limit likely to be exceeded in 10yrs",
  IF(50*AV142*1000/3000+AW142&gt;200,"soil limit likely to be exceeded in 50yrs","ok")))))
))))))))</f>
        <v/>
      </c>
      <c r="AZ142" s="9"/>
      <c r="BA142" s="238" t="str">
        <f ca="1">IF(B142="","",
IF(AND('Field information 2'!$O$5="", 'Field information 2'!$Q$5=""),
   IF('Waste results'!$S$28&lt;&gt;"data missing", Calc!BC140*'Waste results'!$S$28, "data missing"),
IF('Field information 2'!$Q$5="",
   IF(Calc!BD140=0,
     IF('Waste results'!$S$28&lt;&gt;"data missing", Calc!BC140*'Waste results'!$S$28, "data missing"),
   IF(Calc!BC140=0,
     IF('Waste results'!$S$64&lt;&gt;"data missing", Calc!BD140*'Waste results'!$S$64, "data missing"),
   IF(OR('Waste results'!$S$28&lt;&gt;"data missing", 'Waste results'!$S$64&lt;&gt;"data missing"), Calc!BC140*'Waste results'!$S$28+ Calc!BD140*'Waste results'!$S$64, "data missing"))),
IF(AND('Field information 2'!$M$5&lt;&gt;"", 'Field information 2'!$O$5&lt;&gt;"", 'Field information 2'!$Q$5&lt;&gt;""),
   IF(AND(Calc!BD140=0,Calc!BE140=0),
     IF('Waste results'!$S$28&lt;&gt;"data missing", Calc!BC140*'Waste results'!$S$28, "data missing"),
   IF(AND(Calc!BC140=0,Calc!BE140=0),
     IF('Waste results'!$S$64&lt;&gt;"data missing", Calc!BD140*'Waste results'!$S$64, "data missing"),
   IF(AND(Calc!BC140=0,Calc!BD140=0),
     IF('Waste results'!$S$100&lt;&gt;"data missing", Calc!BE140*'Waste results'!$S$100, "data missing"),
   IF(Calc!BE140=0,
     IF(OR('Waste results'!$S$28&lt;&gt;"data missing", 'Waste results'!$S$64&lt;&gt;"data missing"), Calc!BC140*'Waste results'!$S$28+ Calc!BD140*'Waste results'!$S$64, "data missing"),
   IF(Calc!BD140=0,
     IF(OR('Waste results'!$S$28&lt;&gt;"data missing", 'Waste results'!$S$100&lt;&gt;"data missing"), Calc!BC140*'Waste results'!$S$28+ Calc!BE140*'Waste results'!$S$100, "data missing"),
   IF(Calc!BC140=0,
     IF(OR('Waste results'!$S$64&lt;&gt;"data missing", 'Waste results'!$S$100&lt;&gt;"data missing"), Calc!BD140*'Waste results'!$S$64+Calc!BE140*'Waste results'!$S$100, "data missing"),
   IF(OR('Waste results'!$S$28&lt;&gt;"data missing", 'Waste results'!$S$64&lt;&gt;"data missing", 'Waste results'!$S$100&lt;&gt;"data missing"), Calc!BC140*'Waste results'!$S$28+Calc!BD140*'Waste results'!$S$64+ Calc!BE140*'Waste results'!$S$100, "data missing")))))))))))</f>
        <v/>
      </c>
      <c r="BB142" s="239" t="str">
        <f ca="1">IF($B142="","",
IF(ISBLANK('Soil results'!N145),"data missing",'Soil results'!N145))</f>
        <v/>
      </c>
      <c r="BC142" s="239" t="str">
        <f t="shared" ca="1" si="45"/>
        <v/>
      </c>
      <c r="BD142" s="9" t="str">
        <f t="shared" ca="1" si="46"/>
        <v/>
      </c>
      <c r="BE142" s="9"/>
      <c r="BF142" s="238" t="str">
        <f ca="1">IF(B142="","",
IF(AND('Field information 2'!$O$5="", 'Field information 2'!$Q$5=""),
   IF('Waste results'!$S$29&lt;&gt;"data missing", Calc!BC140*'Waste results'!$S$29, "data missing"),
IF('Field information 2'!$Q$5="",
   IF(Calc!BD140=0,
     IF('Waste results'!$S$29&lt;&gt;"data missing", Calc!BC140*'Waste results'!$S$29, "data missing"),
   IF(Calc!BC140=0,
     IF('Waste results'!$S$65&lt;&gt;"data missing", Calc!BD140*'Waste results'!$S$65, "data missing"),
   IF(OR('Waste results'!$S$29&lt;&gt;"data missing", 'Waste results'!$S$65&lt;&gt;"data missing"), Calc!BC140*'Waste results'!$S$29+ Calc!BD140*'Waste results'!$S$65, "data missing"))),
IF(AND('Field information 2'!$M$5&lt;&gt;"", 'Field information 2'!$O$5&lt;&gt;"", 'Field information 2'!$Q$5&lt;&gt;""),
   IF(AND(Calc!BD140=0,Calc!BE140=0),
     IF('Waste results'!$S$29&lt;&gt;"data missing", Calc!BC140*'Waste results'!$S$29, "data missing"),
   IF(AND(Calc!BC140=0,Calc!BE140=0),
     IF('Waste results'!$S$65&lt;&gt;"data missing", Calc!BD140*'Waste results'!$S$65, "data missing"),
   IF(AND(Calc!BC140=0,Calc!BD140=0),
     IF('Waste results'!$S$101&lt;&gt;"data missing", Calc!BE140*'Waste results'!$S$101, "data missing"),
   IF(Calc!BE140=0,
     IF(OR('Waste results'!$S$29&lt;&gt;"data missing", 'Waste results'!$S$65&lt;&gt;"data missing"), Calc!BC140*'Waste results'!$S$29+ Calc!BD140*'Waste results'!$S$65, "data missing"),
   IF(Calc!BD140=0,
     IF(OR('Waste results'!$S$29&lt;&gt;"data missing", 'Waste results'!$S$101&lt;&gt;"data missing"), Calc!BC140*'Waste results'!$S$29+ Calc!BE140*'Waste results'!$S$101, "data missing"),
   IF(Calc!BC140=0,
     IF(OR('Waste results'!$S$65&lt;&gt;"data missing", 'Waste results'!$S$101&lt;&gt;"data missing"), Calc!BD140*'Waste results'!$S$65+Calc!BE140*'Waste results'!$S$101, "data missing"),
   IF(OR('Waste results'!$S$29&lt;&gt;"data missing", 'Waste results'!$S$65&lt;&gt;"data missing", 'Waste results'!$S$101&lt;&gt;"data missing"), Calc!BC140*'Waste results'!$S$29+Calc!BD140*'Waste results'!$S$65+ Calc!BE140*'Waste results'!$S$101, "data missing")))))))))))</f>
        <v/>
      </c>
      <c r="BG142" s="239" t="str">
        <f ca="1">IF($B142="","",
IF(ISBLANK('Soil results'!O145),"data missing",'Soil results'!O145))</f>
        <v/>
      </c>
      <c r="BH142" s="239" t="str">
        <f t="shared" ca="1" si="47"/>
        <v/>
      </c>
      <c r="BI142" s="9" t="str">
        <f ca="1">IF(B142="","",
IF(BF142=0,"n/a",
IF(OR(BF142="data missing",BG142="data missing"),"data missing",
IF(BF142&gt;3,"application rate too high - permissible rate exceeds limit",
IF('Soil results'!F145&lt;=5.5,
  IF(BG142&gt;50,"no application - soil conc. already above limit",
  IF(BH142&gt;50,"application rate too high - soil conc. will exceed limit",
  IF(BG142&gt;50*0.9,"soil conc. is at or above 90% of the limit",
  IF(10*BF142*1000/3000+BG142&gt;50,"soil limit likely to be exceeded in 10yrs",
  IF(50*BF142*1000/3000+BG142&gt;50,"soil limit likely to be exceeded in 50yrs","ok"))))),
IF('Soil results'!F145&lt;=6,
  IF(BG142&gt;60,"no application - soil conc. already above limit",
  IF(BH142&gt;60,"application rate too high - soil conc. will exceed limit",
  IF(BG142&gt;60*0.9,"soil conc. is at or above 90% of the limit",
  IF(10*BF142*1000/3000+BG142&gt;60,"soil limit likely to be exceeded in 10yrs",
  IF(50*BF142*1000/3000+BG142&gt;60,"soil limit likely to be exceeded in 50yrs","ok"))))),
IF('Soil results'!F145&lt;=7,
  IF(BG142&gt;75,"no application - soil conc. already above limit",
  IF(BH142&gt;75,"application rate too high - soil conc. will exceed limit",
  IF(BG142&gt;75*0.9,"soil conc. is at or above 90% of the limit",
  IF(10*BF142*1000/3000+BG142&gt;75,"soil limit likely to be exceeded in 10yrs",
  IF(50*BF142*1000/3000+BG142&gt;75,"soil limit likely to be exceeded in 50yrs","ok"))))),
IF('Soil results'!F145&gt;7,
  IF(BG142&gt;100,"no application - soil conc. already above limit",
  IF(BH142&gt;100,"application rate too high - soil conc. will exceed limit",
  IF(BG142&gt;100*0.9,"soil conc. is at or above 90% of the limit",
  IF(10*BF142*1000/3000+BG142&gt;100,"soil limit likely to be exceeded in 10yrs",
  IF(50*BF142*1000/3000+BG142&gt;100,"soil limit likely to beexceeded in 50yrs","ok")))))
))))))))</f>
        <v/>
      </c>
      <c r="BJ142" s="9"/>
      <c r="BK142" s="240" t="str">
        <f ca="1">IF(B142="","",
IF(AND('Field information 2'!$O$5="", 'Field information 2'!$Q$5=""),
   IF('Waste results'!$S$30&lt;&gt;"data missing", Calc!BC140*'Waste results'!$S$30, "data missing"),
IF('Field information 2'!$Q$5="",
   IF(Calc!BD140=0,
     IF('Waste results'!$S$30&lt;&gt;"data missing", Calc!BC140*'Waste results'!$S$30, "data missing"),
   IF(Calc!BC140=0,
     IF('Waste results'!$S$66&lt;&gt;"data missing", Calc!BD140*'Waste results'!$S$66, "data missing"),
   IF(OR('Waste results'!$S$30&lt;&gt;"data missing", 'Waste results'!$S$66&lt;&gt;"data missing"), Calc!BC140*'Waste results'!$S$30+ Calc!BD140*'Waste results'!$S$66, "data missing"))),
IF(AND('Field information 2'!$M$5&lt;&gt;"", 'Field information 2'!$O$5&lt;&gt;"", 'Field information 2'!$Q$5&lt;&gt;""),
   IF(AND(Calc!BD140=0,Calc!BE140=0),
     IF('Waste results'!$S$30&lt;&gt;"data missing", Calc!BC140*'Waste results'!$S$30, "data missing"),
   IF(AND(Calc!BC140=0,Calc!BE140=0),
     IF('Waste results'!$S$66&lt;&gt;"data missing", Calc!BD140*'Waste results'!$S$66, "data missing"),
   IF(AND(Calc!BC140=0,Calc!BD140=0),
     IF('Waste results'!$S$102&lt;&gt;"data missing", Calc!BE140*'Waste results'!$S$102, "data missing"),
   IF(Calc!BE140=0,
     IF(OR('Waste results'!$S$30&lt;&gt;"data missing", 'Waste results'!$S$66&lt;&gt;"data missing"), Calc!BC140*'Waste results'!$S$30+ Calc!BD140*'Waste results'!$S$66, "data missing"),
   IF(Calc!BD140=0,
     IF(OR('Waste results'!$S$30&lt;&gt;"data missing", 'Waste results'!$S$102&lt;&gt;"data missing"), Calc!BC140*'Waste results'!$S$30+ Calc!BE140*'Waste results'!$S$102, "data missing"),
   IF(Calc!BC140=0,
     IF(OR('Waste results'!$S$66&lt;&gt;"data missing", 'Waste results'!$S$102&lt;&gt;"data missing"), Calc!BD140*'Waste results'!$S$66+Calc!BE140*'Waste results'!$S$102, "data missing"),
   IF(OR('Waste results'!$S$30&lt;&gt;"data missing", 'Waste results'!$S$66&lt;&gt;"data missing", 'Waste results'!$S$102&lt;&gt;"data missing"), Calc!BC140*'Waste results'!$S$30+Calc!BD140*'Waste results'!$S$66+ Calc!BE140*'Waste results'!$S$102, "data missing")))))))))))</f>
        <v/>
      </c>
      <c r="BL142" s="241" t="str">
        <f ca="1">IF($B142="","",
IF(ISBLANK('Soil results'!P145),"data missing",'Soil results'!P145))</f>
        <v/>
      </c>
      <c r="BM142" s="241" t="str">
        <f t="shared" ca="1" si="48"/>
        <v/>
      </c>
      <c r="BN142" s="66" t="str">
        <f t="shared" ca="1" si="49"/>
        <v/>
      </c>
      <c r="BO142" s="9"/>
      <c r="BP142" s="238" t="str">
        <f ca="1">IF(B142="","",
IF(AND('Field information 2'!$O$5="", 'Field information 2'!$Q$5=""),
   IF('Waste results'!$S$31&lt;&gt;"data missing", Calc!BC140*'Waste results'!$S$31, "data missing"),
IF('Field information 2'!$Q$5="",
   IF(Calc!BD140=0,
     IF('Waste results'!$S$31&lt;&gt;"data missing", Calc!BC140*'Waste results'!$S$31, "data missing"),
   IF(Calc!BC140=0,
     IF('Waste results'!$S$67&lt;&gt;"data missing", Calc!BD140*'Waste results'!$S$67, "data missing"),
   IF(OR('Waste results'!$S$31&lt;&gt;"data missing", 'Waste results'!$S$67&lt;&gt;"data missing"), Calc!BC140*'Waste results'!$S$31+ Calc!BD140*'Waste results'!$S$67, "data missing"))),
IF(AND('Field information 2'!$M$5&lt;&gt;"", 'Field information 2'!$O$5&lt;&gt;"", 'Field information 2'!$Q$5&lt;&gt;""),
   IF(AND(Calc!BD140=0,Calc!BE140=0),
     IF('Waste results'!$S$31&lt;&gt;"data missing", Calc!BC140*'Waste results'!$S$31, "data missing"),
   IF(AND(Calc!BC140=0,Calc!BE140=0),
     IF('Waste results'!$S$67&lt;&gt;"data missing", Calc!BD140*'Waste results'!$S$67, "data missing"),
   IF(AND(Calc!BC140=0,Calc!BD140=0),
     IF('Waste results'!$S$103&lt;&gt;"data missing", Calc!BE140*'Waste results'!$S$103, "data missing"),
   IF(Calc!BE140=0,
     IF(OR('Waste results'!$S$31&lt;&gt;"data missing", 'Waste results'!$S$67&lt;&gt;"data missing"), Calc!BC140*'Waste results'!$S$31+ Calc!BD140*'Waste results'!$S$67, "data missing"),
   IF(Calc!BD140=0,
     IF(OR('Waste results'!$S$31&lt;&gt;"data missing", 'Waste results'!$S$103&lt;&gt;"data missing"), Calc!BC140*'Waste results'!$S$31+ Calc!BE140*'Waste results'!$S$103, "data missing"),
   IF(Calc!BC140=0,
     IF(OR('Waste results'!$S$67&lt;&gt;"data missing", 'Waste results'!$S$103&lt;&gt;"data missing"), Calc!BD140*'Waste results'!$S$67+Calc!BE140*'Waste results'!$S$103, "data missing"),
   IF(OR('Waste results'!$S$31&lt;&gt;"data missing", 'Waste results'!$S$67&lt;&gt;"data missing", 'Waste results'!$S$103&lt;&gt;"data missing"), Calc!BC140*'Waste results'!$S$31+Calc!BD140*'Waste results'!$S$67+ Calc!BE140*'Waste results'!$S$103, "data missing")))))))))))</f>
        <v/>
      </c>
      <c r="BQ142" s="239" t="str">
        <f ca="1">IF($B142="","",
IF(ISBLANK('Soil results'!Q145),"data missing",'Soil results'!Q145))</f>
        <v/>
      </c>
      <c r="BR142" s="239" t="str">
        <f t="shared" ca="1" si="50"/>
        <v/>
      </c>
      <c r="BS142" s="9" t="str">
        <f ca="1">IF(B142="","",
IF(BP142=0,"n/a",
IF(OR(BP142="data missing",BQ142=""),"data missing",
IF(BP142&gt;15,"application rate too high - permissible rate exceeds limit",
IF('Soil results'!F145&lt;=5.5,
  IF(BQ142&gt;200,"no application - soil conc. already above limit",
  IF(BR142&gt;200,"application rate too high - soil conc. will exceed limit",
  IF(BQ142&gt;200*0.9,"soil conc. is at or above 90% of the limit",
  IF(10*BP142*1000/3000+BQ142&gt;200,"soil limit likely to be exceeded in 10yrs",
  IF(50*BP142*1000/3000+BQ142&gt;200,"soil limit likely to be exceeded in 50yrs","ok"))))),
IF('Soil results'!F145&lt;=6,
  IF(BQ142&gt;250,"no application - soil conc. already above limit",
  IF(BR142&gt;250,"application rate too high - soil conc. will exceed limit",
  IF(BQ142&gt;250*0.9,"soil conc. is at or above 90% of the limit",
  IF(10*BP142*1000/3000+BQ142&gt;250,"soil limit likely to be exceeded in 10yrs",
  IF(50*BP142*1000/3000+BQ142&gt;250,"soil limit likely to be exceeded in 50yrs","ok"))))),
IF('Soil results'!F145&lt;=7,
  IF(BQ142&gt;300,"no application - soil conc. already above limit",
  IF(BR142&gt;300,"application rate too high - soil conc. will exceed limit",
  IF(BQ142&gt;300*0.9,"soil conc. is at or above 90% of the limit",
  IF(10*BP142*1000/3000+BQ142&gt;300,"soil limit likey to be exceeded in 10yrs",
  IF(50*BP142*1000/3000+BQ142&gt;300,"soil limit likely to be exceeded in 50yrs","ok"))))),
IF('Soil results'!F145&gt;7,
  IF(BQ142&gt;450,"no application - soil conc. already above limit",
  IF(BR142&gt;450,"application rate too high - soil conc. will exceed limit",
  IF(AW142&gt;450*0.9,"soil conc. is at or above 90% of the limit",
  IF(10*BP142*1000/3000+BQ142&gt;450,"soil limit likely to be exceeded in 10yrs",
  IF(50*BP142*1000/3000+BQ142&gt;450,"soil limit likely to be exceeded in 50yrs","ok")))))
))))))))</f>
        <v/>
      </c>
    </row>
    <row r="143" spans="2:71" ht="15" x14ac:dyDescent="0.25">
      <c r="B143" s="236" t="str">
        <f ca="1">'Soil results'!B146</f>
        <v/>
      </c>
      <c r="C143" s="91" t="str">
        <f ca="1">IF(B143="","",
IF(AND('Field information 2'!$O$5="", 'Field information 2'!$Q$5=""),
   IF('Waste results'!$S$12&lt;&gt;"data missing", Calc!BC141*'Waste results'!$S$12, "data missing"),
IF('Field information 2'!$Q$5="",
   IF(Calc!BD141=0,
     IF('Waste results'!$S$12&lt;&gt;"data missing", Calc!BC141*'Waste results'!$S$12, "data missing"),
   IF(Calc!BC141=0,
     IF('Waste results'!$S$48&lt;&gt;"data missing", Calc!BD141*'Waste results'!$S$48, "data missing"),
   IF(OR('Waste results'!$S$12&lt;&gt;"data missing", 'Waste results'!$S$48&lt;&gt;"data missing"), Calc!BC141*'Waste results'!$S$12+ Calc!BD141*'Waste results'!$S$48, "data missing"))),
IF(AND('Field information 2'!$M$5&lt;&gt;"", 'Field information 2'!$O$5&lt;&gt;"", 'Field information 2'!$Q$5&lt;&gt;""),
   IF(AND(Calc!BD141=0,Calc!BE141=0),
     IF('Waste results'!$S$12&lt;&gt;"data missing", Calc!BC141*'Waste results'!$S$12, "data missing"),
   IF(AND(Calc!BC141=0,Calc!BE141=0),
     IF('Waste results'!$S$48&lt;&gt;"data missing", Calc!BD141*'Waste results'!$S$48, "data missing"),
   IF(AND(Calc!BC141=0,Calc!BD141=0),
     IF('Waste results'!$S$84&lt;&gt;"data missing", Calc!BE141*'Waste results'!$S$84, "data missing"),
   IF(Calc!BE141=0,
     IF(OR('Waste results'!$S$12&lt;&gt;"data missing", 'Waste results'!$S$48&lt;&gt;"data missing"), Calc!BC141*'Waste results'!$S$12+ Calc!BD141*'Waste results'!$S$48, "data missing"),
   IF(Calc!BD141=0,
     IF(OR('Waste results'!$S$12&lt;&gt;"data missing", 'Waste results'!$S$84&lt;&gt;"data missing"), Calc!BC141*'Waste results'!$S$12+ Calc!BE141*'Waste results'!$S$84, "data missing"),
   IF(Calc!BC141=0,
     IF(OR('Waste results'!$S$48&lt;&gt;"data missing", 'Waste results'!$S$84&lt;&gt;"data missing"), Calc!BD141*'Waste results'!$S$48+Calc!BE141*'Waste results'!$S$84, "data missing"),
   IF(OR('Waste results'!$S$12&lt;&gt;"data missing", 'Waste results'!$S$48&lt;&gt;"data missing", 'Waste results'!$S$84&lt;&gt;"data missing"), Calc!BC141*'Waste results'!$S$12+Calc!BD141*'Waste results'!$S$48+ Calc!BE141*'Waste results'!$S$84, "data missing")))))))))))</f>
        <v/>
      </c>
      <c r="D143" s="161" t="str">
        <f ca="1">IF(B143="","",
IF(Calc!BG141="","soil texture missing",
IF(OR(Calc!BG141="SL; SZL; ZL",Calc!BG141="SCL; CL; ZCL; SC; ZC; C"),VLOOKUP(Calc!BI141,'Fertiliser recommendations'!$A$4:$C$63,3,FALSE),
IF(Calc!BG141="S; LS",VLOOKUP(Calc!BI141,'Fertiliser recommendations'!$A$4:$C$63,3,FALSE)+VLOOKUP(Calc!BI141,'Fertiliser recommendations'!$A$4:$D$63,4,FALSE),
IF(Calc!BG141="10-25% OM",VLOOKUP(Calc!BI141,'Fertiliser recommendations'!$A$4:$C$63,3,FALSE)+VLOOKUP(Calc!BI141,'Fertiliser recommendations'!$A$4:$E$63,5,FALSE),
IF(Calc!BG141="&gt;25% OM",VLOOKUP(Calc!BI141,'Fertiliser recommendations'!$A$4:$C$63,3,FALSE)+VLOOKUP(Calc!BI141,'Fertiliser recommendations'!$A$4:$F$63,6,FALSE),
""))))))</f>
        <v/>
      </c>
      <c r="E143" s="91" t="str">
        <f t="shared" ca="1" si="34"/>
        <v/>
      </c>
      <c r="F143" s="9" t="str">
        <f ca="1">IF(B143="","",
IF(OR(C143="data missing",D143="soil texture missing"),"data missing",
IF(Calc!BF141=0,"n/a",
IF(C143&lt;0.1*D143,"no benefit",
IF(C143&lt;0.3*D143,"limited benefit",
IF(C143&gt;250,"exceeds limit",
IF(OR(AND(D143=0,C143&gt;75),C143&gt;1.25*D143),"excessive",
IF(D143=0, "no requirement",
"benefit"))))))))</f>
        <v/>
      </c>
      <c r="G143" s="9"/>
      <c r="H143" s="91" t="str">
        <f ca="1">IF(B143="","",
IF(AND('Field information 2'!$O$5="", 'Field information 2'!$Q$5=""),
   IF('Waste results'!$S$17&lt;&gt;"data missing", Calc!BC141*'Waste results'!$S$17, "data missing"),
IF('Field information 2'!$Q$5="",
   IF(Calc!BD141=0,
     IF('Waste results'!$S$17&lt;&gt;"data missing", Calc!BC141*'Waste results'!$S$17, "data missing"),
   IF(Calc!BC141=0,
     IF('Waste results'!$S$53&lt;&gt;"data missing", Calc!BD141*'Waste results'!$S$53, "data missing"),
   IF(OR('Waste results'!$S$17&lt;&gt;"data missing", 'Waste results'!$S$53&lt;&gt;"data missing"), Calc!BC141*'Waste results'!$S$17+ Calc!BD141*'Waste results'!$S$53, "data missing"))),
IF(AND('Field information 2'!$M$5&lt;&gt;"", 'Field information 2'!$O$5&lt;&gt;"", 'Field information 2'!$Q$5&lt;&gt;""),
   IF(AND(Calc!BD141=0,Calc!BE141=0),
     IF('Waste results'!$S$17&lt;&gt;"data missing", Calc!BC141*'Waste results'!$S$17, "data missing"),
   IF(AND(Calc!BC141=0,Calc!BE141=0),
     IF('Waste results'!$S$53&lt;&gt;"data missing", Calc!BD141*'Waste results'!$S$53, "data missing"),
   IF(AND(Calc!BC141=0,Calc!BD141=0),
     IF('Waste results'!$S$89&lt;&gt;"data missing", Calc!BE141*'Waste results'!$S$89, "data missing"),
   IF(Calc!BE141=0,
     IF(OR('Waste results'!$S$17&lt;&gt;"data missing", 'Waste results'!$S$53&lt;&gt;"data missing"), Calc!BC141*'Waste results'!$S$17+ Calc!BD141*'Waste results'!$S$53, "data missing"),
   IF(Calc!BD141=0,
     IF(OR('Waste results'!$S$17&lt;&gt;"data missing", 'Waste results'!$S$89&lt;&gt;"data missing"), Calc!BC141*'Waste results'!$S$17+ Calc!BE141*'Waste results'!$S$89, "data missing"),
   IF(Calc!BC141=0,
     IF(OR('Waste results'!$S$53&lt;&gt;"data missing", 'Waste results'!$S$89&lt;&gt;"data missing"), Calc!BD141*'Waste results'!$S$53+Calc!BE141*'Waste results'!$S$89, "data missing"),
   IF(OR('Waste results'!$S$17&lt;&gt;"data missing", 'Waste results'!$S$53&lt;&gt;"data missing", 'Waste results'!$S$89&lt;&gt;"data missing"), Calc!BC141*'Waste results'!$S$17+Calc!BD141*'Waste results'!$S$53+ Calc!BE141*'Waste results'!$S$89, "data missing")))))))))))</f>
        <v/>
      </c>
      <c r="I143" s="195" t="str">
        <f ca="1">IF(B143="","",
IF(OR(ISBLANK('Soil results'!G146), ISBLANK('Soil results'!G$7)),"data missing",
IF(OR(AND('Soil results'!G$7="Olsen (ADAS)",'Soil results'!G146&lt;16),AND('Soil results'!G$7="modified Morgan (SAC)",'Soil results'!G146&lt;4.5)),50,100)))</f>
        <v/>
      </c>
      <c r="J143" s="49" t="str">
        <f ca="1">IF(B143="","",
IF(OR(ISBLANK('Soil results'!G$7),ISBLANK('Soil results'!G146)),"data missing",
IF(OR(AND('Soil results'!G$7="Olsen (ADAS)",'Soil results'!G146&gt;45),AND('Soil results'!G$7="modified Morgan (SAC)",'Soil results'!G146&gt;30)),0,
IF(OR(AND('Soil results'!G$7="Olsen (ADAS)",'Soil results'!G146&gt;=16,'Soil results'!G146&lt;=20),AND('Soil results'!G$7="modified Morgan (SAC)",'Soil results'!G146&gt;=4.5,'Soil results'!G146&lt;=9.4)),VLOOKUP(Calc!BI141,'Fertiliser recommendations'!$A$4:$I$63,9,FALSE),
IF(OR(AND('Soil results'!G$7="Olsen (ADAS)",'Soil results'!G146&lt;10),AND('Soil results'!G$7="modified Morgan (SAC)",'Soil results'!G146&lt;1.8)),VLOOKUP(Calc!BI141,'Fertiliser recommendations'!$A$4:$I$63,9,FALSE)+VLOOKUP(Calc!BI141,'Fertiliser recommendations'!$A$4:$J$63,10,FALSE),
IF(OR(AND('Soil results'!G$7="Olsen (ADAS)",'Soil results'!G146&lt;16),AND('Soil results'!G$7="modified Morgan (SAC)",'Soil results'!G146&lt;4.5)),VLOOKUP(Calc!BI141,'Fertiliser recommendations'!$A$4:$I$63,9,FALSE)+VLOOKUP(Calc!BI141,'Fertiliser recommendations'!$A$4:$K$63,11,FALSE),
IF(OR(AND('Soil results'!G$7="Olsen (ADAS)",'Soil results'!G146&lt;26),AND('Soil results'!G$7="modified Morgan (SAC)",'Soil results'!G146&lt;13.5)),VLOOKUP(Calc!BI141,'Fertiliser recommendations'!$A$4:$I$63,9,FALSE)+VLOOKUP(Calc!BI141,'Fertiliser recommendations'!$A$4:$L$63,12,FALSE),
IF(OR(AND('Soil results'!G$7="Olsen (ADAS)",'Soil results'!G146&lt;=45),AND('Soil results'!G$7="modified Morgan (SAC)",'Soil results'!G146&lt;=30)),VLOOKUP(Calc!BI141,'Fertiliser recommendations'!$A$4:$I$63,9,FALSE)+VLOOKUP(Calc!BI141,'Fertiliser recommendations'!$A$4:$M$63,13,FALSE),
""))))))))</f>
        <v/>
      </c>
      <c r="K143" s="161" t="str">
        <f t="shared" ca="1" si="35"/>
        <v/>
      </c>
      <c r="L143" s="47" t="str">
        <f ca="1">IF(OR(ISBLANK('Soil results'!G$7),ISBLANK('Soil results'!G146),B143="", H143="data missing"),"",
IF('Soil results'!G$7="Olsen (ADAS)",
IF(((H143*Calc!BM141/2.291-(VLOOKUP(Calc!BI141,'Fertiliser recommendations'!$A$4:$I$63,9,FALSE))/2.291)*10/(400/2.291)+'Soil results'!G146)&lt;10,"0 (VL)",
IF(((H143*Calc!BM141/2.291-(VLOOKUP(Calc!BI141,'Fertiliser recommendations'!$A$4:$I$63,9,FALSE))/2.291)*10/(400/2.291)+'Soil results'!G146)&lt;16,"1 (L)",
IF(((H143*Calc!BM141/2.291-(VLOOKUP(Calc!BI141,'Fertiliser recommendations'!$A$4:$I$63,9,FALSE))/2.291)*10/(400/2.291)+'Soil results'!G146)&lt;21,"2 (M-)",
IF(((H143*Calc!BM141/2.291-(VLOOKUP(Calc!BI141,'Fertiliser recommendations'!$A$4:$I$63,9,FALSE))/2.291)*10/(400/2.291)+'Soil results'!G146)&lt;26,"2 (M+)",
IF(((H143*Calc!BM141/2.291-(VLOOKUP(Calc!BI141,'Fertiliser recommendations'!$A$4:$I$63,9,FALSE))/2.291)*10/(400/2.291)+'Soil results'!G146)&lt;45,"3 (H)","&gt;3 (VH)"))))),
IF('Soil results'!G$7="modified Morgan (SAC)",
IF('Soil results'!G146&gt;=6,
IF(((H143*Calc!BM141/2.291-(VLOOKUP(Calc!BI141,'Fertiliser recommendations'!$A$4:$I$63,9,FALSE))/2.291)*5/(147/2.291)+'Soil results'!G146)&lt;9.5,"2 (M-)",
IF(((H143*Calc!BM141/2.291-(VLOOKUP(Calc!BI141,'Fertiliser recommendations'!$A$4:$I$63,9,FALSE))/2.291)*5/(147/2.291)+'Soil results'!G146)&lt;13.5,"2 (M+)",
IF(((H143*Calc!BM141/2.291-(VLOOKUP(Calc!BI141,'Fertiliser recommendations'!$A$4:$I$63,9,FALSE))/2.291)*5/(147/2.291)+'Soil results'!G146)&lt;30,"3 (H)","4 (VH)"))),
IF(((H143*Calc!BM141/2.291-(VLOOKUP(Calc!BI141,'Fertiliser recommendations'!$A$4:$I$63,9,FALSE))/2.291)*5/(346/2.291)+'Soil results'!G146)&lt;1.8,"0 (VL)",
IF(((H143*Calc!BM141/2.291-(VLOOKUP(Calc!BI141,'Fertiliser recommendations'!$A$4:$I$63,9,FALSE))/2.291)*5/(147/2.291)+'Soil results'!G146)&lt;4.5,"1 (L)","2 (M-)"))))))</f>
        <v/>
      </c>
      <c r="M143" s="9" t="str">
        <f ca="1">IF(B143="","",
IF(OR(H143="data missing",I143="data missing",J143="data missing"),"data missing",
IF(Calc!BF141=0,"n/a",
IF(OR(AND('Soil results'!G$7="Olsen (ADAS)",'Soil results'!G146&gt;45),AND('Soil results'!G$7="modified Morgan (SAC)",'Soil results'!G146&gt;30)),
IF(H143&gt;2,"too high, not acceptable","no requirement"),IF(OR(AND('Soil results'!G$7="Olsen (ADAS)",'Soil results'!G146&gt;25),AND('Soil results'!G$7="modified Morgan (SAC)",'Soil results'!G146&gt;13.4)),
IF(H143*(I143/100)&lt;0.1*J143,"no benefit",
IF(H143*(I143/100)&lt;0.3*J143,"limited benefit",
IF(H143*(I143/100)&lt;1.1*J143,"benefit",
IF(H143*(I143/100)&lt;0.7*VLOOKUP(Calc!BI141,'Fertiliser recommendations'!$A$4:$I$63,9,FALSE),"excessive","too high, not acceptable")))),
IF(OR(AND('Soil results'!G$7="Olsen (ADAS)",'Soil results'!G146&gt;20),AND('Soil results'!G$7="modified Morgan (SAC)",'Soil results'!G146&gt;9.4)),
IF(H143*Calc!BM141*(I143/100)&lt;0.1*J143,"no benefit",
IF(H143*Calc!BM141*(I143/100)&lt;0.3*J143,"limited benefit",
IF(H143*Calc!BM141*(I143/100)&lt;1.1*J143,"benefit",
IF(L143="3 (H)","too high, not acceptable","excessive")))),
IF(OR(AND('Soil results'!G$7="Olsen (ADAS)",'Soil results'!G146&gt;15),AND('Soil results'!G$7="modified Morgan (SAC)",'Soil results'!G146&gt;4.4)),
IF(H143*Calc!BM141*(I143/100)&lt;0.1*VLOOKUP(Calc!BI141,'Fertiliser recommendations'!$A$4:$I$63,9,FALSE),"no benefit",
IF(H143*Calc!BM141*(I143/100)&lt;0.3*VLOOKUP(Calc!BI141,'Fertiliser recommendations'!$A$4:$I$63,9,FALSE),"limited benefit",
IF(H143*Calc!BM141*(I143/100)&lt;1.1*VLOOKUP(Calc!BI141,'Fertiliser recommendations'!$A$4:$I$63,9,FALSE),"benefit",
IF(L143="3 (H)", "too high, not acceptable", "excessive")))),
IF(OR(AND('Soil results'!G$7="Olsen (ADAS)",'Soil results'!G146&lt;=15),AND('Soil results'!G$7="modified Morgan (SAC)",'Soil results'!G146&lt;=4.4)),
IF(H143*Calc!BM141*(I143/100)&lt;0.1*VLOOKUP(Calc!BI141,'Fertiliser recommendations'!$A$4:$I$63,9,FALSE),"no benefit",
IF(H143*Calc!BM141*(I143/100)&lt;0.3*VLOOKUP(Calc!BI141,'Fertiliser recommendations'!$A$4:$I$63,9,FALSE),"limited benefit",
IF(H143*Calc!BM141*(I143/100)&lt;1.1*J143,"benefit","excessive")))))))))))</f>
        <v/>
      </c>
      <c r="N143" s="9"/>
      <c r="O143" s="91" t="str">
        <f ca="1">IF(B143="","",
IF(AND('Field information 2'!$O$5="", 'Field information 2'!$Q$5=""),
   IF('Waste results'!$S$19&lt;&gt;"data missing", Calc!BC141*'Waste results'!$S$19, "data missing"),
IF('Field information 2'!$Q$5="",
   IF(Calc!BD141=0,
     IF('Waste results'!$S$19&lt;&gt;"data missing", Calc!BC141*'Waste results'!$S$19, "data missing"),
   IF(Calc!BC141=0,
     IF('Waste results'!$S$55&lt;&gt;"data missing", Calc!BD141*'Waste results'!$S$55, "data missing"),
   IF(OR('Waste results'!$S$19&lt;&gt;"data missing", 'Waste results'!$S$55&lt;&gt;"data missing"), Calc!BC141*'Waste results'!$S$19+ Calc!BD141*'Waste results'!$S$55, "data missing"))),
IF(AND('Field information 2'!$M$5&lt;&gt;"", 'Field information 2'!$O$5&lt;&gt;"", 'Field information 2'!$Q$5&lt;&gt;""),
   IF(AND(Calc!BD141=0,Calc!BE141=0),
     IF('Waste results'!$S$19&lt;&gt;"data missing", Calc!BC141*'Waste results'!$S$19, "data missing"),
   IF(AND(Calc!BC141=0,Calc!BE141=0),
     IF('Waste results'!$S$55&lt;&gt;"data missing", Calc!BD141*'Waste results'!$S$55, "data missing"),
   IF(AND(Calc!BC141=0,Calc!BD141=0),
     IF('Waste results'!$S$91&lt;&gt;"data missing", Calc!BE141*'Waste results'!$S$91, "data missing"),
   IF(Calc!BE141=0,
     IF(OR('Waste results'!$S$19&lt;&gt;"data missing", 'Waste results'!$S$55&lt;&gt;"data missing"), Calc!BC141*'Waste results'!$S$19+ Calc!BD141*'Waste results'!$S$55, "data missing"),
   IF(Calc!BD141=0,
     IF(OR('Waste results'!$S$19&lt;&gt;"data missing", 'Waste results'!$S$91&lt;&gt;"data missing"), Calc!BC141*'Waste results'!$S$19+ Calc!BE141*'Waste results'!$S$91, "data missing"),
   IF(Calc!BC141=0,
     IF(OR('Waste results'!$S$55&lt;&gt;"data missing", 'Waste results'!$S$91&lt;&gt;"data missing"), Calc!BD141*'Waste results'!$S$55+Calc!BE141*'Waste results'!$S$91, "data missing"),
   IF(OR('Waste results'!$S$19&lt;&gt;"data missing", 'Waste results'!$S$55&lt;&gt;"data missing", 'Waste results'!$S$91&lt;&gt;"data missing"), Calc!BC141*'Waste results'!$S$19+Calc!BD141*'Waste results'!$S$55+ Calc!BE141*'Waste results'!$S$91, "data missing")))))))))))</f>
        <v/>
      </c>
      <c r="P143" s="91" t="str">
        <f ca="1">IF(B143="","",
IF(OR(ISBLANK('Soil results'!H$7),ISBLANK('Soil results'!H146)),"data missing",
IF(OR(AND('Soil results'!H$7="ammonium nitrate (ADAS)",'Soil results'!H146&gt;400),AND('Soil results'!H$7="modified Morgan (SAC)",'Soil results'!H146&gt;400)),0,
IF(OR(AND('Soil results'!H$7="ammonium nitrate (ADAS)",'Soil results'!H146&gt;=121,'Soil results'!H146&lt;=180),AND('Soil results'!H$7="modified Morgan (SAC)",'Soil results'!H146&gt;=76,'Soil results'!H146&lt;=140)),VLOOKUP(Calc!BI141,'Fertiliser recommendations'!$A$4:$Z$63,26,FALSE),
IF(OR(AND('Soil results'!H$7="ammonium nitrate (ADAS)",'Soil results'!H146&lt;61),AND('Soil results'!H$7="modified Morgan (SAC)",'Soil results'!H146&lt;40)),VLOOKUP(Calc!BI141,'Fertiliser recommendations'!$A$4:$Z$63,26,FALSE)+VLOOKUP(Calc!BI141,'Fertiliser recommendations'!$A$4:$AA$63,27,FALSE),
IF(OR(AND('Soil results'!H$7="ammonium nitrate (ADAS)",'Soil results'!H146&lt;121),AND('Soil results'!H$7="modified Morgan (SAC)",'Soil results'!H146&lt;76)),VLOOKUP(Calc!BI141,'Fertiliser recommendations'!$A$4:$Z$63,26,FALSE)+VLOOKUP(Calc!BI141,'Fertiliser recommendations'!$A$4:$AB$63,28,FALSE),
IF(OR(AND('Soil results'!H$7="ammonium nitrate (ADAS)",'Soil results'!H146&lt;241),AND('Soil results'!H$7="modified Morgan (SAC)",'Soil results'!H146&lt;201)),VLOOKUP(Calc!BI141,'Fertiliser recommendations'!$A$4:$Z$63,26,FALSE)+VLOOKUP(Calc!BI141,'Fertiliser recommendations'!$A$4:$AC$63,29,FALSE),
IF(OR(AND('Soil results'!H$7="ammonium nitrate (ADAS)",'Soil results'!H146&lt;=400),AND('Soil results'!H$7="modified Morgan (SAC)",'Soil results'!H146&lt;=400)),VLOOKUP(Calc!BI141,'Fertiliser recommendations'!$A$4:$Z$63,26,FALSE)+VLOOKUP(Calc!BI141,'Fertiliser recommendations'!$A$4:$AD$63,30,FALSE),
"??"))))))))</f>
        <v/>
      </c>
      <c r="Q143" s="91" t="str">
        <f t="shared" ca="1" si="36"/>
        <v/>
      </c>
      <c r="R143" s="9" t="str">
        <f ca="1">IF(B143="","",
IF(OR(O143="data missing",P143="data missing"),"data missing",
IF(Calc!BF141=0,"n/a",
IF(P143=0, "no requirement",
IF(O143&lt;0.1*P143,"no benefit",
IF(O143&lt;0.3*P143,"limited benefit",
IF(O143&gt;1.25*P143,"excessive",
"benefit")))))))</f>
        <v/>
      </c>
      <c r="S143" s="9"/>
      <c r="T143" s="91" t="str">
        <f ca="1">IF(B143="","",
IF(AND('Field information 2'!$O$5="", 'Field information 2'!$Q$5=""),
   IF('Waste results'!$S$21&lt;&gt;"data missing", Calc!BC141*'Waste results'!$S$21, "data missing"),
IF('Field information 2'!$Q$5="",
   IF(Calc!BD141=0,
     IF('Waste results'!$S$21&lt;&gt;"data missing", Calc!BC141*'Waste results'!$S$21, "data missing"),
   IF(Calc!BC141=0,
     IF('Waste results'!$S$57&lt;&gt;"data missing", Calc!BD141*'Waste results'!$S$57, "data missing"),
   IF(OR('Waste results'!$S$21&lt;&gt;"data missing", 'Waste results'!$S$57&lt;&gt;"data missing"), Calc!BC141*'Waste results'!$S$21+ Calc!BD141*'Waste results'!$S$57, "data missing"))),
IF(AND('Field information 2'!$M$5&lt;&gt;"", 'Field information 2'!$O$5&lt;&gt;"", 'Field information 2'!$Q$5&lt;&gt;""),
   IF(AND(Calc!BD141=0,Calc!BE141=0),
     IF('Waste results'!$S$21&lt;&gt;"data missing", Calc!BC141*'Waste results'!$S$21, "data missing"),
   IF(AND(Calc!BC141=0,Calc!BE141=0),
     IF('Waste results'!$S$57&lt;&gt;"data missing", Calc!BD141*'Waste results'!$S$57, "data missing"),
   IF(AND(Calc!BC141=0,Calc!BD141=0),
     IF('Waste results'!$S$93&lt;&gt;"data missing", Calc!BE141*'Waste results'!$S$93, "data missing"),
   IF(Calc!BE141=0,
     IF(OR('Waste results'!$S$21&lt;&gt;"data missing", 'Waste results'!$S$57&lt;&gt;"data missing"), Calc!BC141*'Waste results'!$S$21+ Calc!BD141*'Waste results'!$S$57, "data missing"),
   IF(Calc!BD141=0,
     IF(OR('Waste results'!$S$21&lt;&gt;"data missing", 'Waste results'!$S$93&lt;&gt;"data missing"), Calc!BC141*'Waste results'!$S$21+ Calc!BE141*'Waste results'!$S$93, "data missing"),
   IF(Calc!BC141=0,
     IF(OR('Waste results'!$S$57&lt;&gt;"data missing", 'Waste results'!$S$93&lt;&gt;"data missing"), Calc!BD141*'Waste results'!$S$57+Calc!BE141*'Waste results'!$S$93, "data missing"),
   IF(OR('Waste results'!$S$21&lt;&gt;"data missing", 'Waste results'!$S$57&lt;&gt;"data missing", 'Waste results'!$S$93&lt;&gt;"data missing"), Calc!BC141*'Waste results'!$S$21+Calc!BD141*'Waste results'!$S$57+ Calc!BE141*'Waste results'!$S$93, "data missing")))))))))))</f>
        <v/>
      </c>
      <c r="U143" s="7" t="str">
        <f ca="1">IF(B143="","",
IF(OR(ISBLANK('Soil results'!I$7),ISBLANK('Soil results'!I146)),"data missing",
IF(OR(AND('Soil results'!I$7="ammonium nitrate (ADAS)",'Soil results'!I146&gt;51),AND('Soil results'!I$7="modified Morgan (SAC)",'Soil results'!I146&gt;61)),0,
IF(OR(AND('Soil results'!I$7="ammonium nitrate (ADAS)",'Soil results'!I146&lt;25),AND('Soil results'!I$7="modified Morgan (SAC)",'Soil results'!I146&lt;19)),VLOOKUP(Calc!BI141,'Fertiliser recommendations'!$A$4:$AH$63,34,FALSE),
IF(OR(AND('Soil results'!I$7="ammonium nitrate (ADAS)",'Soil results'!I146&lt;=51),AND('Soil results'!I$7="modified Morgan (SAC)",'Soil results'!I146&lt;=61)),VLOOKUP(Calc!BI141,'Fertiliser recommendations'!$A$4:$AI$63,35,FALSE),
"")))))</f>
        <v/>
      </c>
      <c r="V143" s="91" t="str">
        <f t="shared" ca="1" si="37"/>
        <v/>
      </c>
      <c r="W143" s="9" t="str">
        <f ca="1">IF(B143="","",
IF(OR(T143="data missing",U143="data missing"),"data missing",
IF(Calc!BF141=0,"n/a",
IF(U143=0,"no requirement",
IF(T143&lt;0.1*U143,"no benefit",
IF(T143&lt;0.3*U143,"limited benefit",
IF(OR(T143&gt;1.5*U143,AND(Calc!BJ141="g",T143&gt;100)),"excessive",
"benefit")))))))</f>
        <v/>
      </c>
      <c r="X143" s="9"/>
      <c r="Y143" s="91" t="str">
        <f ca="1">IF(B143="","",
IF(AND('Field information 2'!$O$5="", 'Field information 2'!$Q$5=""),
   IF('Waste results'!$P$23&lt;&gt;"", Calc!BC141*'Waste results'!$P$23, "no data"),
IF('Field information 2'!$Q$5="",
   IF(Calc!BD141=0,
     IF('Waste results'!$P$23&lt;&gt;"", Calc!BC141*'Waste results'!$P$23, "no data"),
   IF(Calc!BC141=0,
     IF('Waste results'!$P$59&lt;&gt;"", Calc!BD141*'Waste results'!$P$59, "no data"),
   IF(OR('Waste results'!$P$23&lt;&gt;"", 'Waste results'!$P$59&lt;&gt;""), Calc!BC141*'Waste results'!$P$23+ Calc!BD141*'Waste results'!$P$59, "no data"))),
IF(AND('Field information 2'!$M$5&lt;&gt;"", 'Field information 2'!$O$5&lt;&gt;"", 'Field information 2'!$Q$5&lt;&gt;""),
   IF(AND(Calc!BD141=0,Calc!BE141=0),
     IF('Waste results'!$P$23&lt;&gt;"", Calc!BC141*'Waste results'!$P$23, "no data"),
   IF(AND(Calc!BC141=0,Calc!BE141=0),
     IF('Waste results'!$P$59&lt;&gt;"", Calc!BD141*'Waste results'!$P$59, "no data"),
   IF(AND(Calc!BC141=0,Calc!BD141=0),
     IF('Waste results'!$P$95&lt;&gt;"", Calc!BE141*'Waste results'!$P$95, "no data"),
   IF(Calc!BE141=0,
     IF(OR('Waste results'!$P$23&lt;&gt;"", 'Waste results'!$P$59&lt;&gt;""), Calc!BC141*'Waste results'!$P$23+ Calc!BD141*'Waste results'!$P$59, "no data"),
   IF(Calc!BD141=0,
     IF(OR('Waste results'!$P$23&lt;&gt;"", 'Waste results'!$P$95&lt;&gt;""), Calc!BC141*'Waste results'!$P$23+ Calc!BE141*'Waste results'!$P$95, "no data"),
   IF(Calc!BC141=0,
     IF(OR('Waste results'!$P$59&lt;&gt;"", 'Waste results'!$P$95&lt;&gt;""), Calc!BD141*'Waste results'!$P$59+Calc!BE141*'Waste results'!$P$95, "no data"),
   IF(OR('Waste results'!$P$23&lt;&gt;"", 'Waste results'!$P$59&lt;&gt;"", 'Waste results'!$P$95&lt;&gt;""), Calc!BC141*'Waste results'!$P$23+Calc!BD141*'Waste results'!$P$59+ Calc!BE141*'Waste results'!$P$95, "no data")))))))))))</f>
        <v/>
      </c>
      <c r="Z143" s="7" t="str">
        <f ca="1">IF(OR(ISBLANK('Soil results'!I$7),ISBLANK('Soil results'!I146),'Soil results'!B146=""),"",
VLOOKUP(Calc!BI141,'Fertiliser recommendations'!$A$4:$AM$63,39,FALSE))</f>
        <v/>
      </c>
      <c r="AA143" s="91" t="str">
        <f t="shared" ca="1" si="38"/>
        <v/>
      </c>
      <c r="AB143" s="9" t="str">
        <f t="shared" ca="1" si="39"/>
        <v/>
      </c>
      <c r="AC143" s="9"/>
      <c r="AD143" s="48" t="str">
        <f>IF(ISBLANK('Soil results'!F146),"",'Soil results'!F146)</f>
        <v/>
      </c>
      <c r="AE143" s="49" t="str">
        <f ca="1">IF(B143="","",
IF(AND(Calc!BJ141="g", VLOOKUP(LEFT($B143,LEN($B143)-2),'Field information 2'!$B$12:$P$111,9,FALSE)&lt;&gt;"yes"),
 IF(Calc!BG141="10-25% OM", 5.9, IF(Calc!BG141="&gt;25% OM", 5.5, 6.2)),
IF(OR(Calc!BJ141="a", VLOOKUP(LEFT($B143,LEN($B143)-2),'Field information 2'!$B$12:$P$111,9,FALSE)="yes"),
 IF(Calc!BG141="10-25% OM", 6.4, IF(Calc!BG141="&gt;25% OM", 6, 6.7)), "")))</f>
        <v/>
      </c>
      <c r="AF143" s="91" t="str">
        <f ca="1">IF(B143="","",
IF('Waste results'!$Q$33="","no (significant) liming properties",
IF('Waste results'!Q$33&gt;100,"no (significant) liming properties",
IF(AD143="","",
IF(AD143&gt;=AE143,0,ROUNDDOWN((AE143-AD143)*Calc!BK141*'Waste results'!$Q$33+0.2,0))))))</f>
        <v/>
      </c>
      <c r="AG143" s="9" t="str">
        <f ca="1">IF(B143="","",
IF(T143=0,"n/a",
IF(AD143="","data missing",
IF(AND(AD143&lt;5,AF143="no (significant) liming properties"),"no waste application - pH too low",
IF(AND(AD143&gt;5.1,AF143="no (significant) liming properties",Calc!BH141&gt;25, LEFT(Calc!BI141,4)="graz"),"ok",
IF(AND(AD143&lt;=5.2,AF143="no (significant) liming properties"),"liming highly recommended",
IF(AF143=0,"no waste application - liming not required",
IF(AF143&lt;Calc!BC141,"application rate too high - exceeds liming requirement",
"ok"))))))))</f>
        <v/>
      </c>
      <c r="AH143" s="9"/>
      <c r="AI143" s="91" t="str">
        <f ca="1">IF(B143="","",
IF(AND('Field information 2'!$O$5="", 'Field information 2'!$Q$5=""),
   IF('Waste results'!$P$10&lt;&gt;"data missing", Calc!BC141*'Waste results'!$P$10, "data missing"),
IF('Field information 2'!$Q$5="",
   IF(Calc!BD141=0,
     IF('Waste results'!$P$10&lt;&gt;"data missing", Calc!BC141*'Waste results'!$P$10, "data missing"),
   IF(Calc!BC141=0,
     IF('Waste results'!$P$45&lt;&gt;"data missing", Calc!BD141*'Waste results'!$P$45, "data missing"),
   IF(OR('Waste results'!$P$10&lt;&gt;"data missing", 'Waste results'!$P$45&lt;&gt;"data missing"), Calc!BC141*'Waste results'!$P$10+ Calc!BD141*'Waste results'!$P$45, "data missing"))),
IF(AND('Field information 2'!$M$5&lt;&gt;"", 'Field information 2'!$O$5&lt;&gt;"", 'Field information 2'!$Q$5&lt;&gt;""),
   IF(AND(Calc!BD141=0,Calc!BE141=0),
     IF('Waste results'!$P$10&lt;&gt;"data missing", Calc!BC141*'Waste results'!$P$10, "data missing"),
   IF(AND(Calc!BC141=0,Calc!BE141=0),
     IF('Waste results'!$P$45&lt;&gt;"data missing", Calc!BD141*'Waste results'!$P$45, "data missing"),
   IF(AND(Calc!BC141=0,Calc!BD141=0),
     IF('Waste results'!$P$82&lt;&gt;"data missing", Calc!BE141*'Waste results'!$P$82, "data missing"),
   IF(Calc!BE141=0,
     IF(OR('Waste results'!$P$10&lt;&gt;"data missing", 'Waste results'!$P$45&lt;&gt;"data missing"), Calc!BC141*'Waste results'!$P$10+ Calc!BD141*'Waste results'!$P$45, "data missing"),
   IF(Calc!BD141=0,
     IF(OR('Waste results'!$P$10&lt;&gt;"data missing", 'Waste results'!$P$82&lt;&gt;"data missing"), Calc!BC141*'Waste results'!$P$10+ Calc!BE141*'Waste results'!$P$82, "data missing"),
   IF(Calc!BC141=0,
     IF(OR('Waste results'!$P$45&lt;&gt;"data missing", 'Waste results'!$P$82&lt;&gt;"data missing"), Calc!BD141*'Waste results'!$P$45+Calc!BE141*'Waste results'!$P$82, "data missing"),
   IF(OR('Waste results'!$P$10&lt;&gt;"data missing", 'Waste results'!$P$45&lt;&gt;"data missing", 'Waste results'!$P$82&lt;&gt;"data missing"), Calc!BC141*'Waste results'!$P$10+Calc!BD141*'Waste results'!$P$45+ Calc!BE141*'Waste results'!$P$82, "data missing")))))))))))</f>
        <v/>
      </c>
      <c r="AJ143" s="237" t="str">
        <f ca="1">IF(B143="","",
IF(AI143="data missing","data missing",
IF(Calc!BF141=0,"n/a",
IF(AND(Calc!BH141&gt;=8,AI143&lt;500),"no benefit",
IF(OR(AND(Calc!BH141&lt;=4,AI143&gt;=500),AND(Calc!BH141&lt;8,AI143&gt;5000)),"benefit",
"limited benefit")))))</f>
        <v/>
      </c>
      <c r="AK143" s="9"/>
      <c r="AL143" s="238" t="str">
        <f ca="1">IF(B143="","",
IF(AND('Field information 2'!$O$5="", 'Field information 2'!$Q$5=""),
   IF('Waste results'!$S$25&lt;&gt;"data missing", Calc!BC141*'Waste results'!$S$25, "data missing"),
IF('Field information 2'!$Q$5="",
   IF(Calc!BD141=0,
     IF('Waste results'!$S$25&lt;&gt;"data missing", Calc!BC141*'Waste results'!$S$25, "data missing"),
   IF(Calc!BC141=0,
     IF('Waste results'!$S$61&lt;&gt;"data missing", Calc!BD141*'Waste results'!$S$61, "data missing"),
   IF(OR('Waste results'!$S$25&lt;&gt;"data missing", 'Waste results'!$S$61&lt;&gt;"data missing"), Calc!BC141*'Waste results'!$S$25+ Calc!BD141*'Waste results'!$S$61, "data missing"))),
IF(AND('Field information 2'!$M$5&lt;&gt;"", 'Field information 2'!$O$5&lt;&gt;"", 'Field information 2'!$Q$5&lt;&gt;""),
   IF(AND(Calc!BD141=0,Calc!BE141=0),
     IF('Waste results'!$S$25&lt;&gt;"data missing", Calc!BC141*'Waste results'!$S$25, "data missing"),
   IF(AND(Calc!BC141=0,Calc!BE141=0),
     IF('Waste results'!$S$61&lt;&gt;"data missing", Calc!BD141*'Waste results'!$S$61, "data missing"),
   IF(AND(Calc!BC141=0,Calc!BD141=0),
     IF('Waste results'!$S$97&lt;&gt;"data missing", Calc!BE141*'Waste results'!$S$97, "data missing"),
   IF(Calc!BE141=0,
     IF(OR('Waste results'!$S$25&lt;&gt;"data missing", 'Waste results'!$S$61&lt;&gt;"data missing"), Calc!BC141*'Waste results'!$S$25+ Calc!BD141*'Waste results'!$S$61, "data missing"),
   IF(Calc!BD141=0,
     IF(OR('Waste results'!$S$25&lt;&gt;"data missing", 'Waste results'!$S$97&lt;&gt;"data missing"), Calc!BC141*'Waste results'!$S$25+ Calc!BE141*'Waste results'!$S$97, "data missing"),
   IF(Calc!BC141=0,
     IF(OR('Waste results'!$S$61&lt;&gt;"data missing", 'Waste results'!$S$97&lt;&gt;"data missing"), Calc!BD141*'Waste results'!$S$61+Calc!BE141*'Waste results'!$S$97, "data missing"),
   IF(OR('Waste results'!$S$25&lt;&gt;"data missing", 'Waste results'!$S$61&lt;&gt;"data missing", 'Waste results'!$S$97&lt;&gt;"data missing"), Calc!BC141*'Waste results'!$S$25+Calc!BD141*'Waste results'!$S$61+ Calc!BE141*'Waste results'!$S$97, "data missing")))))))))))</f>
        <v/>
      </c>
      <c r="AM143" s="239" t="str">
        <f ca="1">IF($B143="","",
IF(ISBLANK('Soil results'!K146),"data missing",'Soil results'!K146))</f>
        <v/>
      </c>
      <c r="AN143" s="239" t="str">
        <f t="shared" ca="1" si="40"/>
        <v/>
      </c>
      <c r="AO143" s="9" t="str">
        <f t="shared" ca="1" si="41"/>
        <v/>
      </c>
      <c r="AP143" s="9"/>
      <c r="AQ143" s="240" t="str">
        <f ca="1">IF(B143="","",
IF(AND('Field information 2'!$O$5="", 'Field information 2'!$Q$5=""),
   IF('Waste results'!$S$26&lt;&gt;"data missing", Calc!BC141*'Waste results'!$S$26, "data missing"),
IF('Field information 2'!$Q$5="",
   IF(Calc!BD141=0,
     IF('Waste results'!$S$26&lt;&gt;"data missing", Calc!BC141*'Waste results'!$S$26, "data missing"),
   IF(Calc!BC141=0,
     IF('Waste results'!$S$62&lt;&gt;"data missing", Calc!BD141*'Waste results'!$S$62, "data missing"),
   IF(OR('Waste results'!$S$26&lt;&gt;"data missing", 'Waste results'!$S$62&lt;&gt;"data missing"), Calc!BC141*'Waste results'!$S$26+ Calc!BD141*'Waste results'!$S$62, "data missing"))),
IF(AND('Field information 2'!$M$5&lt;&gt;"", 'Field information 2'!$O$5&lt;&gt;"", 'Field information 2'!$Q$5&lt;&gt;""),
   IF(AND(Calc!BD141=0,Calc!BE141=0),
     IF('Waste results'!$S$26&lt;&gt;"data missing", Calc!BC141*'Waste results'!$S$26, "data missing"),
   IF(AND(Calc!BC141=0,Calc!BE141=0),
     IF('Waste results'!$S$62&lt;&gt;"data missing", Calc!BD141*'Waste results'!$S$62, "data missing"),
   IF(AND(Calc!BC141=0,Calc!BD141=0),
     IF('Waste results'!$S$98&lt;&gt;"data missing", Calc!BE141*'Waste results'!$S$98, "data missing"),
   IF(Calc!BE141=0,
     IF(OR('Waste results'!$S$26&lt;&gt;"data missing", 'Waste results'!$S$62&lt;&gt;"data missing"), Calc!BC141*'Waste results'!$S$26+ Calc!BD141*'Waste results'!$S$62, "data missing"),
   IF(Calc!BD141=0,
     IF(OR('Waste results'!$S$26&lt;&gt;"data missing", 'Waste results'!$S$98&lt;&gt;"data missing"), Calc!BC141*'Waste results'!$S$26+ Calc!BE141*'Waste results'!$S$98, "data missing"),
   IF(Calc!BC141=0,
     IF(OR('Waste results'!$S$62&lt;&gt;"data missing", 'Waste results'!$S$98&lt;&gt;"data missing"), Calc!BD141*'Waste results'!$S$62+Calc!BE141*'Waste results'!$S$98, "data missing"),
   IF(OR('Waste results'!$S$26&lt;&gt;"data missing", 'Waste results'!$S$62&lt;&gt;"data missing", 'Waste results'!$S$98&lt;&gt;"data missing"), Calc!BC141*'Waste results'!$S$26+Calc!BD141*'Waste results'!$S$62+ Calc!BE141*'Waste results'!$S$98, "data missing")))))))))))</f>
        <v/>
      </c>
      <c r="AR143" s="241" t="str">
        <f ca="1">IF($B143="","",
IF(ISBLANK('Soil results'!L146),"data missing",'Soil results'!L146))</f>
        <v/>
      </c>
      <c r="AS143" s="241" t="str">
        <f t="shared" ca="1" si="42"/>
        <v/>
      </c>
      <c r="AT143" s="66" t="str">
        <f t="shared" ca="1" si="43"/>
        <v/>
      </c>
      <c r="AU143" s="9"/>
      <c r="AV143" s="238" t="str">
        <f ca="1">IF(B143="","",
IF(AND('Field information 2'!$O$5="", 'Field information 2'!$Q$5=""),
   IF('Waste results'!$S$27&lt;&gt;"data missing", Calc!BC141*'Waste results'!$S$27, "data missing"),
IF('Field information 2'!$Q$5="",
   IF(Calc!BD141=0,
     IF('Waste results'!$S$27&lt;&gt;"data missing", Calc!BC141*'Waste results'!$S$27, "data missing"),
   IF(Calc!BC141=0,
     IF('Waste results'!$S$63&lt;&gt;"data missing", Calc!BD141*'Waste results'!$S$63, "data missing"),
   IF(OR('Waste results'!$S$27&lt;&gt;"data missing", 'Waste results'!$S$63&lt;&gt;"data missing"), Calc!BC141*'Waste results'!$S$27+ Calc!BD141*'Waste results'!$S$63, "data missing"))),
IF(AND('Field information 2'!$M$5&lt;&gt;"", 'Field information 2'!$O$5&lt;&gt;"", 'Field information 2'!$Q$5&lt;&gt;""),
   IF(AND(Calc!BD141=0,Calc!BE141=0),
     IF('Waste results'!$S$27&lt;&gt;"data missing", Calc!BC141*'Waste results'!$S$27, "data missing"),
   IF(AND(Calc!BC141=0,Calc!BE141=0),
     IF('Waste results'!$S$63&lt;&gt;"data missing", Calc!BD141*'Waste results'!$S$63, "data missing"),
   IF(AND(Calc!BC141=0,Calc!BD141=0),
     IF('Waste results'!$S$99&lt;&gt;"data missing", Calc!BE141*'Waste results'!$S$99, "data missing"),
   IF(Calc!BE141=0,
     IF(OR('Waste results'!$S$27&lt;&gt;"data missing", 'Waste results'!$S$63&lt;&gt;"data missing"), Calc!BC141*'Waste results'!$S$27+ Calc!BD141*'Waste results'!$S$63, "data missing"),
   IF(Calc!BD141=0,
     IF(OR('Waste results'!$S$27&lt;&gt;"data missing", 'Waste results'!$S$99&lt;&gt;"data missing"), Calc!BC141*'Waste results'!$S$27+ Calc!BE141*'Waste results'!$S$99, "data missing"),
   IF(Calc!BC141=0,
     IF(OR('Waste results'!$S$63&lt;&gt;"data missing", 'Waste results'!$S$99&lt;&gt;"data missing"), Calc!BD141*'Waste results'!$S$63+Calc!BE141*'Waste results'!$S$99, "data missing"),
   IF(OR('Waste results'!$S$27&lt;&gt;"data missing", 'Waste results'!$S$63&lt;&gt;"data missing", 'Waste results'!$S$99&lt;&gt;"data missing"), Calc!BC141*'Waste results'!$S$27+Calc!BD141*'Waste results'!$S$63+ Calc!BE141*'Waste results'!$S$99, "data missing")))))))))))</f>
        <v/>
      </c>
      <c r="AW143" s="239" t="str">
        <f ca="1">IF($B143="","",
IF(ISBLANK('Soil results'!M146),"data missing",'Soil results'!M146))</f>
        <v/>
      </c>
      <c r="AX143" s="239" t="str">
        <f t="shared" ca="1" si="44"/>
        <v/>
      </c>
      <c r="AY143" s="9" t="str">
        <f ca="1">IF(B143="","",
IF(AV143=0,"n/a",
IF(OR(AV143="data missing",AW143="data missing"),"data missing",
IF(AV143&gt;7.5,"application rate too high - permissible rate exceeds limit",
IF('Soil results'!$F146&lt;=5.5,
  IF(AW143&gt;80,"no application - soil conc. already above limit",
  IF(AX143&gt;80,"application rate too high - soil conc. will exceed limit",
  IF(AW143&gt;80*0.9,"soil conc. is at or above 90% of the limit",
  IF(10*AV143*1000/3000+AW143&gt;80,"soil limit likely to be exceeded in 10yrs",
  IF(50*AV143*1000/3000+AW143&gt;80,"soil limit likely to be exceeded in 50yrs","ok"))))),
IF('Soil results'!$F146&lt;=6,
  IF(AW143&gt;100,"no application - soil conc. already above limit",
  IF(AX143&gt;100,"application rate too high - soil conc. will exceed limit",
  IF(AW143&gt;100*0.9,"soil conc. is at or above 90% of the limit",
  IF(10*AV143*1000/3000+AW143&gt;100,"soil limit likely to be exceeded in 10yrs",
  IF(50*AV143*1000/3000+AW143&gt;100,"soil limit likely to be exceeded in 50yrs","ok"))))),
IF('Soil results'!$F146&lt;=7,
  IF(AW143&gt;135,"no application - soil conc. already above limit",
  IF(AX143&gt;135,"application rate too high - soil conc. will exceed limit",
  IF(AW143&gt;135*0.9,"soil conc. is at or above 90% of the limit",
  IF(10*AV143*1000/3000+AW143&gt;135,"soil limit likely to be exceeded in 10yrs",
  IF(50*AV143*1000/3000+AW143&gt;135,"soil limit likely to be exceeded in 50yrs","ok"))))),
IF('Soil results'!$F146&gt;7,
  IF(AW143&gt;200,"no application - soil conc. already above limit",
  IF(AX143&gt;200,"application too high - soil conc. will exceed limit",
  IF(AW143&gt;200*0.9,"soil conc. is at or above 90% of the limit",
  IF(10*AV143*1000/3000+AW143&gt;200,"soil limit likely to be exceeded in 10yrs",
  IF(50*AV143*1000/3000+AW143&gt;200,"soil limit likely to be exceeded in 50yrs","ok")))))
))))))))</f>
        <v/>
      </c>
      <c r="AZ143" s="9"/>
      <c r="BA143" s="238" t="str">
        <f ca="1">IF(B143="","",
IF(AND('Field information 2'!$O$5="", 'Field information 2'!$Q$5=""),
   IF('Waste results'!$S$28&lt;&gt;"data missing", Calc!BC141*'Waste results'!$S$28, "data missing"),
IF('Field information 2'!$Q$5="",
   IF(Calc!BD141=0,
     IF('Waste results'!$S$28&lt;&gt;"data missing", Calc!BC141*'Waste results'!$S$28, "data missing"),
   IF(Calc!BC141=0,
     IF('Waste results'!$S$64&lt;&gt;"data missing", Calc!BD141*'Waste results'!$S$64, "data missing"),
   IF(OR('Waste results'!$S$28&lt;&gt;"data missing", 'Waste results'!$S$64&lt;&gt;"data missing"), Calc!BC141*'Waste results'!$S$28+ Calc!BD141*'Waste results'!$S$64, "data missing"))),
IF(AND('Field information 2'!$M$5&lt;&gt;"", 'Field information 2'!$O$5&lt;&gt;"", 'Field information 2'!$Q$5&lt;&gt;""),
   IF(AND(Calc!BD141=0,Calc!BE141=0),
     IF('Waste results'!$S$28&lt;&gt;"data missing", Calc!BC141*'Waste results'!$S$28, "data missing"),
   IF(AND(Calc!BC141=0,Calc!BE141=0),
     IF('Waste results'!$S$64&lt;&gt;"data missing", Calc!BD141*'Waste results'!$S$64, "data missing"),
   IF(AND(Calc!BC141=0,Calc!BD141=0),
     IF('Waste results'!$S$100&lt;&gt;"data missing", Calc!BE141*'Waste results'!$S$100, "data missing"),
   IF(Calc!BE141=0,
     IF(OR('Waste results'!$S$28&lt;&gt;"data missing", 'Waste results'!$S$64&lt;&gt;"data missing"), Calc!BC141*'Waste results'!$S$28+ Calc!BD141*'Waste results'!$S$64, "data missing"),
   IF(Calc!BD141=0,
     IF(OR('Waste results'!$S$28&lt;&gt;"data missing", 'Waste results'!$S$100&lt;&gt;"data missing"), Calc!BC141*'Waste results'!$S$28+ Calc!BE141*'Waste results'!$S$100, "data missing"),
   IF(Calc!BC141=0,
     IF(OR('Waste results'!$S$64&lt;&gt;"data missing", 'Waste results'!$S$100&lt;&gt;"data missing"), Calc!BD141*'Waste results'!$S$64+Calc!BE141*'Waste results'!$S$100, "data missing"),
   IF(OR('Waste results'!$S$28&lt;&gt;"data missing", 'Waste results'!$S$64&lt;&gt;"data missing", 'Waste results'!$S$100&lt;&gt;"data missing"), Calc!BC141*'Waste results'!$S$28+Calc!BD141*'Waste results'!$S$64+ Calc!BE141*'Waste results'!$S$100, "data missing")))))))))))</f>
        <v/>
      </c>
      <c r="BB143" s="239" t="str">
        <f ca="1">IF($B143="","",
IF(ISBLANK('Soil results'!N146),"data missing",'Soil results'!N146))</f>
        <v/>
      </c>
      <c r="BC143" s="239" t="str">
        <f t="shared" ca="1" si="45"/>
        <v/>
      </c>
      <c r="BD143" s="9" t="str">
        <f t="shared" ca="1" si="46"/>
        <v/>
      </c>
      <c r="BE143" s="9"/>
      <c r="BF143" s="238" t="str">
        <f ca="1">IF(B143="","",
IF(AND('Field information 2'!$O$5="", 'Field information 2'!$Q$5=""),
   IF('Waste results'!$S$29&lt;&gt;"data missing", Calc!BC141*'Waste results'!$S$29, "data missing"),
IF('Field information 2'!$Q$5="",
   IF(Calc!BD141=0,
     IF('Waste results'!$S$29&lt;&gt;"data missing", Calc!BC141*'Waste results'!$S$29, "data missing"),
   IF(Calc!BC141=0,
     IF('Waste results'!$S$65&lt;&gt;"data missing", Calc!BD141*'Waste results'!$S$65, "data missing"),
   IF(OR('Waste results'!$S$29&lt;&gt;"data missing", 'Waste results'!$S$65&lt;&gt;"data missing"), Calc!BC141*'Waste results'!$S$29+ Calc!BD141*'Waste results'!$S$65, "data missing"))),
IF(AND('Field information 2'!$M$5&lt;&gt;"", 'Field information 2'!$O$5&lt;&gt;"", 'Field information 2'!$Q$5&lt;&gt;""),
   IF(AND(Calc!BD141=0,Calc!BE141=0),
     IF('Waste results'!$S$29&lt;&gt;"data missing", Calc!BC141*'Waste results'!$S$29, "data missing"),
   IF(AND(Calc!BC141=0,Calc!BE141=0),
     IF('Waste results'!$S$65&lt;&gt;"data missing", Calc!BD141*'Waste results'!$S$65, "data missing"),
   IF(AND(Calc!BC141=0,Calc!BD141=0),
     IF('Waste results'!$S$101&lt;&gt;"data missing", Calc!BE141*'Waste results'!$S$101, "data missing"),
   IF(Calc!BE141=0,
     IF(OR('Waste results'!$S$29&lt;&gt;"data missing", 'Waste results'!$S$65&lt;&gt;"data missing"), Calc!BC141*'Waste results'!$S$29+ Calc!BD141*'Waste results'!$S$65, "data missing"),
   IF(Calc!BD141=0,
     IF(OR('Waste results'!$S$29&lt;&gt;"data missing", 'Waste results'!$S$101&lt;&gt;"data missing"), Calc!BC141*'Waste results'!$S$29+ Calc!BE141*'Waste results'!$S$101, "data missing"),
   IF(Calc!BC141=0,
     IF(OR('Waste results'!$S$65&lt;&gt;"data missing", 'Waste results'!$S$101&lt;&gt;"data missing"), Calc!BD141*'Waste results'!$S$65+Calc!BE141*'Waste results'!$S$101, "data missing"),
   IF(OR('Waste results'!$S$29&lt;&gt;"data missing", 'Waste results'!$S$65&lt;&gt;"data missing", 'Waste results'!$S$101&lt;&gt;"data missing"), Calc!BC141*'Waste results'!$S$29+Calc!BD141*'Waste results'!$S$65+ Calc!BE141*'Waste results'!$S$101, "data missing")))))))))))</f>
        <v/>
      </c>
      <c r="BG143" s="239" t="str">
        <f ca="1">IF($B143="","",
IF(ISBLANK('Soil results'!O146),"data missing",'Soil results'!O146))</f>
        <v/>
      </c>
      <c r="BH143" s="239" t="str">
        <f t="shared" ca="1" si="47"/>
        <v/>
      </c>
      <c r="BI143" s="9" t="str">
        <f ca="1">IF(B143="","",
IF(BF143=0,"n/a",
IF(OR(BF143="data missing",BG143="data missing"),"data missing",
IF(BF143&gt;3,"application rate too high - permissible rate exceeds limit",
IF('Soil results'!F146&lt;=5.5,
  IF(BG143&gt;50,"no application - soil conc. already above limit",
  IF(BH143&gt;50,"application rate too high - soil conc. will exceed limit",
  IF(BG143&gt;50*0.9,"soil conc. is at or above 90% of the limit",
  IF(10*BF143*1000/3000+BG143&gt;50,"soil limit likely to be exceeded in 10yrs",
  IF(50*BF143*1000/3000+BG143&gt;50,"soil limit likely to be exceeded in 50yrs","ok"))))),
IF('Soil results'!F146&lt;=6,
  IF(BG143&gt;60,"no application - soil conc. already above limit",
  IF(BH143&gt;60,"application rate too high - soil conc. will exceed limit",
  IF(BG143&gt;60*0.9,"soil conc. is at or above 90% of the limit",
  IF(10*BF143*1000/3000+BG143&gt;60,"soil limit likely to be exceeded in 10yrs",
  IF(50*BF143*1000/3000+BG143&gt;60,"soil limit likely to be exceeded in 50yrs","ok"))))),
IF('Soil results'!F146&lt;=7,
  IF(BG143&gt;75,"no application - soil conc. already above limit",
  IF(BH143&gt;75,"application rate too high - soil conc. will exceed limit",
  IF(BG143&gt;75*0.9,"soil conc. is at or above 90% of the limit",
  IF(10*BF143*1000/3000+BG143&gt;75,"soil limit likely to be exceeded in 10yrs",
  IF(50*BF143*1000/3000+BG143&gt;75,"soil limit likely to be exceeded in 50yrs","ok"))))),
IF('Soil results'!F146&gt;7,
  IF(BG143&gt;100,"no application - soil conc. already above limit",
  IF(BH143&gt;100,"application rate too high - soil conc. will exceed limit",
  IF(BG143&gt;100*0.9,"soil conc. is at or above 90% of the limit",
  IF(10*BF143*1000/3000+BG143&gt;100,"soil limit likely to be exceeded in 10yrs",
  IF(50*BF143*1000/3000+BG143&gt;100,"soil limit likely to beexceeded in 50yrs","ok")))))
))))))))</f>
        <v/>
      </c>
      <c r="BJ143" s="9"/>
      <c r="BK143" s="240" t="str">
        <f ca="1">IF(B143="","",
IF(AND('Field information 2'!$O$5="", 'Field information 2'!$Q$5=""),
   IF('Waste results'!$S$30&lt;&gt;"data missing", Calc!BC141*'Waste results'!$S$30, "data missing"),
IF('Field information 2'!$Q$5="",
   IF(Calc!BD141=0,
     IF('Waste results'!$S$30&lt;&gt;"data missing", Calc!BC141*'Waste results'!$S$30, "data missing"),
   IF(Calc!BC141=0,
     IF('Waste results'!$S$66&lt;&gt;"data missing", Calc!BD141*'Waste results'!$S$66, "data missing"),
   IF(OR('Waste results'!$S$30&lt;&gt;"data missing", 'Waste results'!$S$66&lt;&gt;"data missing"), Calc!BC141*'Waste results'!$S$30+ Calc!BD141*'Waste results'!$S$66, "data missing"))),
IF(AND('Field information 2'!$M$5&lt;&gt;"", 'Field information 2'!$O$5&lt;&gt;"", 'Field information 2'!$Q$5&lt;&gt;""),
   IF(AND(Calc!BD141=0,Calc!BE141=0),
     IF('Waste results'!$S$30&lt;&gt;"data missing", Calc!BC141*'Waste results'!$S$30, "data missing"),
   IF(AND(Calc!BC141=0,Calc!BE141=0),
     IF('Waste results'!$S$66&lt;&gt;"data missing", Calc!BD141*'Waste results'!$S$66, "data missing"),
   IF(AND(Calc!BC141=0,Calc!BD141=0),
     IF('Waste results'!$S$102&lt;&gt;"data missing", Calc!BE141*'Waste results'!$S$102, "data missing"),
   IF(Calc!BE141=0,
     IF(OR('Waste results'!$S$30&lt;&gt;"data missing", 'Waste results'!$S$66&lt;&gt;"data missing"), Calc!BC141*'Waste results'!$S$30+ Calc!BD141*'Waste results'!$S$66, "data missing"),
   IF(Calc!BD141=0,
     IF(OR('Waste results'!$S$30&lt;&gt;"data missing", 'Waste results'!$S$102&lt;&gt;"data missing"), Calc!BC141*'Waste results'!$S$30+ Calc!BE141*'Waste results'!$S$102, "data missing"),
   IF(Calc!BC141=0,
     IF(OR('Waste results'!$S$66&lt;&gt;"data missing", 'Waste results'!$S$102&lt;&gt;"data missing"), Calc!BD141*'Waste results'!$S$66+Calc!BE141*'Waste results'!$S$102, "data missing"),
   IF(OR('Waste results'!$S$30&lt;&gt;"data missing", 'Waste results'!$S$66&lt;&gt;"data missing", 'Waste results'!$S$102&lt;&gt;"data missing"), Calc!BC141*'Waste results'!$S$30+Calc!BD141*'Waste results'!$S$66+ Calc!BE141*'Waste results'!$S$102, "data missing")))))))))))</f>
        <v/>
      </c>
      <c r="BL143" s="241" t="str">
        <f ca="1">IF($B143="","",
IF(ISBLANK('Soil results'!P146),"data missing",'Soil results'!P146))</f>
        <v/>
      </c>
      <c r="BM143" s="241" t="str">
        <f t="shared" ca="1" si="48"/>
        <v/>
      </c>
      <c r="BN143" s="66" t="str">
        <f t="shared" ca="1" si="49"/>
        <v/>
      </c>
      <c r="BO143" s="9"/>
      <c r="BP143" s="238" t="str">
        <f ca="1">IF(B143="","",
IF(AND('Field information 2'!$O$5="", 'Field information 2'!$Q$5=""),
   IF('Waste results'!$S$31&lt;&gt;"data missing", Calc!BC141*'Waste results'!$S$31, "data missing"),
IF('Field information 2'!$Q$5="",
   IF(Calc!BD141=0,
     IF('Waste results'!$S$31&lt;&gt;"data missing", Calc!BC141*'Waste results'!$S$31, "data missing"),
   IF(Calc!BC141=0,
     IF('Waste results'!$S$67&lt;&gt;"data missing", Calc!BD141*'Waste results'!$S$67, "data missing"),
   IF(OR('Waste results'!$S$31&lt;&gt;"data missing", 'Waste results'!$S$67&lt;&gt;"data missing"), Calc!BC141*'Waste results'!$S$31+ Calc!BD141*'Waste results'!$S$67, "data missing"))),
IF(AND('Field information 2'!$M$5&lt;&gt;"", 'Field information 2'!$O$5&lt;&gt;"", 'Field information 2'!$Q$5&lt;&gt;""),
   IF(AND(Calc!BD141=0,Calc!BE141=0),
     IF('Waste results'!$S$31&lt;&gt;"data missing", Calc!BC141*'Waste results'!$S$31, "data missing"),
   IF(AND(Calc!BC141=0,Calc!BE141=0),
     IF('Waste results'!$S$67&lt;&gt;"data missing", Calc!BD141*'Waste results'!$S$67, "data missing"),
   IF(AND(Calc!BC141=0,Calc!BD141=0),
     IF('Waste results'!$S$103&lt;&gt;"data missing", Calc!BE141*'Waste results'!$S$103, "data missing"),
   IF(Calc!BE141=0,
     IF(OR('Waste results'!$S$31&lt;&gt;"data missing", 'Waste results'!$S$67&lt;&gt;"data missing"), Calc!BC141*'Waste results'!$S$31+ Calc!BD141*'Waste results'!$S$67, "data missing"),
   IF(Calc!BD141=0,
     IF(OR('Waste results'!$S$31&lt;&gt;"data missing", 'Waste results'!$S$103&lt;&gt;"data missing"), Calc!BC141*'Waste results'!$S$31+ Calc!BE141*'Waste results'!$S$103, "data missing"),
   IF(Calc!BC141=0,
     IF(OR('Waste results'!$S$67&lt;&gt;"data missing", 'Waste results'!$S$103&lt;&gt;"data missing"), Calc!BD141*'Waste results'!$S$67+Calc!BE141*'Waste results'!$S$103, "data missing"),
   IF(OR('Waste results'!$S$31&lt;&gt;"data missing", 'Waste results'!$S$67&lt;&gt;"data missing", 'Waste results'!$S$103&lt;&gt;"data missing"), Calc!BC141*'Waste results'!$S$31+Calc!BD141*'Waste results'!$S$67+ Calc!BE141*'Waste results'!$S$103, "data missing")))))))))))</f>
        <v/>
      </c>
      <c r="BQ143" s="239" t="str">
        <f ca="1">IF($B143="","",
IF(ISBLANK('Soil results'!Q146),"data missing",'Soil results'!Q146))</f>
        <v/>
      </c>
      <c r="BR143" s="239" t="str">
        <f t="shared" ca="1" si="50"/>
        <v/>
      </c>
      <c r="BS143" s="9" t="str">
        <f ca="1">IF(B143="","",
IF(BP143=0,"n/a",
IF(OR(BP143="data missing",BQ143=""),"data missing",
IF(BP143&gt;15,"application rate too high - permissible rate exceeds limit",
IF('Soil results'!F146&lt;=5.5,
  IF(BQ143&gt;200,"no application - soil conc. already above limit",
  IF(BR143&gt;200,"application rate too high - soil conc. will exceed limit",
  IF(BQ143&gt;200*0.9,"soil conc. is at or above 90% of the limit",
  IF(10*BP143*1000/3000+BQ143&gt;200,"soil limit likely to be exceeded in 10yrs",
  IF(50*BP143*1000/3000+BQ143&gt;200,"soil limit likely to be exceeded in 50yrs","ok"))))),
IF('Soil results'!F146&lt;=6,
  IF(BQ143&gt;250,"no application - soil conc. already above limit",
  IF(BR143&gt;250,"application rate too high - soil conc. will exceed limit",
  IF(BQ143&gt;250*0.9,"soil conc. is at or above 90% of the limit",
  IF(10*BP143*1000/3000+BQ143&gt;250,"soil limit likely to be exceeded in 10yrs",
  IF(50*BP143*1000/3000+BQ143&gt;250,"soil limit likely to be exceeded in 50yrs","ok"))))),
IF('Soil results'!F146&lt;=7,
  IF(BQ143&gt;300,"no application - soil conc. already above limit",
  IF(BR143&gt;300,"application rate too high - soil conc. will exceed limit",
  IF(BQ143&gt;300*0.9,"soil conc. is at or above 90% of the limit",
  IF(10*BP143*1000/3000+BQ143&gt;300,"soil limit likey to be exceeded in 10yrs",
  IF(50*BP143*1000/3000+BQ143&gt;300,"soil limit likely to be exceeded in 50yrs","ok"))))),
IF('Soil results'!F146&gt;7,
  IF(BQ143&gt;450,"no application - soil conc. already above limit",
  IF(BR143&gt;450,"application rate too high - soil conc. will exceed limit",
  IF(AW143&gt;450*0.9,"soil conc. is at or above 90% of the limit",
  IF(10*BP143*1000/3000+BQ143&gt;450,"soil limit likely to be exceeded in 10yrs",
  IF(50*BP143*1000/3000+BQ143&gt;450,"soil limit likely to be exceeded in 50yrs","ok")))))
))))))))</f>
        <v/>
      </c>
    </row>
    <row r="144" spans="2:71" ht="15" x14ac:dyDescent="0.25">
      <c r="B144" s="236" t="str">
        <f ca="1">'Soil results'!B147</f>
        <v/>
      </c>
      <c r="C144" s="91" t="str">
        <f ca="1">IF(B144="","",
IF(AND('Field information 2'!$O$5="", 'Field information 2'!$Q$5=""),
   IF('Waste results'!$S$12&lt;&gt;"data missing", Calc!BC142*'Waste results'!$S$12, "data missing"),
IF('Field information 2'!$Q$5="",
   IF(Calc!BD142=0,
     IF('Waste results'!$S$12&lt;&gt;"data missing", Calc!BC142*'Waste results'!$S$12, "data missing"),
   IF(Calc!BC142=0,
     IF('Waste results'!$S$48&lt;&gt;"data missing", Calc!BD142*'Waste results'!$S$48, "data missing"),
   IF(OR('Waste results'!$S$12&lt;&gt;"data missing", 'Waste results'!$S$48&lt;&gt;"data missing"), Calc!BC142*'Waste results'!$S$12+ Calc!BD142*'Waste results'!$S$48, "data missing"))),
IF(AND('Field information 2'!$M$5&lt;&gt;"", 'Field information 2'!$O$5&lt;&gt;"", 'Field information 2'!$Q$5&lt;&gt;""),
   IF(AND(Calc!BD142=0,Calc!BE142=0),
     IF('Waste results'!$S$12&lt;&gt;"data missing", Calc!BC142*'Waste results'!$S$12, "data missing"),
   IF(AND(Calc!BC142=0,Calc!BE142=0),
     IF('Waste results'!$S$48&lt;&gt;"data missing", Calc!BD142*'Waste results'!$S$48, "data missing"),
   IF(AND(Calc!BC142=0,Calc!BD142=0),
     IF('Waste results'!$S$84&lt;&gt;"data missing", Calc!BE142*'Waste results'!$S$84, "data missing"),
   IF(Calc!BE142=0,
     IF(OR('Waste results'!$S$12&lt;&gt;"data missing", 'Waste results'!$S$48&lt;&gt;"data missing"), Calc!BC142*'Waste results'!$S$12+ Calc!BD142*'Waste results'!$S$48, "data missing"),
   IF(Calc!BD142=0,
     IF(OR('Waste results'!$S$12&lt;&gt;"data missing", 'Waste results'!$S$84&lt;&gt;"data missing"), Calc!BC142*'Waste results'!$S$12+ Calc!BE142*'Waste results'!$S$84, "data missing"),
   IF(Calc!BC142=0,
     IF(OR('Waste results'!$S$48&lt;&gt;"data missing", 'Waste results'!$S$84&lt;&gt;"data missing"), Calc!BD142*'Waste results'!$S$48+Calc!BE142*'Waste results'!$S$84, "data missing"),
   IF(OR('Waste results'!$S$12&lt;&gt;"data missing", 'Waste results'!$S$48&lt;&gt;"data missing", 'Waste results'!$S$84&lt;&gt;"data missing"), Calc!BC142*'Waste results'!$S$12+Calc!BD142*'Waste results'!$S$48+ Calc!BE142*'Waste results'!$S$84, "data missing")))))))))))</f>
        <v/>
      </c>
      <c r="D144" s="161" t="str">
        <f ca="1">IF(B144="","",
IF(Calc!BG142="","soil texture missing",
IF(OR(Calc!BG142="SL; SZL; ZL",Calc!BG142="SCL; CL; ZCL; SC; ZC; C"),VLOOKUP(Calc!BI142,'Fertiliser recommendations'!$A$4:$C$63,3,FALSE),
IF(Calc!BG142="S; LS",VLOOKUP(Calc!BI142,'Fertiliser recommendations'!$A$4:$C$63,3,FALSE)+VLOOKUP(Calc!BI142,'Fertiliser recommendations'!$A$4:$D$63,4,FALSE),
IF(Calc!BG142="10-25% OM",VLOOKUP(Calc!BI142,'Fertiliser recommendations'!$A$4:$C$63,3,FALSE)+VLOOKUP(Calc!BI142,'Fertiliser recommendations'!$A$4:$E$63,5,FALSE),
IF(Calc!BG142="&gt;25% OM",VLOOKUP(Calc!BI142,'Fertiliser recommendations'!$A$4:$C$63,3,FALSE)+VLOOKUP(Calc!BI142,'Fertiliser recommendations'!$A$4:$F$63,6,FALSE),
""))))))</f>
        <v/>
      </c>
      <c r="E144" s="91" t="str">
        <f t="shared" ca="1" si="34"/>
        <v/>
      </c>
      <c r="F144" s="9" t="str">
        <f ca="1">IF(B144="","",
IF(OR(C144="data missing",D144="soil texture missing"),"data missing",
IF(Calc!BF142=0,"n/a",
IF(C144&lt;0.1*D144,"no benefit",
IF(C144&lt;0.3*D144,"limited benefit",
IF(C144&gt;250,"exceeds limit",
IF(OR(AND(D144=0,C144&gt;75),C144&gt;1.25*D144),"excessive",
IF(D144=0, "no requirement",
"benefit"))))))))</f>
        <v/>
      </c>
      <c r="G144" s="9"/>
      <c r="H144" s="91" t="str">
        <f ca="1">IF(B144="","",
IF(AND('Field information 2'!$O$5="", 'Field information 2'!$Q$5=""),
   IF('Waste results'!$S$17&lt;&gt;"data missing", Calc!BC142*'Waste results'!$S$17, "data missing"),
IF('Field information 2'!$Q$5="",
   IF(Calc!BD142=0,
     IF('Waste results'!$S$17&lt;&gt;"data missing", Calc!BC142*'Waste results'!$S$17, "data missing"),
   IF(Calc!BC142=0,
     IF('Waste results'!$S$53&lt;&gt;"data missing", Calc!BD142*'Waste results'!$S$53, "data missing"),
   IF(OR('Waste results'!$S$17&lt;&gt;"data missing", 'Waste results'!$S$53&lt;&gt;"data missing"), Calc!BC142*'Waste results'!$S$17+ Calc!BD142*'Waste results'!$S$53, "data missing"))),
IF(AND('Field information 2'!$M$5&lt;&gt;"", 'Field information 2'!$O$5&lt;&gt;"", 'Field information 2'!$Q$5&lt;&gt;""),
   IF(AND(Calc!BD142=0,Calc!BE142=0),
     IF('Waste results'!$S$17&lt;&gt;"data missing", Calc!BC142*'Waste results'!$S$17, "data missing"),
   IF(AND(Calc!BC142=0,Calc!BE142=0),
     IF('Waste results'!$S$53&lt;&gt;"data missing", Calc!BD142*'Waste results'!$S$53, "data missing"),
   IF(AND(Calc!BC142=0,Calc!BD142=0),
     IF('Waste results'!$S$89&lt;&gt;"data missing", Calc!BE142*'Waste results'!$S$89, "data missing"),
   IF(Calc!BE142=0,
     IF(OR('Waste results'!$S$17&lt;&gt;"data missing", 'Waste results'!$S$53&lt;&gt;"data missing"), Calc!BC142*'Waste results'!$S$17+ Calc!BD142*'Waste results'!$S$53, "data missing"),
   IF(Calc!BD142=0,
     IF(OR('Waste results'!$S$17&lt;&gt;"data missing", 'Waste results'!$S$89&lt;&gt;"data missing"), Calc!BC142*'Waste results'!$S$17+ Calc!BE142*'Waste results'!$S$89, "data missing"),
   IF(Calc!BC142=0,
     IF(OR('Waste results'!$S$53&lt;&gt;"data missing", 'Waste results'!$S$89&lt;&gt;"data missing"), Calc!BD142*'Waste results'!$S$53+Calc!BE142*'Waste results'!$S$89, "data missing"),
   IF(OR('Waste results'!$S$17&lt;&gt;"data missing", 'Waste results'!$S$53&lt;&gt;"data missing", 'Waste results'!$S$89&lt;&gt;"data missing"), Calc!BC142*'Waste results'!$S$17+Calc!BD142*'Waste results'!$S$53+ Calc!BE142*'Waste results'!$S$89, "data missing")))))))))))</f>
        <v/>
      </c>
      <c r="I144" s="195" t="str">
        <f ca="1">IF(B144="","",
IF(OR(ISBLANK('Soil results'!G147), ISBLANK('Soil results'!G$7)),"data missing",
IF(OR(AND('Soil results'!G$7="Olsen (ADAS)",'Soil results'!G147&lt;16),AND('Soil results'!G$7="modified Morgan (SAC)",'Soil results'!G147&lt;4.5)),50,100)))</f>
        <v/>
      </c>
      <c r="J144" s="49" t="str">
        <f ca="1">IF(B144="","",
IF(OR(ISBLANK('Soil results'!G$7),ISBLANK('Soil results'!G147)),"data missing",
IF(OR(AND('Soil results'!G$7="Olsen (ADAS)",'Soil results'!G147&gt;45),AND('Soil results'!G$7="modified Morgan (SAC)",'Soil results'!G147&gt;30)),0,
IF(OR(AND('Soil results'!G$7="Olsen (ADAS)",'Soil results'!G147&gt;=16,'Soil results'!G147&lt;=20),AND('Soil results'!G$7="modified Morgan (SAC)",'Soil results'!G147&gt;=4.5,'Soil results'!G147&lt;=9.4)),VLOOKUP(Calc!BI142,'Fertiliser recommendations'!$A$4:$I$63,9,FALSE),
IF(OR(AND('Soil results'!G$7="Olsen (ADAS)",'Soil results'!G147&lt;10),AND('Soil results'!G$7="modified Morgan (SAC)",'Soil results'!G147&lt;1.8)),VLOOKUP(Calc!BI142,'Fertiliser recommendations'!$A$4:$I$63,9,FALSE)+VLOOKUP(Calc!BI142,'Fertiliser recommendations'!$A$4:$J$63,10,FALSE),
IF(OR(AND('Soil results'!G$7="Olsen (ADAS)",'Soil results'!G147&lt;16),AND('Soil results'!G$7="modified Morgan (SAC)",'Soil results'!G147&lt;4.5)),VLOOKUP(Calc!BI142,'Fertiliser recommendations'!$A$4:$I$63,9,FALSE)+VLOOKUP(Calc!BI142,'Fertiliser recommendations'!$A$4:$K$63,11,FALSE),
IF(OR(AND('Soil results'!G$7="Olsen (ADAS)",'Soil results'!G147&lt;26),AND('Soil results'!G$7="modified Morgan (SAC)",'Soil results'!G147&lt;13.5)),VLOOKUP(Calc!BI142,'Fertiliser recommendations'!$A$4:$I$63,9,FALSE)+VLOOKUP(Calc!BI142,'Fertiliser recommendations'!$A$4:$L$63,12,FALSE),
IF(OR(AND('Soil results'!G$7="Olsen (ADAS)",'Soil results'!G147&lt;=45),AND('Soil results'!G$7="modified Morgan (SAC)",'Soil results'!G147&lt;=30)),VLOOKUP(Calc!BI142,'Fertiliser recommendations'!$A$4:$I$63,9,FALSE)+VLOOKUP(Calc!BI142,'Fertiliser recommendations'!$A$4:$M$63,13,FALSE),
""))))))))</f>
        <v/>
      </c>
      <c r="K144" s="161" t="str">
        <f t="shared" ca="1" si="35"/>
        <v/>
      </c>
      <c r="L144" s="47" t="str">
        <f ca="1">IF(OR(ISBLANK('Soil results'!G$7),ISBLANK('Soil results'!G147),B144="", H144="data missing"),"",
IF('Soil results'!G$7="Olsen (ADAS)",
IF(((H144*Calc!BM142/2.291-(VLOOKUP(Calc!BI142,'Fertiliser recommendations'!$A$4:$I$63,9,FALSE))/2.291)*10/(400/2.291)+'Soil results'!G147)&lt;10,"0 (VL)",
IF(((H144*Calc!BM142/2.291-(VLOOKUP(Calc!BI142,'Fertiliser recommendations'!$A$4:$I$63,9,FALSE))/2.291)*10/(400/2.291)+'Soil results'!G147)&lt;16,"1 (L)",
IF(((H144*Calc!BM142/2.291-(VLOOKUP(Calc!BI142,'Fertiliser recommendations'!$A$4:$I$63,9,FALSE))/2.291)*10/(400/2.291)+'Soil results'!G147)&lt;21,"2 (M-)",
IF(((H144*Calc!BM142/2.291-(VLOOKUP(Calc!BI142,'Fertiliser recommendations'!$A$4:$I$63,9,FALSE))/2.291)*10/(400/2.291)+'Soil results'!G147)&lt;26,"2 (M+)",
IF(((H144*Calc!BM142/2.291-(VLOOKUP(Calc!BI142,'Fertiliser recommendations'!$A$4:$I$63,9,FALSE))/2.291)*10/(400/2.291)+'Soil results'!G147)&lt;45,"3 (H)","&gt;3 (VH)"))))),
IF('Soil results'!G$7="modified Morgan (SAC)",
IF('Soil results'!G147&gt;=6,
IF(((H144*Calc!BM142/2.291-(VLOOKUP(Calc!BI142,'Fertiliser recommendations'!$A$4:$I$63,9,FALSE))/2.291)*5/(147/2.291)+'Soil results'!G147)&lt;9.5,"2 (M-)",
IF(((H144*Calc!BM142/2.291-(VLOOKUP(Calc!BI142,'Fertiliser recommendations'!$A$4:$I$63,9,FALSE))/2.291)*5/(147/2.291)+'Soil results'!G147)&lt;13.5,"2 (M+)",
IF(((H144*Calc!BM142/2.291-(VLOOKUP(Calc!BI142,'Fertiliser recommendations'!$A$4:$I$63,9,FALSE))/2.291)*5/(147/2.291)+'Soil results'!G147)&lt;30,"3 (H)","4 (VH)"))),
IF(((H144*Calc!BM142/2.291-(VLOOKUP(Calc!BI142,'Fertiliser recommendations'!$A$4:$I$63,9,FALSE))/2.291)*5/(346/2.291)+'Soil results'!G147)&lt;1.8,"0 (VL)",
IF(((H144*Calc!BM142/2.291-(VLOOKUP(Calc!BI142,'Fertiliser recommendations'!$A$4:$I$63,9,FALSE))/2.291)*5/(147/2.291)+'Soil results'!G147)&lt;4.5,"1 (L)","2 (M-)"))))))</f>
        <v/>
      </c>
      <c r="M144" s="9" t="str">
        <f ca="1">IF(B144="","",
IF(OR(H144="data missing",I144="data missing",J144="data missing"),"data missing",
IF(Calc!BF142=0,"n/a",
IF(OR(AND('Soil results'!G$7="Olsen (ADAS)",'Soil results'!G147&gt;45),AND('Soil results'!G$7="modified Morgan (SAC)",'Soil results'!G147&gt;30)),
IF(H144&gt;2,"too high, not acceptable","no requirement"),IF(OR(AND('Soil results'!G$7="Olsen (ADAS)",'Soil results'!G147&gt;25),AND('Soil results'!G$7="modified Morgan (SAC)",'Soil results'!G147&gt;13.4)),
IF(H144*(I144/100)&lt;0.1*J144,"no benefit",
IF(H144*(I144/100)&lt;0.3*J144,"limited benefit",
IF(H144*(I144/100)&lt;1.1*J144,"benefit",
IF(H144*(I144/100)&lt;0.7*VLOOKUP(Calc!BI142,'Fertiliser recommendations'!$A$4:$I$63,9,FALSE),"excessive","too high, not acceptable")))),
IF(OR(AND('Soil results'!G$7="Olsen (ADAS)",'Soil results'!G147&gt;20),AND('Soil results'!G$7="modified Morgan (SAC)",'Soil results'!G147&gt;9.4)),
IF(H144*Calc!BM142*(I144/100)&lt;0.1*J144,"no benefit",
IF(H144*Calc!BM142*(I144/100)&lt;0.3*J144,"limited benefit",
IF(H144*Calc!BM142*(I144/100)&lt;1.1*J144,"benefit",
IF(L144="3 (H)","too high, not acceptable","excessive")))),
IF(OR(AND('Soil results'!G$7="Olsen (ADAS)",'Soil results'!G147&gt;15),AND('Soil results'!G$7="modified Morgan (SAC)",'Soil results'!G147&gt;4.4)),
IF(H144*Calc!BM142*(I144/100)&lt;0.1*VLOOKUP(Calc!BI142,'Fertiliser recommendations'!$A$4:$I$63,9,FALSE),"no benefit",
IF(H144*Calc!BM142*(I144/100)&lt;0.3*VLOOKUP(Calc!BI142,'Fertiliser recommendations'!$A$4:$I$63,9,FALSE),"limited benefit",
IF(H144*Calc!BM142*(I144/100)&lt;1.1*VLOOKUP(Calc!BI142,'Fertiliser recommendations'!$A$4:$I$63,9,FALSE),"benefit",
IF(L144="3 (H)", "too high, not acceptable", "excessive")))),
IF(OR(AND('Soil results'!G$7="Olsen (ADAS)",'Soil results'!G147&lt;=15),AND('Soil results'!G$7="modified Morgan (SAC)",'Soil results'!G147&lt;=4.4)),
IF(H144*Calc!BM142*(I144/100)&lt;0.1*VLOOKUP(Calc!BI142,'Fertiliser recommendations'!$A$4:$I$63,9,FALSE),"no benefit",
IF(H144*Calc!BM142*(I144/100)&lt;0.3*VLOOKUP(Calc!BI142,'Fertiliser recommendations'!$A$4:$I$63,9,FALSE),"limited benefit",
IF(H144*Calc!BM142*(I144/100)&lt;1.1*J144,"benefit","excessive")))))))))))</f>
        <v/>
      </c>
      <c r="N144" s="9"/>
      <c r="O144" s="91" t="str">
        <f ca="1">IF(B144="","",
IF(AND('Field information 2'!$O$5="", 'Field information 2'!$Q$5=""),
   IF('Waste results'!$S$19&lt;&gt;"data missing", Calc!BC142*'Waste results'!$S$19, "data missing"),
IF('Field information 2'!$Q$5="",
   IF(Calc!BD142=0,
     IF('Waste results'!$S$19&lt;&gt;"data missing", Calc!BC142*'Waste results'!$S$19, "data missing"),
   IF(Calc!BC142=0,
     IF('Waste results'!$S$55&lt;&gt;"data missing", Calc!BD142*'Waste results'!$S$55, "data missing"),
   IF(OR('Waste results'!$S$19&lt;&gt;"data missing", 'Waste results'!$S$55&lt;&gt;"data missing"), Calc!BC142*'Waste results'!$S$19+ Calc!BD142*'Waste results'!$S$55, "data missing"))),
IF(AND('Field information 2'!$M$5&lt;&gt;"", 'Field information 2'!$O$5&lt;&gt;"", 'Field information 2'!$Q$5&lt;&gt;""),
   IF(AND(Calc!BD142=0,Calc!BE142=0),
     IF('Waste results'!$S$19&lt;&gt;"data missing", Calc!BC142*'Waste results'!$S$19, "data missing"),
   IF(AND(Calc!BC142=0,Calc!BE142=0),
     IF('Waste results'!$S$55&lt;&gt;"data missing", Calc!BD142*'Waste results'!$S$55, "data missing"),
   IF(AND(Calc!BC142=0,Calc!BD142=0),
     IF('Waste results'!$S$91&lt;&gt;"data missing", Calc!BE142*'Waste results'!$S$91, "data missing"),
   IF(Calc!BE142=0,
     IF(OR('Waste results'!$S$19&lt;&gt;"data missing", 'Waste results'!$S$55&lt;&gt;"data missing"), Calc!BC142*'Waste results'!$S$19+ Calc!BD142*'Waste results'!$S$55, "data missing"),
   IF(Calc!BD142=0,
     IF(OR('Waste results'!$S$19&lt;&gt;"data missing", 'Waste results'!$S$91&lt;&gt;"data missing"), Calc!BC142*'Waste results'!$S$19+ Calc!BE142*'Waste results'!$S$91, "data missing"),
   IF(Calc!BC142=0,
     IF(OR('Waste results'!$S$55&lt;&gt;"data missing", 'Waste results'!$S$91&lt;&gt;"data missing"), Calc!BD142*'Waste results'!$S$55+Calc!BE142*'Waste results'!$S$91, "data missing"),
   IF(OR('Waste results'!$S$19&lt;&gt;"data missing", 'Waste results'!$S$55&lt;&gt;"data missing", 'Waste results'!$S$91&lt;&gt;"data missing"), Calc!BC142*'Waste results'!$S$19+Calc!BD142*'Waste results'!$S$55+ Calc!BE142*'Waste results'!$S$91, "data missing")))))))))))</f>
        <v/>
      </c>
      <c r="P144" s="91" t="str">
        <f ca="1">IF(B144="","",
IF(OR(ISBLANK('Soil results'!H$7),ISBLANK('Soil results'!H147)),"data missing",
IF(OR(AND('Soil results'!H$7="ammonium nitrate (ADAS)",'Soil results'!H147&gt;400),AND('Soil results'!H$7="modified Morgan (SAC)",'Soil results'!H147&gt;400)),0,
IF(OR(AND('Soil results'!H$7="ammonium nitrate (ADAS)",'Soil results'!H147&gt;=121,'Soil results'!H147&lt;=180),AND('Soil results'!H$7="modified Morgan (SAC)",'Soil results'!H147&gt;=76,'Soil results'!H147&lt;=140)),VLOOKUP(Calc!BI142,'Fertiliser recommendations'!$A$4:$Z$63,26,FALSE),
IF(OR(AND('Soil results'!H$7="ammonium nitrate (ADAS)",'Soil results'!H147&lt;61),AND('Soil results'!H$7="modified Morgan (SAC)",'Soil results'!H147&lt;40)),VLOOKUP(Calc!BI142,'Fertiliser recommendations'!$A$4:$Z$63,26,FALSE)+VLOOKUP(Calc!BI142,'Fertiliser recommendations'!$A$4:$AA$63,27,FALSE),
IF(OR(AND('Soil results'!H$7="ammonium nitrate (ADAS)",'Soil results'!H147&lt;121),AND('Soil results'!H$7="modified Morgan (SAC)",'Soil results'!H147&lt;76)),VLOOKUP(Calc!BI142,'Fertiliser recommendations'!$A$4:$Z$63,26,FALSE)+VLOOKUP(Calc!BI142,'Fertiliser recommendations'!$A$4:$AB$63,28,FALSE),
IF(OR(AND('Soil results'!H$7="ammonium nitrate (ADAS)",'Soil results'!H147&lt;241),AND('Soil results'!H$7="modified Morgan (SAC)",'Soil results'!H147&lt;201)),VLOOKUP(Calc!BI142,'Fertiliser recommendations'!$A$4:$Z$63,26,FALSE)+VLOOKUP(Calc!BI142,'Fertiliser recommendations'!$A$4:$AC$63,29,FALSE),
IF(OR(AND('Soil results'!H$7="ammonium nitrate (ADAS)",'Soil results'!H147&lt;=400),AND('Soil results'!H$7="modified Morgan (SAC)",'Soil results'!H147&lt;=400)),VLOOKUP(Calc!BI142,'Fertiliser recommendations'!$A$4:$Z$63,26,FALSE)+VLOOKUP(Calc!BI142,'Fertiliser recommendations'!$A$4:$AD$63,30,FALSE),
"??"))))))))</f>
        <v/>
      </c>
      <c r="Q144" s="91" t="str">
        <f t="shared" ca="1" si="36"/>
        <v/>
      </c>
      <c r="R144" s="9" t="str">
        <f ca="1">IF(B144="","",
IF(OR(O144="data missing",P144="data missing"),"data missing",
IF(Calc!BF142=0,"n/a",
IF(P144=0, "no requirement",
IF(O144&lt;0.1*P144,"no benefit",
IF(O144&lt;0.3*P144,"limited benefit",
IF(O144&gt;1.25*P144,"excessive",
"benefit")))))))</f>
        <v/>
      </c>
      <c r="S144" s="9"/>
      <c r="T144" s="91" t="str">
        <f ca="1">IF(B144="","",
IF(AND('Field information 2'!$O$5="", 'Field information 2'!$Q$5=""),
   IF('Waste results'!$S$21&lt;&gt;"data missing", Calc!BC142*'Waste results'!$S$21, "data missing"),
IF('Field information 2'!$Q$5="",
   IF(Calc!BD142=0,
     IF('Waste results'!$S$21&lt;&gt;"data missing", Calc!BC142*'Waste results'!$S$21, "data missing"),
   IF(Calc!BC142=0,
     IF('Waste results'!$S$57&lt;&gt;"data missing", Calc!BD142*'Waste results'!$S$57, "data missing"),
   IF(OR('Waste results'!$S$21&lt;&gt;"data missing", 'Waste results'!$S$57&lt;&gt;"data missing"), Calc!BC142*'Waste results'!$S$21+ Calc!BD142*'Waste results'!$S$57, "data missing"))),
IF(AND('Field information 2'!$M$5&lt;&gt;"", 'Field information 2'!$O$5&lt;&gt;"", 'Field information 2'!$Q$5&lt;&gt;""),
   IF(AND(Calc!BD142=0,Calc!BE142=0),
     IF('Waste results'!$S$21&lt;&gt;"data missing", Calc!BC142*'Waste results'!$S$21, "data missing"),
   IF(AND(Calc!BC142=0,Calc!BE142=0),
     IF('Waste results'!$S$57&lt;&gt;"data missing", Calc!BD142*'Waste results'!$S$57, "data missing"),
   IF(AND(Calc!BC142=0,Calc!BD142=0),
     IF('Waste results'!$S$93&lt;&gt;"data missing", Calc!BE142*'Waste results'!$S$93, "data missing"),
   IF(Calc!BE142=0,
     IF(OR('Waste results'!$S$21&lt;&gt;"data missing", 'Waste results'!$S$57&lt;&gt;"data missing"), Calc!BC142*'Waste results'!$S$21+ Calc!BD142*'Waste results'!$S$57, "data missing"),
   IF(Calc!BD142=0,
     IF(OR('Waste results'!$S$21&lt;&gt;"data missing", 'Waste results'!$S$93&lt;&gt;"data missing"), Calc!BC142*'Waste results'!$S$21+ Calc!BE142*'Waste results'!$S$93, "data missing"),
   IF(Calc!BC142=0,
     IF(OR('Waste results'!$S$57&lt;&gt;"data missing", 'Waste results'!$S$93&lt;&gt;"data missing"), Calc!BD142*'Waste results'!$S$57+Calc!BE142*'Waste results'!$S$93, "data missing"),
   IF(OR('Waste results'!$S$21&lt;&gt;"data missing", 'Waste results'!$S$57&lt;&gt;"data missing", 'Waste results'!$S$93&lt;&gt;"data missing"), Calc!BC142*'Waste results'!$S$21+Calc!BD142*'Waste results'!$S$57+ Calc!BE142*'Waste results'!$S$93, "data missing")))))))))))</f>
        <v/>
      </c>
      <c r="U144" s="7" t="str">
        <f ca="1">IF(B144="","",
IF(OR(ISBLANK('Soil results'!I$7),ISBLANK('Soil results'!I147)),"data missing",
IF(OR(AND('Soil results'!I$7="ammonium nitrate (ADAS)",'Soil results'!I147&gt;51),AND('Soil results'!I$7="modified Morgan (SAC)",'Soil results'!I147&gt;61)),0,
IF(OR(AND('Soil results'!I$7="ammonium nitrate (ADAS)",'Soil results'!I147&lt;25),AND('Soil results'!I$7="modified Morgan (SAC)",'Soil results'!I147&lt;19)),VLOOKUP(Calc!BI142,'Fertiliser recommendations'!$A$4:$AH$63,34,FALSE),
IF(OR(AND('Soil results'!I$7="ammonium nitrate (ADAS)",'Soil results'!I147&lt;=51),AND('Soil results'!I$7="modified Morgan (SAC)",'Soil results'!I147&lt;=61)),VLOOKUP(Calc!BI142,'Fertiliser recommendations'!$A$4:$AI$63,35,FALSE),
"")))))</f>
        <v/>
      </c>
      <c r="V144" s="91" t="str">
        <f t="shared" ca="1" si="37"/>
        <v/>
      </c>
      <c r="W144" s="9" t="str">
        <f ca="1">IF(B144="","",
IF(OR(T144="data missing",U144="data missing"),"data missing",
IF(Calc!BF142=0,"n/a",
IF(U144=0,"no requirement",
IF(T144&lt;0.1*U144,"no benefit",
IF(T144&lt;0.3*U144,"limited benefit",
IF(OR(T144&gt;1.5*U144,AND(Calc!BJ142="g",T144&gt;100)),"excessive",
"benefit")))))))</f>
        <v/>
      </c>
      <c r="X144" s="9"/>
      <c r="Y144" s="91" t="str">
        <f ca="1">IF(B144="","",
IF(AND('Field information 2'!$O$5="", 'Field information 2'!$Q$5=""),
   IF('Waste results'!$P$23&lt;&gt;"", Calc!BC142*'Waste results'!$P$23, "no data"),
IF('Field information 2'!$Q$5="",
   IF(Calc!BD142=0,
     IF('Waste results'!$P$23&lt;&gt;"", Calc!BC142*'Waste results'!$P$23, "no data"),
   IF(Calc!BC142=0,
     IF('Waste results'!$P$59&lt;&gt;"", Calc!BD142*'Waste results'!$P$59, "no data"),
   IF(OR('Waste results'!$P$23&lt;&gt;"", 'Waste results'!$P$59&lt;&gt;""), Calc!BC142*'Waste results'!$P$23+ Calc!BD142*'Waste results'!$P$59, "no data"))),
IF(AND('Field information 2'!$M$5&lt;&gt;"", 'Field information 2'!$O$5&lt;&gt;"", 'Field information 2'!$Q$5&lt;&gt;""),
   IF(AND(Calc!BD142=0,Calc!BE142=0),
     IF('Waste results'!$P$23&lt;&gt;"", Calc!BC142*'Waste results'!$P$23, "no data"),
   IF(AND(Calc!BC142=0,Calc!BE142=0),
     IF('Waste results'!$P$59&lt;&gt;"", Calc!BD142*'Waste results'!$P$59, "no data"),
   IF(AND(Calc!BC142=0,Calc!BD142=0),
     IF('Waste results'!$P$95&lt;&gt;"", Calc!BE142*'Waste results'!$P$95, "no data"),
   IF(Calc!BE142=0,
     IF(OR('Waste results'!$P$23&lt;&gt;"", 'Waste results'!$P$59&lt;&gt;""), Calc!BC142*'Waste results'!$P$23+ Calc!BD142*'Waste results'!$P$59, "no data"),
   IF(Calc!BD142=0,
     IF(OR('Waste results'!$P$23&lt;&gt;"", 'Waste results'!$P$95&lt;&gt;""), Calc!BC142*'Waste results'!$P$23+ Calc!BE142*'Waste results'!$P$95, "no data"),
   IF(Calc!BC142=0,
     IF(OR('Waste results'!$P$59&lt;&gt;"", 'Waste results'!$P$95&lt;&gt;""), Calc!BD142*'Waste results'!$P$59+Calc!BE142*'Waste results'!$P$95, "no data"),
   IF(OR('Waste results'!$P$23&lt;&gt;"", 'Waste results'!$P$59&lt;&gt;"", 'Waste results'!$P$95&lt;&gt;""), Calc!BC142*'Waste results'!$P$23+Calc!BD142*'Waste results'!$P$59+ Calc!BE142*'Waste results'!$P$95, "no data")))))))))))</f>
        <v/>
      </c>
      <c r="Z144" s="7" t="str">
        <f ca="1">IF(OR(ISBLANK('Soil results'!I$7),ISBLANK('Soil results'!I147),'Soil results'!B147=""),"",
VLOOKUP(Calc!BI142,'Fertiliser recommendations'!$A$4:$AM$63,39,FALSE))</f>
        <v/>
      </c>
      <c r="AA144" s="91" t="str">
        <f t="shared" ca="1" si="38"/>
        <v/>
      </c>
      <c r="AB144" s="9" t="str">
        <f t="shared" ca="1" si="39"/>
        <v/>
      </c>
      <c r="AC144" s="9"/>
      <c r="AD144" s="48" t="str">
        <f>IF(ISBLANK('Soil results'!F147),"",'Soil results'!F147)</f>
        <v/>
      </c>
      <c r="AE144" s="49" t="str">
        <f ca="1">IF(B144="","",
IF(AND(Calc!BJ142="g", VLOOKUP(LEFT($B144,LEN($B144)-2),'Field information 2'!$B$12:$P$111,9,FALSE)&lt;&gt;"yes"),
 IF(Calc!BG142="10-25% OM", 5.9, IF(Calc!BG142="&gt;25% OM", 5.5, 6.2)),
IF(OR(Calc!BJ142="a", VLOOKUP(LEFT($B144,LEN($B144)-2),'Field information 2'!$B$12:$P$111,9,FALSE)="yes"),
 IF(Calc!BG142="10-25% OM", 6.4, IF(Calc!BG142="&gt;25% OM", 6, 6.7)), "")))</f>
        <v/>
      </c>
      <c r="AF144" s="91" t="str">
        <f ca="1">IF(B144="","",
IF('Waste results'!$Q$33="","no (significant) liming properties",
IF('Waste results'!Q$33&gt;100,"no (significant) liming properties",
IF(AD144="","",
IF(AD144&gt;=AE144,0,ROUNDDOWN((AE144-AD144)*Calc!BK142*'Waste results'!$Q$33+0.2,0))))))</f>
        <v/>
      </c>
      <c r="AG144" s="9" t="str">
        <f ca="1">IF(B144="","",
IF(T144=0,"n/a",
IF(AD144="","data missing",
IF(AND(AD144&lt;5,AF144="no (significant) liming properties"),"no waste application - pH too low",
IF(AND(AD144&gt;5.1,AF144="no (significant) liming properties",Calc!BH142&gt;25, LEFT(Calc!BI142,4)="graz"),"ok",
IF(AND(AD144&lt;=5.2,AF144="no (significant) liming properties"),"liming highly recommended",
IF(AF144=0,"no waste application - liming not required",
IF(AF144&lt;Calc!BC142,"application rate too high - exceeds liming requirement",
"ok"))))))))</f>
        <v/>
      </c>
      <c r="AH144" s="9"/>
      <c r="AI144" s="91" t="str">
        <f ca="1">IF(B144="","",
IF(AND('Field information 2'!$O$5="", 'Field information 2'!$Q$5=""),
   IF('Waste results'!$P$10&lt;&gt;"data missing", Calc!BC142*'Waste results'!$P$10, "data missing"),
IF('Field information 2'!$Q$5="",
   IF(Calc!BD142=0,
     IF('Waste results'!$P$10&lt;&gt;"data missing", Calc!BC142*'Waste results'!$P$10, "data missing"),
   IF(Calc!BC142=0,
     IF('Waste results'!$P$45&lt;&gt;"data missing", Calc!BD142*'Waste results'!$P$45, "data missing"),
   IF(OR('Waste results'!$P$10&lt;&gt;"data missing", 'Waste results'!$P$45&lt;&gt;"data missing"), Calc!BC142*'Waste results'!$P$10+ Calc!BD142*'Waste results'!$P$45, "data missing"))),
IF(AND('Field information 2'!$M$5&lt;&gt;"", 'Field information 2'!$O$5&lt;&gt;"", 'Field information 2'!$Q$5&lt;&gt;""),
   IF(AND(Calc!BD142=0,Calc!BE142=0),
     IF('Waste results'!$P$10&lt;&gt;"data missing", Calc!BC142*'Waste results'!$P$10, "data missing"),
   IF(AND(Calc!BC142=0,Calc!BE142=0),
     IF('Waste results'!$P$45&lt;&gt;"data missing", Calc!BD142*'Waste results'!$P$45, "data missing"),
   IF(AND(Calc!BC142=0,Calc!BD142=0),
     IF('Waste results'!$P$82&lt;&gt;"data missing", Calc!BE142*'Waste results'!$P$82, "data missing"),
   IF(Calc!BE142=0,
     IF(OR('Waste results'!$P$10&lt;&gt;"data missing", 'Waste results'!$P$45&lt;&gt;"data missing"), Calc!BC142*'Waste results'!$P$10+ Calc!BD142*'Waste results'!$P$45, "data missing"),
   IF(Calc!BD142=0,
     IF(OR('Waste results'!$P$10&lt;&gt;"data missing", 'Waste results'!$P$82&lt;&gt;"data missing"), Calc!BC142*'Waste results'!$P$10+ Calc!BE142*'Waste results'!$P$82, "data missing"),
   IF(Calc!BC142=0,
     IF(OR('Waste results'!$P$45&lt;&gt;"data missing", 'Waste results'!$P$82&lt;&gt;"data missing"), Calc!BD142*'Waste results'!$P$45+Calc!BE142*'Waste results'!$P$82, "data missing"),
   IF(OR('Waste results'!$P$10&lt;&gt;"data missing", 'Waste results'!$P$45&lt;&gt;"data missing", 'Waste results'!$P$82&lt;&gt;"data missing"), Calc!BC142*'Waste results'!$P$10+Calc!BD142*'Waste results'!$P$45+ Calc!BE142*'Waste results'!$P$82, "data missing")))))))))))</f>
        <v/>
      </c>
      <c r="AJ144" s="237" t="str">
        <f ca="1">IF(B144="","",
IF(AI144="data missing","data missing",
IF(Calc!BF142=0,"n/a",
IF(AND(Calc!BH142&gt;=8,AI144&lt;500),"no benefit",
IF(OR(AND(Calc!BH142&lt;=4,AI144&gt;=500),AND(Calc!BH142&lt;8,AI144&gt;5000)),"benefit",
"limited benefit")))))</f>
        <v/>
      </c>
      <c r="AK144" s="9"/>
      <c r="AL144" s="238" t="str">
        <f ca="1">IF(B144="","",
IF(AND('Field information 2'!$O$5="", 'Field information 2'!$Q$5=""),
   IF('Waste results'!$S$25&lt;&gt;"data missing", Calc!BC142*'Waste results'!$S$25, "data missing"),
IF('Field information 2'!$Q$5="",
   IF(Calc!BD142=0,
     IF('Waste results'!$S$25&lt;&gt;"data missing", Calc!BC142*'Waste results'!$S$25, "data missing"),
   IF(Calc!BC142=0,
     IF('Waste results'!$S$61&lt;&gt;"data missing", Calc!BD142*'Waste results'!$S$61, "data missing"),
   IF(OR('Waste results'!$S$25&lt;&gt;"data missing", 'Waste results'!$S$61&lt;&gt;"data missing"), Calc!BC142*'Waste results'!$S$25+ Calc!BD142*'Waste results'!$S$61, "data missing"))),
IF(AND('Field information 2'!$M$5&lt;&gt;"", 'Field information 2'!$O$5&lt;&gt;"", 'Field information 2'!$Q$5&lt;&gt;""),
   IF(AND(Calc!BD142=0,Calc!BE142=0),
     IF('Waste results'!$S$25&lt;&gt;"data missing", Calc!BC142*'Waste results'!$S$25, "data missing"),
   IF(AND(Calc!BC142=0,Calc!BE142=0),
     IF('Waste results'!$S$61&lt;&gt;"data missing", Calc!BD142*'Waste results'!$S$61, "data missing"),
   IF(AND(Calc!BC142=0,Calc!BD142=0),
     IF('Waste results'!$S$97&lt;&gt;"data missing", Calc!BE142*'Waste results'!$S$97, "data missing"),
   IF(Calc!BE142=0,
     IF(OR('Waste results'!$S$25&lt;&gt;"data missing", 'Waste results'!$S$61&lt;&gt;"data missing"), Calc!BC142*'Waste results'!$S$25+ Calc!BD142*'Waste results'!$S$61, "data missing"),
   IF(Calc!BD142=0,
     IF(OR('Waste results'!$S$25&lt;&gt;"data missing", 'Waste results'!$S$97&lt;&gt;"data missing"), Calc!BC142*'Waste results'!$S$25+ Calc!BE142*'Waste results'!$S$97, "data missing"),
   IF(Calc!BC142=0,
     IF(OR('Waste results'!$S$61&lt;&gt;"data missing", 'Waste results'!$S$97&lt;&gt;"data missing"), Calc!BD142*'Waste results'!$S$61+Calc!BE142*'Waste results'!$S$97, "data missing"),
   IF(OR('Waste results'!$S$25&lt;&gt;"data missing", 'Waste results'!$S$61&lt;&gt;"data missing", 'Waste results'!$S$97&lt;&gt;"data missing"), Calc!BC142*'Waste results'!$S$25+Calc!BD142*'Waste results'!$S$61+ Calc!BE142*'Waste results'!$S$97, "data missing")))))))))))</f>
        <v/>
      </c>
      <c r="AM144" s="239" t="str">
        <f ca="1">IF($B144="","",
IF(ISBLANK('Soil results'!K147),"data missing",'Soil results'!K147))</f>
        <v/>
      </c>
      <c r="AN144" s="239" t="str">
        <f t="shared" ca="1" si="40"/>
        <v/>
      </c>
      <c r="AO144" s="9" t="str">
        <f t="shared" ca="1" si="41"/>
        <v/>
      </c>
      <c r="AP144" s="9"/>
      <c r="AQ144" s="240" t="str">
        <f ca="1">IF(B144="","",
IF(AND('Field information 2'!$O$5="", 'Field information 2'!$Q$5=""),
   IF('Waste results'!$S$26&lt;&gt;"data missing", Calc!BC142*'Waste results'!$S$26, "data missing"),
IF('Field information 2'!$Q$5="",
   IF(Calc!BD142=0,
     IF('Waste results'!$S$26&lt;&gt;"data missing", Calc!BC142*'Waste results'!$S$26, "data missing"),
   IF(Calc!BC142=0,
     IF('Waste results'!$S$62&lt;&gt;"data missing", Calc!BD142*'Waste results'!$S$62, "data missing"),
   IF(OR('Waste results'!$S$26&lt;&gt;"data missing", 'Waste results'!$S$62&lt;&gt;"data missing"), Calc!BC142*'Waste results'!$S$26+ Calc!BD142*'Waste results'!$S$62, "data missing"))),
IF(AND('Field information 2'!$M$5&lt;&gt;"", 'Field information 2'!$O$5&lt;&gt;"", 'Field information 2'!$Q$5&lt;&gt;""),
   IF(AND(Calc!BD142=0,Calc!BE142=0),
     IF('Waste results'!$S$26&lt;&gt;"data missing", Calc!BC142*'Waste results'!$S$26, "data missing"),
   IF(AND(Calc!BC142=0,Calc!BE142=0),
     IF('Waste results'!$S$62&lt;&gt;"data missing", Calc!BD142*'Waste results'!$S$62, "data missing"),
   IF(AND(Calc!BC142=0,Calc!BD142=0),
     IF('Waste results'!$S$98&lt;&gt;"data missing", Calc!BE142*'Waste results'!$S$98, "data missing"),
   IF(Calc!BE142=0,
     IF(OR('Waste results'!$S$26&lt;&gt;"data missing", 'Waste results'!$S$62&lt;&gt;"data missing"), Calc!BC142*'Waste results'!$S$26+ Calc!BD142*'Waste results'!$S$62, "data missing"),
   IF(Calc!BD142=0,
     IF(OR('Waste results'!$S$26&lt;&gt;"data missing", 'Waste results'!$S$98&lt;&gt;"data missing"), Calc!BC142*'Waste results'!$S$26+ Calc!BE142*'Waste results'!$S$98, "data missing"),
   IF(Calc!BC142=0,
     IF(OR('Waste results'!$S$62&lt;&gt;"data missing", 'Waste results'!$S$98&lt;&gt;"data missing"), Calc!BD142*'Waste results'!$S$62+Calc!BE142*'Waste results'!$S$98, "data missing"),
   IF(OR('Waste results'!$S$26&lt;&gt;"data missing", 'Waste results'!$S$62&lt;&gt;"data missing", 'Waste results'!$S$98&lt;&gt;"data missing"), Calc!BC142*'Waste results'!$S$26+Calc!BD142*'Waste results'!$S$62+ Calc!BE142*'Waste results'!$S$98, "data missing")))))))))))</f>
        <v/>
      </c>
      <c r="AR144" s="241" t="str">
        <f ca="1">IF($B144="","",
IF(ISBLANK('Soil results'!L147),"data missing",'Soil results'!L147))</f>
        <v/>
      </c>
      <c r="AS144" s="241" t="str">
        <f t="shared" ca="1" si="42"/>
        <v/>
      </c>
      <c r="AT144" s="66" t="str">
        <f t="shared" ca="1" si="43"/>
        <v/>
      </c>
      <c r="AU144" s="9"/>
      <c r="AV144" s="238" t="str">
        <f ca="1">IF(B144="","",
IF(AND('Field information 2'!$O$5="", 'Field information 2'!$Q$5=""),
   IF('Waste results'!$S$27&lt;&gt;"data missing", Calc!BC142*'Waste results'!$S$27, "data missing"),
IF('Field information 2'!$Q$5="",
   IF(Calc!BD142=0,
     IF('Waste results'!$S$27&lt;&gt;"data missing", Calc!BC142*'Waste results'!$S$27, "data missing"),
   IF(Calc!BC142=0,
     IF('Waste results'!$S$63&lt;&gt;"data missing", Calc!BD142*'Waste results'!$S$63, "data missing"),
   IF(OR('Waste results'!$S$27&lt;&gt;"data missing", 'Waste results'!$S$63&lt;&gt;"data missing"), Calc!BC142*'Waste results'!$S$27+ Calc!BD142*'Waste results'!$S$63, "data missing"))),
IF(AND('Field information 2'!$M$5&lt;&gt;"", 'Field information 2'!$O$5&lt;&gt;"", 'Field information 2'!$Q$5&lt;&gt;""),
   IF(AND(Calc!BD142=0,Calc!BE142=0),
     IF('Waste results'!$S$27&lt;&gt;"data missing", Calc!BC142*'Waste results'!$S$27, "data missing"),
   IF(AND(Calc!BC142=0,Calc!BE142=0),
     IF('Waste results'!$S$63&lt;&gt;"data missing", Calc!BD142*'Waste results'!$S$63, "data missing"),
   IF(AND(Calc!BC142=0,Calc!BD142=0),
     IF('Waste results'!$S$99&lt;&gt;"data missing", Calc!BE142*'Waste results'!$S$99, "data missing"),
   IF(Calc!BE142=0,
     IF(OR('Waste results'!$S$27&lt;&gt;"data missing", 'Waste results'!$S$63&lt;&gt;"data missing"), Calc!BC142*'Waste results'!$S$27+ Calc!BD142*'Waste results'!$S$63, "data missing"),
   IF(Calc!BD142=0,
     IF(OR('Waste results'!$S$27&lt;&gt;"data missing", 'Waste results'!$S$99&lt;&gt;"data missing"), Calc!BC142*'Waste results'!$S$27+ Calc!BE142*'Waste results'!$S$99, "data missing"),
   IF(Calc!BC142=0,
     IF(OR('Waste results'!$S$63&lt;&gt;"data missing", 'Waste results'!$S$99&lt;&gt;"data missing"), Calc!BD142*'Waste results'!$S$63+Calc!BE142*'Waste results'!$S$99, "data missing"),
   IF(OR('Waste results'!$S$27&lt;&gt;"data missing", 'Waste results'!$S$63&lt;&gt;"data missing", 'Waste results'!$S$99&lt;&gt;"data missing"), Calc!BC142*'Waste results'!$S$27+Calc!BD142*'Waste results'!$S$63+ Calc!BE142*'Waste results'!$S$99, "data missing")))))))))))</f>
        <v/>
      </c>
      <c r="AW144" s="239" t="str">
        <f ca="1">IF($B144="","",
IF(ISBLANK('Soil results'!M147),"data missing",'Soil results'!M147))</f>
        <v/>
      </c>
      <c r="AX144" s="239" t="str">
        <f t="shared" ca="1" si="44"/>
        <v/>
      </c>
      <c r="AY144" s="9" t="str">
        <f ca="1">IF(B144="","",
IF(AV144=0,"n/a",
IF(OR(AV144="data missing",AW144="data missing"),"data missing",
IF(AV144&gt;7.5,"application rate too high - permissible rate exceeds limit",
IF('Soil results'!$F147&lt;=5.5,
  IF(AW144&gt;80,"no application - soil conc. already above limit",
  IF(AX144&gt;80,"application rate too high - soil conc. will exceed limit",
  IF(AW144&gt;80*0.9,"soil conc. is at or above 90% of the limit",
  IF(10*AV144*1000/3000+AW144&gt;80,"soil limit likely to be exceeded in 10yrs",
  IF(50*AV144*1000/3000+AW144&gt;80,"soil limit likely to be exceeded in 50yrs","ok"))))),
IF('Soil results'!$F147&lt;=6,
  IF(AW144&gt;100,"no application - soil conc. already above limit",
  IF(AX144&gt;100,"application rate too high - soil conc. will exceed limit",
  IF(AW144&gt;100*0.9,"soil conc. is at or above 90% of the limit",
  IF(10*AV144*1000/3000+AW144&gt;100,"soil limit likely to be exceeded in 10yrs",
  IF(50*AV144*1000/3000+AW144&gt;100,"soil limit likely to be exceeded in 50yrs","ok"))))),
IF('Soil results'!$F147&lt;=7,
  IF(AW144&gt;135,"no application - soil conc. already above limit",
  IF(AX144&gt;135,"application rate too high - soil conc. will exceed limit",
  IF(AW144&gt;135*0.9,"soil conc. is at or above 90% of the limit",
  IF(10*AV144*1000/3000+AW144&gt;135,"soil limit likely to be exceeded in 10yrs",
  IF(50*AV144*1000/3000+AW144&gt;135,"soil limit likely to be exceeded in 50yrs","ok"))))),
IF('Soil results'!$F147&gt;7,
  IF(AW144&gt;200,"no application - soil conc. already above limit",
  IF(AX144&gt;200,"application too high - soil conc. will exceed limit",
  IF(AW144&gt;200*0.9,"soil conc. is at or above 90% of the limit",
  IF(10*AV144*1000/3000+AW144&gt;200,"soil limit likely to be exceeded in 10yrs",
  IF(50*AV144*1000/3000+AW144&gt;200,"soil limit likely to be exceeded in 50yrs","ok")))))
))))))))</f>
        <v/>
      </c>
      <c r="AZ144" s="9"/>
      <c r="BA144" s="238" t="str">
        <f ca="1">IF(B144="","",
IF(AND('Field information 2'!$O$5="", 'Field information 2'!$Q$5=""),
   IF('Waste results'!$S$28&lt;&gt;"data missing", Calc!BC142*'Waste results'!$S$28, "data missing"),
IF('Field information 2'!$Q$5="",
   IF(Calc!BD142=0,
     IF('Waste results'!$S$28&lt;&gt;"data missing", Calc!BC142*'Waste results'!$S$28, "data missing"),
   IF(Calc!BC142=0,
     IF('Waste results'!$S$64&lt;&gt;"data missing", Calc!BD142*'Waste results'!$S$64, "data missing"),
   IF(OR('Waste results'!$S$28&lt;&gt;"data missing", 'Waste results'!$S$64&lt;&gt;"data missing"), Calc!BC142*'Waste results'!$S$28+ Calc!BD142*'Waste results'!$S$64, "data missing"))),
IF(AND('Field information 2'!$M$5&lt;&gt;"", 'Field information 2'!$O$5&lt;&gt;"", 'Field information 2'!$Q$5&lt;&gt;""),
   IF(AND(Calc!BD142=0,Calc!BE142=0),
     IF('Waste results'!$S$28&lt;&gt;"data missing", Calc!BC142*'Waste results'!$S$28, "data missing"),
   IF(AND(Calc!BC142=0,Calc!BE142=0),
     IF('Waste results'!$S$64&lt;&gt;"data missing", Calc!BD142*'Waste results'!$S$64, "data missing"),
   IF(AND(Calc!BC142=0,Calc!BD142=0),
     IF('Waste results'!$S$100&lt;&gt;"data missing", Calc!BE142*'Waste results'!$S$100, "data missing"),
   IF(Calc!BE142=0,
     IF(OR('Waste results'!$S$28&lt;&gt;"data missing", 'Waste results'!$S$64&lt;&gt;"data missing"), Calc!BC142*'Waste results'!$S$28+ Calc!BD142*'Waste results'!$S$64, "data missing"),
   IF(Calc!BD142=0,
     IF(OR('Waste results'!$S$28&lt;&gt;"data missing", 'Waste results'!$S$100&lt;&gt;"data missing"), Calc!BC142*'Waste results'!$S$28+ Calc!BE142*'Waste results'!$S$100, "data missing"),
   IF(Calc!BC142=0,
     IF(OR('Waste results'!$S$64&lt;&gt;"data missing", 'Waste results'!$S$100&lt;&gt;"data missing"), Calc!BD142*'Waste results'!$S$64+Calc!BE142*'Waste results'!$S$100, "data missing"),
   IF(OR('Waste results'!$S$28&lt;&gt;"data missing", 'Waste results'!$S$64&lt;&gt;"data missing", 'Waste results'!$S$100&lt;&gt;"data missing"), Calc!BC142*'Waste results'!$S$28+Calc!BD142*'Waste results'!$S$64+ Calc!BE142*'Waste results'!$S$100, "data missing")))))))))))</f>
        <v/>
      </c>
      <c r="BB144" s="239" t="str">
        <f ca="1">IF($B144="","",
IF(ISBLANK('Soil results'!N147),"data missing",'Soil results'!N147))</f>
        <v/>
      </c>
      <c r="BC144" s="239" t="str">
        <f t="shared" ca="1" si="45"/>
        <v/>
      </c>
      <c r="BD144" s="9" t="str">
        <f t="shared" ca="1" si="46"/>
        <v/>
      </c>
      <c r="BE144" s="9"/>
      <c r="BF144" s="238" t="str">
        <f ca="1">IF(B144="","",
IF(AND('Field information 2'!$O$5="", 'Field information 2'!$Q$5=""),
   IF('Waste results'!$S$29&lt;&gt;"data missing", Calc!BC142*'Waste results'!$S$29, "data missing"),
IF('Field information 2'!$Q$5="",
   IF(Calc!BD142=0,
     IF('Waste results'!$S$29&lt;&gt;"data missing", Calc!BC142*'Waste results'!$S$29, "data missing"),
   IF(Calc!BC142=0,
     IF('Waste results'!$S$65&lt;&gt;"data missing", Calc!BD142*'Waste results'!$S$65, "data missing"),
   IF(OR('Waste results'!$S$29&lt;&gt;"data missing", 'Waste results'!$S$65&lt;&gt;"data missing"), Calc!BC142*'Waste results'!$S$29+ Calc!BD142*'Waste results'!$S$65, "data missing"))),
IF(AND('Field information 2'!$M$5&lt;&gt;"", 'Field information 2'!$O$5&lt;&gt;"", 'Field information 2'!$Q$5&lt;&gt;""),
   IF(AND(Calc!BD142=0,Calc!BE142=0),
     IF('Waste results'!$S$29&lt;&gt;"data missing", Calc!BC142*'Waste results'!$S$29, "data missing"),
   IF(AND(Calc!BC142=0,Calc!BE142=0),
     IF('Waste results'!$S$65&lt;&gt;"data missing", Calc!BD142*'Waste results'!$S$65, "data missing"),
   IF(AND(Calc!BC142=0,Calc!BD142=0),
     IF('Waste results'!$S$101&lt;&gt;"data missing", Calc!BE142*'Waste results'!$S$101, "data missing"),
   IF(Calc!BE142=0,
     IF(OR('Waste results'!$S$29&lt;&gt;"data missing", 'Waste results'!$S$65&lt;&gt;"data missing"), Calc!BC142*'Waste results'!$S$29+ Calc!BD142*'Waste results'!$S$65, "data missing"),
   IF(Calc!BD142=0,
     IF(OR('Waste results'!$S$29&lt;&gt;"data missing", 'Waste results'!$S$101&lt;&gt;"data missing"), Calc!BC142*'Waste results'!$S$29+ Calc!BE142*'Waste results'!$S$101, "data missing"),
   IF(Calc!BC142=0,
     IF(OR('Waste results'!$S$65&lt;&gt;"data missing", 'Waste results'!$S$101&lt;&gt;"data missing"), Calc!BD142*'Waste results'!$S$65+Calc!BE142*'Waste results'!$S$101, "data missing"),
   IF(OR('Waste results'!$S$29&lt;&gt;"data missing", 'Waste results'!$S$65&lt;&gt;"data missing", 'Waste results'!$S$101&lt;&gt;"data missing"), Calc!BC142*'Waste results'!$S$29+Calc!BD142*'Waste results'!$S$65+ Calc!BE142*'Waste results'!$S$101, "data missing")))))))))))</f>
        <v/>
      </c>
      <c r="BG144" s="239" t="str">
        <f ca="1">IF($B144="","",
IF(ISBLANK('Soil results'!O147),"data missing",'Soil results'!O147))</f>
        <v/>
      </c>
      <c r="BH144" s="239" t="str">
        <f t="shared" ca="1" si="47"/>
        <v/>
      </c>
      <c r="BI144" s="9" t="str">
        <f ca="1">IF(B144="","",
IF(BF144=0,"n/a",
IF(OR(BF144="data missing",BG144="data missing"),"data missing",
IF(BF144&gt;3,"application rate too high - permissible rate exceeds limit",
IF('Soil results'!F147&lt;=5.5,
  IF(BG144&gt;50,"no application - soil conc. already above limit",
  IF(BH144&gt;50,"application rate too high - soil conc. will exceed limit",
  IF(BG144&gt;50*0.9,"soil conc. is at or above 90% of the limit",
  IF(10*BF144*1000/3000+BG144&gt;50,"soil limit likely to be exceeded in 10yrs",
  IF(50*BF144*1000/3000+BG144&gt;50,"soil limit likely to be exceeded in 50yrs","ok"))))),
IF('Soil results'!F147&lt;=6,
  IF(BG144&gt;60,"no application - soil conc. already above limit",
  IF(BH144&gt;60,"application rate too high - soil conc. will exceed limit",
  IF(BG144&gt;60*0.9,"soil conc. is at or above 90% of the limit",
  IF(10*BF144*1000/3000+BG144&gt;60,"soil limit likely to be exceeded in 10yrs",
  IF(50*BF144*1000/3000+BG144&gt;60,"soil limit likely to be exceeded in 50yrs","ok"))))),
IF('Soil results'!F147&lt;=7,
  IF(BG144&gt;75,"no application - soil conc. already above limit",
  IF(BH144&gt;75,"application rate too high - soil conc. will exceed limit",
  IF(BG144&gt;75*0.9,"soil conc. is at or above 90% of the limit",
  IF(10*BF144*1000/3000+BG144&gt;75,"soil limit likely to be exceeded in 10yrs",
  IF(50*BF144*1000/3000+BG144&gt;75,"soil limit likely to be exceeded in 50yrs","ok"))))),
IF('Soil results'!F147&gt;7,
  IF(BG144&gt;100,"no application - soil conc. already above limit",
  IF(BH144&gt;100,"application rate too high - soil conc. will exceed limit",
  IF(BG144&gt;100*0.9,"soil conc. is at or above 90% of the limit",
  IF(10*BF144*1000/3000+BG144&gt;100,"soil limit likely to be exceeded in 10yrs",
  IF(50*BF144*1000/3000+BG144&gt;100,"soil limit likely to beexceeded in 50yrs","ok")))))
))))))))</f>
        <v/>
      </c>
      <c r="BJ144" s="9"/>
      <c r="BK144" s="240" t="str">
        <f ca="1">IF(B144="","",
IF(AND('Field information 2'!$O$5="", 'Field information 2'!$Q$5=""),
   IF('Waste results'!$S$30&lt;&gt;"data missing", Calc!BC142*'Waste results'!$S$30, "data missing"),
IF('Field information 2'!$Q$5="",
   IF(Calc!BD142=0,
     IF('Waste results'!$S$30&lt;&gt;"data missing", Calc!BC142*'Waste results'!$S$30, "data missing"),
   IF(Calc!BC142=0,
     IF('Waste results'!$S$66&lt;&gt;"data missing", Calc!BD142*'Waste results'!$S$66, "data missing"),
   IF(OR('Waste results'!$S$30&lt;&gt;"data missing", 'Waste results'!$S$66&lt;&gt;"data missing"), Calc!BC142*'Waste results'!$S$30+ Calc!BD142*'Waste results'!$S$66, "data missing"))),
IF(AND('Field information 2'!$M$5&lt;&gt;"", 'Field information 2'!$O$5&lt;&gt;"", 'Field information 2'!$Q$5&lt;&gt;""),
   IF(AND(Calc!BD142=0,Calc!BE142=0),
     IF('Waste results'!$S$30&lt;&gt;"data missing", Calc!BC142*'Waste results'!$S$30, "data missing"),
   IF(AND(Calc!BC142=0,Calc!BE142=0),
     IF('Waste results'!$S$66&lt;&gt;"data missing", Calc!BD142*'Waste results'!$S$66, "data missing"),
   IF(AND(Calc!BC142=0,Calc!BD142=0),
     IF('Waste results'!$S$102&lt;&gt;"data missing", Calc!BE142*'Waste results'!$S$102, "data missing"),
   IF(Calc!BE142=0,
     IF(OR('Waste results'!$S$30&lt;&gt;"data missing", 'Waste results'!$S$66&lt;&gt;"data missing"), Calc!BC142*'Waste results'!$S$30+ Calc!BD142*'Waste results'!$S$66, "data missing"),
   IF(Calc!BD142=0,
     IF(OR('Waste results'!$S$30&lt;&gt;"data missing", 'Waste results'!$S$102&lt;&gt;"data missing"), Calc!BC142*'Waste results'!$S$30+ Calc!BE142*'Waste results'!$S$102, "data missing"),
   IF(Calc!BC142=0,
     IF(OR('Waste results'!$S$66&lt;&gt;"data missing", 'Waste results'!$S$102&lt;&gt;"data missing"), Calc!BD142*'Waste results'!$S$66+Calc!BE142*'Waste results'!$S$102, "data missing"),
   IF(OR('Waste results'!$S$30&lt;&gt;"data missing", 'Waste results'!$S$66&lt;&gt;"data missing", 'Waste results'!$S$102&lt;&gt;"data missing"), Calc!BC142*'Waste results'!$S$30+Calc!BD142*'Waste results'!$S$66+ Calc!BE142*'Waste results'!$S$102, "data missing")))))))))))</f>
        <v/>
      </c>
      <c r="BL144" s="241" t="str">
        <f ca="1">IF($B144="","",
IF(ISBLANK('Soil results'!P147),"data missing",'Soil results'!P147))</f>
        <v/>
      </c>
      <c r="BM144" s="241" t="str">
        <f t="shared" ca="1" si="48"/>
        <v/>
      </c>
      <c r="BN144" s="66" t="str">
        <f t="shared" ca="1" si="49"/>
        <v/>
      </c>
      <c r="BO144" s="9"/>
      <c r="BP144" s="238" t="str">
        <f ca="1">IF(B144="","",
IF(AND('Field information 2'!$O$5="", 'Field information 2'!$Q$5=""),
   IF('Waste results'!$S$31&lt;&gt;"data missing", Calc!BC142*'Waste results'!$S$31, "data missing"),
IF('Field information 2'!$Q$5="",
   IF(Calc!BD142=0,
     IF('Waste results'!$S$31&lt;&gt;"data missing", Calc!BC142*'Waste results'!$S$31, "data missing"),
   IF(Calc!BC142=0,
     IF('Waste results'!$S$67&lt;&gt;"data missing", Calc!BD142*'Waste results'!$S$67, "data missing"),
   IF(OR('Waste results'!$S$31&lt;&gt;"data missing", 'Waste results'!$S$67&lt;&gt;"data missing"), Calc!BC142*'Waste results'!$S$31+ Calc!BD142*'Waste results'!$S$67, "data missing"))),
IF(AND('Field information 2'!$M$5&lt;&gt;"", 'Field information 2'!$O$5&lt;&gt;"", 'Field information 2'!$Q$5&lt;&gt;""),
   IF(AND(Calc!BD142=0,Calc!BE142=0),
     IF('Waste results'!$S$31&lt;&gt;"data missing", Calc!BC142*'Waste results'!$S$31, "data missing"),
   IF(AND(Calc!BC142=0,Calc!BE142=0),
     IF('Waste results'!$S$67&lt;&gt;"data missing", Calc!BD142*'Waste results'!$S$67, "data missing"),
   IF(AND(Calc!BC142=0,Calc!BD142=0),
     IF('Waste results'!$S$103&lt;&gt;"data missing", Calc!BE142*'Waste results'!$S$103, "data missing"),
   IF(Calc!BE142=0,
     IF(OR('Waste results'!$S$31&lt;&gt;"data missing", 'Waste results'!$S$67&lt;&gt;"data missing"), Calc!BC142*'Waste results'!$S$31+ Calc!BD142*'Waste results'!$S$67, "data missing"),
   IF(Calc!BD142=0,
     IF(OR('Waste results'!$S$31&lt;&gt;"data missing", 'Waste results'!$S$103&lt;&gt;"data missing"), Calc!BC142*'Waste results'!$S$31+ Calc!BE142*'Waste results'!$S$103, "data missing"),
   IF(Calc!BC142=0,
     IF(OR('Waste results'!$S$67&lt;&gt;"data missing", 'Waste results'!$S$103&lt;&gt;"data missing"), Calc!BD142*'Waste results'!$S$67+Calc!BE142*'Waste results'!$S$103, "data missing"),
   IF(OR('Waste results'!$S$31&lt;&gt;"data missing", 'Waste results'!$S$67&lt;&gt;"data missing", 'Waste results'!$S$103&lt;&gt;"data missing"), Calc!BC142*'Waste results'!$S$31+Calc!BD142*'Waste results'!$S$67+ Calc!BE142*'Waste results'!$S$103, "data missing")))))))))))</f>
        <v/>
      </c>
      <c r="BQ144" s="239" t="str">
        <f ca="1">IF($B144="","",
IF(ISBLANK('Soil results'!Q147),"data missing",'Soil results'!Q147))</f>
        <v/>
      </c>
      <c r="BR144" s="239" t="str">
        <f t="shared" ca="1" si="50"/>
        <v/>
      </c>
      <c r="BS144" s="9" t="str">
        <f ca="1">IF(B144="","",
IF(BP144=0,"n/a",
IF(OR(BP144="data missing",BQ144=""),"data missing",
IF(BP144&gt;15,"application rate too high - permissible rate exceeds limit",
IF('Soil results'!F147&lt;=5.5,
  IF(BQ144&gt;200,"no application - soil conc. already above limit",
  IF(BR144&gt;200,"application rate too high - soil conc. will exceed limit",
  IF(BQ144&gt;200*0.9,"soil conc. is at or above 90% of the limit",
  IF(10*BP144*1000/3000+BQ144&gt;200,"soil limit likely to be exceeded in 10yrs",
  IF(50*BP144*1000/3000+BQ144&gt;200,"soil limit likely to be exceeded in 50yrs","ok"))))),
IF('Soil results'!F147&lt;=6,
  IF(BQ144&gt;250,"no application - soil conc. already above limit",
  IF(BR144&gt;250,"application rate too high - soil conc. will exceed limit",
  IF(BQ144&gt;250*0.9,"soil conc. is at or above 90% of the limit",
  IF(10*BP144*1000/3000+BQ144&gt;250,"soil limit likely to be exceeded in 10yrs",
  IF(50*BP144*1000/3000+BQ144&gt;250,"soil limit likely to be exceeded in 50yrs","ok"))))),
IF('Soil results'!F147&lt;=7,
  IF(BQ144&gt;300,"no application - soil conc. already above limit",
  IF(BR144&gt;300,"application rate too high - soil conc. will exceed limit",
  IF(BQ144&gt;300*0.9,"soil conc. is at or above 90% of the limit",
  IF(10*BP144*1000/3000+BQ144&gt;300,"soil limit likey to be exceeded in 10yrs",
  IF(50*BP144*1000/3000+BQ144&gt;300,"soil limit likely to be exceeded in 50yrs","ok"))))),
IF('Soil results'!F147&gt;7,
  IF(BQ144&gt;450,"no application - soil conc. already above limit",
  IF(BR144&gt;450,"application rate too high - soil conc. will exceed limit",
  IF(AW144&gt;450*0.9,"soil conc. is at or above 90% of the limit",
  IF(10*BP144*1000/3000+BQ144&gt;450,"soil limit likely to be exceeded in 10yrs",
  IF(50*BP144*1000/3000+BQ144&gt;450,"soil limit likely to be exceeded in 50yrs","ok")))))
))))))))</f>
        <v/>
      </c>
    </row>
    <row r="145" spans="2:71" ht="15" x14ac:dyDescent="0.25">
      <c r="B145" s="236" t="str">
        <f ca="1">'Soil results'!B148</f>
        <v/>
      </c>
      <c r="C145" s="91" t="str">
        <f ca="1">IF(B145="","",
IF(AND('Field information 2'!$O$5="", 'Field information 2'!$Q$5=""),
   IF('Waste results'!$S$12&lt;&gt;"data missing", Calc!BC143*'Waste results'!$S$12, "data missing"),
IF('Field information 2'!$Q$5="",
   IF(Calc!BD143=0,
     IF('Waste results'!$S$12&lt;&gt;"data missing", Calc!BC143*'Waste results'!$S$12, "data missing"),
   IF(Calc!BC143=0,
     IF('Waste results'!$S$48&lt;&gt;"data missing", Calc!BD143*'Waste results'!$S$48, "data missing"),
   IF(OR('Waste results'!$S$12&lt;&gt;"data missing", 'Waste results'!$S$48&lt;&gt;"data missing"), Calc!BC143*'Waste results'!$S$12+ Calc!BD143*'Waste results'!$S$48, "data missing"))),
IF(AND('Field information 2'!$M$5&lt;&gt;"", 'Field information 2'!$O$5&lt;&gt;"", 'Field information 2'!$Q$5&lt;&gt;""),
   IF(AND(Calc!BD143=0,Calc!BE143=0),
     IF('Waste results'!$S$12&lt;&gt;"data missing", Calc!BC143*'Waste results'!$S$12, "data missing"),
   IF(AND(Calc!BC143=0,Calc!BE143=0),
     IF('Waste results'!$S$48&lt;&gt;"data missing", Calc!BD143*'Waste results'!$S$48, "data missing"),
   IF(AND(Calc!BC143=0,Calc!BD143=0),
     IF('Waste results'!$S$84&lt;&gt;"data missing", Calc!BE143*'Waste results'!$S$84, "data missing"),
   IF(Calc!BE143=0,
     IF(OR('Waste results'!$S$12&lt;&gt;"data missing", 'Waste results'!$S$48&lt;&gt;"data missing"), Calc!BC143*'Waste results'!$S$12+ Calc!BD143*'Waste results'!$S$48, "data missing"),
   IF(Calc!BD143=0,
     IF(OR('Waste results'!$S$12&lt;&gt;"data missing", 'Waste results'!$S$84&lt;&gt;"data missing"), Calc!BC143*'Waste results'!$S$12+ Calc!BE143*'Waste results'!$S$84, "data missing"),
   IF(Calc!BC143=0,
     IF(OR('Waste results'!$S$48&lt;&gt;"data missing", 'Waste results'!$S$84&lt;&gt;"data missing"), Calc!BD143*'Waste results'!$S$48+Calc!BE143*'Waste results'!$S$84, "data missing"),
   IF(OR('Waste results'!$S$12&lt;&gt;"data missing", 'Waste results'!$S$48&lt;&gt;"data missing", 'Waste results'!$S$84&lt;&gt;"data missing"), Calc!BC143*'Waste results'!$S$12+Calc!BD143*'Waste results'!$S$48+ Calc!BE143*'Waste results'!$S$84, "data missing")))))))))))</f>
        <v/>
      </c>
      <c r="D145" s="161" t="str">
        <f ca="1">IF(B145="","",
IF(Calc!BG143="","soil texture missing",
IF(OR(Calc!BG143="SL; SZL; ZL",Calc!BG143="SCL; CL; ZCL; SC; ZC; C"),VLOOKUP(Calc!BI143,'Fertiliser recommendations'!$A$4:$C$63,3,FALSE),
IF(Calc!BG143="S; LS",VLOOKUP(Calc!BI143,'Fertiliser recommendations'!$A$4:$C$63,3,FALSE)+VLOOKUP(Calc!BI143,'Fertiliser recommendations'!$A$4:$D$63,4,FALSE),
IF(Calc!BG143="10-25% OM",VLOOKUP(Calc!BI143,'Fertiliser recommendations'!$A$4:$C$63,3,FALSE)+VLOOKUP(Calc!BI143,'Fertiliser recommendations'!$A$4:$E$63,5,FALSE),
IF(Calc!BG143="&gt;25% OM",VLOOKUP(Calc!BI143,'Fertiliser recommendations'!$A$4:$C$63,3,FALSE)+VLOOKUP(Calc!BI143,'Fertiliser recommendations'!$A$4:$F$63,6,FALSE),
""))))))</f>
        <v/>
      </c>
      <c r="E145" s="91" t="str">
        <f t="shared" ca="1" si="34"/>
        <v/>
      </c>
      <c r="F145" s="9" t="str">
        <f ca="1">IF(B145="","",
IF(OR(C145="data missing",D145="soil texture missing"),"data missing",
IF(Calc!BF143=0,"n/a",
IF(C145&lt;0.1*D145,"no benefit",
IF(C145&lt;0.3*D145,"limited benefit",
IF(C145&gt;250,"exceeds limit",
IF(OR(AND(D145=0,C145&gt;75),C145&gt;1.25*D145),"excessive",
IF(D145=0, "no requirement",
"benefit"))))))))</f>
        <v/>
      </c>
      <c r="G145" s="9"/>
      <c r="H145" s="91" t="str">
        <f ca="1">IF(B145="","",
IF(AND('Field information 2'!$O$5="", 'Field information 2'!$Q$5=""),
   IF('Waste results'!$S$17&lt;&gt;"data missing", Calc!BC143*'Waste results'!$S$17, "data missing"),
IF('Field information 2'!$Q$5="",
   IF(Calc!BD143=0,
     IF('Waste results'!$S$17&lt;&gt;"data missing", Calc!BC143*'Waste results'!$S$17, "data missing"),
   IF(Calc!BC143=0,
     IF('Waste results'!$S$53&lt;&gt;"data missing", Calc!BD143*'Waste results'!$S$53, "data missing"),
   IF(OR('Waste results'!$S$17&lt;&gt;"data missing", 'Waste results'!$S$53&lt;&gt;"data missing"), Calc!BC143*'Waste results'!$S$17+ Calc!BD143*'Waste results'!$S$53, "data missing"))),
IF(AND('Field information 2'!$M$5&lt;&gt;"", 'Field information 2'!$O$5&lt;&gt;"", 'Field information 2'!$Q$5&lt;&gt;""),
   IF(AND(Calc!BD143=0,Calc!BE143=0),
     IF('Waste results'!$S$17&lt;&gt;"data missing", Calc!BC143*'Waste results'!$S$17, "data missing"),
   IF(AND(Calc!BC143=0,Calc!BE143=0),
     IF('Waste results'!$S$53&lt;&gt;"data missing", Calc!BD143*'Waste results'!$S$53, "data missing"),
   IF(AND(Calc!BC143=0,Calc!BD143=0),
     IF('Waste results'!$S$89&lt;&gt;"data missing", Calc!BE143*'Waste results'!$S$89, "data missing"),
   IF(Calc!BE143=0,
     IF(OR('Waste results'!$S$17&lt;&gt;"data missing", 'Waste results'!$S$53&lt;&gt;"data missing"), Calc!BC143*'Waste results'!$S$17+ Calc!BD143*'Waste results'!$S$53, "data missing"),
   IF(Calc!BD143=0,
     IF(OR('Waste results'!$S$17&lt;&gt;"data missing", 'Waste results'!$S$89&lt;&gt;"data missing"), Calc!BC143*'Waste results'!$S$17+ Calc!BE143*'Waste results'!$S$89, "data missing"),
   IF(Calc!BC143=0,
     IF(OR('Waste results'!$S$53&lt;&gt;"data missing", 'Waste results'!$S$89&lt;&gt;"data missing"), Calc!BD143*'Waste results'!$S$53+Calc!BE143*'Waste results'!$S$89, "data missing"),
   IF(OR('Waste results'!$S$17&lt;&gt;"data missing", 'Waste results'!$S$53&lt;&gt;"data missing", 'Waste results'!$S$89&lt;&gt;"data missing"), Calc!BC143*'Waste results'!$S$17+Calc!BD143*'Waste results'!$S$53+ Calc!BE143*'Waste results'!$S$89, "data missing")))))))))))</f>
        <v/>
      </c>
      <c r="I145" s="195" t="str">
        <f ca="1">IF(B145="","",
IF(OR(ISBLANK('Soil results'!G148), ISBLANK('Soil results'!G$7)),"data missing",
IF(OR(AND('Soil results'!G$7="Olsen (ADAS)",'Soil results'!G148&lt;16),AND('Soil results'!G$7="modified Morgan (SAC)",'Soil results'!G148&lt;4.5)),50,100)))</f>
        <v/>
      </c>
      <c r="J145" s="49" t="str">
        <f ca="1">IF(B145="","",
IF(OR(ISBLANK('Soil results'!G$7),ISBLANK('Soil results'!G148)),"data missing",
IF(OR(AND('Soil results'!G$7="Olsen (ADAS)",'Soil results'!G148&gt;45),AND('Soil results'!G$7="modified Morgan (SAC)",'Soil results'!G148&gt;30)),0,
IF(OR(AND('Soil results'!G$7="Olsen (ADAS)",'Soil results'!G148&gt;=16,'Soil results'!G148&lt;=20),AND('Soil results'!G$7="modified Morgan (SAC)",'Soil results'!G148&gt;=4.5,'Soil results'!G148&lt;=9.4)),VLOOKUP(Calc!BI143,'Fertiliser recommendations'!$A$4:$I$63,9,FALSE),
IF(OR(AND('Soil results'!G$7="Olsen (ADAS)",'Soil results'!G148&lt;10),AND('Soil results'!G$7="modified Morgan (SAC)",'Soil results'!G148&lt;1.8)),VLOOKUP(Calc!BI143,'Fertiliser recommendations'!$A$4:$I$63,9,FALSE)+VLOOKUP(Calc!BI143,'Fertiliser recommendations'!$A$4:$J$63,10,FALSE),
IF(OR(AND('Soil results'!G$7="Olsen (ADAS)",'Soil results'!G148&lt;16),AND('Soil results'!G$7="modified Morgan (SAC)",'Soil results'!G148&lt;4.5)),VLOOKUP(Calc!BI143,'Fertiliser recommendations'!$A$4:$I$63,9,FALSE)+VLOOKUP(Calc!BI143,'Fertiliser recommendations'!$A$4:$K$63,11,FALSE),
IF(OR(AND('Soil results'!G$7="Olsen (ADAS)",'Soil results'!G148&lt;26),AND('Soil results'!G$7="modified Morgan (SAC)",'Soil results'!G148&lt;13.5)),VLOOKUP(Calc!BI143,'Fertiliser recommendations'!$A$4:$I$63,9,FALSE)+VLOOKUP(Calc!BI143,'Fertiliser recommendations'!$A$4:$L$63,12,FALSE),
IF(OR(AND('Soil results'!G$7="Olsen (ADAS)",'Soil results'!G148&lt;=45),AND('Soil results'!G$7="modified Morgan (SAC)",'Soil results'!G148&lt;=30)),VLOOKUP(Calc!BI143,'Fertiliser recommendations'!$A$4:$I$63,9,FALSE)+VLOOKUP(Calc!BI143,'Fertiliser recommendations'!$A$4:$M$63,13,FALSE),
""))))))))</f>
        <v/>
      </c>
      <c r="K145" s="161" t="str">
        <f t="shared" ca="1" si="35"/>
        <v/>
      </c>
      <c r="L145" s="47" t="str">
        <f ca="1">IF(OR(ISBLANK('Soil results'!G$7),ISBLANK('Soil results'!G148),B145="", H145="data missing"),"",
IF('Soil results'!G$7="Olsen (ADAS)",
IF(((H145*Calc!BM143/2.291-(VLOOKUP(Calc!BI143,'Fertiliser recommendations'!$A$4:$I$63,9,FALSE))/2.291)*10/(400/2.291)+'Soil results'!G148)&lt;10,"0 (VL)",
IF(((H145*Calc!BM143/2.291-(VLOOKUP(Calc!BI143,'Fertiliser recommendations'!$A$4:$I$63,9,FALSE))/2.291)*10/(400/2.291)+'Soil results'!G148)&lt;16,"1 (L)",
IF(((H145*Calc!BM143/2.291-(VLOOKUP(Calc!BI143,'Fertiliser recommendations'!$A$4:$I$63,9,FALSE))/2.291)*10/(400/2.291)+'Soil results'!G148)&lt;21,"2 (M-)",
IF(((H145*Calc!BM143/2.291-(VLOOKUP(Calc!BI143,'Fertiliser recommendations'!$A$4:$I$63,9,FALSE))/2.291)*10/(400/2.291)+'Soil results'!G148)&lt;26,"2 (M+)",
IF(((H145*Calc!BM143/2.291-(VLOOKUP(Calc!BI143,'Fertiliser recommendations'!$A$4:$I$63,9,FALSE))/2.291)*10/(400/2.291)+'Soil results'!G148)&lt;45,"3 (H)","&gt;3 (VH)"))))),
IF('Soil results'!G$7="modified Morgan (SAC)",
IF('Soil results'!G148&gt;=6,
IF(((H145*Calc!BM143/2.291-(VLOOKUP(Calc!BI143,'Fertiliser recommendations'!$A$4:$I$63,9,FALSE))/2.291)*5/(147/2.291)+'Soil results'!G148)&lt;9.5,"2 (M-)",
IF(((H145*Calc!BM143/2.291-(VLOOKUP(Calc!BI143,'Fertiliser recommendations'!$A$4:$I$63,9,FALSE))/2.291)*5/(147/2.291)+'Soil results'!G148)&lt;13.5,"2 (M+)",
IF(((H145*Calc!BM143/2.291-(VLOOKUP(Calc!BI143,'Fertiliser recommendations'!$A$4:$I$63,9,FALSE))/2.291)*5/(147/2.291)+'Soil results'!G148)&lt;30,"3 (H)","4 (VH)"))),
IF(((H145*Calc!BM143/2.291-(VLOOKUP(Calc!BI143,'Fertiliser recommendations'!$A$4:$I$63,9,FALSE))/2.291)*5/(346/2.291)+'Soil results'!G148)&lt;1.8,"0 (VL)",
IF(((H145*Calc!BM143/2.291-(VLOOKUP(Calc!BI143,'Fertiliser recommendations'!$A$4:$I$63,9,FALSE))/2.291)*5/(147/2.291)+'Soil results'!G148)&lt;4.5,"1 (L)","2 (M-)"))))))</f>
        <v/>
      </c>
      <c r="M145" s="9" t="str">
        <f ca="1">IF(B145="","",
IF(OR(H145="data missing",I145="data missing",J145="data missing"),"data missing",
IF(Calc!BF143=0,"n/a",
IF(OR(AND('Soil results'!G$7="Olsen (ADAS)",'Soil results'!G148&gt;45),AND('Soil results'!G$7="modified Morgan (SAC)",'Soil results'!G148&gt;30)),
IF(H145&gt;2,"too high, not acceptable","no requirement"),IF(OR(AND('Soil results'!G$7="Olsen (ADAS)",'Soil results'!G148&gt;25),AND('Soil results'!G$7="modified Morgan (SAC)",'Soil results'!G148&gt;13.4)),
IF(H145*(I145/100)&lt;0.1*J145,"no benefit",
IF(H145*(I145/100)&lt;0.3*J145,"limited benefit",
IF(H145*(I145/100)&lt;1.1*J145,"benefit",
IF(H145*(I145/100)&lt;0.7*VLOOKUP(Calc!BI143,'Fertiliser recommendations'!$A$4:$I$63,9,FALSE),"excessive","too high, not acceptable")))),
IF(OR(AND('Soil results'!G$7="Olsen (ADAS)",'Soil results'!G148&gt;20),AND('Soil results'!G$7="modified Morgan (SAC)",'Soil results'!G148&gt;9.4)),
IF(H145*Calc!BM143*(I145/100)&lt;0.1*J145,"no benefit",
IF(H145*Calc!BM143*(I145/100)&lt;0.3*J145,"limited benefit",
IF(H145*Calc!BM143*(I145/100)&lt;1.1*J145,"benefit",
IF(L145="3 (H)","too high, not acceptable","excessive")))),
IF(OR(AND('Soil results'!G$7="Olsen (ADAS)",'Soil results'!G148&gt;15),AND('Soil results'!G$7="modified Morgan (SAC)",'Soil results'!G148&gt;4.4)),
IF(H145*Calc!BM143*(I145/100)&lt;0.1*VLOOKUP(Calc!BI143,'Fertiliser recommendations'!$A$4:$I$63,9,FALSE),"no benefit",
IF(H145*Calc!BM143*(I145/100)&lt;0.3*VLOOKUP(Calc!BI143,'Fertiliser recommendations'!$A$4:$I$63,9,FALSE),"limited benefit",
IF(H145*Calc!BM143*(I145/100)&lt;1.1*VLOOKUP(Calc!BI143,'Fertiliser recommendations'!$A$4:$I$63,9,FALSE),"benefit",
IF(L145="3 (H)", "too high, not acceptable", "excessive")))),
IF(OR(AND('Soil results'!G$7="Olsen (ADAS)",'Soil results'!G148&lt;=15),AND('Soil results'!G$7="modified Morgan (SAC)",'Soil results'!G148&lt;=4.4)),
IF(H145*Calc!BM143*(I145/100)&lt;0.1*VLOOKUP(Calc!BI143,'Fertiliser recommendations'!$A$4:$I$63,9,FALSE),"no benefit",
IF(H145*Calc!BM143*(I145/100)&lt;0.3*VLOOKUP(Calc!BI143,'Fertiliser recommendations'!$A$4:$I$63,9,FALSE),"limited benefit",
IF(H145*Calc!BM143*(I145/100)&lt;1.1*J145,"benefit","excessive")))))))))))</f>
        <v/>
      </c>
      <c r="N145" s="9"/>
      <c r="O145" s="91" t="str">
        <f ca="1">IF(B145="","",
IF(AND('Field information 2'!$O$5="", 'Field information 2'!$Q$5=""),
   IF('Waste results'!$S$19&lt;&gt;"data missing", Calc!BC143*'Waste results'!$S$19, "data missing"),
IF('Field information 2'!$Q$5="",
   IF(Calc!BD143=0,
     IF('Waste results'!$S$19&lt;&gt;"data missing", Calc!BC143*'Waste results'!$S$19, "data missing"),
   IF(Calc!BC143=0,
     IF('Waste results'!$S$55&lt;&gt;"data missing", Calc!BD143*'Waste results'!$S$55, "data missing"),
   IF(OR('Waste results'!$S$19&lt;&gt;"data missing", 'Waste results'!$S$55&lt;&gt;"data missing"), Calc!BC143*'Waste results'!$S$19+ Calc!BD143*'Waste results'!$S$55, "data missing"))),
IF(AND('Field information 2'!$M$5&lt;&gt;"", 'Field information 2'!$O$5&lt;&gt;"", 'Field information 2'!$Q$5&lt;&gt;""),
   IF(AND(Calc!BD143=0,Calc!BE143=0),
     IF('Waste results'!$S$19&lt;&gt;"data missing", Calc!BC143*'Waste results'!$S$19, "data missing"),
   IF(AND(Calc!BC143=0,Calc!BE143=0),
     IF('Waste results'!$S$55&lt;&gt;"data missing", Calc!BD143*'Waste results'!$S$55, "data missing"),
   IF(AND(Calc!BC143=0,Calc!BD143=0),
     IF('Waste results'!$S$91&lt;&gt;"data missing", Calc!BE143*'Waste results'!$S$91, "data missing"),
   IF(Calc!BE143=0,
     IF(OR('Waste results'!$S$19&lt;&gt;"data missing", 'Waste results'!$S$55&lt;&gt;"data missing"), Calc!BC143*'Waste results'!$S$19+ Calc!BD143*'Waste results'!$S$55, "data missing"),
   IF(Calc!BD143=0,
     IF(OR('Waste results'!$S$19&lt;&gt;"data missing", 'Waste results'!$S$91&lt;&gt;"data missing"), Calc!BC143*'Waste results'!$S$19+ Calc!BE143*'Waste results'!$S$91, "data missing"),
   IF(Calc!BC143=0,
     IF(OR('Waste results'!$S$55&lt;&gt;"data missing", 'Waste results'!$S$91&lt;&gt;"data missing"), Calc!BD143*'Waste results'!$S$55+Calc!BE143*'Waste results'!$S$91, "data missing"),
   IF(OR('Waste results'!$S$19&lt;&gt;"data missing", 'Waste results'!$S$55&lt;&gt;"data missing", 'Waste results'!$S$91&lt;&gt;"data missing"), Calc!BC143*'Waste results'!$S$19+Calc!BD143*'Waste results'!$S$55+ Calc!BE143*'Waste results'!$S$91, "data missing")))))))))))</f>
        <v/>
      </c>
      <c r="P145" s="91" t="str">
        <f ca="1">IF(B145="","",
IF(OR(ISBLANK('Soil results'!H$7),ISBLANK('Soil results'!H148)),"data missing",
IF(OR(AND('Soil results'!H$7="ammonium nitrate (ADAS)",'Soil results'!H148&gt;400),AND('Soil results'!H$7="modified Morgan (SAC)",'Soil results'!H148&gt;400)),0,
IF(OR(AND('Soil results'!H$7="ammonium nitrate (ADAS)",'Soil results'!H148&gt;=121,'Soil results'!H148&lt;=180),AND('Soil results'!H$7="modified Morgan (SAC)",'Soil results'!H148&gt;=76,'Soil results'!H148&lt;=140)),VLOOKUP(Calc!BI143,'Fertiliser recommendations'!$A$4:$Z$63,26,FALSE),
IF(OR(AND('Soil results'!H$7="ammonium nitrate (ADAS)",'Soil results'!H148&lt;61),AND('Soil results'!H$7="modified Morgan (SAC)",'Soil results'!H148&lt;40)),VLOOKUP(Calc!BI143,'Fertiliser recommendations'!$A$4:$Z$63,26,FALSE)+VLOOKUP(Calc!BI143,'Fertiliser recommendations'!$A$4:$AA$63,27,FALSE),
IF(OR(AND('Soil results'!H$7="ammonium nitrate (ADAS)",'Soil results'!H148&lt;121),AND('Soil results'!H$7="modified Morgan (SAC)",'Soil results'!H148&lt;76)),VLOOKUP(Calc!BI143,'Fertiliser recommendations'!$A$4:$Z$63,26,FALSE)+VLOOKUP(Calc!BI143,'Fertiliser recommendations'!$A$4:$AB$63,28,FALSE),
IF(OR(AND('Soil results'!H$7="ammonium nitrate (ADAS)",'Soil results'!H148&lt;241),AND('Soil results'!H$7="modified Morgan (SAC)",'Soil results'!H148&lt;201)),VLOOKUP(Calc!BI143,'Fertiliser recommendations'!$A$4:$Z$63,26,FALSE)+VLOOKUP(Calc!BI143,'Fertiliser recommendations'!$A$4:$AC$63,29,FALSE),
IF(OR(AND('Soil results'!H$7="ammonium nitrate (ADAS)",'Soil results'!H148&lt;=400),AND('Soil results'!H$7="modified Morgan (SAC)",'Soil results'!H148&lt;=400)),VLOOKUP(Calc!BI143,'Fertiliser recommendations'!$A$4:$Z$63,26,FALSE)+VLOOKUP(Calc!BI143,'Fertiliser recommendations'!$A$4:$AD$63,30,FALSE),
"??"))))))))</f>
        <v/>
      </c>
      <c r="Q145" s="91" t="str">
        <f t="shared" ca="1" si="36"/>
        <v/>
      </c>
      <c r="R145" s="9" t="str">
        <f ca="1">IF(B145="","",
IF(OR(O145="data missing",P145="data missing"),"data missing",
IF(Calc!BF143=0,"n/a",
IF(P145=0, "no requirement",
IF(O145&lt;0.1*P145,"no benefit",
IF(O145&lt;0.3*P145,"limited benefit",
IF(O145&gt;1.25*P145,"excessive",
"benefit")))))))</f>
        <v/>
      </c>
      <c r="S145" s="9"/>
      <c r="T145" s="91" t="str">
        <f ca="1">IF(B145="","",
IF(AND('Field information 2'!$O$5="", 'Field information 2'!$Q$5=""),
   IF('Waste results'!$S$21&lt;&gt;"data missing", Calc!BC143*'Waste results'!$S$21, "data missing"),
IF('Field information 2'!$Q$5="",
   IF(Calc!BD143=0,
     IF('Waste results'!$S$21&lt;&gt;"data missing", Calc!BC143*'Waste results'!$S$21, "data missing"),
   IF(Calc!BC143=0,
     IF('Waste results'!$S$57&lt;&gt;"data missing", Calc!BD143*'Waste results'!$S$57, "data missing"),
   IF(OR('Waste results'!$S$21&lt;&gt;"data missing", 'Waste results'!$S$57&lt;&gt;"data missing"), Calc!BC143*'Waste results'!$S$21+ Calc!BD143*'Waste results'!$S$57, "data missing"))),
IF(AND('Field information 2'!$M$5&lt;&gt;"", 'Field information 2'!$O$5&lt;&gt;"", 'Field information 2'!$Q$5&lt;&gt;""),
   IF(AND(Calc!BD143=0,Calc!BE143=0),
     IF('Waste results'!$S$21&lt;&gt;"data missing", Calc!BC143*'Waste results'!$S$21, "data missing"),
   IF(AND(Calc!BC143=0,Calc!BE143=0),
     IF('Waste results'!$S$57&lt;&gt;"data missing", Calc!BD143*'Waste results'!$S$57, "data missing"),
   IF(AND(Calc!BC143=0,Calc!BD143=0),
     IF('Waste results'!$S$93&lt;&gt;"data missing", Calc!BE143*'Waste results'!$S$93, "data missing"),
   IF(Calc!BE143=0,
     IF(OR('Waste results'!$S$21&lt;&gt;"data missing", 'Waste results'!$S$57&lt;&gt;"data missing"), Calc!BC143*'Waste results'!$S$21+ Calc!BD143*'Waste results'!$S$57, "data missing"),
   IF(Calc!BD143=0,
     IF(OR('Waste results'!$S$21&lt;&gt;"data missing", 'Waste results'!$S$93&lt;&gt;"data missing"), Calc!BC143*'Waste results'!$S$21+ Calc!BE143*'Waste results'!$S$93, "data missing"),
   IF(Calc!BC143=0,
     IF(OR('Waste results'!$S$57&lt;&gt;"data missing", 'Waste results'!$S$93&lt;&gt;"data missing"), Calc!BD143*'Waste results'!$S$57+Calc!BE143*'Waste results'!$S$93, "data missing"),
   IF(OR('Waste results'!$S$21&lt;&gt;"data missing", 'Waste results'!$S$57&lt;&gt;"data missing", 'Waste results'!$S$93&lt;&gt;"data missing"), Calc!BC143*'Waste results'!$S$21+Calc!BD143*'Waste results'!$S$57+ Calc!BE143*'Waste results'!$S$93, "data missing")))))))))))</f>
        <v/>
      </c>
      <c r="U145" s="7" t="str">
        <f ca="1">IF(B145="","",
IF(OR(ISBLANK('Soil results'!I$7),ISBLANK('Soil results'!I148)),"data missing",
IF(OR(AND('Soil results'!I$7="ammonium nitrate (ADAS)",'Soil results'!I148&gt;51),AND('Soil results'!I$7="modified Morgan (SAC)",'Soil results'!I148&gt;61)),0,
IF(OR(AND('Soil results'!I$7="ammonium nitrate (ADAS)",'Soil results'!I148&lt;25),AND('Soil results'!I$7="modified Morgan (SAC)",'Soil results'!I148&lt;19)),VLOOKUP(Calc!BI143,'Fertiliser recommendations'!$A$4:$AH$63,34,FALSE),
IF(OR(AND('Soil results'!I$7="ammonium nitrate (ADAS)",'Soil results'!I148&lt;=51),AND('Soil results'!I$7="modified Morgan (SAC)",'Soil results'!I148&lt;=61)),VLOOKUP(Calc!BI143,'Fertiliser recommendations'!$A$4:$AI$63,35,FALSE),
"")))))</f>
        <v/>
      </c>
      <c r="V145" s="91" t="str">
        <f t="shared" ca="1" si="37"/>
        <v/>
      </c>
      <c r="W145" s="9" t="str">
        <f ca="1">IF(B145="","",
IF(OR(T145="data missing",U145="data missing"),"data missing",
IF(Calc!BF143=0,"n/a",
IF(U145=0,"no requirement",
IF(T145&lt;0.1*U145,"no benefit",
IF(T145&lt;0.3*U145,"limited benefit",
IF(OR(T145&gt;1.5*U145,AND(Calc!BJ143="g",T145&gt;100)),"excessive",
"benefit")))))))</f>
        <v/>
      </c>
      <c r="X145" s="9"/>
      <c r="Y145" s="91" t="str">
        <f ca="1">IF(B145="","",
IF(AND('Field information 2'!$O$5="", 'Field information 2'!$Q$5=""),
   IF('Waste results'!$P$23&lt;&gt;"", Calc!BC143*'Waste results'!$P$23, "no data"),
IF('Field information 2'!$Q$5="",
   IF(Calc!BD143=0,
     IF('Waste results'!$P$23&lt;&gt;"", Calc!BC143*'Waste results'!$P$23, "no data"),
   IF(Calc!BC143=0,
     IF('Waste results'!$P$59&lt;&gt;"", Calc!BD143*'Waste results'!$P$59, "no data"),
   IF(OR('Waste results'!$P$23&lt;&gt;"", 'Waste results'!$P$59&lt;&gt;""), Calc!BC143*'Waste results'!$P$23+ Calc!BD143*'Waste results'!$P$59, "no data"))),
IF(AND('Field information 2'!$M$5&lt;&gt;"", 'Field information 2'!$O$5&lt;&gt;"", 'Field information 2'!$Q$5&lt;&gt;""),
   IF(AND(Calc!BD143=0,Calc!BE143=0),
     IF('Waste results'!$P$23&lt;&gt;"", Calc!BC143*'Waste results'!$P$23, "no data"),
   IF(AND(Calc!BC143=0,Calc!BE143=0),
     IF('Waste results'!$P$59&lt;&gt;"", Calc!BD143*'Waste results'!$P$59, "no data"),
   IF(AND(Calc!BC143=0,Calc!BD143=0),
     IF('Waste results'!$P$95&lt;&gt;"", Calc!BE143*'Waste results'!$P$95, "no data"),
   IF(Calc!BE143=0,
     IF(OR('Waste results'!$P$23&lt;&gt;"", 'Waste results'!$P$59&lt;&gt;""), Calc!BC143*'Waste results'!$P$23+ Calc!BD143*'Waste results'!$P$59, "no data"),
   IF(Calc!BD143=0,
     IF(OR('Waste results'!$P$23&lt;&gt;"", 'Waste results'!$P$95&lt;&gt;""), Calc!BC143*'Waste results'!$P$23+ Calc!BE143*'Waste results'!$P$95, "no data"),
   IF(Calc!BC143=0,
     IF(OR('Waste results'!$P$59&lt;&gt;"", 'Waste results'!$P$95&lt;&gt;""), Calc!BD143*'Waste results'!$P$59+Calc!BE143*'Waste results'!$P$95, "no data"),
   IF(OR('Waste results'!$P$23&lt;&gt;"", 'Waste results'!$P$59&lt;&gt;"", 'Waste results'!$P$95&lt;&gt;""), Calc!BC143*'Waste results'!$P$23+Calc!BD143*'Waste results'!$P$59+ Calc!BE143*'Waste results'!$P$95, "no data")))))))))))</f>
        <v/>
      </c>
      <c r="Z145" s="7" t="str">
        <f ca="1">IF(OR(ISBLANK('Soil results'!I$7),ISBLANK('Soil results'!I148),'Soil results'!B148=""),"",
VLOOKUP(Calc!BI143,'Fertiliser recommendations'!$A$4:$AM$63,39,FALSE))</f>
        <v/>
      </c>
      <c r="AA145" s="91" t="str">
        <f t="shared" ca="1" si="38"/>
        <v/>
      </c>
      <c r="AB145" s="9" t="str">
        <f t="shared" ca="1" si="39"/>
        <v/>
      </c>
      <c r="AC145" s="9"/>
      <c r="AD145" s="48" t="str">
        <f>IF(ISBLANK('Soil results'!F148),"",'Soil results'!F148)</f>
        <v/>
      </c>
      <c r="AE145" s="49" t="str">
        <f ca="1">IF(B145="","",
IF(AND(Calc!BJ143="g", VLOOKUP(LEFT($B145,LEN($B145)-2),'Field information 2'!$B$12:$P$111,9,FALSE)&lt;&gt;"yes"),
 IF(Calc!BG143="10-25% OM", 5.9, IF(Calc!BG143="&gt;25% OM", 5.5, 6.2)),
IF(OR(Calc!BJ143="a", VLOOKUP(LEFT($B145,LEN($B145)-2),'Field information 2'!$B$12:$P$111,9,FALSE)="yes"),
 IF(Calc!BG143="10-25% OM", 6.4, IF(Calc!BG143="&gt;25% OM", 6, 6.7)), "")))</f>
        <v/>
      </c>
      <c r="AF145" s="91" t="str">
        <f ca="1">IF(B145="","",
IF('Waste results'!$Q$33="","no (significant) liming properties",
IF('Waste results'!Q$33&gt;100,"no (significant) liming properties",
IF(AD145="","",
IF(AD145&gt;=AE145,0,ROUNDDOWN((AE145-AD145)*Calc!BK143*'Waste results'!$Q$33+0.2,0))))))</f>
        <v/>
      </c>
      <c r="AG145" s="9" t="str">
        <f ca="1">IF(B145="","",
IF(T145=0,"n/a",
IF(AD145="","data missing",
IF(AND(AD145&lt;5,AF145="no (significant) liming properties"),"no waste application - pH too low",
IF(AND(AD145&gt;5.1,AF145="no (significant) liming properties",Calc!BH143&gt;25, LEFT(Calc!BI143,4)="graz"),"ok",
IF(AND(AD145&lt;=5.2,AF145="no (significant) liming properties"),"liming highly recommended",
IF(AF145=0,"no waste application - liming not required",
IF(AF145&lt;Calc!BC143,"application rate too high - exceeds liming requirement",
"ok"))))))))</f>
        <v/>
      </c>
      <c r="AH145" s="9"/>
      <c r="AI145" s="91" t="str">
        <f ca="1">IF(B145="","",
IF(AND('Field information 2'!$O$5="", 'Field information 2'!$Q$5=""),
   IF('Waste results'!$P$10&lt;&gt;"data missing", Calc!BC143*'Waste results'!$P$10, "data missing"),
IF('Field information 2'!$Q$5="",
   IF(Calc!BD143=0,
     IF('Waste results'!$P$10&lt;&gt;"data missing", Calc!BC143*'Waste results'!$P$10, "data missing"),
   IF(Calc!BC143=0,
     IF('Waste results'!$P$45&lt;&gt;"data missing", Calc!BD143*'Waste results'!$P$45, "data missing"),
   IF(OR('Waste results'!$P$10&lt;&gt;"data missing", 'Waste results'!$P$45&lt;&gt;"data missing"), Calc!BC143*'Waste results'!$P$10+ Calc!BD143*'Waste results'!$P$45, "data missing"))),
IF(AND('Field information 2'!$M$5&lt;&gt;"", 'Field information 2'!$O$5&lt;&gt;"", 'Field information 2'!$Q$5&lt;&gt;""),
   IF(AND(Calc!BD143=0,Calc!BE143=0),
     IF('Waste results'!$P$10&lt;&gt;"data missing", Calc!BC143*'Waste results'!$P$10, "data missing"),
   IF(AND(Calc!BC143=0,Calc!BE143=0),
     IF('Waste results'!$P$45&lt;&gt;"data missing", Calc!BD143*'Waste results'!$P$45, "data missing"),
   IF(AND(Calc!BC143=0,Calc!BD143=0),
     IF('Waste results'!$P$82&lt;&gt;"data missing", Calc!BE143*'Waste results'!$P$82, "data missing"),
   IF(Calc!BE143=0,
     IF(OR('Waste results'!$P$10&lt;&gt;"data missing", 'Waste results'!$P$45&lt;&gt;"data missing"), Calc!BC143*'Waste results'!$P$10+ Calc!BD143*'Waste results'!$P$45, "data missing"),
   IF(Calc!BD143=0,
     IF(OR('Waste results'!$P$10&lt;&gt;"data missing", 'Waste results'!$P$82&lt;&gt;"data missing"), Calc!BC143*'Waste results'!$P$10+ Calc!BE143*'Waste results'!$P$82, "data missing"),
   IF(Calc!BC143=0,
     IF(OR('Waste results'!$P$45&lt;&gt;"data missing", 'Waste results'!$P$82&lt;&gt;"data missing"), Calc!BD143*'Waste results'!$P$45+Calc!BE143*'Waste results'!$P$82, "data missing"),
   IF(OR('Waste results'!$P$10&lt;&gt;"data missing", 'Waste results'!$P$45&lt;&gt;"data missing", 'Waste results'!$P$82&lt;&gt;"data missing"), Calc!BC143*'Waste results'!$P$10+Calc!BD143*'Waste results'!$P$45+ Calc!BE143*'Waste results'!$P$82, "data missing")))))))))))</f>
        <v/>
      </c>
      <c r="AJ145" s="237" t="str">
        <f ca="1">IF(B145="","",
IF(AI145="data missing","data missing",
IF(Calc!BF143=0,"n/a",
IF(AND(Calc!BH143&gt;=8,AI145&lt;500),"no benefit",
IF(OR(AND(Calc!BH143&lt;=4,AI145&gt;=500),AND(Calc!BH143&lt;8,AI145&gt;5000)),"benefit",
"limited benefit")))))</f>
        <v/>
      </c>
      <c r="AK145" s="9"/>
      <c r="AL145" s="238" t="str">
        <f ca="1">IF(B145="","",
IF(AND('Field information 2'!$O$5="", 'Field information 2'!$Q$5=""),
   IF('Waste results'!$S$25&lt;&gt;"data missing", Calc!BC143*'Waste results'!$S$25, "data missing"),
IF('Field information 2'!$Q$5="",
   IF(Calc!BD143=0,
     IF('Waste results'!$S$25&lt;&gt;"data missing", Calc!BC143*'Waste results'!$S$25, "data missing"),
   IF(Calc!BC143=0,
     IF('Waste results'!$S$61&lt;&gt;"data missing", Calc!BD143*'Waste results'!$S$61, "data missing"),
   IF(OR('Waste results'!$S$25&lt;&gt;"data missing", 'Waste results'!$S$61&lt;&gt;"data missing"), Calc!BC143*'Waste results'!$S$25+ Calc!BD143*'Waste results'!$S$61, "data missing"))),
IF(AND('Field information 2'!$M$5&lt;&gt;"", 'Field information 2'!$O$5&lt;&gt;"", 'Field information 2'!$Q$5&lt;&gt;""),
   IF(AND(Calc!BD143=0,Calc!BE143=0),
     IF('Waste results'!$S$25&lt;&gt;"data missing", Calc!BC143*'Waste results'!$S$25, "data missing"),
   IF(AND(Calc!BC143=0,Calc!BE143=0),
     IF('Waste results'!$S$61&lt;&gt;"data missing", Calc!BD143*'Waste results'!$S$61, "data missing"),
   IF(AND(Calc!BC143=0,Calc!BD143=0),
     IF('Waste results'!$S$97&lt;&gt;"data missing", Calc!BE143*'Waste results'!$S$97, "data missing"),
   IF(Calc!BE143=0,
     IF(OR('Waste results'!$S$25&lt;&gt;"data missing", 'Waste results'!$S$61&lt;&gt;"data missing"), Calc!BC143*'Waste results'!$S$25+ Calc!BD143*'Waste results'!$S$61, "data missing"),
   IF(Calc!BD143=0,
     IF(OR('Waste results'!$S$25&lt;&gt;"data missing", 'Waste results'!$S$97&lt;&gt;"data missing"), Calc!BC143*'Waste results'!$S$25+ Calc!BE143*'Waste results'!$S$97, "data missing"),
   IF(Calc!BC143=0,
     IF(OR('Waste results'!$S$61&lt;&gt;"data missing", 'Waste results'!$S$97&lt;&gt;"data missing"), Calc!BD143*'Waste results'!$S$61+Calc!BE143*'Waste results'!$S$97, "data missing"),
   IF(OR('Waste results'!$S$25&lt;&gt;"data missing", 'Waste results'!$S$61&lt;&gt;"data missing", 'Waste results'!$S$97&lt;&gt;"data missing"), Calc!BC143*'Waste results'!$S$25+Calc!BD143*'Waste results'!$S$61+ Calc!BE143*'Waste results'!$S$97, "data missing")))))))))))</f>
        <v/>
      </c>
      <c r="AM145" s="239" t="str">
        <f ca="1">IF($B145="","",
IF(ISBLANK('Soil results'!K148),"data missing",'Soil results'!K148))</f>
        <v/>
      </c>
      <c r="AN145" s="239" t="str">
        <f t="shared" ca="1" si="40"/>
        <v/>
      </c>
      <c r="AO145" s="9" t="str">
        <f t="shared" ca="1" si="41"/>
        <v/>
      </c>
      <c r="AP145" s="9"/>
      <c r="AQ145" s="240" t="str">
        <f ca="1">IF(B145="","",
IF(AND('Field information 2'!$O$5="", 'Field information 2'!$Q$5=""),
   IF('Waste results'!$S$26&lt;&gt;"data missing", Calc!BC143*'Waste results'!$S$26, "data missing"),
IF('Field information 2'!$Q$5="",
   IF(Calc!BD143=0,
     IF('Waste results'!$S$26&lt;&gt;"data missing", Calc!BC143*'Waste results'!$S$26, "data missing"),
   IF(Calc!BC143=0,
     IF('Waste results'!$S$62&lt;&gt;"data missing", Calc!BD143*'Waste results'!$S$62, "data missing"),
   IF(OR('Waste results'!$S$26&lt;&gt;"data missing", 'Waste results'!$S$62&lt;&gt;"data missing"), Calc!BC143*'Waste results'!$S$26+ Calc!BD143*'Waste results'!$S$62, "data missing"))),
IF(AND('Field information 2'!$M$5&lt;&gt;"", 'Field information 2'!$O$5&lt;&gt;"", 'Field information 2'!$Q$5&lt;&gt;""),
   IF(AND(Calc!BD143=0,Calc!BE143=0),
     IF('Waste results'!$S$26&lt;&gt;"data missing", Calc!BC143*'Waste results'!$S$26, "data missing"),
   IF(AND(Calc!BC143=0,Calc!BE143=0),
     IF('Waste results'!$S$62&lt;&gt;"data missing", Calc!BD143*'Waste results'!$S$62, "data missing"),
   IF(AND(Calc!BC143=0,Calc!BD143=0),
     IF('Waste results'!$S$98&lt;&gt;"data missing", Calc!BE143*'Waste results'!$S$98, "data missing"),
   IF(Calc!BE143=0,
     IF(OR('Waste results'!$S$26&lt;&gt;"data missing", 'Waste results'!$S$62&lt;&gt;"data missing"), Calc!BC143*'Waste results'!$S$26+ Calc!BD143*'Waste results'!$S$62, "data missing"),
   IF(Calc!BD143=0,
     IF(OR('Waste results'!$S$26&lt;&gt;"data missing", 'Waste results'!$S$98&lt;&gt;"data missing"), Calc!BC143*'Waste results'!$S$26+ Calc!BE143*'Waste results'!$S$98, "data missing"),
   IF(Calc!BC143=0,
     IF(OR('Waste results'!$S$62&lt;&gt;"data missing", 'Waste results'!$S$98&lt;&gt;"data missing"), Calc!BD143*'Waste results'!$S$62+Calc!BE143*'Waste results'!$S$98, "data missing"),
   IF(OR('Waste results'!$S$26&lt;&gt;"data missing", 'Waste results'!$S$62&lt;&gt;"data missing", 'Waste results'!$S$98&lt;&gt;"data missing"), Calc!BC143*'Waste results'!$S$26+Calc!BD143*'Waste results'!$S$62+ Calc!BE143*'Waste results'!$S$98, "data missing")))))))))))</f>
        <v/>
      </c>
      <c r="AR145" s="241" t="str">
        <f ca="1">IF($B145="","",
IF(ISBLANK('Soil results'!L148),"data missing",'Soil results'!L148))</f>
        <v/>
      </c>
      <c r="AS145" s="241" t="str">
        <f t="shared" ca="1" si="42"/>
        <v/>
      </c>
      <c r="AT145" s="66" t="str">
        <f t="shared" ca="1" si="43"/>
        <v/>
      </c>
      <c r="AU145" s="9"/>
      <c r="AV145" s="238" t="str">
        <f ca="1">IF(B145="","",
IF(AND('Field information 2'!$O$5="", 'Field information 2'!$Q$5=""),
   IF('Waste results'!$S$27&lt;&gt;"data missing", Calc!BC143*'Waste results'!$S$27, "data missing"),
IF('Field information 2'!$Q$5="",
   IF(Calc!BD143=0,
     IF('Waste results'!$S$27&lt;&gt;"data missing", Calc!BC143*'Waste results'!$S$27, "data missing"),
   IF(Calc!BC143=0,
     IF('Waste results'!$S$63&lt;&gt;"data missing", Calc!BD143*'Waste results'!$S$63, "data missing"),
   IF(OR('Waste results'!$S$27&lt;&gt;"data missing", 'Waste results'!$S$63&lt;&gt;"data missing"), Calc!BC143*'Waste results'!$S$27+ Calc!BD143*'Waste results'!$S$63, "data missing"))),
IF(AND('Field information 2'!$M$5&lt;&gt;"", 'Field information 2'!$O$5&lt;&gt;"", 'Field information 2'!$Q$5&lt;&gt;""),
   IF(AND(Calc!BD143=0,Calc!BE143=0),
     IF('Waste results'!$S$27&lt;&gt;"data missing", Calc!BC143*'Waste results'!$S$27, "data missing"),
   IF(AND(Calc!BC143=0,Calc!BE143=0),
     IF('Waste results'!$S$63&lt;&gt;"data missing", Calc!BD143*'Waste results'!$S$63, "data missing"),
   IF(AND(Calc!BC143=0,Calc!BD143=0),
     IF('Waste results'!$S$99&lt;&gt;"data missing", Calc!BE143*'Waste results'!$S$99, "data missing"),
   IF(Calc!BE143=0,
     IF(OR('Waste results'!$S$27&lt;&gt;"data missing", 'Waste results'!$S$63&lt;&gt;"data missing"), Calc!BC143*'Waste results'!$S$27+ Calc!BD143*'Waste results'!$S$63, "data missing"),
   IF(Calc!BD143=0,
     IF(OR('Waste results'!$S$27&lt;&gt;"data missing", 'Waste results'!$S$99&lt;&gt;"data missing"), Calc!BC143*'Waste results'!$S$27+ Calc!BE143*'Waste results'!$S$99, "data missing"),
   IF(Calc!BC143=0,
     IF(OR('Waste results'!$S$63&lt;&gt;"data missing", 'Waste results'!$S$99&lt;&gt;"data missing"), Calc!BD143*'Waste results'!$S$63+Calc!BE143*'Waste results'!$S$99, "data missing"),
   IF(OR('Waste results'!$S$27&lt;&gt;"data missing", 'Waste results'!$S$63&lt;&gt;"data missing", 'Waste results'!$S$99&lt;&gt;"data missing"), Calc!BC143*'Waste results'!$S$27+Calc!BD143*'Waste results'!$S$63+ Calc!BE143*'Waste results'!$S$99, "data missing")))))))))))</f>
        <v/>
      </c>
      <c r="AW145" s="239" t="str">
        <f ca="1">IF($B145="","",
IF(ISBLANK('Soil results'!M148),"data missing",'Soil results'!M148))</f>
        <v/>
      </c>
      <c r="AX145" s="239" t="str">
        <f t="shared" ca="1" si="44"/>
        <v/>
      </c>
      <c r="AY145" s="9" t="str">
        <f ca="1">IF(B145="","",
IF(AV145=0,"n/a",
IF(OR(AV145="data missing",AW145="data missing"),"data missing",
IF(AV145&gt;7.5,"application rate too high - permissible rate exceeds limit",
IF('Soil results'!$F148&lt;=5.5,
  IF(AW145&gt;80,"no application - soil conc. already above limit",
  IF(AX145&gt;80,"application rate too high - soil conc. will exceed limit",
  IF(AW145&gt;80*0.9,"soil conc. is at or above 90% of the limit",
  IF(10*AV145*1000/3000+AW145&gt;80,"soil limit likely to be exceeded in 10yrs",
  IF(50*AV145*1000/3000+AW145&gt;80,"soil limit likely to be exceeded in 50yrs","ok"))))),
IF('Soil results'!$F148&lt;=6,
  IF(AW145&gt;100,"no application - soil conc. already above limit",
  IF(AX145&gt;100,"application rate too high - soil conc. will exceed limit",
  IF(AW145&gt;100*0.9,"soil conc. is at or above 90% of the limit",
  IF(10*AV145*1000/3000+AW145&gt;100,"soil limit likely to be exceeded in 10yrs",
  IF(50*AV145*1000/3000+AW145&gt;100,"soil limit likely to be exceeded in 50yrs","ok"))))),
IF('Soil results'!$F148&lt;=7,
  IF(AW145&gt;135,"no application - soil conc. already above limit",
  IF(AX145&gt;135,"application rate too high - soil conc. will exceed limit",
  IF(AW145&gt;135*0.9,"soil conc. is at or above 90% of the limit",
  IF(10*AV145*1000/3000+AW145&gt;135,"soil limit likely to be exceeded in 10yrs",
  IF(50*AV145*1000/3000+AW145&gt;135,"soil limit likely to be exceeded in 50yrs","ok"))))),
IF('Soil results'!$F148&gt;7,
  IF(AW145&gt;200,"no application - soil conc. already above limit",
  IF(AX145&gt;200,"application too high - soil conc. will exceed limit",
  IF(AW145&gt;200*0.9,"soil conc. is at or above 90% of the limit",
  IF(10*AV145*1000/3000+AW145&gt;200,"soil limit likely to be exceeded in 10yrs",
  IF(50*AV145*1000/3000+AW145&gt;200,"soil limit likely to be exceeded in 50yrs","ok")))))
))))))))</f>
        <v/>
      </c>
      <c r="AZ145" s="9"/>
      <c r="BA145" s="238" t="str">
        <f ca="1">IF(B145="","",
IF(AND('Field information 2'!$O$5="", 'Field information 2'!$Q$5=""),
   IF('Waste results'!$S$28&lt;&gt;"data missing", Calc!BC143*'Waste results'!$S$28, "data missing"),
IF('Field information 2'!$Q$5="",
   IF(Calc!BD143=0,
     IF('Waste results'!$S$28&lt;&gt;"data missing", Calc!BC143*'Waste results'!$S$28, "data missing"),
   IF(Calc!BC143=0,
     IF('Waste results'!$S$64&lt;&gt;"data missing", Calc!BD143*'Waste results'!$S$64, "data missing"),
   IF(OR('Waste results'!$S$28&lt;&gt;"data missing", 'Waste results'!$S$64&lt;&gt;"data missing"), Calc!BC143*'Waste results'!$S$28+ Calc!BD143*'Waste results'!$S$64, "data missing"))),
IF(AND('Field information 2'!$M$5&lt;&gt;"", 'Field information 2'!$O$5&lt;&gt;"", 'Field information 2'!$Q$5&lt;&gt;""),
   IF(AND(Calc!BD143=0,Calc!BE143=0),
     IF('Waste results'!$S$28&lt;&gt;"data missing", Calc!BC143*'Waste results'!$S$28, "data missing"),
   IF(AND(Calc!BC143=0,Calc!BE143=0),
     IF('Waste results'!$S$64&lt;&gt;"data missing", Calc!BD143*'Waste results'!$S$64, "data missing"),
   IF(AND(Calc!BC143=0,Calc!BD143=0),
     IF('Waste results'!$S$100&lt;&gt;"data missing", Calc!BE143*'Waste results'!$S$100, "data missing"),
   IF(Calc!BE143=0,
     IF(OR('Waste results'!$S$28&lt;&gt;"data missing", 'Waste results'!$S$64&lt;&gt;"data missing"), Calc!BC143*'Waste results'!$S$28+ Calc!BD143*'Waste results'!$S$64, "data missing"),
   IF(Calc!BD143=0,
     IF(OR('Waste results'!$S$28&lt;&gt;"data missing", 'Waste results'!$S$100&lt;&gt;"data missing"), Calc!BC143*'Waste results'!$S$28+ Calc!BE143*'Waste results'!$S$100, "data missing"),
   IF(Calc!BC143=0,
     IF(OR('Waste results'!$S$64&lt;&gt;"data missing", 'Waste results'!$S$100&lt;&gt;"data missing"), Calc!BD143*'Waste results'!$S$64+Calc!BE143*'Waste results'!$S$100, "data missing"),
   IF(OR('Waste results'!$S$28&lt;&gt;"data missing", 'Waste results'!$S$64&lt;&gt;"data missing", 'Waste results'!$S$100&lt;&gt;"data missing"), Calc!BC143*'Waste results'!$S$28+Calc!BD143*'Waste results'!$S$64+ Calc!BE143*'Waste results'!$S$100, "data missing")))))))))))</f>
        <v/>
      </c>
      <c r="BB145" s="239" t="str">
        <f ca="1">IF($B145="","",
IF(ISBLANK('Soil results'!N148),"data missing",'Soil results'!N148))</f>
        <v/>
      </c>
      <c r="BC145" s="239" t="str">
        <f t="shared" ca="1" si="45"/>
        <v/>
      </c>
      <c r="BD145" s="9" t="str">
        <f t="shared" ca="1" si="46"/>
        <v/>
      </c>
      <c r="BE145" s="9"/>
      <c r="BF145" s="238" t="str">
        <f ca="1">IF(B145="","",
IF(AND('Field information 2'!$O$5="", 'Field information 2'!$Q$5=""),
   IF('Waste results'!$S$29&lt;&gt;"data missing", Calc!BC143*'Waste results'!$S$29, "data missing"),
IF('Field information 2'!$Q$5="",
   IF(Calc!BD143=0,
     IF('Waste results'!$S$29&lt;&gt;"data missing", Calc!BC143*'Waste results'!$S$29, "data missing"),
   IF(Calc!BC143=0,
     IF('Waste results'!$S$65&lt;&gt;"data missing", Calc!BD143*'Waste results'!$S$65, "data missing"),
   IF(OR('Waste results'!$S$29&lt;&gt;"data missing", 'Waste results'!$S$65&lt;&gt;"data missing"), Calc!BC143*'Waste results'!$S$29+ Calc!BD143*'Waste results'!$S$65, "data missing"))),
IF(AND('Field information 2'!$M$5&lt;&gt;"", 'Field information 2'!$O$5&lt;&gt;"", 'Field information 2'!$Q$5&lt;&gt;""),
   IF(AND(Calc!BD143=0,Calc!BE143=0),
     IF('Waste results'!$S$29&lt;&gt;"data missing", Calc!BC143*'Waste results'!$S$29, "data missing"),
   IF(AND(Calc!BC143=0,Calc!BE143=0),
     IF('Waste results'!$S$65&lt;&gt;"data missing", Calc!BD143*'Waste results'!$S$65, "data missing"),
   IF(AND(Calc!BC143=0,Calc!BD143=0),
     IF('Waste results'!$S$101&lt;&gt;"data missing", Calc!BE143*'Waste results'!$S$101, "data missing"),
   IF(Calc!BE143=0,
     IF(OR('Waste results'!$S$29&lt;&gt;"data missing", 'Waste results'!$S$65&lt;&gt;"data missing"), Calc!BC143*'Waste results'!$S$29+ Calc!BD143*'Waste results'!$S$65, "data missing"),
   IF(Calc!BD143=0,
     IF(OR('Waste results'!$S$29&lt;&gt;"data missing", 'Waste results'!$S$101&lt;&gt;"data missing"), Calc!BC143*'Waste results'!$S$29+ Calc!BE143*'Waste results'!$S$101, "data missing"),
   IF(Calc!BC143=0,
     IF(OR('Waste results'!$S$65&lt;&gt;"data missing", 'Waste results'!$S$101&lt;&gt;"data missing"), Calc!BD143*'Waste results'!$S$65+Calc!BE143*'Waste results'!$S$101, "data missing"),
   IF(OR('Waste results'!$S$29&lt;&gt;"data missing", 'Waste results'!$S$65&lt;&gt;"data missing", 'Waste results'!$S$101&lt;&gt;"data missing"), Calc!BC143*'Waste results'!$S$29+Calc!BD143*'Waste results'!$S$65+ Calc!BE143*'Waste results'!$S$101, "data missing")))))))))))</f>
        <v/>
      </c>
      <c r="BG145" s="239" t="str">
        <f ca="1">IF($B145="","",
IF(ISBLANK('Soil results'!O148),"data missing",'Soil results'!O148))</f>
        <v/>
      </c>
      <c r="BH145" s="239" t="str">
        <f t="shared" ca="1" si="47"/>
        <v/>
      </c>
      <c r="BI145" s="9" t="str">
        <f ca="1">IF(B145="","",
IF(BF145=0,"n/a",
IF(OR(BF145="data missing",BG145="data missing"),"data missing",
IF(BF145&gt;3,"application rate too high - permissible rate exceeds limit",
IF('Soil results'!F148&lt;=5.5,
  IF(BG145&gt;50,"no application - soil conc. already above limit",
  IF(BH145&gt;50,"application rate too high - soil conc. will exceed limit",
  IF(BG145&gt;50*0.9,"soil conc. is at or above 90% of the limit",
  IF(10*BF145*1000/3000+BG145&gt;50,"soil limit likely to be exceeded in 10yrs",
  IF(50*BF145*1000/3000+BG145&gt;50,"soil limit likely to be exceeded in 50yrs","ok"))))),
IF('Soil results'!F148&lt;=6,
  IF(BG145&gt;60,"no application - soil conc. already above limit",
  IF(BH145&gt;60,"application rate too high - soil conc. will exceed limit",
  IF(BG145&gt;60*0.9,"soil conc. is at or above 90% of the limit",
  IF(10*BF145*1000/3000+BG145&gt;60,"soil limit likely to be exceeded in 10yrs",
  IF(50*BF145*1000/3000+BG145&gt;60,"soil limit likely to be exceeded in 50yrs","ok"))))),
IF('Soil results'!F148&lt;=7,
  IF(BG145&gt;75,"no application - soil conc. already above limit",
  IF(BH145&gt;75,"application rate too high - soil conc. will exceed limit",
  IF(BG145&gt;75*0.9,"soil conc. is at or above 90% of the limit",
  IF(10*BF145*1000/3000+BG145&gt;75,"soil limit likely to be exceeded in 10yrs",
  IF(50*BF145*1000/3000+BG145&gt;75,"soil limit likely to be exceeded in 50yrs","ok"))))),
IF('Soil results'!F148&gt;7,
  IF(BG145&gt;100,"no application - soil conc. already above limit",
  IF(BH145&gt;100,"application rate too high - soil conc. will exceed limit",
  IF(BG145&gt;100*0.9,"soil conc. is at or above 90% of the limit",
  IF(10*BF145*1000/3000+BG145&gt;100,"soil limit likely to be exceeded in 10yrs",
  IF(50*BF145*1000/3000+BG145&gt;100,"soil limit likely to beexceeded in 50yrs","ok")))))
))))))))</f>
        <v/>
      </c>
      <c r="BJ145" s="9"/>
      <c r="BK145" s="240" t="str">
        <f ca="1">IF(B145="","",
IF(AND('Field information 2'!$O$5="", 'Field information 2'!$Q$5=""),
   IF('Waste results'!$S$30&lt;&gt;"data missing", Calc!BC143*'Waste results'!$S$30, "data missing"),
IF('Field information 2'!$Q$5="",
   IF(Calc!BD143=0,
     IF('Waste results'!$S$30&lt;&gt;"data missing", Calc!BC143*'Waste results'!$S$30, "data missing"),
   IF(Calc!BC143=0,
     IF('Waste results'!$S$66&lt;&gt;"data missing", Calc!BD143*'Waste results'!$S$66, "data missing"),
   IF(OR('Waste results'!$S$30&lt;&gt;"data missing", 'Waste results'!$S$66&lt;&gt;"data missing"), Calc!BC143*'Waste results'!$S$30+ Calc!BD143*'Waste results'!$S$66, "data missing"))),
IF(AND('Field information 2'!$M$5&lt;&gt;"", 'Field information 2'!$O$5&lt;&gt;"", 'Field information 2'!$Q$5&lt;&gt;""),
   IF(AND(Calc!BD143=0,Calc!BE143=0),
     IF('Waste results'!$S$30&lt;&gt;"data missing", Calc!BC143*'Waste results'!$S$30, "data missing"),
   IF(AND(Calc!BC143=0,Calc!BE143=0),
     IF('Waste results'!$S$66&lt;&gt;"data missing", Calc!BD143*'Waste results'!$S$66, "data missing"),
   IF(AND(Calc!BC143=0,Calc!BD143=0),
     IF('Waste results'!$S$102&lt;&gt;"data missing", Calc!BE143*'Waste results'!$S$102, "data missing"),
   IF(Calc!BE143=0,
     IF(OR('Waste results'!$S$30&lt;&gt;"data missing", 'Waste results'!$S$66&lt;&gt;"data missing"), Calc!BC143*'Waste results'!$S$30+ Calc!BD143*'Waste results'!$S$66, "data missing"),
   IF(Calc!BD143=0,
     IF(OR('Waste results'!$S$30&lt;&gt;"data missing", 'Waste results'!$S$102&lt;&gt;"data missing"), Calc!BC143*'Waste results'!$S$30+ Calc!BE143*'Waste results'!$S$102, "data missing"),
   IF(Calc!BC143=0,
     IF(OR('Waste results'!$S$66&lt;&gt;"data missing", 'Waste results'!$S$102&lt;&gt;"data missing"), Calc!BD143*'Waste results'!$S$66+Calc!BE143*'Waste results'!$S$102, "data missing"),
   IF(OR('Waste results'!$S$30&lt;&gt;"data missing", 'Waste results'!$S$66&lt;&gt;"data missing", 'Waste results'!$S$102&lt;&gt;"data missing"), Calc!BC143*'Waste results'!$S$30+Calc!BD143*'Waste results'!$S$66+ Calc!BE143*'Waste results'!$S$102, "data missing")))))))))))</f>
        <v/>
      </c>
      <c r="BL145" s="241" t="str">
        <f ca="1">IF($B145="","",
IF(ISBLANK('Soil results'!P148),"data missing",'Soil results'!P148))</f>
        <v/>
      </c>
      <c r="BM145" s="241" t="str">
        <f t="shared" ca="1" si="48"/>
        <v/>
      </c>
      <c r="BN145" s="66" t="str">
        <f t="shared" ca="1" si="49"/>
        <v/>
      </c>
      <c r="BO145" s="9"/>
      <c r="BP145" s="238" t="str">
        <f ca="1">IF(B145="","",
IF(AND('Field information 2'!$O$5="", 'Field information 2'!$Q$5=""),
   IF('Waste results'!$S$31&lt;&gt;"data missing", Calc!BC143*'Waste results'!$S$31, "data missing"),
IF('Field information 2'!$Q$5="",
   IF(Calc!BD143=0,
     IF('Waste results'!$S$31&lt;&gt;"data missing", Calc!BC143*'Waste results'!$S$31, "data missing"),
   IF(Calc!BC143=0,
     IF('Waste results'!$S$67&lt;&gt;"data missing", Calc!BD143*'Waste results'!$S$67, "data missing"),
   IF(OR('Waste results'!$S$31&lt;&gt;"data missing", 'Waste results'!$S$67&lt;&gt;"data missing"), Calc!BC143*'Waste results'!$S$31+ Calc!BD143*'Waste results'!$S$67, "data missing"))),
IF(AND('Field information 2'!$M$5&lt;&gt;"", 'Field information 2'!$O$5&lt;&gt;"", 'Field information 2'!$Q$5&lt;&gt;""),
   IF(AND(Calc!BD143=0,Calc!BE143=0),
     IF('Waste results'!$S$31&lt;&gt;"data missing", Calc!BC143*'Waste results'!$S$31, "data missing"),
   IF(AND(Calc!BC143=0,Calc!BE143=0),
     IF('Waste results'!$S$67&lt;&gt;"data missing", Calc!BD143*'Waste results'!$S$67, "data missing"),
   IF(AND(Calc!BC143=0,Calc!BD143=0),
     IF('Waste results'!$S$103&lt;&gt;"data missing", Calc!BE143*'Waste results'!$S$103, "data missing"),
   IF(Calc!BE143=0,
     IF(OR('Waste results'!$S$31&lt;&gt;"data missing", 'Waste results'!$S$67&lt;&gt;"data missing"), Calc!BC143*'Waste results'!$S$31+ Calc!BD143*'Waste results'!$S$67, "data missing"),
   IF(Calc!BD143=0,
     IF(OR('Waste results'!$S$31&lt;&gt;"data missing", 'Waste results'!$S$103&lt;&gt;"data missing"), Calc!BC143*'Waste results'!$S$31+ Calc!BE143*'Waste results'!$S$103, "data missing"),
   IF(Calc!BC143=0,
     IF(OR('Waste results'!$S$67&lt;&gt;"data missing", 'Waste results'!$S$103&lt;&gt;"data missing"), Calc!BD143*'Waste results'!$S$67+Calc!BE143*'Waste results'!$S$103, "data missing"),
   IF(OR('Waste results'!$S$31&lt;&gt;"data missing", 'Waste results'!$S$67&lt;&gt;"data missing", 'Waste results'!$S$103&lt;&gt;"data missing"), Calc!BC143*'Waste results'!$S$31+Calc!BD143*'Waste results'!$S$67+ Calc!BE143*'Waste results'!$S$103, "data missing")))))))))))</f>
        <v/>
      </c>
      <c r="BQ145" s="239" t="str">
        <f ca="1">IF($B145="","",
IF(ISBLANK('Soil results'!Q148),"data missing",'Soil results'!Q148))</f>
        <v/>
      </c>
      <c r="BR145" s="239" t="str">
        <f t="shared" ca="1" si="50"/>
        <v/>
      </c>
      <c r="BS145" s="9" t="str">
        <f ca="1">IF(B145="","",
IF(BP145=0,"n/a",
IF(OR(BP145="data missing",BQ145=""),"data missing",
IF(BP145&gt;15,"application rate too high - permissible rate exceeds limit",
IF('Soil results'!F148&lt;=5.5,
  IF(BQ145&gt;200,"no application - soil conc. already above limit",
  IF(BR145&gt;200,"application rate too high - soil conc. will exceed limit",
  IF(BQ145&gt;200*0.9,"soil conc. is at or above 90% of the limit",
  IF(10*BP145*1000/3000+BQ145&gt;200,"soil limit likely to be exceeded in 10yrs",
  IF(50*BP145*1000/3000+BQ145&gt;200,"soil limit likely to be exceeded in 50yrs","ok"))))),
IF('Soil results'!F148&lt;=6,
  IF(BQ145&gt;250,"no application - soil conc. already above limit",
  IF(BR145&gt;250,"application rate too high - soil conc. will exceed limit",
  IF(BQ145&gt;250*0.9,"soil conc. is at or above 90% of the limit",
  IF(10*BP145*1000/3000+BQ145&gt;250,"soil limit likely to be exceeded in 10yrs",
  IF(50*BP145*1000/3000+BQ145&gt;250,"soil limit likely to be exceeded in 50yrs","ok"))))),
IF('Soil results'!F148&lt;=7,
  IF(BQ145&gt;300,"no application - soil conc. already above limit",
  IF(BR145&gt;300,"application rate too high - soil conc. will exceed limit",
  IF(BQ145&gt;300*0.9,"soil conc. is at or above 90% of the limit",
  IF(10*BP145*1000/3000+BQ145&gt;300,"soil limit likey to be exceeded in 10yrs",
  IF(50*BP145*1000/3000+BQ145&gt;300,"soil limit likely to be exceeded in 50yrs","ok"))))),
IF('Soil results'!F148&gt;7,
  IF(BQ145&gt;450,"no application - soil conc. already above limit",
  IF(BR145&gt;450,"application rate too high - soil conc. will exceed limit",
  IF(AW145&gt;450*0.9,"soil conc. is at or above 90% of the limit",
  IF(10*BP145*1000/3000+BQ145&gt;450,"soil limit likely to be exceeded in 10yrs",
  IF(50*BP145*1000/3000+BQ145&gt;450,"soil limit likely to be exceeded in 50yrs","ok")))))
))))))))</f>
        <v/>
      </c>
    </row>
    <row r="146" spans="2:71" ht="15" x14ac:dyDescent="0.25">
      <c r="B146" s="236" t="str">
        <f ca="1">'Soil results'!B149</f>
        <v/>
      </c>
      <c r="C146" s="91" t="str">
        <f ca="1">IF(B146="","",
IF(AND('Field information 2'!$O$5="", 'Field information 2'!$Q$5=""),
   IF('Waste results'!$S$12&lt;&gt;"data missing", Calc!BC144*'Waste results'!$S$12, "data missing"),
IF('Field information 2'!$Q$5="",
   IF(Calc!BD144=0,
     IF('Waste results'!$S$12&lt;&gt;"data missing", Calc!BC144*'Waste results'!$S$12, "data missing"),
   IF(Calc!BC144=0,
     IF('Waste results'!$S$48&lt;&gt;"data missing", Calc!BD144*'Waste results'!$S$48, "data missing"),
   IF(OR('Waste results'!$S$12&lt;&gt;"data missing", 'Waste results'!$S$48&lt;&gt;"data missing"), Calc!BC144*'Waste results'!$S$12+ Calc!BD144*'Waste results'!$S$48, "data missing"))),
IF(AND('Field information 2'!$M$5&lt;&gt;"", 'Field information 2'!$O$5&lt;&gt;"", 'Field information 2'!$Q$5&lt;&gt;""),
   IF(AND(Calc!BD144=0,Calc!BE144=0),
     IF('Waste results'!$S$12&lt;&gt;"data missing", Calc!BC144*'Waste results'!$S$12, "data missing"),
   IF(AND(Calc!BC144=0,Calc!BE144=0),
     IF('Waste results'!$S$48&lt;&gt;"data missing", Calc!BD144*'Waste results'!$S$48, "data missing"),
   IF(AND(Calc!BC144=0,Calc!BD144=0),
     IF('Waste results'!$S$84&lt;&gt;"data missing", Calc!BE144*'Waste results'!$S$84, "data missing"),
   IF(Calc!BE144=0,
     IF(OR('Waste results'!$S$12&lt;&gt;"data missing", 'Waste results'!$S$48&lt;&gt;"data missing"), Calc!BC144*'Waste results'!$S$12+ Calc!BD144*'Waste results'!$S$48, "data missing"),
   IF(Calc!BD144=0,
     IF(OR('Waste results'!$S$12&lt;&gt;"data missing", 'Waste results'!$S$84&lt;&gt;"data missing"), Calc!BC144*'Waste results'!$S$12+ Calc!BE144*'Waste results'!$S$84, "data missing"),
   IF(Calc!BC144=0,
     IF(OR('Waste results'!$S$48&lt;&gt;"data missing", 'Waste results'!$S$84&lt;&gt;"data missing"), Calc!BD144*'Waste results'!$S$48+Calc!BE144*'Waste results'!$S$84, "data missing"),
   IF(OR('Waste results'!$S$12&lt;&gt;"data missing", 'Waste results'!$S$48&lt;&gt;"data missing", 'Waste results'!$S$84&lt;&gt;"data missing"), Calc!BC144*'Waste results'!$S$12+Calc!BD144*'Waste results'!$S$48+ Calc!BE144*'Waste results'!$S$84, "data missing")))))))))))</f>
        <v/>
      </c>
      <c r="D146" s="161" t="str">
        <f ca="1">IF(B146="","",
IF(Calc!BG144="","soil texture missing",
IF(OR(Calc!BG144="SL; SZL; ZL",Calc!BG144="SCL; CL; ZCL; SC; ZC; C"),VLOOKUP(Calc!BI144,'Fertiliser recommendations'!$A$4:$C$63,3,FALSE),
IF(Calc!BG144="S; LS",VLOOKUP(Calc!BI144,'Fertiliser recommendations'!$A$4:$C$63,3,FALSE)+VLOOKUP(Calc!BI144,'Fertiliser recommendations'!$A$4:$D$63,4,FALSE),
IF(Calc!BG144="10-25% OM",VLOOKUP(Calc!BI144,'Fertiliser recommendations'!$A$4:$C$63,3,FALSE)+VLOOKUP(Calc!BI144,'Fertiliser recommendations'!$A$4:$E$63,5,FALSE),
IF(Calc!BG144="&gt;25% OM",VLOOKUP(Calc!BI144,'Fertiliser recommendations'!$A$4:$C$63,3,FALSE)+VLOOKUP(Calc!BI144,'Fertiliser recommendations'!$A$4:$F$63,6,FALSE),
""))))))</f>
        <v/>
      </c>
      <c r="E146" s="91" t="str">
        <f t="shared" ca="1" si="34"/>
        <v/>
      </c>
      <c r="F146" s="9" t="str">
        <f ca="1">IF(B146="","",
IF(OR(C146="data missing",D146="soil texture missing"),"data missing",
IF(Calc!BF144=0,"n/a",
IF(C146&lt;0.1*D146,"no benefit",
IF(C146&lt;0.3*D146,"limited benefit",
IF(C146&gt;250,"exceeds limit",
IF(OR(AND(D146=0,C146&gt;75),C146&gt;1.25*D146),"excessive",
IF(D146=0, "no requirement",
"benefit"))))))))</f>
        <v/>
      </c>
      <c r="G146" s="9"/>
      <c r="H146" s="91" t="str">
        <f ca="1">IF(B146="","",
IF(AND('Field information 2'!$O$5="", 'Field information 2'!$Q$5=""),
   IF('Waste results'!$S$17&lt;&gt;"data missing", Calc!BC144*'Waste results'!$S$17, "data missing"),
IF('Field information 2'!$Q$5="",
   IF(Calc!BD144=0,
     IF('Waste results'!$S$17&lt;&gt;"data missing", Calc!BC144*'Waste results'!$S$17, "data missing"),
   IF(Calc!BC144=0,
     IF('Waste results'!$S$53&lt;&gt;"data missing", Calc!BD144*'Waste results'!$S$53, "data missing"),
   IF(OR('Waste results'!$S$17&lt;&gt;"data missing", 'Waste results'!$S$53&lt;&gt;"data missing"), Calc!BC144*'Waste results'!$S$17+ Calc!BD144*'Waste results'!$S$53, "data missing"))),
IF(AND('Field information 2'!$M$5&lt;&gt;"", 'Field information 2'!$O$5&lt;&gt;"", 'Field information 2'!$Q$5&lt;&gt;""),
   IF(AND(Calc!BD144=0,Calc!BE144=0),
     IF('Waste results'!$S$17&lt;&gt;"data missing", Calc!BC144*'Waste results'!$S$17, "data missing"),
   IF(AND(Calc!BC144=0,Calc!BE144=0),
     IF('Waste results'!$S$53&lt;&gt;"data missing", Calc!BD144*'Waste results'!$S$53, "data missing"),
   IF(AND(Calc!BC144=0,Calc!BD144=0),
     IF('Waste results'!$S$89&lt;&gt;"data missing", Calc!BE144*'Waste results'!$S$89, "data missing"),
   IF(Calc!BE144=0,
     IF(OR('Waste results'!$S$17&lt;&gt;"data missing", 'Waste results'!$S$53&lt;&gt;"data missing"), Calc!BC144*'Waste results'!$S$17+ Calc!BD144*'Waste results'!$S$53, "data missing"),
   IF(Calc!BD144=0,
     IF(OR('Waste results'!$S$17&lt;&gt;"data missing", 'Waste results'!$S$89&lt;&gt;"data missing"), Calc!BC144*'Waste results'!$S$17+ Calc!BE144*'Waste results'!$S$89, "data missing"),
   IF(Calc!BC144=0,
     IF(OR('Waste results'!$S$53&lt;&gt;"data missing", 'Waste results'!$S$89&lt;&gt;"data missing"), Calc!BD144*'Waste results'!$S$53+Calc!BE144*'Waste results'!$S$89, "data missing"),
   IF(OR('Waste results'!$S$17&lt;&gt;"data missing", 'Waste results'!$S$53&lt;&gt;"data missing", 'Waste results'!$S$89&lt;&gt;"data missing"), Calc!BC144*'Waste results'!$S$17+Calc!BD144*'Waste results'!$S$53+ Calc!BE144*'Waste results'!$S$89, "data missing")))))))))))</f>
        <v/>
      </c>
      <c r="I146" s="195" t="str">
        <f ca="1">IF(B146="","",
IF(OR(ISBLANK('Soil results'!G149), ISBLANK('Soil results'!G$7)),"data missing",
IF(OR(AND('Soil results'!G$7="Olsen (ADAS)",'Soil results'!G149&lt;16),AND('Soil results'!G$7="modified Morgan (SAC)",'Soil results'!G149&lt;4.5)),50,100)))</f>
        <v/>
      </c>
      <c r="J146" s="49" t="str">
        <f ca="1">IF(B146="","",
IF(OR(ISBLANK('Soil results'!G$7),ISBLANK('Soil results'!G149)),"data missing",
IF(OR(AND('Soil results'!G$7="Olsen (ADAS)",'Soil results'!G149&gt;45),AND('Soil results'!G$7="modified Morgan (SAC)",'Soil results'!G149&gt;30)),0,
IF(OR(AND('Soil results'!G$7="Olsen (ADAS)",'Soil results'!G149&gt;=16,'Soil results'!G149&lt;=20),AND('Soil results'!G$7="modified Morgan (SAC)",'Soil results'!G149&gt;=4.5,'Soil results'!G149&lt;=9.4)),VLOOKUP(Calc!BI144,'Fertiliser recommendations'!$A$4:$I$63,9,FALSE),
IF(OR(AND('Soil results'!G$7="Olsen (ADAS)",'Soil results'!G149&lt;10),AND('Soil results'!G$7="modified Morgan (SAC)",'Soil results'!G149&lt;1.8)),VLOOKUP(Calc!BI144,'Fertiliser recommendations'!$A$4:$I$63,9,FALSE)+VLOOKUP(Calc!BI144,'Fertiliser recommendations'!$A$4:$J$63,10,FALSE),
IF(OR(AND('Soil results'!G$7="Olsen (ADAS)",'Soil results'!G149&lt;16),AND('Soil results'!G$7="modified Morgan (SAC)",'Soil results'!G149&lt;4.5)),VLOOKUP(Calc!BI144,'Fertiliser recommendations'!$A$4:$I$63,9,FALSE)+VLOOKUP(Calc!BI144,'Fertiliser recommendations'!$A$4:$K$63,11,FALSE),
IF(OR(AND('Soil results'!G$7="Olsen (ADAS)",'Soil results'!G149&lt;26),AND('Soil results'!G$7="modified Morgan (SAC)",'Soil results'!G149&lt;13.5)),VLOOKUP(Calc!BI144,'Fertiliser recommendations'!$A$4:$I$63,9,FALSE)+VLOOKUP(Calc!BI144,'Fertiliser recommendations'!$A$4:$L$63,12,FALSE),
IF(OR(AND('Soil results'!G$7="Olsen (ADAS)",'Soil results'!G149&lt;=45),AND('Soil results'!G$7="modified Morgan (SAC)",'Soil results'!G149&lt;=30)),VLOOKUP(Calc!BI144,'Fertiliser recommendations'!$A$4:$I$63,9,FALSE)+VLOOKUP(Calc!BI144,'Fertiliser recommendations'!$A$4:$M$63,13,FALSE),
""))))))))</f>
        <v/>
      </c>
      <c r="K146" s="161" t="str">
        <f t="shared" ca="1" si="35"/>
        <v/>
      </c>
      <c r="L146" s="47" t="str">
        <f ca="1">IF(OR(ISBLANK('Soil results'!G$7),ISBLANK('Soil results'!G149),B146="", H146="data missing"),"",
IF('Soil results'!G$7="Olsen (ADAS)",
IF(((H146*Calc!BM144/2.291-(VLOOKUP(Calc!BI144,'Fertiliser recommendations'!$A$4:$I$63,9,FALSE))/2.291)*10/(400/2.291)+'Soil results'!G149)&lt;10,"0 (VL)",
IF(((H146*Calc!BM144/2.291-(VLOOKUP(Calc!BI144,'Fertiliser recommendations'!$A$4:$I$63,9,FALSE))/2.291)*10/(400/2.291)+'Soil results'!G149)&lt;16,"1 (L)",
IF(((H146*Calc!BM144/2.291-(VLOOKUP(Calc!BI144,'Fertiliser recommendations'!$A$4:$I$63,9,FALSE))/2.291)*10/(400/2.291)+'Soil results'!G149)&lt;21,"2 (M-)",
IF(((H146*Calc!BM144/2.291-(VLOOKUP(Calc!BI144,'Fertiliser recommendations'!$A$4:$I$63,9,FALSE))/2.291)*10/(400/2.291)+'Soil results'!G149)&lt;26,"2 (M+)",
IF(((H146*Calc!BM144/2.291-(VLOOKUP(Calc!BI144,'Fertiliser recommendations'!$A$4:$I$63,9,FALSE))/2.291)*10/(400/2.291)+'Soil results'!G149)&lt;45,"3 (H)","&gt;3 (VH)"))))),
IF('Soil results'!G$7="modified Morgan (SAC)",
IF('Soil results'!G149&gt;=6,
IF(((H146*Calc!BM144/2.291-(VLOOKUP(Calc!BI144,'Fertiliser recommendations'!$A$4:$I$63,9,FALSE))/2.291)*5/(147/2.291)+'Soil results'!G149)&lt;9.5,"2 (M-)",
IF(((H146*Calc!BM144/2.291-(VLOOKUP(Calc!BI144,'Fertiliser recommendations'!$A$4:$I$63,9,FALSE))/2.291)*5/(147/2.291)+'Soil results'!G149)&lt;13.5,"2 (M+)",
IF(((H146*Calc!BM144/2.291-(VLOOKUP(Calc!BI144,'Fertiliser recommendations'!$A$4:$I$63,9,FALSE))/2.291)*5/(147/2.291)+'Soil results'!G149)&lt;30,"3 (H)","4 (VH)"))),
IF(((H146*Calc!BM144/2.291-(VLOOKUP(Calc!BI144,'Fertiliser recommendations'!$A$4:$I$63,9,FALSE))/2.291)*5/(346/2.291)+'Soil results'!G149)&lt;1.8,"0 (VL)",
IF(((H146*Calc!BM144/2.291-(VLOOKUP(Calc!BI144,'Fertiliser recommendations'!$A$4:$I$63,9,FALSE))/2.291)*5/(147/2.291)+'Soil results'!G149)&lt;4.5,"1 (L)","2 (M-)"))))))</f>
        <v/>
      </c>
      <c r="M146" s="9" t="str">
        <f ca="1">IF(B146="","",
IF(OR(H146="data missing",I146="data missing",J146="data missing"),"data missing",
IF(Calc!BF144=0,"n/a",
IF(OR(AND('Soil results'!G$7="Olsen (ADAS)",'Soil results'!G149&gt;45),AND('Soil results'!G$7="modified Morgan (SAC)",'Soil results'!G149&gt;30)),
IF(H146&gt;2,"too high, not acceptable","no requirement"),IF(OR(AND('Soil results'!G$7="Olsen (ADAS)",'Soil results'!G149&gt;25),AND('Soil results'!G$7="modified Morgan (SAC)",'Soil results'!G149&gt;13.4)),
IF(H146*(I146/100)&lt;0.1*J146,"no benefit",
IF(H146*(I146/100)&lt;0.3*J146,"limited benefit",
IF(H146*(I146/100)&lt;1.1*J146,"benefit",
IF(H146*(I146/100)&lt;0.7*VLOOKUP(Calc!BI144,'Fertiliser recommendations'!$A$4:$I$63,9,FALSE),"excessive","too high, not acceptable")))),
IF(OR(AND('Soil results'!G$7="Olsen (ADAS)",'Soil results'!G149&gt;20),AND('Soil results'!G$7="modified Morgan (SAC)",'Soil results'!G149&gt;9.4)),
IF(H146*Calc!BM144*(I146/100)&lt;0.1*J146,"no benefit",
IF(H146*Calc!BM144*(I146/100)&lt;0.3*J146,"limited benefit",
IF(H146*Calc!BM144*(I146/100)&lt;1.1*J146,"benefit",
IF(L146="3 (H)","too high, not acceptable","excessive")))),
IF(OR(AND('Soil results'!G$7="Olsen (ADAS)",'Soil results'!G149&gt;15),AND('Soil results'!G$7="modified Morgan (SAC)",'Soil results'!G149&gt;4.4)),
IF(H146*Calc!BM144*(I146/100)&lt;0.1*VLOOKUP(Calc!BI144,'Fertiliser recommendations'!$A$4:$I$63,9,FALSE),"no benefit",
IF(H146*Calc!BM144*(I146/100)&lt;0.3*VLOOKUP(Calc!BI144,'Fertiliser recommendations'!$A$4:$I$63,9,FALSE),"limited benefit",
IF(H146*Calc!BM144*(I146/100)&lt;1.1*VLOOKUP(Calc!BI144,'Fertiliser recommendations'!$A$4:$I$63,9,FALSE),"benefit",
IF(L146="3 (H)", "too high, not acceptable", "excessive")))),
IF(OR(AND('Soil results'!G$7="Olsen (ADAS)",'Soil results'!G149&lt;=15),AND('Soil results'!G$7="modified Morgan (SAC)",'Soil results'!G149&lt;=4.4)),
IF(H146*Calc!BM144*(I146/100)&lt;0.1*VLOOKUP(Calc!BI144,'Fertiliser recommendations'!$A$4:$I$63,9,FALSE),"no benefit",
IF(H146*Calc!BM144*(I146/100)&lt;0.3*VLOOKUP(Calc!BI144,'Fertiliser recommendations'!$A$4:$I$63,9,FALSE),"limited benefit",
IF(H146*Calc!BM144*(I146/100)&lt;1.1*J146,"benefit","excessive")))))))))))</f>
        <v/>
      </c>
      <c r="N146" s="9"/>
      <c r="O146" s="91" t="str">
        <f ca="1">IF(B146="","",
IF(AND('Field information 2'!$O$5="", 'Field information 2'!$Q$5=""),
   IF('Waste results'!$S$19&lt;&gt;"data missing", Calc!BC144*'Waste results'!$S$19, "data missing"),
IF('Field information 2'!$Q$5="",
   IF(Calc!BD144=0,
     IF('Waste results'!$S$19&lt;&gt;"data missing", Calc!BC144*'Waste results'!$S$19, "data missing"),
   IF(Calc!BC144=0,
     IF('Waste results'!$S$55&lt;&gt;"data missing", Calc!BD144*'Waste results'!$S$55, "data missing"),
   IF(OR('Waste results'!$S$19&lt;&gt;"data missing", 'Waste results'!$S$55&lt;&gt;"data missing"), Calc!BC144*'Waste results'!$S$19+ Calc!BD144*'Waste results'!$S$55, "data missing"))),
IF(AND('Field information 2'!$M$5&lt;&gt;"", 'Field information 2'!$O$5&lt;&gt;"", 'Field information 2'!$Q$5&lt;&gt;""),
   IF(AND(Calc!BD144=0,Calc!BE144=0),
     IF('Waste results'!$S$19&lt;&gt;"data missing", Calc!BC144*'Waste results'!$S$19, "data missing"),
   IF(AND(Calc!BC144=0,Calc!BE144=0),
     IF('Waste results'!$S$55&lt;&gt;"data missing", Calc!BD144*'Waste results'!$S$55, "data missing"),
   IF(AND(Calc!BC144=0,Calc!BD144=0),
     IF('Waste results'!$S$91&lt;&gt;"data missing", Calc!BE144*'Waste results'!$S$91, "data missing"),
   IF(Calc!BE144=0,
     IF(OR('Waste results'!$S$19&lt;&gt;"data missing", 'Waste results'!$S$55&lt;&gt;"data missing"), Calc!BC144*'Waste results'!$S$19+ Calc!BD144*'Waste results'!$S$55, "data missing"),
   IF(Calc!BD144=0,
     IF(OR('Waste results'!$S$19&lt;&gt;"data missing", 'Waste results'!$S$91&lt;&gt;"data missing"), Calc!BC144*'Waste results'!$S$19+ Calc!BE144*'Waste results'!$S$91, "data missing"),
   IF(Calc!BC144=0,
     IF(OR('Waste results'!$S$55&lt;&gt;"data missing", 'Waste results'!$S$91&lt;&gt;"data missing"), Calc!BD144*'Waste results'!$S$55+Calc!BE144*'Waste results'!$S$91, "data missing"),
   IF(OR('Waste results'!$S$19&lt;&gt;"data missing", 'Waste results'!$S$55&lt;&gt;"data missing", 'Waste results'!$S$91&lt;&gt;"data missing"), Calc!BC144*'Waste results'!$S$19+Calc!BD144*'Waste results'!$S$55+ Calc!BE144*'Waste results'!$S$91, "data missing")))))))))))</f>
        <v/>
      </c>
      <c r="P146" s="91" t="str">
        <f ca="1">IF(B146="","",
IF(OR(ISBLANK('Soil results'!H$7),ISBLANK('Soil results'!H149)),"data missing",
IF(OR(AND('Soil results'!H$7="ammonium nitrate (ADAS)",'Soil results'!H149&gt;400),AND('Soil results'!H$7="modified Morgan (SAC)",'Soil results'!H149&gt;400)),0,
IF(OR(AND('Soil results'!H$7="ammonium nitrate (ADAS)",'Soil results'!H149&gt;=121,'Soil results'!H149&lt;=180),AND('Soil results'!H$7="modified Morgan (SAC)",'Soil results'!H149&gt;=76,'Soil results'!H149&lt;=140)),VLOOKUP(Calc!BI144,'Fertiliser recommendations'!$A$4:$Z$63,26,FALSE),
IF(OR(AND('Soil results'!H$7="ammonium nitrate (ADAS)",'Soil results'!H149&lt;61),AND('Soil results'!H$7="modified Morgan (SAC)",'Soil results'!H149&lt;40)),VLOOKUP(Calc!BI144,'Fertiliser recommendations'!$A$4:$Z$63,26,FALSE)+VLOOKUP(Calc!BI144,'Fertiliser recommendations'!$A$4:$AA$63,27,FALSE),
IF(OR(AND('Soil results'!H$7="ammonium nitrate (ADAS)",'Soil results'!H149&lt;121),AND('Soil results'!H$7="modified Morgan (SAC)",'Soil results'!H149&lt;76)),VLOOKUP(Calc!BI144,'Fertiliser recommendations'!$A$4:$Z$63,26,FALSE)+VLOOKUP(Calc!BI144,'Fertiliser recommendations'!$A$4:$AB$63,28,FALSE),
IF(OR(AND('Soil results'!H$7="ammonium nitrate (ADAS)",'Soil results'!H149&lt;241),AND('Soil results'!H$7="modified Morgan (SAC)",'Soil results'!H149&lt;201)),VLOOKUP(Calc!BI144,'Fertiliser recommendations'!$A$4:$Z$63,26,FALSE)+VLOOKUP(Calc!BI144,'Fertiliser recommendations'!$A$4:$AC$63,29,FALSE),
IF(OR(AND('Soil results'!H$7="ammonium nitrate (ADAS)",'Soil results'!H149&lt;=400),AND('Soil results'!H$7="modified Morgan (SAC)",'Soil results'!H149&lt;=400)),VLOOKUP(Calc!BI144,'Fertiliser recommendations'!$A$4:$Z$63,26,FALSE)+VLOOKUP(Calc!BI144,'Fertiliser recommendations'!$A$4:$AD$63,30,FALSE),
"??"))))))))</f>
        <v/>
      </c>
      <c r="Q146" s="91" t="str">
        <f t="shared" ca="1" si="36"/>
        <v/>
      </c>
      <c r="R146" s="9" t="str">
        <f ca="1">IF(B146="","",
IF(OR(O146="data missing",P146="data missing"),"data missing",
IF(Calc!BF144=0,"n/a",
IF(P146=0, "no requirement",
IF(O146&lt;0.1*P146,"no benefit",
IF(O146&lt;0.3*P146,"limited benefit",
IF(O146&gt;1.25*P146,"excessive",
"benefit")))))))</f>
        <v/>
      </c>
      <c r="S146" s="9"/>
      <c r="T146" s="91" t="str">
        <f ca="1">IF(B146="","",
IF(AND('Field information 2'!$O$5="", 'Field information 2'!$Q$5=""),
   IF('Waste results'!$S$21&lt;&gt;"data missing", Calc!BC144*'Waste results'!$S$21, "data missing"),
IF('Field information 2'!$Q$5="",
   IF(Calc!BD144=0,
     IF('Waste results'!$S$21&lt;&gt;"data missing", Calc!BC144*'Waste results'!$S$21, "data missing"),
   IF(Calc!BC144=0,
     IF('Waste results'!$S$57&lt;&gt;"data missing", Calc!BD144*'Waste results'!$S$57, "data missing"),
   IF(OR('Waste results'!$S$21&lt;&gt;"data missing", 'Waste results'!$S$57&lt;&gt;"data missing"), Calc!BC144*'Waste results'!$S$21+ Calc!BD144*'Waste results'!$S$57, "data missing"))),
IF(AND('Field information 2'!$M$5&lt;&gt;"", 'Field information 2'!$O$5&lt;&gt;"", 'Field information 2'!$Q$5&lt;&gt;""),
   IF(AND(Calc!BD144=0,Calc!BE144=0),
     IF('Waste results'!$S$21&lt;&gt;"data missing", Calc!BC144*'Waste results'!$S$21, "data missing"),
   IF(AND(Calc!BC144=0,Calc!BE144=0),
     IF('Waste results'!$S$57&lt;&gt;"data missing", Calc!BD144*'Waste results'!$S$57, "data missing"),
   IF(AND(Calc!BC144=0,Calc!BD144=0),
     IF('Waste results'!$S$93&lt;&gt;"data missing", Calc!BE144*'Waste results'!$S$93, "data missing"),
   IF(Calc!BE144=0,
     IF(OR('Waste results'!$S$21&lt;&gt;"data missing", 'Waste results'!$S$57&lt;&gt;"data missing"), Calc!BC144*'Waste results'!$S$21+ Calc!BD144*'Waste results'!$S$57, "data missing"),
   IF(Calc!BD144=0,
     IF(OR('Waste results'!$S$21&lt;&gt;"data missing", 'Waste results'!$S$93&lt;&gt;"data missing"), Calc!BC144*'Waste results'!$S$21+ Calc!BE144*'Waste results'!$S$93, "data missing"),
   IF(Calc!BC144=0,
     IF(OR('Waste results'!$S$57&lt;&gt;"data missing", 'Waste results'!$S$93&lt;&gt;"data missing"), Calc!BD144*'Waste results'!$S$57+Calc!BE144*'Waste results'!$S$93, "data missing"),
   IF(OR('Waste results'!$S$21&lt;&gt;"data missing", 'Waste results'!$S$57&lt;&gt;"data missing", 'Waste results'!$S$93&lt;&gt;"data missing"), Calc!BC144*'Waste results'!$S$21+Calc!BD144*'Waste results'!$S$57+ Calc!BE144*'Waste results'!$S$93, "data missing")))))))))))</f>
        <v/>
      </c>
      <c r="U146" s="7" t="str">
        <f ca="1">IF(B146="","",
IF(OR(ISBLANK('Soil results'!I$7),ISBLANK('Soil results'!I149)),"data missing",
IF(OR(AND('Soil results'!I$7="ammonium nitrate (ADAS)",'Soil results'!I149&gt;51),AND('Soil results'!I$7="modified Morgan (SAC)",'Soil results'!I149&gt;61)),0,
IF(OR(AND('Soil results'!I$7="ammonium nitrate (ADAS)",'Soil results'!I149&lt;25),AND('Soil results'!I$7="modified Morgan (SAC)",'Soil results'!I149&lt;19)),VLOOKUP(Calc!BI144,'Fertiliser recommendations'!$A$4:$AH$63,34,FALSE),
IF(OR(AND('Soil results'!I$7="ammonium nitrate (ADAS)",'Soil results'!I149&lt;=51),AND('Soil results'!I$7="modified Morgan (SAC)",'Soil results'!I149&lt;=61)),VLOOKUP(Calc!BI144,'Fertiliser recommendations'!$A$4:$AI$63,35,FALSE),
"")))))</f>
        <v/>
      </c>
      <c r="V146" s="91" t="str">
        <f t="shared" ca="1" si="37"/>
        <v/>
      </c>
      <c r="W146" s="9" t="str">
        <f ca="1">IF(B146="","",
IF(OR(T146="data missing",U146="data missing"),"data missing",
IF(Calc!BF144=0,"n/a",
IF(U146=0,"no requirement",
IF(T146&lt;0.1*U146,"no benefit",
IF(T146&lt;0.3*U146,"limited benefit",
IF(OR(T146&gt;1.5*U146,AND(Calc!BJ144="g",T146&gt;100)),"excessive",
"benefit")))))))</f>
        <v/>
      </c>
      <c r="X146" s="9"/>
      <c r="Y146" s="91" t="str">
        <f ca="1">IF(B146="","",
IF(AND('Field information 2'!$O$5="", 'Field information 2'!$Q$5=""),
   IF('Waste results'!$P$23&lt;&gt;"", Calc!BC144*'Waste results'!$P$23, "no data"),
IF('Field information 2'!$Q$5="",
   IF(Calc!BD144=0,
     IF('Waste results'!$P$23&lt;&gt;"", Calc!BC144*'Waste results'!$P$23, "no data"),
   IF(Calc!BC144=0,
     IF('Waste results'!$P$59&lt;&gt;"", Calc!BD144*'Waste results'!$P$59, "no data"),
   IF(OR('Waste results'!$P$23&lt;&gt;"", 'Waste results'!$P$59&lt;&gt;""), Calc!BC144*'Waste results'!$P$23+ Calc!BD144*'Waste results'!$P$59, "no data"))),
IF(AND('Field information 2'!$M$5&lt;&gt;"", 'Field information 2'!$O$5&lt;&gt;"", 'Field information 2'!$Q$5&lt;&gt;""),
   IF(AND(Calc!BD144=0,Calc!BE144=0),
     IF('Waste results'!$P$23&lt;&gt;"", Calc!BC144*'Waste results'!$P$23, "no data"),
   IF(AND(Calc!BC144=0,Calc!BE144=0),
     IF('Waste results'!$P$59&lt;&gt;"", Calc!BD144*'Waste results'!$P$59, "no data"),
   IF(AND(Calc!BC144=0,Calc!BD144=0),
     IF('Waste results'!$P$95&lt;&gt;"", Calc!BE144*'Waste results'!$P$95, "no data"),
   IF(Calc!BE144=0,
     IF(OR('Waste results'!$P$23&lt;&gt;"", 'Waste results'!$P$59&lt;&gt;""), Calc!BC144*'Waste results'!$P$23+ Calc!BD144*'Waste results'!$P$59, "no data"),
   IF(Calc!BD144=0,
     IF(OR('Waste results'!$P$23&lt;&gt;"", 'Waste results'!$P$95&lt;&gt;""), Calc!BC144*'Waste results'!$P$23+ Calc!BE144*'Waste results'!$P$95, "no data"),
   IF(Calc!BC144=0,
     IF(OR('Waste results'!$P$59&lt;&gt;"", 'Waste results'!$P$95&lt;&gt;""), Calc!BD144*'Waste results'!$P$59+Calc!BE144*'Waste results'!$P$95, "no data"),
   IF(OR('Waste results'!$P$23&lt;&gt;"", 'Waste results'!$P$59&lt;&gt;"", 'Waste results'!$P$95&lt;&gt;""), Calc!BC144*'Waste results'!$P$23+Calc!BD144*'Waste results'!$P$59+ Calc!BE144*'Waste results'!$P$95, "no data")))))))))))</f>
        <v/>
      </c>
      <c r="Z146" s="7" t="str">
        <f ca="1">IF(OR(ISBLANK('Soil results'!I$7),ISBLANK('Soil results'!I149),'Soil results'!B149=""),"",
VLOOKUP(Calc!BI144,'Fertiliser recommendations'!$A$4:$AM$63,39,FALSE))</f>
        <v/>
      </c>
      <c r="AA146" s="91" t="str">
        <f t="shared" ca="1" si="38"/>
        <v/>
      </c>
      <c r="AB146" s="9" t="str">
        <f t="shared" ca="1" si="39"/>
        <v/>
      </c>
      <c r="AC146" s="9"/>
      <c r="AD146" s="48" t="str">
        <f>IF(ISBLANK('Soil results'!F149),"",'Soil results'!F149)</f>
        <v/>
      </c>
      <c r="AE146" s="49" t="str">
        <f ca="1">IF(B146="","",
IF(AND(Calc!BJ144="g", VLOOKUP(LEFT($B146,LEN($B146)-2),'Field information 2'!$B$12:$P$111,9,FALSE)&lt;&gt;"yes"),
 IF(Calc!BG144="10-25% OM", 5.9, IF(Calc!BG144="&gt;25% OM", 5.5, 6.2)),
IF(OR(Calc!BJ144="a", VLOOKUP(LEFT($B146,LEN($B146)-2),'Field information 2'!$B$12:$P$111,9,FALSE)="yes"),
 IF(Calc!BG144="10-25% OM", 6.4, IF(Calc!BG144="&gt;25% OM", 6, 6.7)), "")))</f>
        <v/>
      </c>
      <c r="AF146" s="91" t="str">
        <f ca="1">IF(B146="","",
IF('Waste results'!$Q$33="","no (significant) liming properties",
IF('Waste results'!Q$33&gt;100,"no (significant) liming properties",
IF(AD146="","",
IF(AD146&gt;=AE146,0,ROUNDDOWN((AE146-AD146)*Calc!BK144*'Waste results'!$Q$33+0.2,0))))))</f>
        <v/>
      </c>
      <c r="AG146" s="9" t="str">
        <f ca="1">IF(B146="","",
IF(T146=0,"n/a",
IF(AD146="","data missing",
IF(AND(AD146&lt;5,AF146="no (significant) liming properties"),"no waste application - pH too low",
IF(AND(AD146&gt;5.1,AF146="no (significant) liming properties",Calc!BH144&gt;25, LEFT(Calc!BI144,4)="graz"),"ok",
IF(AND(AD146&lt;=5.2,AF146="no (significant) liming properties"),"liming highly recommended",
IF(AF146=0,"no waste application - liming not required",
IF(AF146&lt;Calc!BC144,"application rate too high - exceeds liming requirement",
"ok"))))))))</f>
        <v/>
      </c>
      <c r="AH146" s="9"/>
      <c r="AI146" s="91" t="str">
        <f ca="1">IF(B146="","",
IF(AND('Field information 2'!$O$5="", 'Field information 2'!$Q$5=""),
   IF('Waste results'!$P$10&lt;&gt;"data missing", Calc!BC144*'Waste results'!$P$10, "data missing"),
IF('Field information 2'!$Q$5="",
   IF(Calc!BD144=0,
     IF('Waste results'!$P$10&lt;&gt;"data missing", Calc!BC144*'Waste results'!$P$10, "data missing"),
   IF(Calc!BC144=0,
     IF('Waste results'!$P$45&lt;&gt;"data missing", Calc!BD144*'Waste results'!$P$45, "data missing"),
   IF(OR('Waste results'!$P$10&lt;&gt;"data missing", 'Waste results'!$P$45&lt;&gt;"data missing"), Calc!BC144*'Waste results'!$P$10+ Calc!BD144*'Waste results'!$P$45, "data missing"))),
IF(AND('Field information 2'!$M$5&lt;&gt;"", 'Field information 2'!$O$5&lt;&gt;"", 'Field information 2'!$Q$5&lt;&gt;""),
   IF(AND(Calc!BD144=0,Calc!BE144=0),
     IF('Waste results'!$P$10&lt;&gt;"data missing", Calc!BC144*'Waste results'!$P$10, "data missing"),
   IF(AND(Calc!BC144=0,Calc!BE144=0),
     IF('Waste results'!$P$45&lt;&gt;"data missing", Calc!BD144*'Waste results'!$P$45, "data missing"),
   IF(AND(Calc!BC144=0,Calc!BD144=0),
     IF('Waste results'!$P$82&lt;&gt;"data missing", Calc!BE144*'Waste results'!$P$82, "data missing"),
   IF(Calc!BE144=0,
     IF(OR('Waste results'!$P$10&lt;&gt;"data missing", 'Waste results'!$P$45&lt;&gt;"data missing"), Calc!BC144*'Waste results'!$P$10+ Calc!BD144*'Waste results'!$P$45, "data missing"),
   IF(Calc!BD144=0,
     IF(OR('Waste results'!$P$10&lt;&gt;"data missing", 'Waste results'!$P$82&lt;&gt;"data missing"), Calc!BC144*'Waste results'!$P$10+ Calc!BE144*'Waste results'!$P$82, "data missing"),
   IF(Calc!BC144=0,
     IF(OR('Waste results'!$P$45&lt;&gt;"data missing", 'Waste results'!$P$82&lt;&gt;"data missing"), Calc!BD144*'Waste results'!$P$45+Calc!BE144*'Waste results'!$P$82, "data missing"),
   IF(OR('Waste results'!$P$10&lt;&gt;"data missing", 'Waste results'!$P$45&lt;&gt;"data missing", 'Waste results'!$P$82&lt;&gt;"data missing"), Calc!BC144*'Waste results'!$P$10+Calc!BD144*'Waste results'!$P$45+ Calc!BE144*'Waste results'!$P$82, "data missing")))))))))))</f>
        <v/>
      </c>
      <c r="AJ146" s="237" t="str">
        <f ca="1">IF(B146="","",
IF(AI146="data missing","data missing",
IF(Calc!BF144=0,"n/a",
IF(AND(Calc!BH144&gt;=8,AI146&lt;500),"no benefit",
IF(OR(AND(Calc!BH144&lt;=4,AI146&gt;=500),AND(Calc!BH144&lt;8,AI146&gt;5000)),"benefit",
"limited benefit")))))</f>
        <v/>
      </c>
      <c r="AK146" s="9"/>
      <c r="AL146" s="238" t="str">
        <f ca="1">IF(B146="","",
IF(AND('Field information 2'!$O$5="", 'Field information 2'!$Q$5=""),
   IF('Waste results'!$S$25&lt;&gt;"data missing", Calc!BC144*'Waste results'!$S$25, "data missing"),
IF('Field information 2'!$Q$5="",
   IF(Calc!BD144=0,
     IF('Waste results'!$S$25&lt;&gt;"data missing", Calc!BC144*'Waste results'!$S$25, "data missing"),
   IF(Calc!BC144=0,
     IF('Waste results'!$S$61&lt;&gt;"data missing", Calc!BD144*'Waste results'!$S$61, "data missing"),
   IF(OR('Waste results'!$S$25&lt;&gt;"data missing", 'Waste results'!$S$61&lt;&gt;"data missing"), Calc!BC144*'Waste results'!$S$25+ Calc!BD144*'Waste results'!$S$61, "data missing"))),
IF(AND('Field information 2'!$M$5&lt;&gt;"", 'Field information 2'!$O$5&lt;&gt;"", 'Field information 2'!$Q$5&lt;&gt;""),
   IF(AND(Calc!BD144=0,Calc!BE144=0),
     IF('Waste results'!$S$25&lt;&gt;"data missing", Calc!BC144*'Waste results'!$S$25, "data missing"),
   IF(AND(Calc!BC144=0,Calc!BE144=0),
     IF('Waste results'!$S$61&lt;&gt;"data missing", Calc!BD144*'Waste results'!$S$61, "data missing"),
   IF(AND(Calc!BC144=0,Calc!BD144=0),
     IF('Waste results'!$S$97&lt;&gt;"data missing", Calc!BE144*'Waste results'!$S$97, "data missing"),
   IF(Calc!BE144=0,
     IF(OR('Waste results'!$S$25&lt;&gt;"data missing", 'Waste results'!$S$61&lt;&gt;"data missing"), Calc!BC144*'Waste results'!$S$25+ Calc!BD144*'Waste results'!$S$61, "data missing"),
   IF(Calc!BD144=0,
     IF(OR('Waste results'!$S$25&lt;&gt;"data missing", 'Waste results'!$S$97&lt;&gt;"data missing"), Calc!BC144*'Waste results'!$S$25+ Calc!BE144*'Waste results'!$S$97, "data missing"),
   IF(Calc!BC144=0,
     IF(OR('Waste results'!$S$61&lt;&gt;"data missing", 'Waste results'!$S$97&lt;&gt;"data missing"), Calc!BD144*'Waste results'!$S$61+Calc!BE144*'Waste results'!$S$97, "data missing"),
   IF(OR('Waste results'!$S$25&lt;&gt;"data missing", 'Waste results'!$S$61&lt;&gt;"data missing", 'Waste results'!$S$97&lt;&gt;"data missing"), Calc!BC144*'Waste results'!$S$25+Calc!BD144*'Waste results'!$S$61+ Calc!BE144*'Waste results'!$S$97, "data missing")))))))))))</f>
        <v/>
      </c>
      <c r="AM146" s="239" t="str">
        <f ca="1">IF($B146="","",
IF(ISBLANK('Soil results'!K149),"data missing",'Soil results'!K149))</f>
        <v/>
      </c>
      <c r="AN146" s="239" t="str">
        <f t="shared" ca="1" si="40"/>
        <v/>
      </c>
      <c r="AO146" s="9" t="str">
        <f t="shared" ca="1" si="41"/>
        <v/>
      </c>
      <c r="AP146" s="9"/>
      <c r="AQ146" s="240" t="str">
        <f ca="1">IF(B146="","",
IF(AND('Field information 2'!$O$5="", 'Field information 2'!$Q$5=""),
   IF('Waste results'!$S$26&lt;&gt;"data missing", Calc!BC144*'Waste results'!$S$26, "data missing"),
IF('Field information 2'!$Q$5="",
   IF(Calc!BD144=0,
     IF('Waste results'!$S$26&lt;&gt;"data missing", Calc!BC144*'Waste results'!$S$26, "data missing"),
   IF(Calc!BC144=0,
     IF('Waste results'!$S$62&lt;&gt;"data missing", Calc!BD144*'Waste results'!$S$62, "data missing"),
   IF(OR('Waste results'!$S$26&lt;&gt;"data missing", 'Waste results'!$S$62&lt;&gt;"data missing"), Calc!BC144*'Waste results'!$S$26+ Calc!BD144*'Waste results'!$S$62, "data missing"))),
IF(AND('Field information 2'!$M$5&lt;&gt;"", 'Field information 2'!$O$5&lt;&gt;"", 'Field information 2'!$Q$5&lt;&gt;""),
   IF(AND(Calc!BD144=0,Calc!BE144=0),
     IF('Waste results'!$S$26&lt;&gt;"data missing", Calc!BC144*'Waste results'!$S$26, "data missing"),
   IF(AND(Calc!BC144=0,Calc!BE144=0),
     IF('Waste results'!$S$62&lt;&gt;"data missing", Calc!BD144*'Waste results'!$S$62, "data missing"),
   IF(AND(Calc!BC144=0,Calc!BD144=0),
     IF('Waste results'!$S$98&lt;&gt;"data missing", Calc!BE144*'Waste results'!$S$98, "data missing"),
   IF(Calc!BE144=0,
     IF(OR('Waste results'!$S$26&lt;&gt;"data missing", 'Waste results'!$S$62&lt;&gt;"data missing"), Calc!BC144*'Waste results'!$S$26+ Calc!BD144*'Waste results'!$S$62, "data missing"),
   IF(Calc!BD144=0,
     IF(OR('Waste results'!$S$26&lt;&gt;"data missing", 'Waste results'!$S$98&lt;&gt;"data missing"), Calc!BC144*'Waste results'!$S$26+ Calc!BE144*'Waste results'!$S$98, "data missing"),
   IF(Calc!BC144=0,
     IF(OR('Waste results'!$S$62&lt;&gt;"data missing", 'Waste results'!$S$98&lt;&gt;"data missing"), Calc!BD144*'Waste results'!$S$62+Calc!BE144*'Waste results'!$S$98, "data missing"),
   IF(OR('Waste results'!$S$26&lt;&gt;"data missing", 'Waste results'!$S$62&lt;&gt;"data missing", 'Waste results'!$S$98&lt;&gt;"data missing"), Calc!BC144*'Waste results'!$S$26+Calc!BD144*'Waste results'!$S$62+ Calc!BE144*'Waste results'!$S$98, "data missing")))))))))))</f>
        <v/>
      </c>
      <c r="AR146" s="241" t="str">
        <f ca="1">IF($B146="","",
IF(ISBLANK('Soil results'!L149),"data missing",'Soil results'!L149))</f>
        <v/>
      </c>
      <c r="AS146" s="241" t="str">
        <f t="shared" ca="1" si="42"/>
        <v/>
      </c>
      <c r="AT146" s="66" t="str">
        <f t="shared" ca="1" si="43"/>
        <v/>
      </c>
      <c r="AU146" s="9"/>
      <c r="AV146" s="238" t="str">
        <f ca="1">IF(B146="","",
IF(AND('Field information 2'!$O$5="", 'Field information 2'!$Q$5=""),
   IF('Waste results'!$S$27&lt;&gt;"data missing", Calc!BC144*'Waste results'!$S$27, "data missing"),
IF('Field information 2'!$Q$5="",
   IF(Calc!BD144=0,
     IF('Waste results'!$S$27&lt;&gt;"data missing", Calc!BC144*'Waste results'!$S$27, "data missing"),
   IF(Calc!BC144=0,
     IF('Waste results'!$S$63&lt;&gt;"data missing", Calc!BD144*'Waste results'!$S$63, "data missing"),
   IF(OR('Waste results'!$S$27&lt;&gt;"data missing", 'Waste results'!$S$63&lt;&gt;"data missing"), Calc!BC144*'Waste results'!$S$27+ Calc!BD144*'Waste results'!$S$63, "data missing"))),
IF(AND('Field information 2'!$M$5&lt;&gt;"", 'Field information 2'!$O$5&lt;&gt;"", 'Field information 2'!$Q$5&lt;&gt;""),
   IF(AND(Calc!BD144=0,Calc!BE144=0),
     IF('Waste results'!$S$27&lt;&gt;"data missing", Calc!BC144*'Waste results'!$S$27, "data missing"),
   IF(AND(Calc!BC144=0,Calc!BE144=0),
     IF('Waste results'!$S$63&lt;&gt;"data missing", Calc!BD144*'Waste results'!$S$63, "data missing"),
   IF(AND(Calc!BC144=0,Calc!BD144=0),
     IF('Waste results'!$S$99&lt;&gt;"data missing", Calc!BE144*'Waste results'!$S$99, "data missing"),
   IF(Calc!BE144=0,
     IF(OR('Waste results'!$S$27&lt;&gt;"data missing", 'Waste results'!$S$63&lt;&gt;"data missing"), Calc!BC144*'Waste results'!$S$27+ Calc!BD144*'Waste results'!$S$63, "data missing"),
   IF(Calc!BD144=0,
     IF(OR('Waste results'!$S$27&lt;&gt;"data missing", 'Waste results'!$S$99&lt;&gt;"data missing"), Calc!BC144*'Waste results'!$S$27+ Calc!BE144*'Waste results'!$S$99, "data missing"),
   IF(Calc!BC144=0,
     IF(OR('Waste results'!$S$63&lt;&gt;"data missing", 'Waste results'!$S$99&lt;&gt;"data missing"), Calc!BD144*'Waste results'!$S$63+Calc!BE144*'Waste results'!$S$99, "data missing"),
   IF(OR('Waste results'!$S$27&lt;&gt;"data missing", 'Waste results'!$S$63&lt;&gt;"data missing", 'Waste results'!$S$99&lt;&gt;"data missing"), Calc!BC144*'Waste results'!$S$27+Calc!BD144*'Waste results'!$S$63+ Calc!BE144*'Waste results'!$S$99, "data missing")))))))))))</f>
        <v/>
      </c>
      <c r="AW146" s="239" t="str">
        <f ca="1">IF($B146="","",
IF(ISBLANK('Soil results'!M149),"data missing",'Soil results'!M149))</f>
        <v/>
      </c>
      <c r="AX146" s="239" t="str">
        <f t="shared" ca="1" si="44"/>
        <v/>
      </c>
      <c r="AY146" s="9" t="str">
        <f ca="1">IF(B146="","",
IF(AV146=0,"n/a",
IF(OR(AV146="data missing",AW146="data missing"),"data missing",
IF(AV146&gt;7.5,"application rate too high - permissible rate exceeds limit",
IF('Soil results'!$F149&lt;=5.5,
  IF(AW146&gt;80,"no application - soil conc. already above limit",
  IF(AX146&gt;80,"application rate too high - soil conc. will exceed limit",
  IF(AW146&gt;80*0.9,"soil conc. is at or above 90% of the limit",
  IF(10*AV146*1000/3000+AW146&gt;80,"soil limit likely to be exceeded in 10yrs",
  IF(50*AV146*1000/3000+AW146&gt;80,"soil limit likely to be exceeded in 50yrs","ok"))))),
IF('Soil results'!$F149&lt;=6,
  IF(AW146&gt;100,"no application - soil conc. already above limit",
  IF(AX146&gt;100,"application rate too high - soil conc. will exceed limit",
  IF(AW146&gt;100*0.9,"soil conc. is at or above 90% of the limit",
  IF(10*AV146*1000/3000+AW146&gt;100,"soil limit likely to be exceeded in 10yrs",
  IF(50*AV146*1000/3000+AW146&gt;100,"soil limit likely to be exceeded in 50yrs","ok"))))),
IF('Soil results'!$F149&lt;=7,
  IF(AW146&gt;135,"no application - soil conc. already above limit",
  IF(AX146&gt;135,"application rate too high - soil conc. will exceed limit",
  IF(AW146&gt;135*0.9,"soil conc. is at or above 90% of the limit",
  IF(10*AV146*1000/3000+AW146&gt;135,"soil limit likely to be exceeded in 10yrs",
  IF(50*AV146*1000/3000+AW146&gt;135,"soil limit likely to be exceeded in 50yrs","ok"))))),
IF('Soil results'!$F149&gt;7,
  IF(AW146&gt;200,"no application - soil conc. already above limit",
  IF(AX146&gt;200,"application too high - soil conc. will exceed limit",
  IF(AW146&gt;200*0.9,"soil conc. is at or above 90% of the limit",
  IF(10*AV146*1000/3000+AW146&gt;200,"soil limit likely to be exceeded in 10yrs",
  IF(50*AV146*1000/3000+AW146&gt;200,"soil limit likely to be exceeded in 50yrs","ok")))))
))))))))</f>
        <v/>
      </c>
      <c r="AZ146" s="9"/>
      <c r="BA146" s="238" t="str">
        <f ca="1">IF(B146="","",
IF(AND('Field information 2'!$O$5="", 'Field information 2'!$Q$5=""),
   IF('Waste results'!$S$28&lt;&gt;"data missing", Calc!BC144*'Waste results'!$S$28, "data missing"),
IF('Field information 2'!$Q$5="",
   IF(Calc!BD144=0,
     IF('Waste results'!$S$28&lt;&gt;"data missing", Calc!BC144*'Waste results'!$S$28, "data missing"),
   IF(Calc!BC144=0,
     IF('Waste results'!$S$64&lt;&gt;"data missing", Calc!BD144*'Waste results'!$S$64, "data missing"),
   IF(OR('Waste results'!$S$28&lt;&gt;"data missing", 'Waste results'!$S$64&lt;&gt;"data missing"), Calc!BC144*'Waste results'!$S$28+ Calc!BD144*'Waste results'!$S$64, "data missing"))),
IF(AND('Field information 2'!$M$5&lt;&gt;"", 'Field information 2'!$O$5&lt;&gt;"", 'Field information 2'!$Q$5&lt;&gt;""),
   IF(AND(Calc!BD144=0,Calc!BE144=0),
     IF('Waste results'!$S$28&lt;&gt;"data missing", Calc!BC144*'Waste results'!$S$28, "data missing"),
   IF(AND(Calc!BC144=0,Calc!BE144=0),
     IF('Waste results'!$S$64&lt;&gt;"data missing", Calc!BD144*'Waste results'!$S$64, "data missing"),
   IF(AND(Calc!BC144=0,Calc!BD144=0),
     IF('Waste results'!$S$100&lt;&gt;"data missing", Calc!BE144*'Waste results'!$S$100, "data missing"),
   IF(Calc!BE144=0,
     IF(OR('Waste results'!$S$28&lt;&gt;"data missing", 'Waste results'!$S$64&lt;&gt;"data missing"), Calc!BC144*'Waste results'!$S$28+ Calc!BD144*'Waste results'!$S$64, "data missing"),
   IF(Calc!BD144=0,
     IF(OR('Waste results'!$S$28&lt;&gt;"data missing", 'Waste results'!$S$100&lt;&gt;"data missing"), Calc!BC144*'Waste results'!$S$28+ Calc!BE144*'Waste results'!$S$100, "data missing"),
   IF(Calc!BC144=0,
     IF(OR('Waste results'!$S$64&lt;&gt;"data missing", 'Waste results'!$S$100&lt;&gt;"data missing"), Calc!BD144*'Waste results'!$S$64+Calc!BE144*'Waste results'!$S$100, "data missing"),
   IF(OR('Waste results'!$S$28&lt;&gt;"data missing", 'Waste results'!$S$64&lt;&gt;"data missing", 'Waste results'!$S$100&lt;&gt;"data missing"), Calc!BC144*'Waste results'!$S$28+Calc!BD144*'Waste results'!$S$64+ Calc!BE144*'Waste results'!$S$100, "data missing")))))))))))</f>
        <v/>
      </c>
      <c r="BB146" s="239" t="str">
        <f ca="1">IF($B146="","",
IF(ISBLANK('Soil results'!N149),"data missing",'Soil results'!N149))</f>
        <v/>
      </c>
      <c r="BC146" s="239" t="str">
        <f t="shared" ca="1" si="45"/>
        <v/>
      </c>
      <c r="BD146" s="9" t="str">
        <f t="shared" ca="1" si="46"/>
        <v/>
      </c>
      <c r="BE146" s="9"/>
      <c r="BF146" s="238" t="str">
        <f ca="1">IF(B146="","",
IF(AND('Field information 2'!$O$5="", 'Field information 2'!$Q$5=""),
   IF('Waste results'!$S$29&lt;&gt;"data missing", Calc!BC144*'Waste results'!$S$29, "data missing"),
IF('Field information 2'!$Q$5="",
   IF(Calc!BD144=0,
     IF('Waste results'!$S$29&lt;&gt;"data missing", Calc!BC144*'Waste results'!$S$29, "data missing"),
   IF(Calc!BC144=0,
     IF('Waste results'!$S$65&lt;&gt;"data missing", Calc!BD144*'Waste results'!$S$65, "data missing"),
   IF(OR('Waste results'!$S$29&lt;&gt;"data missing", 'Waste results'!$S$65&lt;&gt;"data missing"), Calc!BC144*'Waste results'!$S$29+ Calc!BD144*'Waste results'!$S$65, "data missing"))),
IF(AND('Field information 2'!$M$5&lt;&gt;"", 'Field information 2'!$O$5&lt;&gt;"", 'Field information 2'!$Q$5&lt;&gt;""),
   IF(AND(Calc!BD144=0,Calc!BE144=0),
     IF('Waste results'!$S$29&lt;&gt;"data missing", Calc!BC144*'Waste results'!$S$29, "data missing"),
   IF(AND(Calc!BC144=0,Calc!BE144=0),
     IF('Waste results'!$S$65&lt;&gt;"data missing", Calc!BD144*'Waste results'!$S$65, "data missing"),
   IF(AND(Calc!BC144=0,Calc!BD144=0),
     IF('Waste results'!$S$101&lt;&gt;"data missing", Calc!BE144*'Waste results'!$S$101, "data missing"),
   IF(Calc!BE144=0,
     IF(OR('Waste results'!$S$29&lt;&gt;"data missing", 'Waste results'!$S$65&lt;&gt;"data missing"), Calc!BC144*'Waste results'!$S$29+ Calc!BD144*'Waste results'!$S$65, "data missing"),
   IF(Calc!BD144=0,
     IF(OR('Waste results'!$S$29&lt;&gt;"data missing", 'Waste results'!$S$101&lt;&gt;"data missing"), Calc!BC144*'Waste results'!$S$29+ Calc!BE144*'Waste results'!$S$101, "data missing"),
   IF(Calc!BC144=0,
     IF(OR('Waste results'!$S$65&lt;&gt;"data missing", 'Waste results'!$S$101&lt;&gt;"data missing"), Calc!BD144*'Waste results'!$S$65+Calc!BE144*'Waste results'!$S$101, "data missing"),
   IF(OR('Waste results'!$S$29&lt;&gt;"data missing", 'Waste results'!$S$65&lt;&gt;"data missing", 'Waste results'!$S$101&lt;&gt;"data missing"), Calc!BC144*'Waste results'!$S$29+Calc!BD144*'Waste results'!$S$65+ Calc!BE144*'Waste results'!$S$101, "data missing")))))))))))</f>
        <v/>
      </c>
      <c r="BG146" s="239" t="str">
        <f ca="1">IF($B146="","",
IF(ISBLANK('Soil results'!O149),"data missing",'Soil results'!O149))</f>
        <v/>
      </c>
      <c r="BH146" s="239" t="str">
        <f t="shared" ca="1" si="47"/>
        <v/>
      </c>
      <c r="BI146" s="9" t="str">
        <f ca="1">IF(B146="","",
IF(BF146=0,"n/a",
IF(OR(BF146="data missing",BG146="data missing"),"data missing",
IF(BF146&gt;3,"application rate too high - permissible rate exceeds limit",
IF('Soil results'!F149&lt;=5.5,
  IF(BG146&gt;50,"no application - soil conc. already above limit",
  IF(BH146&gt;50,"application rate too high - soil conc. will exceed limit",
  IF(BG146&gt;50*0.9,"soil conc. is at or above 90% of the limit",
  IF(10*BF146*1000/3000+BG146&gt;50,"soil limit likely to be exceeded in 10yrs",
  IF(50*BF146*1000/3000+BG146&gt;50,"soil limit likely to be exceeded in 50yrs","ok"))))),
IF('Soil results'!F149&lt;=6,
  IF(BG146&gt;60,"no application - soil conc. already above limit",
  IF(BH146&gt;60,"application rate too high - soil conc. will exceed limit",
  IF(BG146&gt;60*0.9,"soil conc. is at or above 90% of the limit",
  IF(10*BF146*1000/3000+BG146&gt;60,"soil limit likely to be exceeded in 10yrs",
  IF(50*BF146*1000/3000+BG146&gt;60,"soil limit likely to be exceeded in 50yrs","ok"))))),
IF('Soil results'!F149&lt;=7,
  IF(BG146&gt;75,"no application - soil conc. already above limit",
  IF(BH146&gt;75,"application rate too high - soil conc. will exceed limit",
  IF(BG146&gt;75*0.9,"soil conc. is at or above 90% of the limit",
  IF(10*BF146*1000/3000+BG146&gt;75,"soil limit likely to be exceeded in 10yrs",
  IF(50*BF146*1000/3000+BG146&gt;75,"soil limit likely to be exceeded in 50yrs","ok"))))),
IF('Soil results'!F149&gt;7,
  IF(BG146&gt;100,"no application - soil conc. already above limit",
  IF(BH146&gt;100,"application rate too high - soil conc. will exceed limit",
  IF(BG146&gt;100*0.9,"soil conc. is at or above 90% of the limit",
  IF(10*BF146*1000/3000+BG146&gt;100,"soil limit likely to be exceeded in 10yrs",
  IF(50*BF146*1000/3000+BG146&gt;100,"soil limit likely to beexceeded in 50yrs","ok")))))
))))))))</f>
        <v/>
      </c>
      <c r="BJ146" s="9"/>
      <c r="BK146" s="240" t="str">
        <f ca="1">IF(B146="","",
IF(AND('Field information 2'!$O$5="", 'Field information 2'!$Q$5=""),
   IF('Waste results'!$S$30&lt;&gt;"data missing", Calc!BC144*'Waste results'!$S$30, "data missing"),
IF('Field information 2'!$Q$5="",
   IF(Calc!BD144=0,
     IF('Waste results'!$S$30&lt;&gt;"data missing", Calc!BC144*'Waste results'!$S$30, "data missing"),
   IF(Calc!BC144=0,
     IF('Waste results'!$S$66&lt;&gt;"data missing", Calc!BD144*'Waste results'!$S$66, "data missing"),
   IF(OR('Waste results'!$S$30&lt;&gt;"data missing", 'Waste results'!$S$66&lt;&gt;"data missing"), Calc!BC144*'Waste results'!$S$30+ Calc!BD144*'Waste results'!$S$66, "data missing"))),
IF(AND('Field information 2'!$M$5&lt;&gt;"", 'Field information 2'!$O$5&lt;&gt;"", 'Field information 2'!$Q$5&lt;&gt;""),
   IF(AND(Calc!BD144=0,Calc!BE144=0),
     IF('Waste results'!$S$30&lt;&gt;"data missing", Calc!BC144*'Waste results'!$S$30, "data missing"),
   IF(AND(Calc!BC144=0,Calc!BE144=0),
     IF('Waste results'!$S$66&lt;&gt;"data missing", Calc!BD144*'Waste results'!$S$66, "data missing"),
   IF(AND(Calc!BC144=0,Calc!BD144=0),
     IF('Waste results'!$S$102&lt;&gt;"data missing", Calc!BE144*'Waste results'!$S$102, "data missing"),
   IF(Calc!BE144=0,
     IF(OR('Waste results'!$S$30&lt;&gt;"data missing", 'Waste results'!$S$66&lt;&gt;"data missing"), Calc!BC144*'Waste results'!$S$30+ Calc!BD144*'Waste results'!$S$66, "data missing"),
   IF(Calc!BD144=0,
     IF(OR('Waste results'!$S$30&lt;&gt;"data missing", 'Waste results'!$S$102&lt;&gt;"data missing"), Calc!BC144*'Waste results'!$S$30+ Calc!BE144*'Waste results'!$S$102, "data missing"),
   IF(Calc!BC144=0,
     IF(OR('Waste results'!$S$66&lt;&gt;"data missing", 'Waste results'!$S$102&lt;&gt;"data missing"), Calc!BD144*'Waste results'!$S$66+Calc!BE144*'Waste results'!$S$102, "data missing"),
   IF(OR('Waste results'!$S$30&lt;&gt;"data missing", 'Waste results'!$S$66&lt;&gt;"data missing", 'Waste results'!$S$102&lt;&gt;"data missing"), Calc!BC144*'Waste results'!$S$30+Calc!BD144*'Waste results'!$S$66+ Calc!BE144*'Waste results'!$S$102, "data missing")))))))))))</f>
        <v/>
      </c>
      <c r="BL146" s="241" t="str">
        <f ca="1">IF($B146="","",
IF(ISBLANK('Soil results'!P149),"data missing",'Soil results'!P149))</f>
        <v/>
      </c>
      <c r="BM146" s="241" t="str">
        <f t="shared" ca="1" si="48"/>
        <v/>
      </c>
      <c r="BN146" s="66" t="str">
        <f t="shared" ca="1" si="49"/>
        <v/>
      </c>
      <c r="BO146" s="9"/>
      <c r="BP146" s="238" t="str">
        <f ca="1">IF(B146="","",
IF(AND('Field information 2'!$O$5="", 'Field information 2'!$Q$5=""),
   IF('Waste results'!$S$31&lt;&gt;"data missing", Calc!BC144*'Waste results'!$S$31, "data missing"),
IF('Field information 2'!$Q$5="",
   IF(Calc!BD144=0,
     IF('Waste results'!$S$31&lt;&gt;"data missing", Calc!BC144*'Waste results'!$S$31, "data missing"),
   IF(Calc!BC144=0,
     IF('Waste results'!$S$67&lt;&gt;"data missing", Calc!BD144*'Waste results'!$S$67, "data missing"),
   IF(OR('Waste results'!$S$31&lt;&gt;"data missing", 'Waste results'!$S$67&lt;&gt;"data missing"), Calc!BC144*'Waste results'!$S$31+ Calc!BD144*'Waste results'!$S$67, "data missing"))),
IF(AND('Field information 2'!$M$5&lt;&gt;"", 'Field information 2'!$O$5&lt;&gt;"", 'Field information 2'!$Q$5&lt;&gt;""),
   IF(AND(Calc!BD144=0,Calc!BE144=0),
     IF('Waste results'!$S$31&lt;&gt;"data missing", Calc!BC144*'Waste results'!$S$31, "data missing"),
   IF(AND(Calc!BC144=0,Calc!BE144=0),
     IF('Waste results'!$S$67&lt;&gt;"data missing", Calc!BD144*'Waste results'!$S$67, "data missing"),
   IF(AND(Calc!BC144=0,Calc!BD144=0),
     IF('Waste results'!$S$103&lt;&gt;"data missing", Calc!BE144*'Waste results'!$S$103, "data missing"),
   IF(Calc!BE144=0,
     IF(OR('Waste results'!$S$31&lt;&gt;"data missing", 'Waste results'!$S$67&lt;&gt;"data missing"), Calc!BC144*'Waste results'!$S$31+ Calc!BD144*'Waste results'!$S$67, "data missing"),
   IF(Calc!BD144=0,
     IF(OR('Waste results'!$S$31&lt;&gt;"data missing", 'Waste results'!$S$103&lt;&gt;"data missing"), Calc!BC144*'Waste results'!$S$31+ Calc!BE144*'Waste results'!$S$103, "data missing"),
   IF(Calc!BC144=0,
     IF(OR('Waste results'!$S$67&lt;&gt;"data missing", 'Waste results'!$S$103&lt;&gt;"data missing"), Calc!BD144*'Waste results'!$S$67+Calc!BE144*'Waste results'!$S$103, "data missing"),
   IF(OR('Waste results'!$S$31&lt;&gt;"data missing", 'Waste results'!$S$67&lt;&gt;"data missing", 'Waste results'!$S$103&lt;&gt;"data missing"), Calc!BC144*'Waste results'!$S$31+Calc!BD144*'Waste results'!$S$67+ Calc!BE144*'Waste results'!$S$103, "data missing")))))))))))</f>
        <v/>
      </c>
      <c r="BQ146" s="239" t="str">
        <f ca="1">IF($B146="","",
IF(ISBLANK('Soil results'!Q149),"data missing",'Soil results'!Q149))</f>
        <v/>
      </c>
      <c r="BR146" s="239" t="str">
        <f t="shared" ca="1" si="50"/>
        <v/>
      </c>
      <c r="BS146" s="9" t="str">
        <f ca="1">IF(B146="","",
IF(BP146=0,"n/a",
IF(OR(BP146="data missing",BQ146=""),"data missing",
IF(BP146&gt;15,"application rate too high - permissible rate exceeds limit",
IF('Soil results'!F149&lt;=5.5,
  IF(BQ146&gt;200,"no application - soil conc. already above limit",
  IF(BR146&gt;200,"application rate too high - soil conc. will exceed limit",
  IF(BQ146&gt;200*0.9,"soil conc. is at or above 90% of the limit",
  IF(10*BP146*1000/3000+BQ146&gt;200,"soil limit likely to be exceeded in 10yrs",
  IF(50*BP146*1000/3000+BQ146&gt;200,"soil limit likely to be exceeded in 50yrs","ok"))))),
IF('Soil results'!F149&lt;=6,
  IF(BQ146&gt;250,"no application - soil conc. already above limit",
  IF(BR146&gt;250,"application rate too high - soil conc. will exceed limit",
  IF(BQ146&gt;250*0.9,"soil conc. is at or above 90% of the limit",
  IF(10*BP146*1000/3000+BQ146&gt;250,"soil limit likely to be exceeded in 10yrs",
  IF(50*BP146*1000/3000+BQ146&gt;250,"soil limit likely to be exceeded in 50yrs","ok"))))),
IF('Soil results'!F149&lt;=7,
  IF(BQ146&gt;300,"no application - soil conc. already above limit",
  IF(BR146&gt;300,"application rate too high - soil conc. will exceed limit",
  IF(BQ146&gt;300*0.9,"soil conc. is at or above 90% of the limit",
  IF(10*BP146*1000/3000+BQ146&gt;300,"soil limit likey to be exceeded in 10yrs",
  IF(50*BP146*1000/3000+BQ146&gt;300,"soil limit likely to be exceeded in 50yrs","ok"))))),
IF('Soil results'!F149&gt;7,
  IF(BQ146&gt;450,"no application - soil conc. already above limit",
  IF(BR146&gt;450,"application rate too high - soil conc. will exceed limit",
  IF(AW146&gt;450*0.9,"soil conc. is at or above 90% of the limit",
  IF(10*BP146*1000/3000+BQ146&gt;450,"soil limit likely to be exceeded in 10yrs",
  IF(50*BP146*1000/3000+BQ146&gt;450,"soil limit likely to be exceeded in 50yrs","ok")))))
))))))))</f>
        <v/>
      </c>
    </row>
    <row r="147" spans="2:71" ht="15" x14ac:dyDescent="0.25">
      <c r="B147" s="236" t="str">
        <f ca="1">'Soil results'!B150</f>
        <v/>
      </c>
      <c r="C147" s="91" t="str">
        <f ca="1">IF(B147="","",
IF(AND('Field information 2'!$O$5="", 'Field information 2'!$Q$5=""),
   IF('Waste results'!$S$12&lt;&gt;"data missing", Calc!BC145*'Waste results'!$S$12, "data missing"),
IF('Field information 2'!$Q$5="",
   IF(Calc!BD145=0,
     IF('Waste results'!$S$12&lt;&gt;"data missing", Calc!BC145*'Waste results'!$S$12, "data missing"),
   IF(Calc!BC145=0,
     IF('Waste results'!$S$48&lt;&gt;"data missing", Calc!BD145*'Waste results'!$S$48, "data missing"),
   IF(OR('Waste results'!$S$12&lt;&gt;"data missing", 'Waste results'!$S$48&lt;&gt;"data missing"), Calc!BC145*'Waste results'!$S$12+ Calc!BD145*'Waste results'!$S$48, "data missing"))),
IF(AND('Field information 2'!$M$5&lt;&gt;"", 'Field information 2'!$O$5&lt;&gt;"", 'Field information 2'!$Q$5&lt;&gt;""),
   IF(AND(Calc!BD145=0,Calc!BE145=0),
     IF('Waste results'!$S$12&lt;&gt;"data missing", Calc!BC145*'Waste results'!$S$12, "data missing"),
   IF(AND(Calc!BC145=0,Calc!BE145=0),
     IF('Waste results'!$S$48&lt;&gt;"data missing", Calc!BD145*'Waste results'!$S$48, "data missing"),
   IF(AND(Calc!BC145=0,Calc!BD145=0),
     IF('Waste results'!$S$84&lt;&gt;"data missing", Calc!BE145*'Waste results'!$S$84, "data missing"),
   IF(Calc!BE145=0,
     IF(OR('Waste results'!$S$12&lt;&gt;"data missing", 'Waste results'!$S$48&lt;&gt;"data missing"), Calc!BC145*'Waste results'!$S$12+ Calc!BD145*'Waste results'!$S$48, "data missing"),
   IF(Calc!BD145=0,
     IF(OR('Waste results'!$S$12&lt;&gt;"data missing", 'Waste results'!$S$84&lt;&gt;"data missing"), Calc!BC145*'Waste results'!$S$12+ Calc!BE145*'Waste results'!$S$84, "data missing"),
   IF(Calc!BC145=0,
     IF(OR('Waste results'!$S$48&lt;&gt;"data missing", 'Waste results'!$S$84&lt;&gt;"data missing"), Calc!BD145*'Waste results'!$S$48+Calc!BE145*'Waste results'!$S$84, "data missing"),
   IF(OR('Waste results'!$S$12&lt;&gt;"data missing", 'Waste results'!$S$48&lt;&gt;"data missing", 'Waste results'!$S$84&lt;&gt;"data missing"), Calc!BC145*'Waste results'!$S$12+Calc!BD145*'Waste results'!$S$48+ Calc!BE145*'Waste results'!$S$84, "data missing")))))))))))</f>
        <v/>
      </c>
      <c r="D147" s="161" t="str">
        <f ca="1">IF(B147="","",
IF(Calc!BG145="","soil texture missing",
IF(OR(Calc!BG145="SL; SZL; ZL",Calc!BG145="SCL; CL; ZCL; SC; ZC; C"),VLOOKUP(Calc!BI145,'Fertiliser recommendations'!$A$4:$C$63,3,FALSE),
IF(Calc!BG145="S; LS",VLOOKUP(Calc!BI145,'Fertiliser recommendations'!$A$4:$C$63,3,FALSE)+VLOOKUP(Calc!BI145,'Fertiliser recommendations'!$A$4:$D$63,4,FALSE),
IF(Calc!BG145="10-25% OM",VLOOKUP(Calc!BI145,'Fertiliser recommendations'!$A$4:$C$63,3,FALSE)+VLOOKUP(Calc!BI145,'Fertiliser recommendations'!$A$4:$E$63,5,FALSE),
IF(Calc!BG145="&gt;25% OM",VLOOKUP(Calc!BI145,'Fertiliser recommendations'!$A$4:$C$63,3,FALSE)+VLOOKUP(Calc!BI145,'Fertiliser recommendations'!$A$4:$F$63,6,FALSE),
""))))))</f>
        <v/>
      </c>
      <c r="E147" s="91" t="str">
        <f t="shared" ca="1" si="34"/>
        <v/>
      </c>
      <c r="F147" s="9" t="str">
        <f ca="1">IF(B147="","",
IF(OR(C147="data missing",D147="soil texture missing"),"data missing",
IF(Calc!BF145=0,"n/a",
IF(C147&lt;0.1*D147,"no benefit",
IF(C147&lt;0.3*D147,"limited benefit",
IF(C147&gt;250,"exceeds limit",
IF(OR(AND(D147=0,C147&gt;75),C147&gt;1.25*D147),"excessive",
IF(D147=0, "no requirement",
"benefit"))))))))</f>
        <v/>
      </c>
      <c r="G147" s="9"/>
      <c r="H147" s="91" t="str">
        <f ca="1">IF(B147="","",
IF(AND('Field information 2'!$O$5="", 'Field information 2'!$Q$5=""),
   IF('Waste results'!$S$17&lt;&gt;"data missing", Calc!BC145*'Waste results'!$S$17, "data missing"),
IF('Field information 2'!$Q$5="",
   IF(Calc!BD145=0,
     IF('Waste results'!$S$17&lt;&gt;"data missing", Calc!BC145*'Waste results'!$S$17, "data missing"),
   IF(Calc!BC145=0,
     IF('Waste results'!$S$53&lt;&gt;"data missing", Calc!BD145*'Waste results'!$S$53, "data missing"),
   IF(OR('Waste results'!$S$17&lt;&gt;"data missing", 'Waste results'!$S$53&lt;&gt;"data missing"), Calc!BC145*'Waste results'!$S$17+ Calc!BD145*'Waste results'!$S$53, "data missing"))),
IF(AND('Field information 2'!$M$5&lt;&gt;"", 'Field information 2'!$O$5&lt;&gt;"", 'Field information 2'!$Q$5&lt;&gt;""),
   IF(AND(Calc!BD145=0,Calc!BE145=0),
     IF('Waste results'!$S$17&lt;&gt;"data missing", Calc!BC145*'Waste results'!$S$17, "data missing"),
   IF(AND(Calc!BC145=0,Calc!BE145=0),
     IF('Waste results'!$S$53&lt;&gt;"data missing", Calc!BD145*'Waste results'!$S$53, "data missing"),
   IF(AND(Calc!BC145=0,Calc!BD145=0),
     IF('Waste results'!$S$89&lt;&gt;"data missing", Calc!BE145*'Waste results'!$S$89, "data missing"),
   IF(Calc!BE145=0,
     IF(OR('Waste results'!$S$17&lt;&gt;"data missing", 'Waste results'!$S$53&lt;&gt;"data missing"), Calc!BC145*'Waste results'!$S$17+ Calc!BD145*'Waste results'!$S$53, "data missing"),
   IF(Calc!BD145=0,
     IF(OR('Waste results'!$S$17&lt;&gt;"data missing", 'Waste results'!$S$89&lt;&gt;"data missing"), Calc!BC145*'Waste results'!$S$17+ Calc!BE145*'Waste results'!$S$89, "data missing"),
   IF(Calc!BC145=0,
     IF(OR('Waste results'!$S$53&lt;&gt;"data missing", 'Waste results'!$S$89&lt;&gt;"data missing"), Calc!BD145*'Waste results'!$S$53+Calc!BE145*'Waste results'!$S$89, "data missing"),
   IF(OR('Waste results'!$S$17&lt;&gt;"data missing", 'Waste results'!$S$53&lt;&gt;"data missing", 'Waste results'!$S$89&lt;&gt;"data missing"), Calc!BC145*'Waste results'!$S$17+Calc!BD145*'Waste results'!$S$53+ Calc!BE145*'Waste results'!$S$89, "data missing")))))))))))</f>
        <v/>
      </c>
      <c r="I147" s="195" t="str">
        <f ca="1">IF(B147="","",
IF(OR(ISBLANK('Soil results'!G150), ISBLANK('Soil results'!G$7)),"data missing",
IF(OR(AND('Soil results'!G$7="Olsen (ADAS)",'Soil results'!G150&lt;16),AND('Soil results'!G$7="modified Morgan (SAC)",'Soil results'!G150&lt;4.5)),50,100)))</f>
        <v/>
      </c>
      <c r="J147" s="49" t="str">
        <f ca="1">IF(B147="","",
IF(OR(ISBLANK('Soil results'!G$7),ISBLANK('Soil results'!G150)),"data missing",
IF(OR(AND('Soil results'!G$7="Olsen (ADAS)",'Soil results'!G150&gt;45),AND('Soil results'!G$7="modified Morgan (SAC)",'Soil results'!G150&gt;30)),0,
IF(OR(AND('Soil results'!G$7="Olsen (ADAS)",'Soil results'!G150&gt;=16,'Soil results'!G150&lt;=20),AND('Soil results'!G$7="modified Morgan (SAC)",'Soil results'!G150&gt;=4.5,'Soil results'!G150&lt;=9.4)),VLOOKUP(Calc!BI145,'Fertiliser recommendations'!$A$4:$I$63,9,FALSE),
IF(OR(AND('Soil results'!G$7="Olsen (ADAS)",'Soil results'!G150&lt;10),AND('Soil results'!G$7="modified Morgan (SAC)",'Soil results'!G150&lt;1.8)),VLOOKUP(Calc!BI145,'Fertiliser recommendations'!$A$4:$I$63,9,FALSE)+VLOOKUP(Calc!BI145,'Fertiliser recommendations'!$A$4:$J$63,10,FALSE),
IF(OR(AND('Soil results'!G$7="Olsen (ADAS)",'Soil results'!G150&lt;16),AND('Soil results'!G$7="modified Morgan (SAC)",'Soil results'!G150&lt;4.5)),VLOOKUP(Calc!BI145,'Fertiliser recommendations'!$A$4:$I$63,9,FALSE)+VLOOKUP(Calc!BI145,'Fertiliser recommendations'!$A$4:$K$63,11,FALSE),
IF(OR(AND('Soil results'!G$7="Olsen (ADAS)",'Soil results'!G150&lt;26),AND('Soil results'!G$7="modified Morgan (SAC)",'Soil results'!G150&lt;13.5)),VLOOKUP(Calc!BI145,'Fertiliser recommendations'!$A$4:$I$63,9,FALSE)+VLOOKUP(Calc!BI145,'Fertiliser recommendations'!$A$4:$L$63,12,FALSE),
IF(OR(AND('Soil results'!G$7="Olsen (ADAS)",'Soil results'!G150&lt;=45),AND('Soil results'!G$7="modified Morgan (SAC)",'Soil results'!G150&lt;=30)),VLOOKUP(Calc!BI145,'Fertiliser recommendations'!$A$4:$I$63,9,FALSE)+VLOOKUP(Calc!BI145,'Fertiliser recommendations'!$A$4:$M$63,13,FALSE),
""))))))))</f>
        <v/>
      </c>
      <c r="K147" s="161" t="str">
        <f t="shared" ca="1" si="35"/>
        <v/>
      </c>
      <c r="L147" s="47" t="str">
        <f ca="1">IF(OR(ISBLANK('Soil results'!G$7),ISBLANK('Soil results'!G150),B147="", H147="data missing"),"",
IF('Soil results'!G$7="Olsen (ADAS)",
IF(((H147*Calc!BM145/2.291-(VLOOKUP(Calc!BI145,'Fertiliser recommendations'!$A$4:$I$63,9,FALSE))/2.291)*10/(400/2.291)+'Soil results'!G150)&lt;10,"0 (VL)",
IF(((H147*Calc!BM145/2.291-(VLOOKUP(Calc!BI145,'Fertiliser recommendations'!$A$4:$I$63,9,FALSE))/2.291)*10/(400/2.291)+'Soil results'!G150)&lt;16,"1 (L)",
IF(((H147*Calc!BM145/2.291-(VLOOKUP(Calc!BI145,'Fertiliser recommendations'!$A$4:$I$63,9,FALSE))/2.291)*10/(400/2.291)+'Soil results'!G150)&lt;21,"2 (M-)",
IF(((H147*Calc!BM145/2.291-(VLOOKUP(Calc!BI145,'Fertiliser recommendations'!$A$4:$I$63,9,FALSE))/2.291)*10/(400/2.291)+'Soil results'!G150)&lt;26,"2 (M+)",
IF(((H147*Calc!BM145/2.291-(VLOOKUP(Calc!BI145,'Fertiliser recommendations'!$A$4:$I$63,9,FALSE))/2.291)*10/(400/2.291)+'Soil results'!G150)&lt;45,"3 (H)","&gt;3 (VH)"))))),
IF('Soil results'!G$7="modified Morgan (SAC)",
IF('Soil results'!G150&gt;=6,
IF(((H147*Calc!BM145/2.291-(VLOOKUP(Calc!BI145,'Fertiliser recommendations'!$A$4:$I$63,9,FALSE))/2.291)*5/(147/2.291)+'Soil results'!G150)&lt;9.5,"2 (M-)",
IF(((H147*Calc!BM145/2.291-(VLOOKUP(Calc!BI145,'Fertiliser recommendations'!$A$4:$I$63,9,FALSE))/2.291)*5/(147/2.291)+'Soil results'!G150)&lt;13.5,"2 (M+)",
IF(((H147*Calc!BM145/2.291-(VLOOKUP(Calc!BI145,'Fertiliser recommendations'!$A$4:$I$63,9,FALSE))/2.291)*5/(147/2.291)+'Soil results'!G150)&lt;30,"3 (H)","4 (VH)"))),
IF(((H147*Calc!BM145/2.291-(VLOOKUP(Calc!BI145,'Fertiliser recommendations'!$A$4:$I$63,9,FALSE))/2.291)*5/(346/2.291)+'Soil results'!G150)&lt;1.8,"0 (VL)",
IF(((H147*Calc!BM145/2.291-(VLOOKUP(Calc!BI145,'Fertiliser recommendations'!$A$4:$I$63,9,FALSE))/2.291)*5/(147/2.291)+'Soil results'!G150)&lt;4.5,"1 (L)","2 (M-)"))))))</f>
        <v/>
      </c>
      <c r="M147" s="9" t="str">
        <f ca="1">IF(B147="","",
IF(OR(H147="data missing",I147="data missing",J147="data missing"),"data missing",
IF(Calc!BF145=0,"n/a",
IF(OR(AND('Soil results'!G$7="Olsen (ADAS)",'Soil results'!G150&gt;45),AND('Soil results'!G$7="modified Morgan (SAC)",'Soil results'!G150&gt;30)),
IF(H147&gt;2,"too high, not acceptable","no requirement"),IF(OR(AND('Soil results'!G$7="Olsen (ADAS)",'Soil results'!G150&gt;25),AND('Soil results'!G$7="modified Morgan (SAC)",'Soil results'!G150&gt;13.4)),
IF(H147*(I147/100)&lt;0.1*J147,"no benefit",
IF(H147*(I147/100)&lt;0.3*J147,"limited benefit",
IF(H147*(I147/100)&lt;1.1*J147,"benefit",
IF(H147*(I147/100)&lt;0.7*VLOOKUP(Calc!BI145,'Fertiliser recommendations'!$A$4:$I$63,9,FALSE),"excessive","too high, not acceptable")))),
IF(OR(AND('Soil results'!G$7="Olsen (ADAS)",'Soil results'!G150&gt;20),AND('Soil results'!G$7="modified Morgan (SAC)",'Soil results'!G150&gt;9.4)),
IF(H147*Calc!BM145*(I147/100)&lt;0.1*J147,"no benefit",
IF(H147*Calc!BM145*(I147/100)&lt;0.3*J147,"limited benefit",
IF(H147*Calc!BM145*(I147/100)&lt;1.1*J147,"benefit",
IF(L147="3 (H)","too high, not acceptable","excessive")))),
IF(OR(AND('Soil results'!G$7="Olsen (ADAS)",'Soil results'!G150&gt;15),AND('Soil results'!G$7="modified Morgan (SAC)",'Soil results'!G150&gt;4.4)),
IF(H147*Calc!BM145*(I147/100)&lt;0.1*VLOOKUP(Calc!BI145,'Fertiliser recommendations'!$A$4:$I$63,9,FALSE),"no benefit",
IF(H147*Calc!BM145*(I147/100)&lt;0.3*VLOOKUP(Calc!BI145,'Fertiliser recommendations'!$A$4:$I$63,9,FALSE),"limited benefit",
IF(H147*Calc!BM145*(I147/100)&lt;1.1*VLOOKUP(Calc!BI145,'Fertiliser recommendations'!$A$4:$I$63,9,FALSE),"benefit",
IF(L147="3 (H)", "too high, not acceptable", "excessive")))),
IF(OR(AND('Soil results'!G$7="Olsen (ADAS)",'Soil results'!G150&lt;=15),AND('Soil results'!G$7="modified Morgan (SAC)",'Soil results'!G150&lt;=4.4)),
IF(H147*Calc!BM145*(I147/100)&lt;0.1*VLOOKUP(Calc!BI145,'Fertiliser recommendations'!$A$4:$I$63,9,FALSE),"no benefit",
IF(H147*Calc!BM145*(I147/100)&lt;0.3*VLOOKUP(Calc!BI145,'Fertiliser recommendations'!$A$4:$I$63,9,FALSE),"limited benefit",
IF(H147*Calc!BM145*(I147/100)&lt;1.1*J147,"benefit","excessive")))))))))))</f>
        <v/>
      </c>
      <c r="N147" s="9"/>
      <c r="O147" s="91" t="str">
        <f ca="1">IF(B147="","",
IF(AND('Field information 2'!$O$5="", 'Field information 2'!$Q$5=""),
   IF('Waste results'!$S$19&lt;&gt;"data missing", Calc!BC145*'Waste results'!$S$19, "data missing"),
IF('Field information 2'!$Q$5="",
   IF(Calc!BD145=0,
     IF('Waste results'!$S$19&lt;&gt;"data missing", Calc!BC145*'Waste results'!$S$19, "data missing"),
   IF(Calc!BC145=0,
     IF('Waste results'!$S$55&lt;&gt;"data missing", Calc!BD145*'Waste results'!$S$55, "data missing"),
   IF(OR('Waste results'!$S$19&lt;&gt;"data missing", 'Waste results'!$S$55&lt;&gt;"data missing"), Calc!BC145*'Waste results'!$S$19+ Calc!BD145*'Waste results'!$S$55, "data missing"))),
IF(AND('Field information 2'!$M$5&lt;&gt;"", 'Field information 2'!$O$5&lt;&gt;"", 'Field information 2'!$Q$5&lt;&gt;""),
   IF(AND(Calc!BD145=0,Calc!BE145=0),
     IF('Waste results'!$S$19&lt;&gt;"data missing", Calc!BC145*'Waste results'!$S$19, "data missing"),
   IF(AND(Calc!BC145=0,Calc!BE145=0),
     IF('Waste results'!$S$55&lt;&gt;"data missing", Calc!BD145*'Waste results'!$S$55, "data missing"),
   IF(AND(Calc!BC145=0,Calc!BD145=0),
     IF('Waste results'!$S$91&lt;&gt;"data missing", Calc!BE145*'Waste results'!$S$91, "data missing"),
   IF(Calc!BE145=0,
     IF(OR('Waste results'!$S$19&lt;&gt;"data missing", 'Waste results'!$S$55&lt;&gt;"data missing"), Calc!BC145*'Waste results'!$S$19+ Calc!BD145*'Waste results'!$S$55, "data missing"),
   IF(Calc!BD145=0,
     IF(OR('Waste results'!$S$19&lt;&gt;"data missing", 'Waste results'!$S$91&lt;&gt;"data missing"), Calc!BC145*'Waste results'!$S$19+ Calc!BE145*'Waste results'!$S$91, "data missing"),
   IF(Calc!BC145=0,
     IF(OR('Waste results'!$S$55&lt;&gt;"data missing", 'Waste results'!$S$91&lt;&gt;"data missing"), Calc!BD145*'Waste results'!$S$55+Calc!BE145*'Waste results'!$S$91, "data missing"),
   IF(OR('Waste results'!$S$19&lt;&gt;"data missing", 'Waste results'!$S$55&lt;&gt;"data missing", 'Waste results'!$S$91&lt;&gt;"data missing"), Calc!BC145*'Waste results'!$S$19+Calc!BD145*'Waste results'!$S$55+ Calc!BE145*'Waste results'!$S$91, "data missing")))))))))))</f>
        <v/>
      </c>
      <c r="P147" s="91" t="str">
        <f ca="1">IF(B147="","",
IF(OR(ISBLANK('Soil results'!H$7),ISBLANK('Soil results'!H150)),"data missing",
IF(OR(AND('Soil results'!H$7="ammonium nitrate (ADAS)",'Soil results'!H150&gt;400),AND('Soil results'!H$7="modified Morgan (SAC)",'Soil results'!H150&gt;400)),0,
IF(OR(AND('Soil results'!H$7="ammonium nitrate (ADAS)",'Soil results'!H150&gt;=121,'Soil results'!H150&lt;=180),AND('Soil results'!H$7="modified Morgan (SAC)",'Soil results'!H150&gt;=76,'Soil results'!H150&lt;=140)),VLOOKUP(Calc!BI145,'Fertiliser recommendations'!$A$4:$Z$63,26,FALSE),
IF(OR(AND('Soil results'!H$7="ammonium nitrate (ADAS)",'Soil results'!H150&lt;61),AND('Soil results'!H$7="modified Morgan (SAC)",'Soil results'!H150&lt;40)),VLOOKUP(Calc!BI145,'Fertiliser recommendations'!$A$4:$Z$63,26,FALSE)+VLOOKUP(Calc!BI145,'Fertiliser recommendations'!$A$4:$AA$63,27,FALSE),
IF(OR(AND('Soil results'!H$7="ammonium nitrate (ADAS)",'Soil results'!H150&lt;121),AND('Soil results'!H$7="modified Morgan (SAC)",'Soil results'!H150&lt;76)),VLOOKUP(Calc!BI145,'Fertiliser recommendations'!$A$4:$Z$63,26,FALSE)+VLOOKUP(Calc!BI145,'Fertiliser recommendations'!$A$4:$AB$63,28,FALSE),
IF(OR(AND('Soil results'!H$7="ammonium nitrate (ADAS)",'Soil results'!H150&lt;241),AND('Soil results'!H$7="modified Morgan (SAC)",'Soil results'!H150&lt;201)),VLOOKUP(Calc!BI145,'Fertiliser recommendations'!$A$4:$Z$63,26,FALSE)+VLOOKUP(Calc!BI145,'Fertiliser recommendations'!$A$4:$AC$63,29,FALSE),
IF(OR(AND('Soil results'!H$7="ammonium nitrate (ADAS)",'Soil results'!H150&lt;=400),AND('Soil results'!H$7="modified Morgan (SAC)",'Soil results'!H150&lt;=400)),VLOOKUP(Calc!BI145,'Fertiliser recommendations'!$A$4:$Z$63,26,FALSE)+VLOOKUP(Calc!BI145,'Fertiliser recommendations'!$A$4:$AD$63,30,FALSE),
"??"))))))))</f>
        <v/>
      </c>
      <c r="Q147" s="91" t="str">
        <f t="shared" ca="1" si="36"/>
        <v/>
      </c>
      <c r="R147" s="9" t="str">
        <f ca="1">IF(B147="","",
IF(OR(O147="data missing",P147="data missing"),"data missing",
IF(Calc!BF145=0,"n/a",
IF(P147=0, "no requirement",
IF(O147&lt;0.1*P147,"no benefit",
IF(O147&lt;0.3*P147,"limited benefit",
IF(O147&gt;1.25*P147,"excessive",
"benefit")))))))</f>
        <v/>
      </c>
      <c r="S147" s="9"/>
      <c r="T147" s="91" t="str">
        <f ca="1">IF(B147="","",
IF(AND('Field information 2'!$O$5="", 'Field information 2'!$Q$5=""),
   IF('Waste results'!$S$21&lt;&gt;"data missing", Calc!BC145*'Waste results'!$S$21, "data missing"),
IF('Field information 2'!$Q$5="",
   IF(Calc!BD145=0,
     IF('Waste results'!$S$21&lt;&gt;"data missing", Calc!BC145*'Waste results'!$S$21, "data missing"),
   IF(Calc!BC145=0,
     IF('Waste results'!$S$57&lt;&gt;"data missing", Calc!BD145*'Waste results'!$S$57, "data missing"),
   IF(OR('Waste results'!$S$21&lt;&gt;"data missing", 'Waste results'!$S$57&lt;&gt;"data missing"), Calc!BC145*'Waste results'!$S$21+ Calc!BD145*'Waste results'!$S$57, "data missing"))),
IF(AND('Field information 2'!$M$5&lt;&gt;"", 'Field information 2'!$O$5&lt;&gt;"", 'Field information 2'!$Q$5&lt;&gt;""),
   IF(AND(Calc!BD145=0,Calc!BE145=0),
     IF('Waste results'!$S$21&lt;&gt;"data missing", Calc!BC145*'Waste results'!$S$21, "data missing"),
   IF(AND(Calc!BC145=0,Calc!BE145=0),
     IF('Waste results'!$S$57&lt;&gt;"data missing", Calc!BD145*'Waste results'!$S$57, "data missing"),
   IF(AND(Calc!BC145=0,Calc!BD145=0),
     IF('Waste results'!$S$93&lt;&gt;"data missing", Calc!BE145*'Waste results'!$S$93, "data missing"),
   IF(Calc!BE145=0,
     IF(OR('Waste results'!$S$21&lt;&gt;"data missing", 'Waste results'!$S$57&lt;&gt;"data missing"), Calc!BC145*'Waste results'!$S$21+ Calc!BD145*'Waste results'!$S$57, "data missing"),
   IF(Calc!BD145=0,
     IF(OR('Waste results'!$S$21&lt;&gt;"data missing", 'Waste results'!$S$93&lt;&gt;"data missing"), Calc!BC145*'Waste results'!$S$21+ Calc!BE145*'Waste results'!$S$93, "data missing"),
   IF(Calc!BC145=0,
     IF(OR('Waste results'!$S$57&lt;&gt;"data missing", 'Waste results'!$S$93&lt;&gt;"data missing"), Calc!BD145*'Waste results'!$S$57+Calc!BE145*'Waste results'!$S$93, "data missing"),
   IF(OR('Waste results'!$S$21&lt;&gt;"data missing", 'Waste results'!$S$57&lt;&gt;"data missing", 'Waste results'!$S$93&lt;&gt;"data missing"), Calc!BC145*'Waste results'!$S$21+Calc!BD145*'Waste results'!$S$57+ Calc!BE145*'Waste results'!$S$93, "data missing")))))))))))</f>
        <v/>
      </c>
      <c r="U147" s="7" t="str">
        <f ca="1">IF(B147="","",
IF(OR(ISBLANK('Soil results'!I$7),ISBLANK('Soil results'!I150)),"data missing",
IF(OR(AND('Soil results'!I$7="ammonium nitrate (ADAS)",'Soil results'!I150&gt;51),AND('Soil results'!I$7="modified Morgan (SAC)",'Soil results'!I150&gt;61)),0,
IF(OR(AND('Soil results'!I$7="ammonium nitrate (ADAS)",'Soil results'!I150&lt;25),AND('Soil results'!I$7="modified Morgan (SAC)",'Soil results'!I150&lt;19)),VLOOKUP(Calc!BI145,'Fertiliser recommendations'!$A$4:$AH$63,34,FALSE),
IF(OR(AND('Soil results'!I$7="ammonium nitrate (ADAS)",'Soil results'!I150&lt;=51),AND('Soil results'!I$7="modified Morgan (SAC)",'Soil results'!I150&lt;=61)),VLOOKUP(Calc!BI145,'Fertiliser recommendations'!$A$4:$AI$63,35,FALSE),
"")))))</f>
        <v/>
      </c>
      <c r="V147" s="91" t="str">
        <f t="shared" ca="1" si="37"/>
        <v/>
      </c>
      <c r="W147" s="9" t="str">
        <f ca="1">IF(B147="","",
IF(OR(T147="data missing",U147="data missing"),"data missing",
IF(Calc!BF145=0,"n/a",
IF(U147=0,"no requirement",
IF(T147&lt;0.1*U147,"no benefit",
IF(T147&lt;0.3*U147,"limited benefit",
IF(OR(T147&gt;1.5*U147,AND(Calc!BJ145="g",T147&gt;100)),"excessive",
"benefit")))))))</f>
        <v/>
      </c>
      <c r="X147" s="9"/>
      <c r="Y147" s="91" t="str">
        <f ca="1">IF(B147="","",
IF(AND('Field information 2'!$O$5="", 'Field information 2'!$Q$5=""),
   IF('Waste results'!$P$23&lt;&gt;"", Calc!BC145*'Waste results'!$P$23, "no data"),
IF('Field information 2'!$Q$5="",
   IF(Calc!BD145=0,
     IF('Waste results'!$P$23&lt;&gt;"", Calc!BC145*'Waste results'!$P$23, "no data"),
   IF(Calc!BC145=0,
     IF('Waste results'!$P$59&lt;&gt;"", Calc!BD145*'Waste results'!$P$59, "no data"),
   IF(OR('Waste results'!$P$23&lt;&gt;"", 'Waste results'!$P$59&lt;&gt;""), Calc!BC145*'Waste results'!$P$23+ Calc!BD145*'Waste results'!$P$59, "no data"))),
IF(AND('Field information 2'!$M$5&lt;&gt;"", 'Field information 2'!$O$5&lt;&gt;"", 'Field information 2'!$Q$5&lt;&gt;""),
   IF(AND(Calc!BD145=0,Calc!BE145=0),
     IF('Waste results'!$P$23&lt;&gt;"", Calc!BC145*'Waste results'!$P$23, "no data"),
   IF(AND(Calc!BC145=0,Calc!BE145=0),
     IF('Waste results'!$P$59&lt;&gt;"", Calc!BD145*'Waste results'!$P$59, "no data"),
   IF(AND(Calc!BC145=0,Calc!BD145=0),
     IF('Waste results'!$P$95&lt;&gt;"", Calc!BE145*'Waste results'!$P$95, "no data"),
   IF(Calc!BE145=0,
     IF(OR('Waste results'!$P$23&lt;&gt;"", 'Waste results'!$P$59&lt;&gt;""), Calc!BC145*'Waste results'!$P$23+ Calc!BD145*'Waste results'!$P$59, "no data"),
   IF(Calc!BD145=0,
     IF(OR('Waste results'!$P$23&lt;&gt;"", 'Waste results'!$P$95&lt;&gt;""), Calc!BC145*'Waste results'!$P$23+ Calc!BE145*'Waste results'!$P$95, "no data"),
   IF(Calc!BC145=0,
     IF(OR('Waste results'!$P$59&lt;&gt;"", 'Waste results'!$P$95&lt;&gt;""), Calc!BD145*'Waste results'!$P$59+Calc!BE145*'Waste results'!$P$95, "no data"),
   IF(OR('Waste results'!$P$23&lt;&gt;"", 'Waste results'!$P$59&lt;&gt;"", 'Waste results'!$P$95&lt;&gt;""), Calc!BC145*'Waste results'!$P$23+Calc!BD145*'Waste results'!$P$59+ Calc!BE145*'Waste results'!$P$95, "no data")))))))))))</f>
        <v/>
      </c>
      <c r="Z147" s="7" t="str">
        <f ca="1">IF(OR(ISBLANK('Soil results'!I$7),ISBLANK('Soil results'!I150),'Soil results'!B150=""),"",
VLOOKUP(Calc!BI145,'Fertiliser recommendations'!$A$4:$AM$63,39,FALSE))</f>
        <v/>
      </c>
      <c r="AA147" s="91" t="str">
        <f t="shared" ca="1" si="38"/>
        <v/>
      </c>
      <c r="AB147" s="9" t="str">
        <f t="shared" ca="1" si="39"/>
        <v/>
      </c>
      <c r="AC147" s="9"/>
      <c r="AD147" s="48" t="str">
        <f>IF(ISBLANK('Soil results'!F150),"",'Soil results'!F150)</f>
        <v/>
      </c>
      <c r="AE147" s="49" t="str">
        <f ca="1">IF(B147="","",
IF(AND(Calc!BJ145="g", VLOOKUP(LEFT($B147,LEN($B147)-2),'Field information 2'!$B$12:$P$111,9,FALSE)&lt;&gt;"yes"),
 IF(Calc!BG145="10-25% OM", 5.9, IF(Calc!BG145="&gt;25% OM", 5.5, 6.2)),
IF(OR(Calc!BJ145="a", VLOOKUP(LEFT($B147,LEN($B147)-2),'Field information 2'!$B$12:$P$111,9,FALSE)="yes"),
 IF(Calc!BG145="10-25% OM", 6.4, IF(Calc!BG145="&gt;25% OM", 6, 6.7)), "")))</f>
        <v/>
      </c>
      <c r="AF147" s="91" t="str">
        <f ca="1">IF(B147="","",
IF('Waste results'!$Q$33="","no (significant) liming properties",
IF('Waste results'!Q$33&gt;100,"no (significant) liming properties",
IF(AD147="","",
IF(AD147&gt;=AE147,0,ROUNDDOWN((AE147-AD147)*Calc!BK145*'Waste results'!$Q$33+0.2,0))))))</f>
        <v/>
      </c>
      <c r="AG147" s="9" t="str">
        <f ca="1">IF(B147="","",
IF(T147=0,"n/a",
IF(AD147="","data missing",
IF(AND(AD147&lt;5,AF147="no (significant) liming properties"),"no waste application - pH too low",
IF(AND(AD147&gt;5.1,AF147="no (significant) liming properties",Calc!BH145&gt;25, LEFT(Calc!BI145,4)="graz"),"ok",
IF(AND(AD147&lt;=5.2,AF147="no (significant) liming properties"),"liming highly recommended",
IF(AF147=0,"no waste application - liming not required",
IF(AF147&lt;Calc!BC145,"application rate too high - exceeds liming requirement",
"ok"))))))))</f>
        <v/>
      </c>
      <c r="AH147" s="9"/>
      <c r="AI147" s="91" t="str">
        <f ca="1">IF(B147="","",
IF(AND('Field information 2'!$O$5="", 'Field information 2'!$Q$5=""),
   IF('Waste results'!$P$10&lt;&gt;"data missing", Calc!BC145*'Waste results'!$P$10, "data missing"),
IF('Field information 2'!$Q$5="",
   IF(Calc!BD145=0,
     IF('Waste results'!$P$10&lt;&gt;"data missing", Calc!BC145*'Waste results'!$P$10, "data missing"),
   IF(Calc!BC145=0,
     IF('Waste results'!$P$45&lt;&gt;"data missing", Calc!BD145*'Waste results'!$P$45, "data missing"),
   IF(OR('Waste results'!$P$10&lt;&gt;"data missing", 'Waste results'!$P$45&lt;&gt;"data missing"), Calc!BC145*'Waste results'!$P$10+ Calc!BD145*'Waste results'!$P$45, "data missing"))),
IF(AND('Field information 2'!$M$5&lt;&gt;"", 'Field information 2'!$O$5&lt;&gt;"", 'Field information 2'!$Q$5&lt;&gt;""),
   IF(AND(Calc!BD145=0,Calc!BE145=0),
     IF('Waste results'!$P$10&lt;&gt;"data missing", Calc!BC145*'Waste results'!$P$10, "data missing"),
   IF(AND(Calc!BC145=0,Calc!BE145=0),
     IF('Waste results'!$P$45&lt;&gt;"data missing", Calc!BD145*'Waste results'!$P$45, "data missing"),
   IF(AND(Calc!BC145=0,Calc!BD145=0),
     IF('Waste results'!$P$82&lt;&gt;"data missing", Calc!BE145*'Waste results'!$P$82, "data missing"),
   IF(Calc!BE145=0,
     IF(OR('Waste results'!$P$10&lt;&gt;"data missing", 'Waste results'!$P$45&lt;&gt;"data missing"), Calc!BC145*'Waste results'!$P$10+ Calc!BD145*'Waste results'!$P$45, "data missing"),
   IF(Calc!BD145=0,
     IF(OR('Waste results'!$P$10&lt;&gt;"data missing", 'Waste results'!$P$82&lt;&gt;"data missing"), Calc!BC145*'Waste results'!$P$10+ Calc!BE145*'Waste results'!$P$82, "data missing"),
   IF(Calc!BC145=0,
     IF(OR('Waste results'!$P$45&lt;&gt;"data missing", 'Waste results'!$P$82&lt;&gt;"data missing"), Calc!BD145*'Waste results'!$P$45+Calc!BE145*'Waste results'!$P$82, "data missing"),
   IF(OR('Waste results'!$P$10&lt;&gt;"data missing", 'Waste results'!$P$45&lt;&gt;"data missing", 'Waste results'!$P$82&lt;&gt;"data missing"), Calc!BC145*'Waste results'!$P$10+Calc!BD145*'Waste results'!$P$45+ Calc!BE145*'Waste results'!$P$82, "data missing")))))))))))</f>
        <v/>
      </c>
      <c r="AJ147" s="237" t="str">
        <f ca="1">IF(B147="","",
IF(AI147="data missing","data missing",
IF(Calc!BF145=0,"n/a",
IF(AND(Calc!BH145&gt;=8,AI147&lt;500),"no benefit",
IF(OR(AND(Calc!BH145&lt;=4,AI147&gt;=500),AND(Calc!BH145&lt;8,AI147&gt;5000)),"benefit",
"limited benefit")))))</f>
        <v/>
      </c>
      <c r="AK147" s="9"/>
      <c r="AL147" s="238" t="str">
        <f ca="1">IF(B147="","",
IF(AND('Field information 2'!$O$5="", 'Field information 2'!$Q$5=""),
   IF('Waste results'!$S$25&lt;&gt;"data missing", Calc!BC145*'Waste results'!$S$25, "data missing"),
IF('Field information 2'!$Q$5="",
   IF(Calc!BD145=0,
     IF('Waste results'!$S$25&lt;&gt;"data missing", Calc!BC145*'Waste results'!$S$25, "data missing"),
   IF(Calc!BC145=0,
     IF('Waste results'!$S$61&lt;&gt;"data missing", Calc!BD145*'Waste results'!$S$61, "data missing"),
   IF(OR('Waste results'!$S$25&lt;&gt;"data missing", 'Waste results'!$S$61&lt;&gt;"data missing"), Calc!BC145*'Waste results'!$S$25+ Calc!BD145*'Waste results'!$S$61, "data missing"))),
IF(AND('Field information 2'!$M$5&lt;&gt;"", 'Field information 2'!$O$5&lt;&gt;"", 'Field information 2'!$Q$5&lt;&gt;""),
   IF(AND(Calc!BD145=0,Calc!BE145=0),
     IF('Waste results'!$S$25&lt;&gt;"data missing", Calc!BC145*'Waste results'!$S$25, "data missing"),
   IF(AND(Calc!BC145=0,Calc!BE145=0),
     IF('Waste results'!$S$61&lt;&gt;"data missing", Calc!BD145*'Waste results'!$S$61, "data missing"),
   IF(AND(Calc!BC145=0,Calc!BD145=0),
     IF('Waste results'!$S$97&lt;&gt;"data missing", Calc!BE145*'Waste results'!$S$97, "data missing"),
   IF(Calc!BE145=0,
     IF(OR('Waste results'!$S$25&lt;&gt;"data missing", 'Waste results'!$S$61&lt;&gt;"data missing"), Calc!BC145*'Waste results'!$S$25+ Calc!BD145*'Waste results'!$S$61, "data missing"),
   IF(Calc!BD145=0,
     IF(OR('Waste results'!$S$25&lt;&gt;"data missing", 'Waste results'!$S$97&lt;&gt;"data missing"), Calc!BC145*'Waste results'!$S$25+ Calc!BE145*'Waste results'!$S$97, "data missing"),
   IF(Calc!BC145=0,
     IF(OR('Waste results'!$S$61&lt;&gt;"data missing", 'Waste results'!$S$97&lt;&gt;"data missing"), Calc!BD145*'Waste results'!$S$61+Calc!BE145*'Waste results'!$S$97, "data missing"),
   IF(OR('Waste results'!$S$25&lt;&gt;"data missing", 'Waste results'!$S$61&lt;&gt;"data missing", 'Waste results'!$S$97&lt;&gt;"data missing"), Calc!BC145*'Waste results'!$S$25+Calc!BD145*'Waste results'!$S$61+ Calc!BE145*'Waste results'!$S$97, "data missing")))))))))))</f>
        <v/>
      </c>
      <c r="AM147" s="239" t="str">
        <f ca="1">IF($B147="","",
IF(ISBLANK('Soil results'!K150),"data missing",'Soil results'!K150))</f>
        <v/>
      </c>
      <c r="AN147" s="239" t="str">
        <f t="shared" ca="1" si="40"/>
        <v/>
      </c>
      <c r="AO147" s="9" t="str">
        <f t="shared" ca="1" si="41"/>
        <v/>
      </c>
      <c r="AP147" s="9"/>
      <c r="AQ147" s="240" t="str">
        <f ca="1">IF(B147="","",
IF(AND('Field information 2'!$O$5="", 'Field information 2'!$Q$5=""),
   IF('Waste results'!$S$26&lt;&gt;"data missing", Calc!BC145*'Waste results'!$S$26, "data missing"),
IF('Field information 2'!$Q$5="",
   IF(Calc!BD145=0,
     IF('Waste results'!$S$26&lt;&gt;"data missing", Calc!BC145*'Waste results'!$S$26, "data missing"),
   IF(Calc!BC145=0,
     IF('Waste results'!$S$62&lt;&gt;"data missing", Calc!BD145*'Waste results'!$S$62, "data missing"),
   IF(OR('Waste results'!$S$26&lt;&gt;"data missing", 'Waste results'!$S$62&lt;&gt;"data missing"), Calc!BC145*'Waste results'!$S$26+ Calc!BD145*'Waste results'!$S$62, "data missing"))),
IF(AND('Field information 2'!$M$5&lt;&gt;"", 'Field information 2'!$O$5&lt;&gt;"", 'Field information 2'!$Q$5&lt;&gt;""),
   IF(AND(Calc!BD145=0,Calc!BE145=0),
     IF('Waste results'!$S$26&lt;&gt;"data missing", Calc!BC145*'Waste results'!$S$26, "data missing"),
   IF(AND(Calc!BC145=0,Calc!BE145=0),
     IF('Waste results'!$S$62&lt;&gt;"data missing", Calc!BD145*'Waste results'!$S$62, "data missing"),
   IF(AND(Calc!BC145=0,Calc!BD145=0),
     IF('Waste results'!$S$98&lt;&gt;"data missing", Calc!BE145*'Waste results'!$S$98, "data missing"),
   IF(Calc!BE145=0,
     IF(OR('Waste results'!$S$26&lt;&gt;"data missing", 'Waste results'!$S$62&lt;&gt;"data missing"), Calc!BC145*'Waste results'!$S$26+ Calc!BD145*'Waste results'!$S$62, "data missing"),
   IF(Calc!BD145=0,
     IF(OR('Waste results'!$S$26&lt;&gt;"data missing", 'Waste results'!$S$98&lt;&gt;"data missing"), Calc!BC145*'Waste results'!$S$26+ Calc!BE145*'Waste results'!$S$98, "data missing"),
   IF(Calc!BC145=0,
     IF(OR('Waste results'!$S$62&lt;&gt;"data missing", 'Waste results'!$S$98&lt;&gt;"data missing"), Calc!BD145*'Waste results'!$S$62+Calc!BE145*'Waste results'!$S$98, "data missing"),
   IF(OR('Waste results'!$S$26&lt;&gt;"data missing", 'Waste results'!$S$62&lt;&gt;"data missing", 'Waste results'!$S$98&lt;&gt;"data missing"), Calc!BC145*'Waste results'!$S$26+Calc!BD145*'Waste results'!$S$62+ Calc!BE145*'Waste results'!$S$98, "data missing")))))))))))</f>
        <v/>
      </c>
      <c r="AR147" s="241" t="str">
        <f ca="1">IF($B147="","",
IF(ISBLANK('Soil results'!L150),"data missing",'Soil results'!L150))</f>
        <v/>
      </c>
      <c r="AS147" s="241" t="str">
        <f t="shared" ca="1" si="42"/>
        <v/>
      </c>
      <c r="AT147" s="66" t="str">
        <f t="shared" ca="1" si="43"/>
        <v/>
      </c>
      <c r="AU147" s="9"/>
      <c r="AV147" s="238" t="str">
        <f ca="1">IF(B147="","",
IF(AND('Field information 2'!$O$5="", 'Field information 2'!$Q$5=""),
   IF('Waste results'!$S$27&lt;&gt;"data missing", Calc!BC145*'Waste results'!$S$27, "data missing"),
IF('Field information 2'!$Q$5="",
   IF(Calc!BD145=0,
     IF('Waste results'!$S$27&lt;&gt;"data missing", Calc!BC145*'Waste results'!$S$27, "data missing"),
   IF(Calc!BC145=0,
     IF('Waste results'!$S$63&lt;&gt;"data missing", Calc!BD145*'Waste results'!$S$63, "data missing"),
   IF(OR('Waste results'!$S$27&lt;&gt;"data missing", 'Waste results'!$S$63&lt;&gt;"data missing"), Calc!BC145*'Waste results'!$S$27+ Calc!BD145*'Waste results'!$S$63, "data missing"))),
IF(AND('Field information 2'!$M$5&lt;&gt;"", 'Field information 2'!$O$5&lt;&gt;"", 'Field information 2'!$Q$5&lt;&gt;""),
   IF(AND(Calc!BD145=0,Calc!BE145=0),
     IF('Waste results'!$S$27&lt;&gt;"data missing", Calc!BC145*'Waste results'!$S$27, "data missing"),
   IF(AND(Calc!BC145=0,Calc!BE145=0),
     IF('Waste results'!$S$63&lt;&gt;"data missing", Calc!BD145*'Waste results'!$S$63, "data missing"),
   IF(AND(Calc!BC145=0,Calc!BD145=0),
     IF('Waste results'!$S$99&lt;&gt;"data missing", Calc!BE145*'Waste results'!$S$99, "data missing"),
   IF(Calc!BE145=0,
     IF(OR('Waste results'!$S$27&lt;&gt;"data missing", 'Waste results'!$S$63&lt;&gt;"data missing"), Calc!BC145*'Waste results'!$S$27+ Calc!BD145*'Waste results'!$S$63, "data missing"),
   IF(Calc!BD145=0,
     IF(OR('Waste results'!$S$27&lt;&gt;"data missing", 'Waste results'!$S$99&lt;&gt;"data missing"), Calc!BC145*'Waste results'!$S$27+ Calc!BE145*'Waste results'!$S$99, "data missing"),
   IF(Calc!BC145=0,
     IF(OR('Waste results'!$S$63&lt;&gt;"data missing", 'Waste results'!$S$99&lt;&gt;"data missing"), Calc!BD145*'Waste results'!$S$63+Calc!BE145*'Waste results'!$S$99, "data missing"),
   IF(OR('Waste results'!$S$27&lt;&gt;"data missing", 'Waste results'!$S$63&lt;&gt;"data missing", 'Waste results'!$S$99&lt;&gt;"data missing"), Calc!BC145*'Waste results'!$S$27+Calc!BD145*'Waste results'!$S$63+ Calc!BE145*'Waste results'!$S$99, "data missing")))))))))))</f>
        <v/>
      </c>
      <c r="AW147" s="239" t="str">
        <f ca="1">IF($B147="","",
IF(ISBLANK('Soil results'!M150),"data missing",'Soil results'!M150))</f>
        <v/>
      </c>
      <c r="AX147" s="239" t="str">
        <f t="shared" ca="1" si="44"/>
        <v/>
      </c>
      <c r="AY147" s="9" t="str">
        <f ca="1">IF(B147="","",
IF(AV147=0,"n/a",
IF(OR(AV147="data missing",AW147="data missing"),"data missing",
IF(AV147&gt;7.5,"application rate too high - permissible rate exceeds limit",
IF('Soil results'!$F150&lt;=5.5,
  IF(AW147&gt;80,"no application - soil conc. already above limit",
  IF(AX147&gt;80,"application rate too high - soil conc. will exceed limit",
  IF(AW147&gt;80*0.9,"soil conc. is at or above 90% of the limit",
  IF(10*AV147*1000/3000+AW147&gt;80,"soil limit likely to be exceeded in 10yrs",
  IF(50*AV147*1000/3000+AW147&gt;80,"soil limit likely to be exceeded in 50yrs","ok"))))),
IF('Soil results'!$F150&lt;=6,
  IF(AW147&gt;100,"no application - soil conc. already above limit",
  IF(AX147&gt;100,"application rate too high - soil conc. will exceed limit",
  IF(AW147&gt;100*0.9,"soil conc. is at or above 90% of the limit",
  IF(10*AV147*1000/3000+AW147&gt;100,"soil limit likely to be exceeded in 10yrs",
  IF(50*AV147*1000/3000+AW147&gt;100,"soil limit likely to be exceeded in 50yrs","ok"))))),
IF('Soil results'!$F150&lt;=7,
  IF(AW147&gt;135,"no application - soil conc. already above limit",
  IF(AX147&gt;135,"application rate too high - soil conc. will exceed limit",
  IF(AW147&gt;135*0.9,"soil conc. is at or above 90% of the limit",
  IF(10*AV147*1000/3000+AW147&gt;135,"soil limit likely to be exceeded in 10yrs",
  IF(50*AV147*1000/3000+AW147&gt;135,"soil limit likely to be exceeded in 50yrs","ok"))))),
IF('Soil results'!$F150&gt;7,
  IF(AW147&gt;200,"no application - soil conc. already above limit",
  IF(AX147&gt;200,"application too high - soil conc. will exceed limit",
  IF(AW147&gt;200*0.9,"soil conc. is at or above 90% of the limit",
  IF(10*AV147*1000/3000+AW147&gt;200,"soil limit likely to be exceeded in 10yrs",
  IF(50*AV147*1000/3000+AW147&gt;200,"soil limit likely to be exceeded in 50yrs","ok")))))
))))))))</f>
        <v/>
      </c>
      <c r="AZ147" s="9"/>
      <c r="BA147" s="238" t="str">
        <f ca="1">IF(B147="","",
IF(AND('Field information 2'!$O$5="", 'Field information 2'!$Q$5=""),
   IF('Waste results'!$S$28&lt;&gt;"data missing", Calc!BC145*'Waste results'!$S$28, "data missing"),
IF('Field information 2'!$Q$5="",
   IF(Calc!BD145=0,
     IF('Waste results'!$S$28&lt;&gt;"data missing", Calc!BC145*'Waste results'!$S$28, "data missing"),
   IF(Calc!BC145=0,
     IF('Waste results'!$S$64&lt;&gt;"data missing", Calc!BD145*'Waste results'!$S$64, "data missing"),
   IF(OR('Waste results'!$S$28&lt;&gt;"data missing", 'Waste results'!$S$64&lt;&gt;"data missing"), Calc!BC145*'Waste results'!$S$28+ Calc!BD145*'Waste results'!$S$64, "data missing"))),
IF(AND('Field information 2'!$M$5&lt;&gt;"", 'Field information 2'!$O$5&lt;&gt;"", 'Field information 2'!$Q$5&lt;&gt;""),
   IF(AND(Calc!BD145=0,Calc!BE145=0),
     IF('Waste results'!$S$28&lt;&gt;"data missing", Calc!BC145*'Waste results'!$S$28, "data missing"),
   IF(AND(Calc!BC145=0,Calc!BE145=0),
     IF('Waste results'!$S$64&lt;&gt;"data missing", Calc!BD145*'Waste results'!$S$64, "data missing"),
   IF(AND(Calc!BC145=0,Calc!BD145=0),
     IF('Waste results'!$S$100&lt;&gt;"data missing", Calc!BE145*'Waste results'!$S$100, "data missing"),
   IF(Calc!BE145=0,
     IF(OR('Waste results'!$S$28&lt;&gt;"data missing", 'Waste results'!$S$64&lt;&gt;"data missing"), Calc!BC145*'Waste results'!$S$28+ Calc!BD145*'Waste results'!$S$64, "data missing"),
   IF(Calc!BD145=0,
     IF(OR('Waste results'!$S$28&lt;&gt;"data missing", 'Waste results'!$S$100&lt;&gt;"data missing"), Calc!BC145*'Waste results'!$S$28+ Calc!BE145*'Waste results'!$S$100, "data missing"),
   IF(Calc!BC145=0,
     IF(OR('Waste results'!$S$64&lt;&gt;"data missing", 'Waste results'!$S$100&lt;&gt;"data missing"), Calc!BD145*'Waste results'!$S$64+Calc!BE145*'Waste results'!$S$100, "data missing"),
   IF(OR('Waste results'!$S$28&lt;&gt;"data missing", 'Waste results'!$S$64&lt;&gt;"data missing", 'Waste results'!$S$100&lt;&gt;"data missing"), Calc!BC145*'Waste results'!$S$28+Calc!BD145*'Waste results'!$S$64+ Calc!BE145*'Waste results'!$S$100, "data missing")))))))))))</f>
        <v/>
      </c>
      <c r="BB147" s="239" t="str">
        <f ca="1">IF($B147="","",
IF(ISBLANK('Soil results'!N150),"data missing",'Soil results'!N150))</f>
        <v/>
      </c>
      <c r="BC147" s="239" t="str">
        <f t="shared" ca="1" si="45"/>
        <v/>
      </c>
      <c r="BD147" s="9" t="str">
        <f t="shared" ca="1" si="46"/>
        <v/>
      </c>
      <c r="BE147" s="9"/>
      <c r="BF147" s="238" t="str">
        <f ca="1">IF(B147="","",
IF(AND('Field information 2'!$O$5="", 'Field information 2'!$Q$5=""),
   IF('Waste results'!$S$29&lt;&gt;"data missing", Calc!BC145*'Waste results'!$S$29, "data missing"),
IF('Field information 2'!$Q$5="",
   IF(Calc!BD145=0,
     IF('Waste results'!$S$29&lt;&gt;"data missing", Calc!BC145*'Waste results'!$S$29, "data missing"),
   IF(Calc!BC145=0,
     IF('Waste results'!$S$65&lt;&gt;"data missing", Calc!BD145*'Waste results'!$S$65, "data missing"),
   IF(OR('Waste results'!$S$29&lt;&gt;"data missing", 'Waste results'!$S$65&lt;&gt;"data missing"), Calc!BC145*'Waste results'!$S$29+ Calc!BD145*'Waste results'!$S$65, "data missing"))),
IF(AND('Field information 2'!$M$5&lt;&gt;"", 'Field information 2'!$O$5&lt;&gt;"", 'Field information 2'!$Q$5&lt;&gt;""),
   IF(AND(Calc!BD145=0,Calc!BE145=0),
     IF('Waste results'!$S$29&lt;&gt;"data missing", Calc!BC145*'Waste results'!$S$29, "data missing"),
   IF(AND(Calc!BC145=0,Calc!BE145=0),
     IF('Waste results'!$S$65&lt;&gt;"data missing", Calc!BD145*'Waste results'!$S$65, "data missing"),
   IF(AND(Calc!BC145=0,Calc!BD145=0),
     IF('Waste results'!$S$101&lt;&gt;"data missing", Calc!BE145*'Waste results'!$S$101, "data missing"),
   IF(Calc!BE145=0,
     IF(OR('Waste results'!$S$29&lt;&gt;"data missing", 'Waste results'!$S$65&lt;&gt;"data missing"), Calc!BC145*'Waste results'!$S$29+ Calc!BD145*'Waste results'!$S$65, "data missing"),
   IF(Calc!BD145=0,
     IF(OR('Waste results'!$S$29&lt;&gt;"data missing", 'Waste results'!$S$101&lt;&gt;"data missing"), Calc!BC145*'Waste results'!$S$29+ Calc!BE145*'Waste results'!$S$101, "data missing"),
   IF(Calc!BC145=0,
     IF(OR('Waste results'!$S$65&lt;&gt;"data missing", 'Waste results'!$S$101&lt;&gt;"data missing"), Calc!BD145*'Waste results'!$S$65+Calc!BE145*'Waste results'!$S$101, "data missing"),
   IF(OR('Waste results'!$S$29&lt;&gt;"data missing", 'Waste results'!$S$65&lt;&gt;"data missing", 'Waste results'!$S$101&lt;&gt;"data missing"), Calc!BC145*'Waste results'!$S$29+Calc!BD145*'Waste results'!$S$65+ Calc!BE145*'Waste results'!$S$101, "data missing")))))))))))</f>
        <v/>
      </c>
      <c r="BG147" s="239" t="str">
        <f ca="1">IF($B147="","",
IF(ISBLANK('Soil results'!O150),"data missing",'Soil results'!O150))</f>
        <v/>
      </c>
      <c r="BH147" s="239" t="str">
        <f t="shared" ca="1" si="47"/>
        <v/>
      </c>
      <c r="BI147" s="9" t="str">
        <f ca="1">IF(B147="","",
IF(BF147=0,"n/a",
IF(OR(BF147="data missing",BG147="data missing"),"data missing",
IF(BF147&gt;3,"application rate too high - permissible rate exceeds limit",
IF('Soil results'!F150&lt;=5.5,
  IF(BG147&gt;50,"no application - soil conc. already above limit",
  IF(BH147&gt;50,"application rate too high - soil conc. will exceed limit",
  IF(BG147&gt;50*0.9,"soil conc. is at or above 90% of the limit",
  IF(10*BF147*1000/3000+BG147&gt;50,"soil limit likely to be exceeded in 10yrs",
  IF(50*BF147*1000/3000+BG147&gt;50,"soil limit likely to be exceeded in 50yrs","ok"))))),
IF('Soil results'!F150&lt;=6,
  IF(BG147&gt;60,"no application - soil conc. already above limit",
  IF(BH147&gt;60,"application rate too high - soil conc. will exceed limit",
  IF(BG147&gt;60*0.9,"soil conc. is at or above 90% of the limit",
  IF(10*BF147*1000/3000+BG147&gt;60,"soil limit likely to be exceeded in 10yrs",
  IF(50*BF147*1000/3000+BG147&gt;60,"soil limit likely to be exceeded in 50yrs","ok"))))),
IF('Soil results'!F150&lt;=7,
  IF(BG147&gt;75,"no application - soil conc. already above limit",
  IF(BH147&gt;75,"application rate too high - soil conc. will exceed limit",
  IF(BG147&gt;75*0.9,"soil conc. is at or above 90% of the limit",
  IF(10*BF147*1000/3000+BG147&gt;75,"soil limit likely to be exceeded in 10yrs",
  IF(50*BF147*1000/3000+BG147&gt;75,"soil limit likely to be exceeded in 50yrs","ok"))))),
IF('Soil results'!F150&gt;7,
  IF(BG147&gt;100,"no application - soil conc. already above limit",
  IF(BH147&gt;100,"application rate too high - soil conc. will exceed limit",
  IF(BG147&gt;100*0.9,"soil conc. is at or above 90% of the limit",
  IF(10*BF147*1000/3000+BG147&gt;100,"soil limit likely to be exceeded in 10yrs",
  IF(50*BF147*1000/3000+BG147&gt;100,"soil limit likely to beexceeded in 50yrs","ok")))))
))))))))</f>
        <v/>
      </c>
      <c r="BJ147" s="9"/>
      <c r="BK147" s="240" t="str">
        <f ca="1">IF(B147="","",
IF(AND('Field information 2'!$O$5="", 'Field information 2'!$Q$5=""),
   IF('Waste results'!$S$30&lt;&gt;"data missing", Calc!BC145*'Waste results'!$S$30, "data missing"),
IF('Field information 2'!$Q$5="",
   IF(Calc!BD145=0,
     IF('Waste results'!$S$30&lt;&gt;"data missing", Calc!BC145*'Waste results'!$S$30, "data missing"),
   IF(Calc!BC145=0,
     IF('Waste results'!$S$66&lt;&gt;"data missing", Calc!BD145*'Waste results'!$S$66, "data missing"),
   IF(OR('Waste results'!$S$30&lt;&gt;"data missing", 'Waste results'!$S$66&lt;&gt;"data missing"), Calc!BC145*'Waste results'!$S$30+ Calc!BD145*'Waste results'!$S$66, "data missing"))),
IF(AND('Field information 2'!$M$5&lt;&gt;"", 'Field information 2'!$O$5&lt;&gt;"", 'Field information 2'!$Q$5&lt;&gt;""),
   IF(AND(Calc!BD145=0,Calc!BE145=0),
     IF('Waste results'!$S$30&lt;&gt;"data missing", Calc!BC145*'Waste results'!$S$30, "data missing"),
   IF(AND(Calc!BC145=0,Calc!BE145=0),
     IF('Waste results'!$S$66&lt;&gt;"data missing", Calc!BD145*'Waste results'!$S$66, "data missing"),
   IF(AND(Calc!BC145=0,Calc!BD145=0),
     IF('Waste results'!$S$102&lt;&gt;"data missing", Calc!BE145*'Waste results'!$S$102, "data missing"),
   IF(Calc!BE145=0,
     IF(OR('Waste results'!$S$30&lt;&gt;"data missing", 'Waste results'!$S$66&lt;&gt;"data missing"), Calc!BC145*'Waste results'!$S$30+ Calc!BD145*'Waste results'!$S$66, "data missing"),
   IF(Calc!BD145=0,
     IF(OR('Waste results'!$S$30&lt;&gt;"data missing", 'Waste results'!$S$102&lt;&gt;"data missing"), Calc!BC145*'Waste results'!$S$30+ Calc!BE145*'Waste results'!$S$102, "data missing"),
   IF(Calc!BC145=0,
     IF(OR('Waste results'!$S$66&lt;&gt;"data missing", 'Waste results'!$S$102&lt;&gt;"data missing"), Calc!BD145*'Waste results'!$S$66+Calc!BE145*'Waste results'!$S$102, "data missing"),
   IF(OR('Waste results'!$S$30&lt;&gt;"data missing", 'Waste results'!$S$66&lt;&gt;"data missing", 'Waste results'!$S$102&lt;&gt;"data missing"), Calc!BC145*'Waste results'!$S$30+Calc!BD145*'Waste results'!$S$66+ Calc!BE145*'Waste results'!$S$102, "data missing")))))))))))</f>
        <v/>
      </c>
      <c r="BL147" s="241" t="str">
        <f ca="1">IF($B147="","",
IF(ISBLANK('Soil results'!P150),"data missing",'Soil results'!P150))</f>
        <v/>
      </c>
      <c r="BM147" s="241" t="str">
        <f t="shared" ca="1" si="48"/>
        <v/>
      </c>
      <c r="BN147" s="66" t="str">
        <f t="shared" ca="1" si="49"/>
        <v/>
      </c>
      <c r="BO147" s="9"/>
      <c r="BP147" s="238" t="str">
        <f ca="1">IF(B147="","",
IF(AND('Field information 2'!$O$5="", 'Field information 2'!$Q$5=""),
   IF('Waste results'!$S$31&lt;&gt;"data missing", Calc!BC145*'Waste results'!$S$31, "data missing"),
IF('Field information 2'!$Q$5="",
   IF(Calc!BD145=0,
     IF('Waste results'!$S$31&lt;&gt;"data missing", Calc!BC145*'Waste results'!$S$31, "data missing"),
   IF(Calc!BC145=0,
     IF('Waste results'!$S$67&lt;&gt;"data missing", Calc!BD145*'Waste results'!$S$67, "data missing"),
   IF(OR('Waste results'!$S$31&lt;&gt;"data missing", 'Waste results'!$S$67&lt;&gt;"data missing"), Calc!BC145*'Waste results'!$S$31+ Calc!BD145*'Waste results'!$S$67, "data missing"))),
IF(AND('Field information 2'!$M$5&lt;&gt;"", 'Field information 2'!$O$5&lt;&gt;"", 'Field information 2'!$Q$5&lt;&gt;""),
   IF(AND(Calc!BD145=0,Calc!BE145=0),
     IF('Waste results'!$S$31&lt;&gt;"data missing", Calc!BC145*'Waste results'!$S$31, "data missing"),
   IF(AND(Calc!BC145=0,Calc!BE145=0),
     IF('Waste results'!$S$67&lt;&gt;"data missing", Calc!BD145*'Waste results'!$S$67, "data missing"),
   IF(AND(Calc!BC145=0,Calc!BD145=0),
     IF('Waste results'!$S$103&lt;&gt;"data missing", Calc!BE145*'Waste results'!$S$103, "data missing"),
   IF(Calc!BE145=0,
     IF(OR('Waste results'!$S$31&lt;&gt;"data missing", 'Waste results'!$S$67&lt;&gt;"data missing"), Calc!BC145*'Waste results'!$S$31+ Calc!BD145*'Waste results'!$S$67, "data missing"),
   IF(Calc!BD145=0,
     IF(OR('Waste results'!$S$31&lt;&gt;"data missing", 'Waste results'!$S$103&lt;&gt;"data missing"), Calc!BC145*'Waste results'!$S$31+ Calc!BE145*'Waste results'!$S$103, "data missing"),
   IF(Calc!BC145=0,
     IF(OR('Waste results'!$S$67&lt;&gt;"data missing", 'Waste results'!$S$103&lt;&gt;"data missing"), Calc!BD145*'Waste results'!$S$67+Calc!BE145*'Waste results'!$S$103, "data missing"),
   IF(OR('Waste results'!$S$31&lt;&gt;"data missing", 'Waste results'!$S$67&lt;&gt;"data missing", 'Waste results'!$S$103&lt;&gt;"data missing"), Calc!BC145*'Waste results'!$S$31+Calc!BD145*'Waste results'!$S$67+ Calc!BE145*'Waste results'!$S$103, "data missing")))))))))))</f>
        <v/>
      </c>
      <c r="BQ147" s="239" t="str">
        <f ca="1">IF($B147="","",
IF(ISBLANK('Soil results'!Q150),"data missing",'Soil results'!Q150))</f>
        <v/>
      </c>
      <c r="BR147" s="239" t="str">
        <f t="shared" ca="1" si="50"/>
        <v/>
      </c>
      <c r="BS147" s="9" t="str">
        <f ca="1">IF(B147="","",
IF(BP147=0,"n/a",
IF(OR(BP147="data missing",BQ147=""),"data missing",
IF(BP147&gt;15,"application rate too high - permissible rate exceeds limit",
IF('Soil results'!F150&lt;=5.5,
  IF(BQ147&gt;200,"no application - soil conc. already above limit",
  IF(BR147&gt;200,"application rate too high - soil conc. will exceed limit",
  IF(BQ147&gt;200*0.9,"soil conc. is at or above 90% of the limit",
  IF(10*BP147*1000/3000+BQ147&gt;200,"soil limit likely to be exceeded in 10yrs",
  IF(50*BP147*1000/3000+BQ147&gt;200,"soil limit likely to be exceeded in 50yrs","ok"))))),
IF('Soil results'!F150&lt;=6,
  IF(BQ147&gt;250,"no application - soil conc. already above limit",
  IF(BR147&gt;250,"application rate too high - soil conc. will exceed limit",
  IF(BQ147&gt;250*0.9,"soil conc. is at or above 90% of the limit",
  IF(10*BP147*1000/3000+BQ147&gt;250,"soil limit likely to be exceeded in 10yrs",
  IF(50*BP147*1000/3000+BQ147&gt;250,"soil limit likely to be exceeded in 50yrs","ok"))))),
IF('Soil results'!F150&lt;=7,
  IF(BQ147&gt;300,"no application - soil conc. already above limit",
  IF(BR147&gt;300,"application rate too high - soil conc. will exceed limit",
  IF(BQ147&gt;300*0.9,"soil conc. is at or above 90% of the limit",
  IF(10*BP147*1000/3000+BQ147&gt;300,"soil limit likey to be exceeded in 10yrs",
  IF(50*BP147*1000/3000+BQ147&gt;300,"soil limit likely to be exceeded in 50yrs","ok"))))),
IF('Soil results'!F150&gt;7,
  IF(BQ147&gt;450,"no application - soil conc. already above limit",
  IF(BR147&gt;450,"application rate too high - soil conc. will exceed limit",
  IF(AW147&gt;450*0.9,"soil conc. is at or above 90% of the limit",
  IF(10*BP147*1000/3000+BQ147&gt;450,"soil limit likely to be exceeded in 10yrs",
  IF(50*BP147*1000/3000+BQ147&gt;450,"soil limit likely to be exceeded in 50yrs","ok")))))
))))))))</f>
        <v/>
      </c>
    </row>
    <row r="148" spans="2:71" ht="15" x14ac:dyDescent="0.25">
      <c r="B148" s="236" t="str">
        <f ca="1">'Soil results'!B151</f>
        <v/>
      </c>
      <c r="C148" s="91" t="str">
        <f ca="1">IF(B148="","",
IF(AND('Field information 2'!$O$5="", 'Field information 2'!$Q$5=""),
   IF('Waste results'!$S$12&lt;&gt;"data missing", Calc!BC146*'Waste results'!$S$12, "data missing"),
IF('Field information 2'!$Q$5="",
   IF(Calc!BD146=0,
     IF('Waste results'!$S$12&lt;&gt;"data missing", Calc!BC146*'Waste results'!$S$12, "data missing"),
   IF(Calc!BC146=0,
     IF('Waste results'!$S$48&lt;&gt;"data missing", Calc!BD146*'Waste results'!$S$48, "data missing"),
   IF(OR('Waste results'!$S$12&lt;&gt;"data missing", 'Waste results'!$S$48&lt;&gt;"data missing"), Calc!BC146*'Waste results'!$S$12+ Calc!BD146*'Waste results'!$S$48, "data missing"))),
IF(AND('Field information 2'!$M$5&lt;&gt;"", 'Field information 2'!$O$5&lt;&gt;"", 'Field information 2'!$Q$5&lt;&gt;""),
   IF(AND(Calc!BD146=0,Calc!BE146=0),
     IF('Waste results'!$S$12&lt;&gt;"data missing", Calc!BC146*'Waste results'!$S$12, "data missing"),
   IF(AND(Calc!BC146=0,Calc!BE146=0),
     IF('Waste results'!$S$48&lt;&gt;"data missing", Calc!BD146*'Waste results'!$S$48, "data missing"),
   IF(AND(Calc!BC146=0,Calc!BD146=0),
     IF('Waste results'!$S$84&lt;&gt;"data missing", Calc!BE146*'Waste results'!$S$84, "data missing"),
   IF(Calc!BE146=0,
     IF(OR('Waste results'!$S$12&lt;&gt;"data missing", 'Waste results'!$S$48&lt;&gt;"data missing"), Calc!BC146*'Waste results'!$S$12+ Calc!BD146*'Waste results'!$S$48, "data missing"),
   IF(Calc!BD146=0,
     IF(OR('Waste results'!$S$12&lt;&gt;"data missing", 'Waste results'!$S$84&lt;&gt;"data missing"), Calc!BC146*'Waste results'!$S$12+ Calc!BE146*'Waste results'!$S$84, "data missing"),
   IF(Calc!BC146=0,
     IF(OR('Waste results'!$S$48&lt;&gt;"data missing", 'Waste results'!$S$84&lt;&gt;"data missing"), Calc!BD146*'Waste results'!$S$48+Calc!BE146*'Waste results'!$S$84, "data missing"),
   IF(OR('Waste results'!$S$12&lt;&gt;"data missing", 'Waste results'!$S$48&lt;&gt;"data missing", 'Waste results'!$S$84&lt;&gt;"data missing"), Calc!BC146*'Waste results'!$S$12+Calc!BD146*'Waste results'!$S$48+ Calc!BE146*'Waste results'!$S$84, "data missing")))))))))))</f>
        <v/>
      </c>
      <c r="D148" s="161" t="str">
        <f ca="1">IF(B148="","",
IF(Calc!BG146="","soil texture missing",
IF(OR(Calc!BG146="SL; SZL; ZL",Calc!BG146="SCL; CL; ZCL; SC; ZC; C"),VLOOKUP(Calc!BI146,'Fertiliser recommendations'!$A$4:$C$63,3,FALSE),
IF(Calc!BG146="S; LS",VLOOKUP(Calc!BI146,'Fertiliser recommendations'!$A$4:$C$63,3,FALSE)+VLOOKUP(Calc!BI146,'Fertiliser recommendations'!$A$4:$D$63,4,FALSE),
IF(Calc!BG146="10-25% OM",VLOOKUP(Calc!BI146,'Fertiliser recommendations'!$A$4:$C$63,3,FALSE)+VLOOKUP(Calc!BI146,'Fertiliser recommendations'!$A$4:$E$63,5,FALSE),
IF(Calc!BG146="&gt;25% OM",VLOOKUP(Calc!BI146,'Fertiliser recommendations'!$A$4:$C$63,3,FALSE)+VLOOKUP(Calc!BI146,'Fertiliser recommendations'!$A$4:$F$63,6,FALSE),
""))))))</f>
        <v/>
      </c>
      <c r="E148" s="91" t="str">
        <f t="shared" ca="1" si="34"/>
        <v/>
      </c>
      <c r="F148" s="9" t="str">
        <f ca="1">IF(B148="","",
IF(OR(C148="data missing",D148="soil texture missing"),"data missing",
IF(Calc!BF146=0,"n/a",
IF(C148&lt;0.1*D148,"no benefit",
IF(C148&lt;0.3*D148,"limited benefit",
IF(C148&gt;250,"exceeds limit",
IF(OR(AND(D148=0,C148&gt;75),C148&gt;1.25*D148),"excessive",
IF(D148=0, "no requirement",
"benefit"))))))))</f>
        <v/>
      </c>
      <c r="G148" s="9"/>
      <c r="H148" s="91" t="str">
        <f ca="1">IF(B148="","",
IF(AND('Field information 2'!$O$5="", 'Field information 2'!$Q$5=""),
   IF('Waste results'!$S$17&lt;&gt;"data missing", Calc!BC146*'Waste results'!$S$17, "data missing"),
IF('Field information 2'!$Q$5="",
   IF(Calc!BD146=0,
     IF('Waste results'!$S$17&lt;&gt;"data missing", Calc!BC146*'Waste results'!$S$17, "data missing"),
   IF(Calc!BC146=0,
     IF('Waste results'!$S$53&lt;&gt;"data missing", Calc!BD146*'Waste results'!$S$53, "data missing"),
   IF(OR('Waste results'!$S$17&lt;&gt;"data missing", 'Waste results'!$S$53&lt;&gt;"data missing"), Calc!BC146*'Waste results'!$S$17+ Calc!BD146*'Waste results'!$S$53, "data missing"))),
IF(AND('Field information 2'!$M$5&lt;&gt;"", 'Field information 2'!$O$5&lt;&gt;"", 'Field information 2'!$Q$5&lt;&gt;""),
   IF(AND(Calc!BD146=0,Calc!BE146=0),
     IF('Waste results'!$S$17&lt;&gt;"data missing", Calc!BC146*'Waste results'!$S$17, "data missing"),
   IF(AND(Calc!BC146=0,Calc!BE146=0),
     IF('Waste results'!$S$53&lt;&gt;"data missing", Calc!BD146*'Waste results'!$S$53, "data missing"),
   IF(AND(Calc!BC146=0,Calc!BD146=0),
     IF('Waste results'!$S$89&lt;&gt;"data missing", Calc!BE146*'Waste results'!$S$89, "data missing"),
   IF(Calc!BE146=0,
     IF(OR('Waste results'!$S$17&lt;&gt;"data missing", 'Waste results'!$S$53&lt;&gt;"data missing"), Calc!BC146*'Waste results'!$S$17+ Calc!BD146*'Waste results'!$S$53, "data missing"),
   IF(Calc!BD146=0,
     IF(OR('Waste results'!$S$17&lt;&gt;"data missing", 'Waste results'!$S$89&lt;&gt;"data missing"), Calc!BC146*'Waste results'!$S$17+ Calc!BE146*'Waste results'!$S$89, "data missing"),
   IF(Calc!BC146=0,
     IF(OR('Waste results'!$S$53&lt;&gt;"data missing", 'Waste results'!$S$89&lt;&gt;"data missing"), Calc!BD146*'Waste results'!$S$53+Calc!BE146*'Waste results'!$S$89, "data missing"),
   IF(OR('Waste results'!$S$17&lt;&gt;"data missing", 'Waste results'!$S$53&lt;&gt;"data missing", 'Waste results'!$S$89&lt;&gt;"data missing"), Calc!BC146*'Waste results'!$S$17+Calc!BD146*'Waste results'!$S$53+ Calc!BE146*'Waste results'!$S$89, "data missing")))))))))))</f>
        <v/>
      </c>
      <c r="I148" s="195" t="str">
        <f ca="1">IF(B148="","",
IF(OR(ISBLANK('Soil results'!G151), ISBLANK('Soil results'!G$7)),"data missing",
IF(OR(AND('Soil results'!G$7="Olsen (ADAS)",'Soil results'!G151&lt;16),AND('Soil results'!G$7="modified Morgan (SAC)",'Soil results'!G151&lt;4.5)),50,100)))</f>
        <v/>
      </c>
      <c r="J148" s="49" t="str">
        <f ca="1">IF(B148="","",
IF(OR(ISBLANK('Soil results'!G$7),ISBLANK('Soil results'!G151)),"data missing",
IF(OR(AND('Soil results'!G$7="Olsen (ADAS)",'Soil results'!G151&gt;45),AND('Soil results'!G$7="modified Morgan (SAC)",'Soil results'!G151&gt;30)),0,
IF(OR(AND('Soil results'!G$7="Olsen (ADAS)",'Soil results'!G151&gt;=16,'Soil results'!G151&lt;=20),AND('Soil results'!G$7="modified Morgan (SAC)",'Soil results'!G151&gt;=4.5,'Soil results'!G151&lt;=9.4)),VLOOKUP(Calc!BI146,'Fertiliser recommendations'!$A$4:$I$63,9,FALSE),
IF(OR(AND('Soil results'!G$7="Olsen (ADAS)",'Soil results'!G151&lt;10),AND('Soil results'!G$7="modified Morgan (SAC)",'Soil results'!G151&lt;1.8)),VLOOKUP(Calc!BI146,'Fertiliser recommendations'!$A$4:$I$63,9,FALSE)+VLOOKUP(Calc!BI146,'Fertiliser recommendations'!$A$4:$J$63,10,FALSE),
IF(OR(AND('Soil results'!G$7="Olsen (ADAS)",'Soil results'!G151&lt;16),AND('Soil results'!G$7="modified Morgan (SAC)",'Soil results'!G151&lt;4.5)),VLOOKUP(Calc!BI146,'Fertiliser recommendations'!$A$4:$I$63,9,FALSE)+VLOOKUP(Calc!BI146,'Fertiliser recommendations'!$A$4:$K$63,11,FALSE),
IF(OR(AND('Soil results'!G$7="Olsen (ADAS)",'Soil results'!G151&lt;26),AND('Soil results'!G$7="modified Morgan (SAC)",'Soil results'!G151&lt;13.5)),VLOOKUP(Calc!BI146,'Fertiliser recommendations'!$A$4:$I$63,9,FALSE)+VLOOKUP(Calc!BI146,'Fertiliser recommendations'!$A$4:$L$63,12,FALSE),
IF(OR(AND('Soil results'!G$7="Olsen (ADAS)",'Soil results'!G151&lt;=45),AND('Soil results'!G$7="modified Morgan (SAC)",'Soil results'!G151&lt;=30)),VLOOKUP(Calc!BI146,'Fertiliser recommendations'!$A$4:$I$63,9,FALSE)+VLOOKUP(Calc!BI146,'Fertiliser recommendations'!$A$4:$M$63,13,FALSE),
""))))))))</f>
        <v/>
      </c>
      <c r="K148" s="161" t="str">
        <f t="shared" ca="1" si="35"/>
        <v/>
      </c>
      <c r="L148" s="47" t="str">
        <f ca="1">IF(OR(ISBLANK('Soil results'!G$7),ISBLANK('Soil results'!G151),B148="", H148="data missing"),"",
IF('Soil results'!G$7="Olsen (ADAS)",
IF(((H148*Calc!BM146/2.291-(VLOOKUP(Calc!BI146,'Fertiliser recommendations'!$A$4:$I$63,9,FALSE))/2.291)*10/(400/2.291)+'Soil results'!G151)&lt;10,"0 (VL)",
IF(((H148*Calc!BM146/2.291-(VLOOKUP(Calc!BI146,'Fertiliser recommendations'!$A$4:$I$63,9,FALSE))/2.291)*10/(400/2.291)+'Soil results'!G151)&lt;16,"1 (L)",
IF(((H148*Calc!BM146/2.291-(VLOOKUP(Calc!BI146,'Fertiliser recommendations'!$A$4:$I$63,9,FALSE))/2.291)*10/(400/2.291)+'Soil results'!G151)&lt;21,"2 (M-)",
IF(((H148*Calc!BM146/2.291-(VLOOKUP(Calc!BI146,'Fertiliser recommendations'!$A$4:$I$63,9,FALSE))/2.291)*10/(400/2.291)+'Soil results'!G151)&lt;26,"2 (M+)",
IF(((H148*Calc!BM146/2.291-(VLOOKUP(Calc!BI146,'Fertiliser recommendations'!$A$4:$I$63,9,FALSE))/2.291)*10/(400/2.291)+'Soil results'!G151)&lt;45,"3 (H)","&gt;3 (VH)"))))),
IF('Soil results'!G$7="modified Morgan (SAC)",
IF('Soil results'!G151&gt;=6,
IF(((H148*Calc!BM146/2.291-(VLOOKUP(Calc!BI146,'Fertiliser recommendations'!$A$4:$I$63,9,FALSE))/2.291)*5/(147/2.291)+'Soil results'!G151)&lt;9.5,"2 (M-)",
IF(((H148*Calc!BM146/2.291-(VLOOKUP(Calc!BI146,'Fertiliser recommendations'!$A$4:$I$63,9,FALSE))/2.291)*5/(147/2.291)+'Soil results'!G151)&lt;13.5,"2 (M+)",
IF(((H148*Calc!BM146/2.291-(VLOOKUP(Calc!BI146,'Fertiliser recommendations'!$A$4:$I$63,9,FALSE))/2.291)*5/(147/2.291)+'Soil results'!G151)&lt;30,"3 (H)","4 (VH)"))),
IF(((H148*Calc!BM146/2.291-(VLOOKUP(Calc!BI146,'Fertiliser recommendations'!$A$4:$I$63,9,FALSE))/2.291)*5/(346/2.291)+'Soil results'!G151)&lt;1.8,"0 (VL)",
IF(((H148*Calc!BM146/2.291-(VLOOKUP(Calc!BI146,'Fertiliser recommendations'!$A$4:$I$63,9,FALSE))/2.291)*5/(147/2.291)+'Soil results'!G151)&lt;4.5,"1 (L)","2 (M-)"))))))</f>
        <v/>
      </c>
      <c r="M148" s="9" t="str">
        <f ca="1">IF(B148="","",
IF(OR(H148="data missing",I148="data missing",J148="data missing"),"data missing",
IF(Calc!BF146=0,"n/a",
IF(OR(AND('Soil results'!G$7="Olsen (ADAS)",'Soil results'!G151&gt;45),AND('Soil results'!G$7="modified Morgan (SAC)",'Soil results'!G151&gt;30)),
IF(H148&gt;2,"too high, not acceptable","no requirement"),IF(OR(AND('Soil results'!G$7="Olsen (ADAS)",'Soil results'!G151&gt;25),AND('Soil results'!G$7="modified Morgan (SAC)",'Soil results'!G151&gt;13.4)),
IF(H148*(I148/100)&lt;0.1*J148,"no benefit",
IF(H148*(I148/100)&lt;0.3*J148,"limited benefit",
IF(H148*(I148/100)&lt;1.1*J148,"benefit",
IF(H148*(I148/100)&lt;0.7*VLOOKUP(Calc!BI146,'Fertiliser recommendations'!$A$4:$I$63,9,FALSE),"excessive","too high, not acceptable")))),
IF(OR(AND('Soil results'!G$7="Olsen (ADAS)",'Soil results'!G151&gt;20),AND('Soil results'!G$7="modified Morgan (SAC)",'Soil results'!G151&gt;9.4)),
IF(H148*Calc!BM146*(I148/100)&lt;0.1*J148,"no benefit",
IF(H148*Calc!BM146*(I148/100)&lt;0.3*J148,"limited benefit",
IF(H148*Calc!BM146*(I148/100)&lt;1.1*J148,"benefit",
IF(L148="3 (H)","too high, not acceptable","excessive")))),
IF(OR(AND('Soil results'!G$7="Olsen (ADAS)",'Soil results'!G151&gt;15),AND('Soil results'!G$7="modified Morgan (SAC)",'Soil results'!G151&gt;4.4)),
IF(H148*Calc!BM146*(I148/100)&lt;0.1*VLOOKUP(Calc!BI146,'Fertiliser recommendations'!$A$4:$I$63,9,FALSE),"no benefit",
IF(H148*Calc!BM146*(I148/100)&lt;0.3*VLOOKUP(Calc!BI146,'Fertiliser recommendations'!$A$4:$I$63,9,FALSE),"limited benefit",
IF(H148*Calc!BM146*(I148/100)&lt;1.1*VLOOKUP(Calc!BI146,'Fertiliser recommendations'!$A$4:$I$63,9,FALSE),"benefit",
IF(L148="3 (H)", "too high, not acceptable", "excessive")))),
IF(OR(AND('Soil results'!G$7="Olsen (ADAS)",'Soil results'!G151&lt;=15),AND('Soil results'!G$7="modified Morgan (SAC)",'Soil results'!G151&lt;=4.4)),
IF(H148*Calc!BM146*(I148/100)&lt;0.1*VLOOKUP(Calc!BI146,'Fertiliser recommendations'!$A$4:$I$63,9,FALSE),"no benefit",
IF(H148*Calc!BM146*(I148/100)&lt;0.3*VLOOKUP(Calc!BI146,'Fertiliser recommendations'!$A$4:$I$63,9,FALSE),"limited benefit",
IF(H148*Calc!BM146*(I148/100)&lt;1.1*J148,"benefit","excessive")))))))))))</f>
        <v/>
      </c>
      <c r="N148" s="9"/>
      <c r="O148" s="91" t="str">
        <f ca="1">IF(B148="","",
IF(AND('Field information 2'!$O$5="", 'Field information 2'!$Q$5=""),
   IF('Waste results'!$S$19&lt;&gt;"data missing", Calc!BC146*'Waste results'!$S$19, "data missing"),
IF('Field information 2'!$Q$5="",
   IF(Calc!BD146=0,
     IF('Waste results'!$S$19&lt;&gt;"data missing", Calc!BC146*'Waste results'!$S$19, "data missing"),
   IF(Calc!BC146=0,
     IF('Waste results'!$S$55&lt;&gt;"data missing", Calc!BD146*'Waste results'!$S$55, "data missing"),
   IF(OR('Waste results'!$S$19&lt;&gt;"data missing", 'Waste results'!$S$55&lt;&gt;"data missing"), Calc!BC146*'Waste results'!$S$19+ Calc!BD146*'Waste results'!$S$55, "data missing"))),
IF(AND('Field information 2'!$M$5&lt;&gt;"", 'Field information 2'!$O$5&lt;&gt;"", 'Field information 2'!$Q$5&lt;&gt;""),
   IF(AND(Calc!BD146=0,Calc!BE146=0),
     IF('Waste results'!$S$19&lt;&gt;"data missing", Calc!BC146*'Waste results'!$S$19, "data missing"),
   IF(AND(Calc!BC146=0,Calc!BE146=0),
     IF('Waste results'!$S$55&lt;&gt;"data missing", Calc!BD146*'Waste results'!$S$55, "data missing"),
   IF(AND(Calc!BC146=0,Calc!BD146=0),
     IF('Waste results'!$S$91&lt;&gt;"data missing", Calc!BE146*'Waste results'!$S$91, "data missing"),
   IF(Calc!BE146=0,
     IF(OR('Waste results'!$S$19&lt;&gt;"data missing", 'Waste results'!$S$55&lt;&gt;"data missing"), Calc!BC146*'Waste results'!$S$19+ Calc!BD146*'Waste results'!$S$55, "data missing"),
   IF(Calc!BD146=0,
     IF(OR('Waste results'!$S$19&lt;&gt;"data missing", 'Waste results'!$S$91&lt;&gt;"data missing"), Calc!BC146*'Waste results'!$S$19+ Calc!BE146*'Waste results'!$S$91, "data missing"),
   IF(Calc!BC146=0,
     IF(OR('Waste results'!$S$55&lt;&gt;"data missing", 'Waste results'!$S$91&lt;&gt;"data missing"), Calc!BD146*'Waste results'!$S$55+Calc!BE146*'Waste results'!$S$91, "data missing"),
   IF(OR('Waste results'!$S$19&lt;&gt;"data missing", 'Waste results'!$S$55&lt;&gt;"data missing", 'Waste results'!$S$91&lt;&gt;"data missing"), Calc!BC146*'Waste results'!$S$19+Calc!BD146*'Waste results'!$S$55+ Calc!BE146*'Waste results'!$S$91, "data missing")))))))))))</f>
        <v/>
      </c>
      <c r="P148" s="91" t="str">
        <f ca="1">IF(B148="","",
IF(OR(ISBLANK('Soil results'!H$7),ISBLANK('Soil results'!H151)),"data missing",
IF(OR(AND('Soil results'!H$7="ammonium nitrate (ADAS)",'Soil results'!H151&gt;400),AND('Soil results'!H$7="modified Morgan (SAC)",'Soil results'!H151&gt;400)),0,
IF(OR(AND('Soil results'!H$7="ammonium nitrate (ADAS)",'Soil results'!H151&gt;=121,'Soil results'!H151&lt;=180),AND('Soil results'!H$7="modified Morgan (SAC)",'Soil results'!H151&gt;=76,'Soil results'!H151&lt;=140)),VLOOKUP(Calc!BI146,'Fertiliser recommendations'!$A$4:$Z$63,26,FALSE),
IF(OR(AND('Soil results'!H$7="ammonium nitrate (ADAS)",'Soil results'!H151&lt;61),AND('Soil results'!H$7="modified Morgan (SAC)",'Soil results'!H151&lt;40)),VLOOKUP(Calc!BI146,'Fertiliser recommendations'!$A$4:$Z$63,26,FALSE)+VLOOKUP(Calc!BI146,'Fertiliser recommendations'!$A$4:$AA$63,27,FALSE),
IF(OR(AND('Soil results'!H$7="ammonium nitrate (ADAS)",'Soil results'!H151&lt;121),AND('Soil results'!H$7="modified Morgan (SAC)",'Soil results'!H151&lt;76)),VLOOKUP(Calc!BI146,'Fertiliser recommendations'!$A$4:$Z$63,26,FALSE)+VLOOKUP(Calc!BI146,'Fertiliser recommendations'!$A$4:$AB$63,28,FALSE),
IF(OR(AND('Soil results'!H$7="ammonium nitrate (ADAS)",'Soil results'!H151&lt;241),AND('Soil results'!H$7="modified Morgan (SAC)",'Soil results'!H151&lt;201)),VLOOKUP(Calc!BI146,'Fertiliser recommendations'!$A$4:$Z$63,26,FALSE)+VLOOKUP(Calc!BI146,'Fertiliser recommendations'!$A$4:$AC$63,29,FALSE),
IF(OR(AND('Soil results'!H$7="ammonium nitrate (ADAS)",'Soil results'!H151&lt;=400),AND('Soil results'!H$7="modified Morgan (SAC)",'Soil results'!H151&lt;=400)),VLOOKUP(Calc!BI146,'Fertiliser recommendations'!$A$4:$Z$63,26,FALSE)+VLOOKUP(Calc!BI146,'Fertiliser recommendations'!$A$4:$AD$63,30,FALSE),
"??"))))))))</f>
        <v/>
      </c>
      <c r="Q148" s="91" t="str">
        <f t="shared" ca="1" si="36"/>
        <v/>
      </c>
      <c r="R148" s="9" t="str">
        <f ca="1">IF(B148="","",
IF(OR(O148="data missing",P148="data missing"),"data missing",
IF(Calc!BF146=0,"n/a",
IF(P148=0, "no requirement",
IF(O148&lt;0.1*P148,"no benefit",
IF(O148&lt;0.3*P148,"limited benefit",
IF(O148&gt;1.25*P148,"excessive",
"benefit")))))))</f>
        <v/>
      </c>
      <c r="S148" s="9"/>
      <c r="T148" s="91" t="str">
        <f ca="1">IF(B148="","",
IF(AND('Field information 2'!$O$5="", 'Field information 2'!$Q$5=""),
   IF('Waste results'!$S$21&lt;&gt;"data missing", Calc!BC146*'Waste results'!$S$21, "data missing"),
IF('Field information 2'!$Q$5="",
   IF(Calc!BD146=0,
     IF('Waste results'!$S$21&lt;&gt;"data missing", Calc!BC146*'Waste results'!$S$21, "data missing"),
   IF(Calc!BC146=0,
     IF('Waste results'!$S$57&lt;&gt;"data missing", Calc!BD146*'Waste results'!$S$57, "data missing"),
   IF(OR('Waste results'!$S$21&lt;&gt;"data missing", 'Waste results'!$S$57&lt;&gt;"data missing"), Calc!BC146*'Waste results'!$S$21+ Calc!BD146*'Waste results'!$S$57, "data missing"))),
IF(AND('Field information 2'!$M$5&lt;&gt;"", 'Field information 2'!$O$5&lt;&gt;"", 'Field information 2'!$Q$5&lt;&gt;""),
   IF(AND(Calc!BD146=0,Calc!BE146=0),
     IF('Waste results'!$S$21&lt;&gt;"data missing", Calc!BC146*'Waste results'!$S$21, "data missing"),
   IF(AND(Calc!BC146=0,Calc!BE146=0),
     IF('Waste results'!$S$57&lt;&gt;"data missing", Calc!BD146*'Waste results'!$S$57, "data missing"),
   IF(AND(Calc!BC146=0,Calc!BD146=0),
     IF('Waste results'!$S$93&lt;&gt;"data missing", Calc!BE146*'Waste results'!$S$93, "data missing"),
   IF(Calc!BE146=0,
     IF(OR('Waste results'!$S$21&lt;&gt;"data missing", 'Waste results'!$S$57&lt;&gt;"data missing"), Calc!BC146*'Waste results'!$S$21+ Calc!BD146*'Waste results'!$S$57, "data missing"),
   IF(Calc!BD146=0,
     IF(OR('Waste results'!$S$21&lt;&gt;"data missing", 'Waste results'!$S$93&lt;&gt;"data missing"), Calc!BC146*'Waste results'!$S$21+ Calc!BE146*'Waste results'!$S$93, "data missing"),
   IF(Calc!BC146=0,
     IF(OR('Waste results'!$S$57&lt;&gt;"data missing", 'Waste results'!$S$93&lt;&gt;"data missing"), Calc!BD146*'Waste results'!$S$57+Calc!BE146*'Waste results'!$S$93, "data missing"),
   IF(OR('Waste results'!$S$21&lt;&gt;"data missing", 'Waste results'!$S$57&lt;&gt;"data missing", 'Waste results'!$S$93&lt;&gt;"data missing"), Calc!BC146*'Waste results'!$S$21+Calc!BD146*'Waste results'!$S$57+ Calc!BE146*'Waste results'!$S$93, "data missing")))))))))))</f>
        <v/>
      </c>
      <c r="U148" s="7" t="str">
        <f ca="1">IF(B148="","",
IF(OR(ISBLANK('Soil results'!I$7),ISBLANK('Soil results'!I151)),"data missing",
IF(OR(AND('Soil results'!I$7="ammonium nitrate (ADAS)",'Soil results'!I151&gt;51),AND('Soil results'!I$7="modified Morgan (SAC)",'Soil results'!I151&gt;61)),0,
IF(OR(AND('Soil results'!I$7="ammonium nitrate (ADAS)",'Soil results'!I151&lt;25),AND('Soil results'!I$7="modified Morgan (SAC)",'Soil results'!I151&lt;19)),VLOOKUP(Calc!BI146,'Fertiliser recommendations'!$A$4:$AH$63,34,FALSE),
IF(OR(AND('Soil results'!I$7="ammonium nitrate (ADAS)",'Soil results'!I151&lt;=51),AND('Soil results'!I$7="modified Morgan (SAC)",'Soil results'!I151&lt;=61)),VLOOKUP(Calc!BI146,'Fertiliser recommendations'!$A$4:$AI$63,35,FALSE),
"")))))</f>
        <v/>
      </c>
      <c r="V148" s="91" t="str">
        <f t="shared" ca="1" si="37"/>
        <v/>
      </c>
      <c r="W148" s="9" t="str">
        <f ca="1">IF(B148="","",
IF(OR(T148="data missing",U148="data missing"),"data missing",
IF(Calc!BF146=0,"n/a",
IF(U148=0,"no requirement",
IF(T148&lt;0.1*U148,"no benefit",
IF(T148&lt;0.3*U148,"limited benefit",
IF(OR(T148&gt;1.5*U148,AND(Calc!BJ146="g",T148&gt;100)),"excessive",
"benefit")))))))</f>
        <v/>
      </c>
      <c r="X148" s="9"/>
      <c r="Y148" s="91" t="str">
        <f ca="1">IF(B148="","",
IF(AND('Field information 2'!$O$5="", 'Field information 2'!$Q$5=""),
   IF('Waste results'!$P$23&lt;&gt;"", Calc!BC146*'Waste results'!$P$23, "no data"),
IF('Field information 2'!$Q$5="",
   IF(Calc!BD146=0,
     IF('Waste results'!$P$23&lt;&gt;"", Calc!BC146*'Waste results'!$P$23, "no data"),
   IF(Calc!BC146=0,
     IF('Waste results'!$P$59&lt;&gt;"", Calc!BD146*'Waste results'!$P$59, "no data"),
   IF(OR('Waste results'!$P$23&lt;&gt;"", 'Waste results'!$P$59&lt;&gt;""), Calc!BC146*'Waste results'!$P$23+ Calc!BD146*'Waste results'!$P$59, "no data"))),
IF(AND('Field information 2'!$M$5&lt;&gt;"", 'Field information 2'!$O$5&lt;&gt;"", 'Field information 2'!$Q$5&lt;&gt;""),
   IF(AND(Calc!BD146=0,Calc!BE146=0),
     IF('Waste results'!$P$23&lt;&gt;"", Calc!BC146*'Waste results'!$P$23, "no data"),
   IF(AND(Calc!BC146=0,Calc!BE146=0),
     IF('Waste results'!$P$59&lt;&gt;"", Calc!BD146*'Waste results'!$P$59, "no data"),
   IF(AND(Calc!BC146=0,Calc!BD146=0),
     IF('Waste results'!$P$95&lt;&gt;"", Calc!BE146*'Waste results'!$P$95, "no data"),
   IF(Calc!BE146=0,
     IF(OR('Waste results'!$P$23&lt;&gt;"", 'Waste results'!$P$59&lt;&gt;""), Calc!BC146*'Waste results'!$P$23+ Calc!BD146*'Waste results'!$P$59, "no data"),
   IF(Calc!BD146=0,
     IF(OR('Waste results'!$P$23&lt;&gt;"", 'Waste results'!$P$95&lt;&gt;""), Calc!BC146*'Waste results'!$P$23+ Calc!BE146*'Waste results'!$P$95, "no data"),
   IF(Calc!BC146=0,
     IF(OR('Waste results'!$P$59&lt;&gt;"", 'Waste results'!$P$95&lt;&gt;""), Calc!BD146*'Waste results'!$P$59+Calc!BE146*'Waste results'!$P$95, "no data"),
   IF(OR('Waste results'!$P$23&lt;&gt;"", 'Waste results'!$P$59&lt;&gt;"", 'Waste results'!$P$95&lt;&gt;""), Calc!BC146*'Waste results'!$P$23+Calc!BD146*'Waste results'!$P$59+ Calc!BE146*'Waste results'!$P$95, "no data")))))))))))</f>
        <v/>
      </c>
      <c r="Z148" s="7" t="str">
        <f ca="1">IF(OR(ISBLANK('Soil results'!I$7),ISBLANK('Soil results'!I151),'Soil results'!B151=""),"",
VLOOKUP(Calc!BI146,'Fertiliser recommendations'!$A$4:$AM$63,39,FALSE))</f>
        <v/>
      </c>
      <c r="AA148" s="91" t="str">
        <f t="shared" ca="1" si="38"/>
        <v/>
      </c>
      <c r="AB148" s="9" t="str">
        <f t="shared" ca="1" si="39"/>
        <v/>
      </c>
      <c r="AC148" s="9"/>
      <c r="AD148" s="48" t="str">
        <f>IF(ISBLANK('Soil results'!F151),"",'Soil results'!F151)</f>
        <v/>
      </c>
      <c r="AE148" s="49" t="str">
        <f ca="1">IF(B148="","",
IF(AND(Calc!BJ146="g", VLOOKUP(LEFT($B148,LEN($B148)-2),'Field information 2'!$B$12:$P$111,9,FALSE)&lt;&gt;"yes"),
 IF(Calc!BG146="10-25% OM", 5.9, IF(Calc!BG146="&gt;25% OM", 5.5, 6.2)),
IF(OR(Calc!BJ146="a", VLOOKUP(LEFT($B148,LEN($B148)-2),'Field information 2'!$B$12:$P$111,9,FALSE)="yes"),
 IF(Calc!BG146="10-25% OM", 6.4, IF(Calc!BG146="&gt;25% OM", 6, 6.7)), "")))</f>
        <v/>
      </c>
      <c r="AF148" s="91" t="str">
        <f ca="1">IF(B148="","",
IF('Waste results'!$Q$33="","no (significant) liming properties",
IF('Waste results'!Q$33&gt;100,"no (significant) liming properties",
IF(AD148="","",
IF(AD148&gt;=AE148,0,ROUNDDOWN((AE148-AD148)*Calc!BK146*'Waste results'!$Q$33+0.2,0))))))</f>
        <v/>
      </c>
      <c r="AG148" s="9" t="str">
        <f ca="1">IF(B148="","",
IF(T148=0,"n/a",
IF(AD148="","data missing",
IF(AND(AD148&lt;5,AF148="no (significant) liming properties"),"no waste application - pH too low",
IF(AND(AD148&gt;5.1,AF148="no (significant) liming properties",Calc!BH146&gt;25, LEFT(Calc!BI146,4)="graz"),"ok",
IF(AND(AD148&lt;=5.2,AF148="no (significant) liming properties"),"liming highly recommended",
IF(AF148=0,"no waste application - liming not required",
IF(AF148&lt;Calc!BC146,"application rate too high - exceeds liming requirement",
"ok"))))))))</f>
        <v/>
      </c>
      <c r="AH148" s="9"/>
      <c r="AI148" s="91" t="str">
        <f ca="1">IF(B148="","",
IF(AND('Field information 2'!$O$5="", 'Field information 2'!$Q$5=""),
   IF('Waste results'!$P$10&lt;&gt;"data missing", Calc!BC146*'Waste results'!$P$10, "data missing"),
IF('Field information 2'!$Q$5="",
   IF(Calc!BD146=0,
     IF('Waste results'!$P$10&lt;&gt;"data missing", Calc!BC146*'Waste results'!$P$10, "data missing"),
   IF(Calc!BC146=0,
     IF('Waste results'!$P$45&lt;&gt;"data missing", Calc!BD146*'Waste results'!$P$45, "data missing"),
   IF(OR('Waste results'!$P$10&lt;&gt;"data missing", 'Waste results'!$P$45&lt;&gt;"data missing"), Calc!BC146*'Waste results'!$P$10+ Calc!BD146*'Waste results'!$P$45, "data missing"))),
IF(AND('Field information 2'!$M$5&lt;&gt;"", 'Field information 2'!$O$5&lt;&gt;"", 'Field information 2'!$Q$5&lt;&gt;""),
   IF(AND(Calc!BD146=0,Calc!BE146=0),
     IF('Waste results'!$P$10&lt;&gt;"data missing", Calc!BC146*'Waste results'!$P$10, "data missing"),
   IF(AND(Calc!BC146=0,Calc!BE146=0),
     IF('Waste results'!$P$45&lt;&gt;"data missing", Calc!BD146*'Waste results'!$P$45, "data missing"),
   IF(AND(Calc!BC146=0,Calc!BD146=0),
     IF('Waste results'!$P$82&lt;&gt;"data missing", Calc!BE146*'Waste results'!$P$82, "data missing"),
   IF(Calc!BE146=0,
     IF(OR('Waste results'!$P$10&lt;&gt;"data missing", 'Waste results'!$P$45&lt;&gt;"data missing"), Calc!BC146*'Waste results'!$P$10+ Calc!BD146*'Waste results'!$P$45, "data missing"),
   IF(Calc!BD146=0,
     IF(OR('Waste results'!$P$10&lt;&gt;"data missing", 'Waste results'!$P$82&lt;&gt;"data missing"), Calc!BC146*'Waste results'!$P$10+ Calc!BE146*'Waste results'!$P$82, "data missing"),
   IF(Calc!BC146=0,
     IF(OR('Waste results'!$P$45&lt;&gt;"data missing", 'Waste results'!$P$82&lt;&gt;"data missing"), Calc!BD146*'Waste results'!$P$45+Calc!BE146*'Waste results'!$P$82, "data missing"),
   IF(OR('Waste results'!$P$10&lt;&gt;"data missing", 'Waste results'!$P$45&lt;&gt;"data missing", 'Waste results'!$P$82&lt;&gt;"data missing"), Calc!BC146*'Waste results'!$P$10+Calc!BD146*'Waste results'!$P$45+ Calc!BE146*'Waste results'!$P$82, "data missing")))))))))))</f>
        <v/>
      </c>
      <c r="AJ148" s="237" t="str">
        <f ca="1">IF(B148="","",
IF(AI148="data missing","data missing",
IF(Calc!BF146=0,"n/a",
IF(AND(Calc!BH146&gt;=8,AI148&lt;500),"no benefit",
IF(OR(AND(Calc!BH146&lt;=4,AI148&gt;=500),AND(Calc!BH146&lt;8,AI148&gt;5000)),"benefit",
"limited benefit")))))</f>
        <v/>
      </c>
      <c r="AK148" s="9"/>
      <c r="AL148" s="238" t="str">
        <f ca="1">IF(B148="","",
IF(AND('Field information 2'!$O$5="", 'Field information 2'!$Q$5=""),
   IF('Waste results'!$S$25&lt;&gt;"data missing", Calc!BC146*'Waste results'!$S$25, "data missing"),
IF('Field information 2'!$Q$5="",
   IF(Calc!BD146=0,
     IF('Waste results'!$S$25&lt;&gt;"data missing", Calc!BC146*'Waste results'!$S$25, "data missing"),
   IF(Calc!BC146=0,
     IF('Waste results'!$S$61&lt;&gt;"data missing", Calc!BD146*'Waste results'!$S$61, "data missing"),
   IF(OR('Waste results'!$S$25&lt;&gt;"data missing", 'Waste results'!$S$61&lt;&gt;"data missing"), Calc!BC146*'Waste results'!$S$25+ Calc!BD146*'Waste results'!$S$61, "data missing"))),
IF(AND('Field information 2'!$M$5&lt;&gt;"", 'Field information 2'!$O$5&lt;&gt;"", 'Field information 2'!$Q$5&lt;&gt;""),
   IF(AND(Calc!BD146=0,Calc!BE146=0),
     IF('Waste results'!$S$25&lt;&gt;"data missing", Calc!BC146*'Waste results'!$S$25, "data missing"),
   IF(AND(Calc!BC146=0,Calc!BE146=0),
     IF('Waste results'!$S$61&lt;&gt;"data missing", Calc!BD146*'Waste results'!$S$61, "data missing"),
   IF(AND(Calc!BC146=0,Calc!BD146=0),
     IF('Waste results'!$S$97&lt;&gt;"data missing", Calc!BE146*'Waste results'!$S$97, "data missing"),
   IF(Calc!BE146=0,
     IF(OR('Waste results'!$S$25&lt;&gt;"data missing", 'Waste results'!$S$61&lt;&gt;"data missing"), Calc!BC146*'Waste results'!$S$25+ Calc!BD146*'Waste results'!$S$61, "data missing"),
   IF(Calc!BD146=0,
     IF(OR('Waste results'!$S$25&lt;&gt;"data missing", 'Waste results'!$S$97&lt;&gt;"data missing"), Calc!BC146*'Waste results'!$S$25+ Calc!BE146*'Waste results'!$S$97, "data missing"),
   IF(Calc!BC146=0,
     IF(OR('Waste results'!$S$61&lt;&gt;"data missing", 'Waste results'!$S$97&lt;&gt;"data missing"), Calc!BD146*'Waste results'!$S$61+Calc!BE146*'Waste results'!$S$97, "data missing"),
   IF(OR('Waste results'!$S$25&lt;&gt;"data missing", 'Waste results'!$S$61&lt;&gt;"data missing", 'Waste results'!$S$97&lt;&gt;"data missing"), Calc!BC146*'Waste results'!$S$25+Calc!BD146*'Waste results'!$S$61+ Calc!BE146*'Waste results'!$S$97, "data missing")))))))))))</f>
        <v/>
      </c>
      <c r="AM148" s="239" t="str">
        <f ca="1">IF($B148="","",
IF(ISBLANK('Soil results'!K151),"data missing",'Soil results'!K151))</f>
        <v/>
      </c>
      <c r="AN148" s="239" t="str">
        <f t="shared" ca="1" si="40"/>
        <v/>
      </c>
      <c r="AO148" s="9" t="str">
        <f t="shared" ca="1" si="41"/>
        <v/>
      </c>
      <c r="AP148" s="9"/>
      <c r="AQ148" s="240" t="str">
        <f ca="1">IF(B148="","",
IF(AND('Field information 2'!$O$5="", 'Field information 2'!$Q$5=""),
   IF('Waste results'!$S$26&lt;&gt;"data missing", Calc!BC146*'Waste results'!$S$26, "data missing"),
IF('Field information 2'!$Q$5="",
   IF(Calc!BD146=0,
     IF('Waste results'!$S$26&lt;&gt;"data missing", Calc!BC146*'Waste results'!$S$26, "data missing"),
   IF(Calc!BC146=0,
     IF('Waste results'!$S$62&lt;&gt;"data missing", Calc!BD146*'Waste results'!$S$62, "data missing"),
   IF(OR('Waste results'!$S$26&lt;&gt;"data missing", 'Waste results'!$S$62&lt;&gt;"data missing"), Calc!BC146*'Waste results'!$S$26+ Calc!BD146*'Waste results'!$S$62, "data missing"))),
IF(AND('Field information 2'!$M$5&lt;&gt;"", 'Field information 2'!$O$5&lt;&gt;"", 'Field information 2'!$Q$5&lt;&gt;""),
   IF(AND(Calc!BD146=0,Calc!BE146=0),
     IF('Waste results'!$S$26&lt;&gt;"data missing", Calc!BC146*'Waste results'!$S$26, "data missing"),
   IF(AND(Calc!BC146=0,Calc!BE146=0),
     IF('Waste results'!$S$62&lt;&gt;"data missing", Calc!BD146*'Waste results'!$S$62, "data missing"),
   IF(AND(Calc!BC146=0,Calc!BD146=0),
     IF('Waste results'!$S$98&lt;&gt;"data missing", Calc!BE146*'Waste results'!$S$98, "data missing"),
   IF(Calc!BE146=0,
     IF(OR('Waste results'!$S$26&lt;&gt;"data missing", 'Waste results'!$S$62&lt;&gt;"data missing"), Calc!BC146*'Waste results'!$S$26+ Calc!BD146*'Waste results'!$S$62, "data missing"),
   IF(Calc!BD146=0,
     IF(OR('Waste results'!$S$26&lt;&gt;"data missing", 'Waste results'!$S$98&lt;&gt;"data missing"), Calc!BC146*'Waste results'!$S$26+ Calc!BE146*'Waste results'!$S$98, "data missing"),
   IF(Calc!BC146=0,
     IF(OR('Waste results'!$S$62&lt;&gt;"data missing", 'Waste results'!$S$98&lt;&gt;"data missing"), Calc!BD146*'Waste results'!$S$62+Calc!BE146*'Waste results'!$S$98, "data missing"),
   IF(OR('Waste results'!$S$26&lt;&gt;"data missing", 'Waste results'!$S$62&lt;&gt;"data missing", 'Waste results'!$S$98&lt;&gt;"data missing"), Calc!BC146*'Waste results'!$S$26+Calc!BD146*'Waste results'!$S$62+ Calc!BE146*'Waste results'!$S$98, "data missing")))))))))))</f>
        <v/>
      </c>
      <c r="AR148" s="241" t="str">
        <f ca="1">IF($B148="","",
IF(ISBLANK('Soil results'!L151),"data missing",'Soil results'!L151))</f>
        <v/>
      </c>
      <c r="AS148" s="241" t="str">
        <f t="shared" ca="1" si="42"/>
        <v/>
      </c>
      <c r="AT148" s="66" t="str">
        <f t="shared" ca="1" si="43"/>
        <v/>
      </c>
      <c r="AU148" s="9"/>
      <c r="AV148" s="238" t="str">
        <f ca="1">IF(B148="","",
IF(AND('Field information 2'!$O$5="", 'Field information 2'!$Q$5=""),
   IF('Waste results'!$S$27&lt;&gt;"data missing", Calc!BC146*'Waste results'!$S$27, "data missing"),
IF('Field information 2'!$Q$5="",
   IF(Calc!BD146=0,
     IF('Waste results'!$S$27&lt;&gt;"data missing", Calc!BC146*'Waste results'!$S$27, "data missing"),
   IF(Calc!BC146=0,
     IF('Waste results'!$S$63&lt;&gt;"data missing", Calc!BD146*'Waste results'!$S$63, "data missing"),
   IF(OR('Waste results'!$S$27&lt;&gt;"data missing", 'Waste results'!$S$63&lt;&gt;"data missing"), Calc!BC146*'Waste results'!$S$27+ Calc!BD146*'Waste results'!$S$63, "data missing"))),
IF(AND('Field information 2'!$M$5&lt;&gt;"", 'Field information 2'!$O$5&lt;&gt;"", 'Field information 2'!$Q$5&lt;&gt;""),
   IF(AND(Calc!BD146=0,Calc!BE146=0),
     IF('Waste results'!$S$27&lt;&gt;"data missing", Calc!BC146*'Waste results'!$S$27, "data missing"),
   IF(AND(Calc!BC146=0,Calc!BE146=0),
     IF('Waste results'!$S$63&lt;&gt;"data missing", Calc!BD146*'Waste results'!$S$63, "data missing"),
   IF(AND(Calc!BC146=0,Calc!BD146=0),
     IF('Waste results'!$S$99&lt;&gt;"data missing", Calc!BE146*'Waste results'!$S$99, "data missing"),
   IF(Calc!BE146=0,
     IF(OR('Waste results'!$S$27&lt;&gt;"data missing", 'Waste results'!$S$63&lt;&gt;"data missing"), Calc!BC146*'Waste results'!$S$27+ Calc!BD146*'Waste results'!$S$63, "data missing"),
   IF(Calc!BD146=0,
     IF(OR('Waste results'!$S$27&lt;&gt;"data missing", 'Waste results'!$S$99&lt;&gt;"data missing"), Calc!BC146*'Waste results'!$S$27+ Calc!BE146*'Waste results'!$S$99, "data missing"),
   IF(Calc!BC146=0,
     IF(OR('Waste results'!$S$63&lt;&gt;"data missing", 'Waste results'!$S$99&lt;&gt;"data missing"), Calc!BD146*'Waste results'!$S$63+Calc!BE146*'Waste results'!$S$99, "data missing"),
   IF(OR('Waste results'!$S$27&lt;&gt;"data missing", 'Waste results'!$S$63&lt;&gt;"data missing", 'Waste results'!$S$99&lt;&gt;"data missing"), Calc!BC146*'Waste results'!$S$27+Calc!BD146*'Waste results'!$S$63+ Calc!BE146*'Waste results'!$S$99, "data missing")))))))))))</f>
        <v/>
      </c>
      <c r="AW148" s="239" t="str">
        <f ca="1">IF($B148="","",
IF(ISBLANK('Soil results'!M151),"data missing",'Soil results'!M151))</f>
        <v/>
      </c>
      <c r="AX148" s="239" t="str">
        <f t="shared" ca="1" si="44"/>
        <v/>
      </c>
      <c r="AY148" s="9" t="str">
        <f ca="1">IF(B148="","",
IF(AV148=0,"n/a",
IF(OR(AV148="data missing",AW148="data missing"),"data missing",
IF(AV148&gt;7.5,"application rate too high - permissible rate exceeds limit",
IF('Soil results'!$F151&lt;=5.5,
  IF(AW148&gt;80,"no application - soil conc. already above limit",
  IF(AX148&gt;80,"application rate too high - soil conc. will exceed limit",
  IF(AW148&gt;80*0.9,"soil conc. is at or above 90% of the limit",
  IF(10*AV148*1000/3000+AW148&gt;80,"soil limit likely to be exceeded in 10yrs",
  IF(50*AV148*1000/3000+AW148&gt;80,"soil limit likely to be exceeded in 50yrs","ok"))))),
IF('Soil results'!$F151&lt;=6,
  IF(AW148&gt;100,"no application - soil conc. already above limit",
  IF(AX148&gt;100,"application rate too high - soil conc. will exceed limit",
  IF(AW148&gt;100*0.9,"soil conc. is at or above 90% of the limit",
  IF(10*AV148*1000/3000+AW148&gt;100,"soil limit likely to be exceeded in 10yrs",
  IF(50*AV148*1000/3000+AW148&gt;100,"soil limit likely to be exceeded in 50yrs","ok"))))),
IF('Soil results'!$F151&lt;=7,
  IF(AW148&gt;135,"no application - soil conc. already above limit",
  IF(AX148&gt;135,"application rate too high - soil conc. will exceed limit",
  IF(AW148&gt;135*0.9,"soil conc. is at or above 90% of the limit",
  IF(10*AV148*1000/3000+AW148&gt;135,"soil limit likely to be exceeded in 10yrs",
  IF(50*AV148*1000/3000+AW148&gt;135,"soil limit likely to be exceeded in 50yrs","ok"))))),
IF('Soil results'!$F151&gt;7,
  IF(AW148&gt;200,"no application - soil conc. already above limit",
  IF(AX148&gt;200,"application too high - soil conc. will exceed limit",
  IF(AW148&gt;200*0.9,"soil conc. is at or above 90% of the limit",
  IF(10*AV148*1000/3000+AW148&gt;200,"soil limit likely to be exceeded in 10yrs",
  IF(50*AV148*1000/3000+AW148&gt;200,"soil limit likely to be exceeded in 50yrs","ok")))))
))))))))</f>
        <v/>
      </c>
      <c r="AZ148" s="9"/>
      <c r="BA148" s="238" t="str">
        <f ca="1">IF(B148="","",
IF(AND('Field information 2'!$O$5="", 'Field information 2'!$Q$5=""),
   IF('Waste results'!$S$28&lt;&gt;"data missing", Calc!BC146*'Waste results'!$S$28, "data missing"),
IF('Field information 2'!$Q$5="",
   IF(Calc!BD146=0,
     IF('Waste results'!$S$28&lt;&gt;"data missing", Calc!BC146*'Waste results'!$S$28, "data missing"),
   IF(Calc!BC146=0,
     IF('Waste results'!$S$64&lt;&gt;"data missing", Calc!BD146*'Waste results'!$S$64, "data missing"),
   IF(OR('Waste results'!$S$28&lt;&gt;"data missing", 'Waste results'!$S$64&lt;&gt;"data missing"), Calc!BC146*'Waste results'!$S$28+ Calc!BD146*'Waste results'!$S$64, "data missing"))),
IF(AND('Field information 2'!$M$5&lt;&gt;"", 'Field information 2'!$O$5&lt;&gt;"", 'Field information 2'!$Q$5&lt;&gt;""),
   IF(AND(Calc!BD146=0,Calc!BE146=0),
     IF('Waste results'!$S$28&lt;&gt;"data missing", Calc!BC146*'Waste results'!$S$28, "data missing"),
   IF(AND(Calc!BC146=0,Calc!BE146=0),
     IF('Waste results'!$S$64&lt;&gt;"data missing", Calc!BD146*'Waste results'!$S$64, "data missing"),
   IF(AND(Calc!BC146=0,Calc!BD146=0),
     IF('Waste results'!$S$100&lt;&gt;"data missing", Calc!BE146*'Waste results'!$S$100, "data missing"),
   IF(Calc!BE146=0,
     IF(OR('Waste results'!$S$28&lt;&gt;"data missing", 'Waste results'!$S$64&lt;&gt;"data missing"), Calc!BC146*'Waste results'!$S$28+ Calc!BD146*'Waste results'!$S$64, "data missing"),
   IF(Calc!BD146=0,
     IF(OR('Waste results'!$S$28&lt;&gt;"data missing", 'Waste results'!$S$100&lt;&gt;"data missing"), Calc!BC146*'Waste results'!$S$28+ Calc!BE146*'Waste results'!$S$100, "data missing"),
   IF(Calc!BC146=0,
     IF(OR('Waste results'!$S$64&lt;&gt;"data missing", 'Waste results'!$S$100&lt;&gt;"data missing"), Calc!BD146*'Waste results'!$S$64+Calc!BE146*'Waste results'!$S$100, "data missing"),
   IF(OR('Waste results'!$S$28&lt;&gt;"data missing", 'Waste results'!$S$64&lt;&gt;"data missing", 'Waste results'!$S$100&lt;&gt;"data missing"), Calc!BC146*'Waste results'!$S$28+Calc!BD146*'Waste results'!$S$64+ Calc!BE146*'Waste results'!$S$100, "data missing")))))))))))</f>
        <v/>
      </c>
      <c r="BB148" s="239" t="str">
        <f ca="1">IF($B148="","",
IF(ISBLANK('Soil results'!N151),"data missing",'Soil results'!N151))</f>
        <v/>
      </c>
      <c r="BC148" s="239" t="str">
        <f t="shared" ca="1" si="45"/>
        <v/>
      </c>
      <c r="BD148" s="9" t="str">
        <f t="shared" ca="1" si="46"/>
        <v/>
      </c>
      <c r="BE148" s="9"/>
      <c r="BF148" s="238" t="str">
        <f ca="1">IF(B148="","",
IF(AND('Field information 2'!$O$5="", 'Field information 2'!$Q$5=""),
   IF('Waste results'!$S$29&lt;&gt;"data missing", Calc!BC146*'Waste results'!$S$29, "data missing"),
IF('Field information 2'!$Q$5="",
   IF(Calc!BD146=0,
     IF('Waste results'!$S$29&lt;&gt;"data missing", Calc!BC146*'Waste results'!$S$29, "data missing"),
   IF(Calc!BC146=0,
     IF('Waste results'!$S$65&lt;&gt;"data missing", Calc!BD146*'Waste results'!$S$65, "data missing"),
   IF(OR('Waste results'!$S$29&lt;&gt;"data missing", 'Waste results'!$S$65&lt;&gt;"data missing"), Calc!BC146*'Waste results'!$S$29+ Calc!BD146*'Waste results'!$S$65, "data missing"))),
IF(AND('Field information 2'!$M$5&lt;&gt;"", 'Field information 2'!$O$5&lt;&gt;"", 'Field information 2'!$Q$5&lt;&gt;""),
   IF(AND(Calc!BD146=0,Calc!BE146=0),
     IF('Waste results'!$S$29&lt;&gt;"data missing", Calc!BC146*'Waste results'!$S$29, "data missing"),
   IF(AND(Calc!BC146=0,Calc!BE146=0),
     IF('Waste results'!$S$65&lt;&gt;"data missing", Calc!BD146*'Waste results'!$S$65, "data missing"),
   IF(AND(Calc!BC146=0,Calc!BD146=0),
     IF('Waste results'!$S$101&lt;&gt;"data missing", Calc!BE146*'Waste results'!$S$101, "data missing"),
   IF(Calc!BE146=0,
     IF(OR('Waste results'!$S$29&lt;&gt;"data missing", 'Waste results'!$S$65&lt;&gt;"data missing"), Calc!BC146*'Waste results'!$S$29+ Calc!BD146*'Waste results'!$S$65, "data missing"),
   IF(Calc!BD146=0,
     IF(OR('Waste results'!$S$29&lt;&gt;"data missing", 'Waste results'!$S$101&lt;&gt;"data missing"), Calc!BC146*'Waste results'!$S$29+ Calc!BE146*'Waste results'!$S$101, "data missing"),
   IF(Calc!BC146=0,
     IF(OR('Waste results'!$S$65&lt;&gt;"data missing", 'Waste results'!$S$101&lt;&gt;"data missing"), Calc!BD146*'Waste results'!$S$65+Calc!BE146*'Waste results'!$S$101, "data missing"),
   IF(OR('Waste results'!$S$29&lt;&gt;"data missing", 'Waste results'!$S$65&lt;&gt;"data missing", 'Waste results'!$S$101&lt;&gt;"data missing"), Calc!BC146*'Waste results'!$S$29+Calc!BD146*'Waste results'!$S$65+ Calc!BE146*'Waste results'!$S$101, "data missing")))))))))))</f>
        <v/>
      </c>
      <c r="BG148" s="239" t="str">
        <f ca="1">IF($B148="","",
IF(ISBLANK('Soil results'!O151),"data missing",'Soil results'!O151))</f>
        <v/>
      </c>
      <c r="BH148" s="239" t="str">
        <f t="shared" ca="1" si="47"/>
        <v/>
      </c>
      <c r="BI148" s="9" t="str">
        <f ca="1">IF(B148="","",
IF(BF148=0,"n/a",
IF(OR(BF148="data missing",BG148="data missing"),"data missing",
IF(BF148&gt;3,"application rate too high - permissible rate exceeds limit",
IF('Soil results'!F151&lt;=5.5,
  IF(BG148&gt;50,"no application - soil conc. already above limit",
  IF(BH148&gt;50,"application rate too high - soil conc. will exceed limit",
  IF(BG148&gt;50*0.9,"soil conc. is at or above 90% of the limit",
  IF(10*BF148*1000/3000+BG148&gt;50,"soil limit likely to be exceeded in 10yrs",
  IF(50*BF148*1000/3000+BG148&gt;50,"soil limit likely to be exceeded in 50yrs","ok"))))),
IF('Soil results'!F151&lt;=6,
  IF(BG148&gt;60,"no application - soil conc. already above limit",
  IF(BH148&gt;60,"application rate too high - soil conc. will exceed limit",
  IF(BG148&gt;60*0.9,"soil conc. is at or above 90% of the limit",
  IF(10*BF148*1000/3000+BG148&gt;60,"soil limit likely to be exceeded in 10yrs",
  IF(50*BF148*1000/3000+BG148&gt;60,"soil limit likely to be exceeded in 50yrs","ok"))))),
IF('Soil results'!F151&lt;=7,
  IF(BG148&gt;75,"no application - soil conc. already above limit",
  IF(BH148&gt;75,"application rate too high - soil conc. will exceed limit",
  IF(BG148&gt;75*0.9,"soil conc. is at or above 90% of the limit",
  IF(10*BF148*1000/3000+BG148&gt;75,"soil limit likely to be exceeded in 10yrs",
  IF(50*BF148*1000/3000+BG148&gt;75,"soil limit likely to be exceeded in 50yrs","ok"))))),
IF('Soil results'!F151&gt;7,
  IF(BG148&gt;100,"no application - soil conc. already above limit",
  IF(BH148&gt;100,"application rate too high - soil conc. will exceed limit",
  IF(BG148&gt;100*0.9,"soil conc. is at or above 90% of the limit",
  IF(10*BF148*1000/3000+BG148&gt;100,"soil limit likely to be exceeded in 10yrs",
  IF(50*BF148*1000/3000+BG148&gt;100,"soil limit likely to beexceeded in 50yrs","ok")))))
))))))))</f>
        <v/>
      </c>
      <c r="BJ148" s="9"/>
      <c r="BK148" s="240" t="str">
        <f ca="1">IF(B148="","",
IF(AND('Field information 2'!$O$5="", 'Field information 2'!$Q$5=""),
   IF('Waste results'!$S$30&lt;&gt;"data missing", Calc!BC146*'Waste results'!$S$30, "data missing"),
IF('Field information 2'!$Q$5="",
   IF(Calc!BD146=0,
     IF('Waste results'!$S$30&lt;&gt;"data missing", Calc!BC146*'Waste results'!$S$30, "data missing"),
   IF(Calc!BC146=0,
     IF('Waste results'!$S$66&lt;&gt;"data missing", Calc!BD146*'Waste results'!$S$66, "data missing"),
   IF(OR('Waste results'!$S$30&lt;&gt;"data missing", 'Waste results'!$S$66&lt;&gt;"data missing"), Calc!BC146*'Waste results'!$S$30+ Calc!BD146*'Waste results'!$S$66, "data missing"))),
IF(AND('Field information 2'!$M$5&lt;&gt;"", 'Field information 2'!$O$5&lt;&gt;"", 'Field information 2'!$Q$5&lt;&gt;""),
   IF(AND(Calc!BD146=0,Calc!BE146=0),
     IF('Waste results'!$S$30&lt;&gt;"data missing", Calc!BC146*'Waste results'!$S$30, "data missing"),
   IF(AND(Calc!BC146=0,Calc!BE146=0),
     IF('Waste results'!$S$66&lt;&gt;"data missing", Calc!BD146*'Waste results'!$S$66, "data missing"),
   IF(AND(Calc!BC146=0,Calc!BD146=0),
     IF('Waste results'!$S$102&lt;&gt;"data missing", Calc!BE146*'Waste results'!$S$102, "data missing"),
   IF(Calc!BE146=0,
     IF(OR('Waste results'!$S$30&lt;&gt;"data missing", 'Waste results'!$S$66&lt;&gt;"data missing"), Calc!BC146*'Waste results'!$S$30+ Calc!BD146*'Waste results'!$S$66, "data missing"),
   IF(Calc!BD146=0,
     IF(OR('Waste results'!$S$30&lt;&gt;"data missing", 'Waste results'!$S$102&lt;&gt;"data missing"), Calc!BC146*'Waste results'!$S$30+ Calc!BE146*'Waste results'!$S$102, "data missing"),
   IF(Calc!BC146=0,
     IF(OR('Waste results'!$S$66&lt;&gt;"data missing", 'Waste results'!$S$102&lt;&gt;"data missing"), Calc!BD146*'Waste results'!$S$66+Calc!BE146*'Waste results'!$S$102, "data missing"),
   IF(OR('Waste results'!$S$30&lt;&gt;"data missing", 'Waste results'!$S$66&lt;&gt;"data missing", 'Waste results'!$S$102&lt;&gt;"data missing"), Calc!BC146*'Waste results'!$S$30+Calc!BD146*'Waste results'!$S$66+ Calc!BE146*'Waste results'!$S$102, "data missing")))))))))))</f>
        <v/>
      </c>
      <c r="BL148" s="241" t="str">
        <f ca="1">IF($B148="","",
IF(ISBLANK('Soil results'!P151),"data missing",'Soil results'!P151))</f>
        <v/>
      </c>
      <c r="BM148" s="241" t="str">
        <f t="shared" ca="1" si="48"/>
        <v/>
      </c>
      <c r="BN148" s="66" t="str">
        <f t="shared" ca="1" si="49"/>
        <v/>
      </c>
      <c r="BO148" s="9"/>
      <c r="BP148" s="238" t="str">
        <f ca="1">IF(B148="","",
IF(AND('Field information 2'!$O$5="", 'Field information 2'!$Q$5=""),
   IF('Waste results'!$S$31&lt;&gt;"data missing", Calc!BC146*'Waste results'!$S$31, "data missing"),
IF('Field information 2'!$Q$5="",
   IF(Calc!BD146=0,
     IF('Waste results'!$S$31&lt;&gt;"data missing", Calc!BC146*'Waste results'!$S$31, "data missing"),
   IF(Calc!BC146=0,
     IF('Waste results'!$S$67&lt;&gt;"data missing", Calc!BD146*'Waste results'!$S$67, "data missing"),
   IF(OR('Waste results'!$S$31&lt;&gt;"data missing", 'Waste results'!$S$67&lt;&gt;"data missing"), Calc!BC146*'Waste results'!$S$31+ Calc!BD146*'Waste results'!$S$67, "data missing"))),
IF(AND('Field information 2'!$M$5&lt;&gt;"", 'Field information 2'!$O$5&lt;&gt;"", 'Field information 2'!$Q$5&lt;&gt;""),
   IF(AND(Calc!BD146=0,Calc!BE146=0),
     IF('Waste results'!$S$31&lt;&gt;"data missing", Calc!BC146*'Waste results'!$S$31, "data missing"),
   IF(AND(Calc!BC146=0,Calc!BE146=0),
     IF('Waste results'!$S$67&lt;&gt;"data missing", Calc!BD146*'Waste results'!$S$67, "data missing"),
   IF(AND(Calc!BC146=0,Calc!BD146=0),
     IF('Waste results'!$S$103&lt;&gt;"data missing", Calc!BE146*'Waste results'!$S$103, "data missing"),
   IF(Calc!BE146=0,
     IF(OR('Waste results'!$S$31&lt;&gt;"data missing", 'Waste results'!$S$67&lt;&gt;"data missing"), Calc!BC146*'Waste results'!$S$31+ Calc!BD146*'Waste results'!$S$67, "data missing"),
   IF(Calc!BD146=0,
     IF(OR('Waste results'!$S$31&lt;&gt;"data missing", 'Waste results'!$S$103&lt;&gt;"data missing"), Calc!BC146*'Waste results'!$S$31+ Calc!BE146*'Waste results'!$S$103, "data missing"),
   IF(Calc!BC146=0,
     IF(OR('Waste results'!$S$67&lt;&gt;"data missing", 'Waste results'!$S$103&lt;&gt;"data missing"), Calc!BD146*'Waste results'!$S$67+Calc!BE146*'Waste results'!$S$103, "data missing"),
   IF(OR('Waste results'!$S$31&lt;&gt;"data missing", 'Waste results'!$S$67&lt;&gt;"data missing", 'Waste results'!$S$103&lt;&gt;"data missing"), Calc!BC146*'Waste results'!$S$31+Calc!BD146*'Waste results'!$S$67+ Calc!BE146*'Waste results'!$S$103, "data missing")))))))))))</f>
        <v/>
      </c>
      <c r="BQ148" s="239" t="str">
        <f ca="1">IF($B148="","",
IF(ISBLANK('Soil results'!Q151),"data missing",'Soil results'!Q151))</f>
        <v/>
      </c>
      <c r="BR148" s="239" t="str">
        <f t="shared" ca="1" si="50"/>
        <v/>
      </c>
      <c r="BS148" s="9" t="str">
        <f ca="1">IF(B148="","",
IF(BP148=0,"n/a",
IF(OR(BP148="data missing",BQ148=""),"data missing",
IF(BP148&gt;15,"application rate too high - permissible rate exceeds limit",
IF('Soil results'!F151&lt;=5.5,
  IF(BQ148&gt;200,"no application - soil conc. already above limit",
  IF(BR148&gt;200,"application rate too high - soil conc. will exceed limit",
  IF(BQ148&gt;200*0.9,"soil conc. is at or above 90% of the limit",
  IF(10*BP148*1000/3000+BQ148&gt;200,"soil limit likely to be exceeded in 10yrs",
  IF(50*BP148*1000/3000+BQ148&gt;200,"soil limit likely to be exceeded in 50yrs","ok"))))),
IF('Soil results'!F151&lt;=6,
  IF(BQ148&gt;250,"no application - soil conc. already above limit",
  IF(BR148&gt;250,"application rate too high - soil conc. will exceed limit",
  IF(BQ148&gt;250*0.9,"soil conc. is at or above 90% of the limit",
  IF(10*BP148*1000/3000+BQ148&gt;250,"soil limit likely to be exceeded in 10yrs",
  IF(50*BP148*1000/3000+BQ148&gt;250,"soil limit likely to be exceeded in 50yrs","ok"))))),
IF('Soil results'!F151&lt;=7,
  IF(BQ148&gt;300,"no application - soil conc. already above limit",
  IF(BR148&gt;300,"application rate too high - soil conc. will exceed limit",
  IF(BQ148&gt;300*0.9,"soil conc. is at or above 90% of the limit",
  IF(10*BP148*1000/3000+BQ148&gt;300,"soil limit likey to be exceeded in 10yrs",
  IF(50*BP148*1000/3000+BQ148&gt;300,"soil limit likely to be exceeded in 50yrs","ok"))))),
IF('Soil results'!F151&gt;7,
  IF(BQ148&gt;450,"no application - soil conc. already above limit",
  IF(BR148&gt;450,"application rate too high - soil conc. will exceed limit",
  IF(AW148&gt;450*0.9,"soil conc. is at or above 90% of the limit",
  IF(10*BP148*1000/3000+BQ148&gt;450,"soil limit likely to be exceeded in 10yrs",
  IF(50*BP148*1000/3000+BQ148&gt;450,"soil limit likely to be exceeded in 50yrs","ok")))))
))))))))</f>
        <v/>
      </c>
    </row>
    <row r="149" spans="2:71" ht="15" x14ac:dyDescent="0.25">
      <c r="B149" s="236" t="str">
        <f ca="1">'Soil results'!B152</f>
        <v/>
      </c>
      <c r="C149" s="91" t="str">
        <f ca="1">IF(B149="","",
IF(AND('Field information 2'!$O$5="", 'Field information 2'!$Q$5=""),
   IF('Waste results'!$S$12&lt;&gt;"data missing", Calc!BC147*'Waste results'!$S$12, "data missing"),
IF('Field information 2'!$Q$5="",
   IF(Calc!BD147=0,
     IF('Waste results'!$S$12&lt;&gt;"data missing", Calc!BC147*'Waste results'!$S$12, "data missing"),
   IF(Calc!BC147=0,
     IF('Waste results'!$S$48&lt;&gt;"data missing", Calc!BD147*'Waste results'!$S$48, "data missing"),
   IF(OR('Waste results'!$S$12&lt;&gt;"data missing", 'Waste results'!$S$48&lt;&gt;"data missing"), Calc!BC147*'Waste results'!$S$12+ Calc!BD147*'Waste results'!$S$48, "data missing"))),
IF(AND('Field information 2'!$M$5&lt;&gt;"", 'Field information 2'!$O$5&lt;&gt;"", 'Field information 2'!$Q$5&lt;&gt;""),
   IF(AND(Calc!BD147=0,Calc!BE147=0),
     IF('Waste results'!$S$12&lt;&gt;"data missing", Calc!BC147*'Waste results'!$S$12, "data missing"),
   IF(AND(Calc!BC147=0,Calc!BE147=0),
     IF('Waste results'!$S$48&lt;&gt;"data missing", Calc!BD147*'Waste results'!$S$48, "data missing"),
   IF(AND(Calc!BC147=0,Calc!BD147=0),
     IF('Waste results'!$S$84&lt;&gt;"data missing", Calc!BE147*'Waste results'!$S$84, "data missing"),
   IF(Calc!BE147=0,
     IF(OR('Waste results'!$S$12&lt;&gt;"data missing", 'Waste results'!$S$48&lt;&gt;"data missing"), Calc!BC147*'Waste results'!$S$12+ Calc!BD147*'Waste results'!$S$48, "data missing"),
   IF(Calc!BD147=0,
     IF(OR('Waste results'!$S$12&lt;&gt;"data missing", 'Waste results'!$S$84&lt;&gt;"data missing"), Calc!BC147*'Waste results'!$S$12+ Calc!BE147*'Waste results'!$S$84, "data missing"),
   IF(Calc!BC147=0,
     IF(OR('Waste results'!$S$48&lt;&gt;"data missing", 'Waste results'!$S$84&lt;&gt;"data missing"), Calc!BD147*'Waste results'!$S$48+Calc!BE147*'Waste results'!$S$84, "data missing"),
   IF(OR('Waste results'!$S$12&lt;&gt;"data missing", 'Waste results'!$S$48&lt;&gt;"data missing", 'Waste results'!$S$84&lt;&gt;"data missing"), Calc!BC147*'Waste results'!$S$12+Calc!BD147*'Waste results'!$S$48+ Calc!BE147*'Waste results'!$S$84, "data missing")))))))))))</f>
        <v/>
      </c>
      <c r="D149" s="161" t="str">
        <f ca="1">IF(B149="","",
IF(Calc!BG147="","soil texture missing",
IF(OR(Calc!BG147="SL; SZL; ZL",Calc!BG147="SCL; CL; ZCL; SC; ZC; C"),VLOOKUP(Calc!BI147,'Fertiliser recommendations'!$A$4:$C$63,3,FALSE),
IF(Calc!BG147="S; LS",VLOOKUP(Calc!BI147,'Fertiliser recommendations'!$A$4:$C$63,3,FALSE)+VLOOKUP(Calc!BI147,'Fertiliser recommendations'!$A$4:$D$63,4,FALSE),
IF(Calc!BG147="10-25% OM",VLOOKUP(Calc!BI147,'Fertiliser recommendations'!$A$4:$C$63,3,FALSE)+VLOOKUP(Calc!BI147,'Fertiliser recommendations'!$A$4:$E$63,5,FALSE),
IF(Calc!BG147="&gt;25% OM",VLOOKUP(Calc!BI147,'Fertiliser recommendations'!$A$4:$C$63,3,FALSE)+VLOOKUP(Calc!BI147,'Fertiliser recommendations'!$A$4:$F$63,6,FALSE),
""))))))</f>
        <v/>
      </c>
      <c r="E149" s="91" t="str">
        <f t="shared" ca="1" si="34"/>
        <v/>
      </c>
      <c r="F149" s="9" t="str">
        <f ca="1">IF(B149="","",
IF(OR(C149="data missing",D149="soil texture missing"),"data missing",
IF(Calc!BF147=0,"n/a",
IF(C149&lt;0.1*D149,"no benefit",
IF(C149&lt;0.3*D149,"limited benefit",
IF(C149&gt;250,"exceeds limit",
IF(OR(AND(D149=0,C149&gt;75),C149&gt;1.25*D149),"excessive",
IF(D149=0, "no requirement",
"benefit"))))))))</f>
        <v/>
      </c>
      <c r="G149" s="9"/>
      <c r="H149" s="91" t="str">
        <f ca="1">IF(B149="","",
IF(AND('Field information 2'!$O$5="", 'Field information 2'!$Q$5=""),
   IF('Waste results'!$S$17&lt;&gt;"data missing", Calc!BC147*'Waste results'!$S$17, "data missing"),
IF('Field information 2'!$Q$5="",
   IF(Calc!BD147=0,
     IF('Waste results'!$S$17&lt;&gt;"data missing", Calc!BC147*'Waste results'!$S$17, "data missing"),
   IF(Calc!BC147=0,
     IF('Waste results'!$S$53&lt;&gt;"data missing", Calc!BD147*'Waste results'!$S$53, "data missing"),
   IF(OR('Waste results'!$S$17&lt;&gt;"data missing", 'Waste results'!$S$53&lt;&gt;"data missing"), Calc!BC147*'Waste results'!$S$17+ Calc!BD147*'Waste results'!$S$53, "data missing"))),
IF(AND('Field information 2'!$M$5&lt;&gt;"", 'Field information 2'!$O$5&lt;&gt;"", 'Field information 2'!$Q$5&lt;&gt;""),
   IF(AND(Calc!BD147=0,Calc!BE147=0),
     IF('Waste results'!$S$17&lt;&gt;"data missing", Calc!BC147*'Waste results'!$S$17, "data missing"),
   IF(AND(Calc!BC147=0,Calc!BE147=0),
     IF('Waste results'!$S$53&lt;&gt;"data missing", Calc!BD147*'Waste results'!$S$53, "data missing"),
   IF(AND(Calc!BC147=0,Calc!BD147=0),
     IF('Waste results'!$S$89&lt;&gt;"data missing", Calc!BE147*'Waste results'!$S$89, "data missing"),
   IF(Calc!BE147=0,
     IF(OR('Waste results'!$S$17&lt;&gt;"data missing", 'Waste results'!$S$53&lt;&gt;"data missing"), Calc!BC147*'Waste results'!$S$17+ Calc!BD147*'Waste results'!$S$53, "data missing"),
   IF(Calc!BD147=0,
     IF(OR('Waste results'!$S$17&lt;&gt;"data missing", 'Waste results'!$S$89&lt;&gt;"data missing"), Calc!BC147*'Waste results'!$S$17+ Calc!BE147*'Waste results'!$S$89, "data missing"),
   IF(Calc!BC147=0,
     IF(OR('Waste results'!$S$53&lt;&gt;"data missing", 'Waste results'!$S$89&lt;&gt;"data missing"), Calc!BD147*'Waste results'!$S$53+Calc!BE147*'Waste results'!$S$89, "data missing"),
   IF(OR('Waste results'!$S$17&lt;&gt;"data missing", 'Waste results'!$S$53&lt;&gt;"data missing", 'Waste results'!$S$89&lt;&gt;"data missing"), Calc!BC147*'Waste results'!$S$17+Calc!BD147*'Waste results'!$S$53+ Calc!BE147*'Waste results'!$S$89, "data missing")))))))))))</f>
        <v/>
      </c>
      <c r="I149" s="195" t="str">
        <f ca="1">IF(B149="","",
IF(OR(ISBLANK('Soil results'!G152), ISBLANK('Soil results'!G$7)),"data missing",
IF(OR(AND('Soil results'!G$7="Olsen (ADAS)",'Soil results'!G152&lt;16),AND('Soil results'!G$7="modified Morgan (SAC)",'Soil results'!G152&lt;4.5)),50,100)))</f>
        <v/>
      </c>
      <c r="J149" s="49" t="str">
        <f ca="1">IF(B149="","",
IF(OR(ISBLANK('Soil results'!G$7),ISBLANK('Soil results'!G152)),"data missing",
IF(OR(AND('Soil results'!G$7="Olsen (ADAS)",'Soil results'!G152&gt;45),AND('Soil results'!G$7="modified Morgan (SAC)",'Soil results'!G152&gt;30)),0,
IF(OR(AND('Soil results'!G$7="Olsen (ADAS)",'Soil results'!G152&gt;=16,'Soil results'!G152&lt;=20),AND('Soil results'!G$7="modified Morgan (SAC)",'Soil results'!G152&gt;=4.5,'Soil results'!G152&lt;=9.4)),VLOOKUP(Calc!BI147,'Fertiliser recommendations'!$A$4:$I$63,9,FALSE),
IF(OR(AND('Soil results'!G$7="Olsen (ADAS)",'Soil results'!G152&lt;10),AND('Soil results'!G$7="modified Morgan (SAC)",'Soil results'!G152&lt;1.8)),VLOOKUP(Calc!BI147,'Fertiliser recommendations'!$A$4:$I$63,9,FALSE)+VLOOKUP(Calc!BI147,'Fertiliser recommendations'!$A$4:$J$63,10,FALSE),
IF(OR(AND('Soil results'!G$7="Olsen (ADAS)",'Soil results'!G152&lt;16),AND('Soil results'!G$7="modified Morgan (SAC)",'Soil results'!G152&lt;4.5)),VLOOKUP(Calc!BI147,'Fertiliser recommendations'!$A$4:$I$63,9,FALSE)+VLOOKUP(Calc!BI147,'Fertiliser recommendations'!$A$4:$K$63,11,FALSE),
IF(OR(AND('Soil results'!G$7="Olsen (ADAS)",'Soil results'!G152&lt;26),AND('Soil results'!G$7="modified Morgan (SAC)",'Soil results'!G152&lt;13.5)),VLOOKUP(Calc!BI147,'Fertiliser recommendations'!$A$4:$I$63,9,FALSE)+VLOOKUP(Calc!BI147,'Fertiliser recommendations'!$A$4:$L$63,12,FALSE),
IF(OR(AND('Soil results'!G$7="Olsen (ADAS)",'Soil results'!G152&lt;=45),AND('Soil results'!G$7="modified Morgan (SAC)",'Soil results'!G152&lt;=30)),VLOOKUP(Calc!BI147,'Fertiliser recommendations'!$A$4:$I$63,9,FALSE)+VLOOKUP(Calc!BI147,'Fertiliser recommendations'!$A$4:$M$63,13,FALSE),
""))))))))</f>
        <v/>
      </c>
      <c r="K149" s="161" t="str">
        <f t="shared" ca="1" si="35"/>
        <v/>
      </c>
      <c r="L149" s="47" t="str">
        <f ca="1">IF(OR(ISBLANK('Soil results'!G$7),ISBLANK('Soil results'!G152),B149="", H149="data missing"),"",
IF('Soil results'!G$7="Olsen (ADAS)",
IF(((H149*Calc!BM147/2.291-(VLOOKUP(Calc!BI147,'Fertiliser recommendations'!$A$4:$I$63,9,FALSE))/2.291)*10/(400/2.291)+'Soil results'!G152)&lt;10,"0 (VL)",
IF(((H149*Calc!BM147/2.291-(VLOOKUP(Calc!BI147,'Fertiliser recommendations'!$A$4:$I$63,9,FALSE))/2.291)*10/(400/2.291)+'Soil results'!G152)&lt;16,"1 (L)",
IF(((H149*Calc!BM147/2.291-(VLOOKUP(Calc!BI147,'Fertiliser recommendations'!$A$4:$I$63,9,FALSE))/2.291)*10/(400/2.291)+'Soil results'!G152)&lt;21,"2 (M-)",
IF(((H149*Calc!BM147/2.291-(VLOOKUP(Calc!BI147,'Fertiliser recommendations'!$A$4:$I$63,9,FALSE))/2.291)*10/(400/2.291)+'Soil results'!G152)&lt;26,"2 (M+)",
IF(((H149*Calc!BM147/2.291-(VLOOKUP(Calc!BI147,'Fertiliser recommendations'!$A$4:$I$63,9,FALSE))/2.291)*10/(400/2.291)+'Soil results'!G152)&lt;45,"3 (H)","&gt;3 (VH)"))))),
IF('Soil results'!G$7="modified Morgan (SAC)",
IF('Soil results'!G152&gt;=6,
IF(((H149*Calc!BM147/2.291-(VLOOKUP(Calc!BI147,'Fertiliser recommendations'!$A$4:$I$63,9,FALSE))/2.291)*5/(147/2.291)+'Soil results'!G152)&lt;9.5,"2 (M-)",
IF(((H149*Calc!BM147/2.291-(VLOOKUP(Calc!BI147,'Fertiliser recommendations'!$A$4:$I$63,9,FALSE))/2.291)*5/(147/2.291)+'Soil results'!G152)&lt;13.5,"2 (M+)",
IF(((H149*Calc!BM147/2.291-(VLOOKUP(Calc!BI147,'Fertiliser recommendations'!$A$4:$I$63,9,FALSE))/2.291)*5/(147/2.291)+'Soil results'!G152)&lt;30,"3 (H)","4 (VH)"))),
IF(((H149*Calc!BM147/2.291-(VLOOKUP(Calc!BI147,'Fertiliser recommendations'!$A$4:$I$63,9,FALSE))/2.291)*5/(346/2.291)+'Soil results'!G152)&lt;1.8,"0 (VL)",
IF(((H149*Calc!BM147/2.291-(VLOOKUP(Calc!BI147,'Fertiliser recommendations'!$A$4:$I$63,9,FALSE))/2.291)*5/(147/2.291)+'Soil results'!G152)&lt;4.5,"1 (L)","2 (M-)"))))))</f>
        <v/>
      </c>
      <c r="M149" s="9" t="str">
        <f ca="1">IF(B149="","",
IF(OR(H149="data missing",I149="data missing",J149="data missing"),"data missing",
IF(Calc!BF147=0,"n/a",
IF(OR(AND('Soil results'!G$7="Olsen (ADAS)",'Soil results'!G152&gt;45),AND('Soil results'!G$7="modified Morgan (SAC)",'Soil results'!G152&gt;30)),
IF(H149&gt;2,"too high, not acceptable","no requirement"),IF(OR(AND('Soil results'!G$7="Olsen (ADAS)",'Soil results'!G152&gt;25),AND('Soil results'!G$7="modified Morgan (SAC)",'Soil results'!G152&gt;13.4)),
IF(H149*(I149/100)&lt;0.1*J149,"no benefit",
IF(H149*(I149/100)&lt;0.3*J149,"limited benefit",
IF(H149*(I149/100)&lt;1.1*J149,"benefit",
IF(H149*(I149/100)&lt;0.7*VLOOKUP(Calc!BI147,'Fertiliser recommendations'!$A$4:$I$63,9,FALSE),"excessive","too high, not acceptable")))),
IF(OR(AND('Soil results'!G$7="Olsen (ADAS)",'Soil results'!G152&gt;20),AND('Soil results'!G$7="modified Morgan (SAC)",'Soil results'!G152&gt;9.4)),
IF(H149*Calc!BM147*(I149/100)&lt;0.1*J149,"no benefit",
IF(H149*Calc!BM147*(I149/100)&lt;0.3*J149,"limited benefit",
IF(H149*Calc!BM147*(I149/100)&lt;1.1*J149,"benefit",
IF(L149="3 (H)","too high, not acceptable","excessive")))),
IF(OR(AND('Soil results'!G$7="Olsen (ADAS)",'Soil results'!G152&gt;15),AND('Soil results'!G$7="modified Morgan (SAC)",'Soil results'!G152&gt;4.4)),
IF(H149*Calc!BM147*(I149/100)&lt;0.1*VLOOKUP(Calc!BI147,'Fertiliser recommendations'!$A$4:$I$63,9,FALSE),"no benefit",
IF(H149*Calc!BM147*(I149/100)&lt;0.3*VLOOKUP(Calc!BI147,'Fertiliser recommendations'!$A$4:$I$63,9,FALSE),"limited benefit",
IF(H149*Calc!BM147*(I149/100)&lt;1.1*VLOOKUP(Calc!BI147,'Fertiliser recommendations'!$A$4:$I$63,9,FALSE),"benefit",
IF(L149="3 (H)", "too high, not acceptable", "excessive")))),
IF(OR(AND('Soil results'!G$7="Olsen (ADAS)",'Soil results'!G152&lt;=15),AND('Soil results'!G$7="modified Morgan (SAC)",'Soil results'!G152&lt;=4.4)),
IF(H149*Calc!BM147*(I149/100)&lt;0.1*VLOOKUP(Calc!BI147,'Fertiliser recommendations'!$A$4:$I$63,9,FALSE),"no benefit",
IF(H149*Calc!BM147*(I149/100)&lt;0.3*VLOOKUP(Calc!BI147,'Fertiliser recommendations'!$A$4:$I$63,9,FALSE),"limited benefit",
IF(H149*Calc!BM147*(I149/100)&lt;1.1*J149,"benefit","excessive")))))))))))</f>
        <v/>
      </c>
      <c r="N149" s="9"/>
      <c r="O149" s="91" t="str">
        <f ca="1">IF(B149="","",
IF(AND('Field information 2'!$O$5="", 'Field information 2'!$Q$5=""),
   IF('Waste results'!$S$19&lt;&gt;"data missing", Calc!BC147*'Waste results'!$S$19, "data missing"),
IF('Field information 2'!$Q$5="",
   IF(Calc!BD147=0,
     IF('Waste results'!$S$19&lt;&gt;"data missing", Calc!BC147*'Waste results'!$S$19, "data missing"),
   IF(Calc!BC147=0,
     IF('Waste results'!$S$55&lt;&gt;"data missing", Calc!BD147*'Waste results'!$S$55, "data missing"),
   IF(OR('Waste results'!$S$19&lt;&gt;"data missing", 'Waste results'!$S$55&lt;&gt;"data missing"), Calc!BC147*'Waste results'!$S$19+ Calc!BD147*'Waste results'!$S$55, "data missing"))),
IF(AND('Field information 2'!$M$5&lt;&gt;"", 'Field information 2'!$O$5&lt;&gt;"", 'Field information 2'!$Q$5&lt;&gt;""),
   IF(AND(Calc!BD147=0,Calc!BE147=0),
     IF('Waste results'!$S$19&lt;&gt;"data missing", Calc!BC147*'Waste results'!$S$19, "data missing"),
   IF(AND(Calc!BC147=0,Calc!BE147=0),
     IF('Waste results'!$S$55&lt;&gt;"data missing", Calc!BD147*'Waste results'!$S$55, "data missing"),
   IF(AND(Calc!BC147=0,Calc!BD147=0),
     IF('Waste results'!$S$91&lt;&gt;"data missing", Calc!BE147*'Waste results'!$S$91, "data missing"),
   IF(Calc!BE147=0,
     IF(OR('Waste results'!$S$19&lt;&gt;"data missing", 'Waste results'!$S$55&lt;&gt;"data missing"), Calc!BC147*'Waste results'!$S$19+ Calc!BD147*'Waste results'!$S$55, "data missing"),
   IF(Calc!BD147=0,
     IF(OR('Waste results'!$S$19&lt;&gt;"data missing", 'Waste results'!$S$91&lt;&gt;"data missing"), Calc!BC147*'Waste results'!$S$19+ Calc!BE147*'Waste results'!$S$91, "data missing"),
   IF(Calc!BC147=0,
     IF(OR('Waste results'!$S$55&lt;&gt;"data missing", 'Waste results'!$S$91&lt;&gt;"data missing"), Calc!BD147*'Waste results'!$S$55+Calc!BE147*'Waste results'!$S$91, "data missing"),
   IF(OR('Waste results'!$S$19&lt;&gt;"data missing", 'Waste results'!$S$55&lt;&gt;"data missing", 'Waste results'!$S$91&lt;&gt;"data missing"), Calc!BC147*'Waste results'!$S$19+Calc!BD147*'Waste results'!$S$55+ Calc!BE147*'Waste results'!$S$91, "data missing")))))))))))</f>
        <v/>
      </c>
      <c r="P149" s="91" t="str">
        <f ca="1">IF(B149="","",
IF(OR(ISBLANK('Soil results'!H$7),ISBLANK('Soil results'!H152)),"data missing",
IF(OR(AND('Soil results'!H$7="ammonium nitrate (ADAS)",'Soil results'!H152&gt;400),AND('Soil results'!H$7="modified Morgan (SAC)",'Soil results'!H152&gt;400)),0,
IF(OR(AND('Soil results'!H$7="ammonium nitrate (ADAS)",'Soil results'!H152&gt;=121,'Soil results'!H152&lt;=180),AND('Soil results'!H$7="modified Morgan (SAC)",'Soil results'!H152&gt;=76,'Soil results'!H152&lt;=140)),VLOOKUP(Calc!BI147,'Fertiliser recommendations'!$A$4:$Z$63,26,FALSE),
IF(OR(AND('Soil results'!H$7="ammonium nitrate (ADAS)",'Soil results'!H152&lt;61),AND('Soil results'!H$7="modified Morgan (SAC)",'Soil results'!H152&lt;40)),VLOOKUP(Calc!BI147,'Fertiliser recommendations'!$A$4:$Z$63,26,FALSE)+VLOOKUP(Calc!BI147,'Fertiliser recommendations'!$A$4:$AA$63,27,FALSE),
IF(OR(AND('Soil results'!H$7="ammonium nitrate (ADAS)",'Soil results'!H152&lt;121),AND('Soil results'!H$7="modified Morgan (SAC)",'Soil results'!H152&lt;76)),VLOOKUP(Calc!BI147,'Fertiliser recommendations'!$A$4:$Z$63,26,FALSE)+VLOOKUP(Calc!BI147,'Fertiliser recommendations'!$A$4:$AB$63,28,FALSE),
IF(OR(AND('Soil results'!H$7="ammonium nitrate (ADAS)",'Soil results'!H152&lt;241),AND('Soil results'!H$7="modified Morgan (SAC)",'Soil results'!H152&lt;201)),VLOOKUP(Calc!BI147,'Fertiliser recommendations'!$A$4:$Z$63,26,FALSE)+VLOOKUP(Calc!BI147,'Fertiliser recommendations'!$A$4:$AC$63,29,FALSE),
IF(OR(AND('Soil results'!H$7="ammonium nitrate (ADAS)",'Soil results'!H152&lt;=400),AND('Soil results'!H$7="modified Morgan (SAC)",'Soil results'!H152&lt;=400)),VLOOKUP(Calc!BI147,'Fertiliser recommendations'!$A$4:$Z$63,26,FALSE)+VLOOKUP(Calc!BI147,'Fertiliser recommendations'!$A$4:$AD$63,30,FALSE),
"??"))))))))</f>
        <v/>
      </c>
      <c r="Q149" s="91" t="str">
        <f t="shared" ca="1" si="36"/>
        <v/>
      </c>
      <c r="R149" s="9" t="str">
        <f ca="1">IF(B149="","",
IF(OR(O149="data missing",P149="data missing"),"data missing",
IF(Calc!BF147=0,"n/a",
IF(P149=0, "no requirement",
IF(O149&lt;0.1*P149,"no benefit",
IF(O149&lt;0.3*P149,"limited benefit",
IF(O149&gt;1.25*P149,"excessive",
"benefit")))))))</f>
        <v/>
      </c>
      <c r="S149" s="9"/>
      <c r="T149" s="91" t="str">
        <f ca="1">IF(B149="","",
IF(AND('Field information 2'!$O$5="", 'Field information 2'!$Q$5=""),
   IF('Waste results'!$S$21&lt;&gt;"data missing", Calc!BC147*'Waste results'!$S$21, "data missing"),
IF('Field information 2'!$Q$5="",
   IF(Calc!BD147=0,
     IF('Waste results'!$S$21&lt;&gt;"data missing", Calc!BC147*'Waste results'!$S$21, "data missing"),
   IF(Calc!BC147=0,
     IF('Waste results'!$S$57&lt;&gt;"data missing", Calc!BD147*'Waste results'!$S$57, "data missing"),
   IF(OR('Waste results'!$S$21&lt;&gt;"data missing", 'Waste results'!$S$57&lt;&gt;"data missing"), Calc!BC147*'Waste results'!$S$21+ Calc!BD147*'Waste results'!$S$57, "data missing"))),
IF(AND('Field information 2'!$M$5&lt;&gt;"", 'Field information 2'!$O$5&lt;&gt;"", 'Field information 2'!$Q$5&lt;&gt;""),
   IF(AND(Calc!BD147=0,Calc!BE147=0),
     IF('Waste results'!$S$21&lt;&gt;"data missing", Calc!BC147*'Waste results'!$S$21, "data missing"),
   IF(AND(Calc!BC147=0,Calc!BE147=0),
     IF('Waste results'!$S$57&lt;&gt;"data missing", Calc!BD147*'Waste results'!$S$57, "data missing"),
   IF(AND(Calc!BC147=0,Calc!BD147=0),
     IF('Waste results'!$S$93&lt;&gt;"data missing", Calc!BE147*'Waste results'!$S$93, "data missing"),
   IF(Calc!BE147=0,
     IF(OR('Waste results'!$S$21&lt;&gt;"data missing", 'Waste results'!$S$57&lt;&gt;"data missing"), Calc!BC147*'Waste results'!$S$21+ Calc!BD147*'Waste results'!$S$57, "data missing"),
   IF(Calc!BD147=0,
     IF(OR('Waste results'!$S$21&lt;&gt;"data missing", 'Waste results'!$S$93&lt;&gt;"data missing"), Calc!BC147*'Waste results'!$S$21+ Calc!BE147*'Waste results'!$S$93, "data missing"),
   IF(Calc!BC147=0,
     IF(OR('Waste results'!$S$57&lt;&gt;"data missing", 'Waste results'!$S$93&lt;&gt;"data missing"), Calc!BD147*'Waste results'!$S$57+Calc!BE147*'Waste results'!$S$93, "data missing"),
   IF(OR('Waste results'!$S$21&lt;&gt;"data missing", 'Waste results'!$S$57&lt;&gt;"data missing", 'Waste results'!$S$93&lt;&gt;"data missing"), Calc!BC147*'Waste results'!$S$21+Calc!BD147*'Waste results'!$S$57+ Calc!BE147*'Waste results'!$S$93, "data missing")))))))))))</f>
        <v/>
      </c>
      <c r="U149" s="7" t="str">
        <f ca="1">IF(B149="","",
IF(OR(ISBLANK('Soil results'!I$7),ISBLANK('Soil results'!I152)),"data missing",
IF(OR(AND('Soil results'!I$7="ammonium nitrate (ADAS)",'Soil results'!I152&gt;51),AND('Soil results'!I$7="modified Morgan (SAC)",'Soil results'!I152&gt;61)),0,
IF(OR(AND('Soil results'!I$7="ammonium nitrate (ADAS)",'Soil results'!I152&lt;25),AND('Soil results'!I$7="modified Morgan (SAC)",'Soil results'!I152&lt;19)),VLOOKUP(Calc!BI147,'Fertiliser recommendations'!$A$4:$AH$63,34,FALSE),
IF(OR(AND('Soil results'!I$7="ammonium nitrate (ADAS)",'Soil results'!I152&lt;=51),AND('Soil results'!I$7="modified Morgan (SAC)",'Soil results'!I152&lt;=61)),VLOOKUP(Calc!BI147,'Fertiliser recommendations'!$A$4:$AI$63,35,FALSE),
"")))))</f>
        <v/>
      </c>
      <c r="V149" s="91" t="str">
        <f t="shared" ca="1" si="37"/>
        <v/>
      </c>
      <c r="W149" s="9" t="str">
        <f ca="1">IF(B149="","",
IF(OR(T149="data missing",U149="data missing"),"data missing",
IF(Calc!BF147=0,"n/a",
IF(U149=0,"no requirement",
IF(T149&lt;0.1*U149,"no benefit",
IF(T149&lt;0.3*U149,"limited benefit",
IF(OR(T149&gt;1.5*U149,AND(Calc!BJ147="g",T149&gt;100)),"excessive",
"benefit")))))))</f>
        <v/>
      </c>
      <c r="X149" s="9"/>
      <c r="Y149" s="91" t="str">
        <f ca="1">IF(B149="","",
IF(AND('Field information 2'!$O$5="", 'Field information 2'!$Q$5=""),
   IF('Waste results'!$P$23&lt;&gt;"", Calc!BC147*'Waste results'!$P$23, "no data"),
IF('Field information 2'!$Q$5="",
   IF(Calc!BD147=0,
     IF('Waste results'!$P$23&lt;&gt;"", Calc!BC147*'Waste results'!$P$23, "no data"),
   IF(Calc!BC147=0,
     IF('Waste results'!$P$59&lt;&gt;"", Calc!BD147*'Waste results'!$P$59, "no data"),
   IF(OR('Waste results'!$P$23&lt;&gt;"", 'Waste results'!$P$59&lt;&gt;""), Calc!BC147*'Waste results'!$P$23+ Calc!BD147*'Waste results'!$P$59, "no data"))),
IF(AND('Field information 2'!$M$5&lt;&gt;"", 'Field information 2'!$O$5&lt;&gt;"", 'Field information 2'!$Q$5&lt;&gt;""),
   IF(AND(Calc!BD147=0,Calc!BE147=0),
     IF('Waste results'!$P$23&lt;&gt;"", Calc!BC147*'Waste results'!$P$23, "no data"),
   IF(AND(Calc!BC147=0,Calc!BE147=0),
     IF('Waste results'!$P$59&lt;&gt;"", Calc!BD147*'Waste results'!$P$59, "no data"),
   IF(AND(Calc!BC147=0,Calc!BD147=0),
     IF('Waste results'!$P$95&lt;&gt;"", Calc!BE147*'Waste results'!$P$95, "no data"),
   IF(Calc!BE147=0,
     IF(OR('Waste results'!$P$23&lt;&gt;"", 'Waste results'!$P$59&lt;&gt;""), Calc!BC147*'Waste results'!$P$23+ Calc!BD147*'Waste results'!$P$59, "no data"),
   IF(Calc!BD147=0,
     IF(OR('Waste results'!$P$23&lt;&gt;"", 'Waste results'!$P$95&lt;&gt;""), Calc!BC147*'Waste results'!$P$23+ Calc!BE147*'Waste results'!$P$95, "no data"),
   IF(Calc!BC147=0,
     IF(OR('Waste results'!$P$59&lt;&gt;"", 'Waste results'!$P$95&lt;&gt;""), Calc!BD147*'Waste results'!$P$59+Calc!BE147*'Waste results'!$P$95, "no data"),
   IF(OR('Waste results'!$P$23&lt;&gt;"", 'Waste results'!$P$59&lt;&gt;"", 'Waste results'!$P$95&lt;&gt;""), Calc!BC147*'Waste results'!$P$23+Calc!BD147*'Waste results'!$P$59+ Calc!BE147*'Waste results'!$P$95, "no data")))))))))))</f>
        <v/>
      </c>
      <c r="Z149" s="7" t="str">
        <f ca="1">IF(OR(ISBLANK('Soil results'!I$7),ISBLANK('Soil results'!I152),'Soil results'!B152=""),"",
VLOOKUP(Calc!BI147,'Fertiliser recommendations'!$A$4:$AM$63,39,FALSE))</f>
        <v/>
      </c>
      <c r="AA149" s="91" t="str">
        <f t="shared" ca="1" si="38"/>
        <v/>
      </c>
      <c r="AB149" s="9" t="str">
        <f t="shared" ca="1" si="39"/>
        <v/>
      </c>
      <c r="AC149" s="9"/>
      <c r="AD149" s="48" t="str">
        <f>IF(ISBLANK('Soil results'!F152),"",'Soil results'!F152)</f>
        <v/>
      </c>
      <c r="AE149" s="49" t="str">
        <f ca="1">IF(B149="","",
IF(AND(Calc!BJ147="g", VLOOKUP(LEFT($B149,LEN($B149)-2),'Field information 2'!$B$12:$P$111,9,FALSE)&lt;&gt;"yes"),
 IF(Calc!BG147="10-25% OM", 5.9, IF(Calc!BG147="&gt;25% OM", 5.5, 6.2)),
IF(OR(Calc!BJ147="a", VLOOKUP(LEFT($B149,LEN($B149)-2),'Field information 2'!$B$12:$P$111,9,FALSE)="yes"),
 IF(Calc!BG147="10-25% OM", 6.4, IF(Calc!BG147="&gt;25% OM", 6, 6.7)), "")))</f>
        <v/>
      </c>
      <c r="AF149" s="91" t="str">
        <f ca="1">IF(B149="","",
IF('Waste results'!$Q$33="","no (significant) liming properties",
IF('Waste results'!Q$33&gt;100,"no (significant) liming properties",
IF(AD149="","",
IF(AD149&gt;=AE149,0,ROUNDDOWN((AE149-AD149)*Calc!BK147*'Waste results'!$Q$33+0.2,0))))))</f>
        <v/>
      </c>
      <c r="AG149" s="9" t="str">
        <f ca="1">IF(B149="","",
IF(T149=0,"n/a",
IF(AD149="","data missing",
IF(AND(AD149&lt;5,AF149="no (significant) liming properties"),"no waste application - pH too low",
IF(AND(AD149&gt;5.1,AF149="no (significant) liming properties",Calc!BH147&gt;25, LEFT(Calc!BI147,4)="graz"),"ok",
IF(AND(AD149&lt;=5.2,AF149="no (significant) liming properties"),"liming highly recommended",
IF(AF149=0,"no waste application - liming not required",
IF(AF149&lt;Calc!BC147,"application rate too high - exceeds liming requirement",
"ok"))))))))</f>
        <v/>
      </c>
      <c r="AH149" s="9"/>
      <c r="AI149" s="91" t="str">
        <f ca="1">IF(B149="","",
IF(AND('Field information 2'!$O$5="", 'Field information 2'!$Q$5=""),
   IF('Waste results'!$P$10&lt;&gt;"data missing", Calc!BC147*'Waste results'!$P$10, "data missing"),
IF('Field information 2'!$Q$5="",
   IF(Calc!BD147=0,
     IF('Waste results'!$P$10&lt;&gt;"data missing", Calc!BC147*'Waste results'!$P$10, "data missing"),
   IF(Calc!BC147=0,
     IF('Waste results'!$P$45&lt;&gt;"data missing", Calc!BD147*'Waste results'!$P$45, "data missing"),
   IF(OR('Waste results'!$P$10&lt;&gt;"data missing", 'Waste results'!$P$45&lt;&gt;"data missing"), Calc!BC147*'Waste results'!$P$10+ Calc!BD147*'Waste results'!$P$45, "data missing"))),
IF(AND('Field information 2'!$M$5&lt;&gt;"", 'Field information 2'!$O$5&lt;&gt;"", 'Field information 2'!$Q$5&lt;&gt;""),
   IF(AND(Calc!BD147=0,Calc!BE147=0),
     IF('Waste results'!$P$10&lt;&gt;"data missing", Calc!BC147*'Waste results'!$P$10, "data missing"),
   IF(AND(Calc!BC147=0,Calc!BE147=0),
     IF('Waste results'!$P$45&lt;&gt;"data missing", Calc!BD147*'Waste results'!$P$45, "data missing"),
   IF(AND(Calc!BC147=0,Calc!BD147=0),
     IF('Waste results'!$P$82&lt;&gt;"data missing", Calc!BE147*'Waste results'!$P$82, "data missing"),
   IF(Calc!BE147=0,
     IF(OR('Waste results'!$P$10&lt;&gt;"data missing", 'Waste results'!$P$45&lt;&gt;"data missing"), Calc!BC147*'Waste results'!$P$10+ Calc!BD147*'Waste results'!$P$45, "data missing"),
   IF(Calc!BD147=0,
     IF(OR('Waste results'!$P$10&lt;&gt;"data missing", 'Waste results'!$P$82&lt;&gt;"data missing"), Calc!BC147*'Waste results'!$P$10+ Calc!BE147*'Waste results'!$P$82, "data missing"),
   IF(Calc!BC147=0,
     IF(OR('Waste results'!$P$45&lt;&gt;"data missing", 'Waste results'!$P$82&lt;&gt;"data missing"), Calc!BD147*'Waste results'!$P$45+Calc!BE147*'Waste results'!$P$82, "data missing"),
   IF(OR('Waste results'!$P$10&lt;&gt;"data missing", 'Waste results'!$P$45&lt;&gt;"data missing", 'Waste results'!$P$82&lt;&gt;"data missing"), Calc!BC147*'Waste results'!$P$10+Calc!BD147*'Waste results'!$P$45+ Calc!BE147*'Waste results'!$P$82, "data missing")))))))))))</f>
        <v/>
      </c>
      <c r="AJ149" s="237" t="str">
        <f ca="1">IF(B149="","",
IF(AI149="data missing","data missing",
IF(Calc!BF147=0,"n/a",
IF(AND(Calc!BH147&gt;=8,AI149&lt;500),"no benefit",
IF(OR(AND(Calc!BH147&lt;=4,AI149&gt;=500),AND(Calc!BH147&lt;8,AI149&gt;5000)),"benefit",
"limited benefit")))))</f>
        <v/>
      </c>
      <c r="AK149" s="9"/>
      <c r="AL149" s="238" t="str">
        <f ca="1">IF(B149="","",
IF(AND('Field information 2'!$O$5="", 'Field information 2'!$Q$5=""),
   IF('Waste results'!$S$25&lt;&gt;"data missing", Calc!BC147*'Waste results'!$S$25, "data missing"),
IF('Field information 2'!$Q$5="",
   IF(Calc!BD147=0,
     IF('Waste results'!$S$25&lt;&gt;"data missing", Calc!BC147*'Waste results'!$S$25, "data missing"),
   IF(Calc!BC147=0,
     IF('Waste results'!$S$61&lt;&gt;"data missing", Calc!BD147*'Waste results'!$S$61, "data missing"),
   IF(OR('Waste results'!$S$25&lt;&gt;"data missing", 'Waste results'!$S$61&lt;&gt;"data missing"), Calc!BC147*'Waste results'!$S$25+ Calc!BD147*'Waste results'!$S$61, "data missing"))),
IF(AND('Field information 2'!$M$5&lt;&gt;"", 'Field information 2'!$O$5&lt;&gt;"", 'Field information 2'!$Q$5&lt;&gt;""),
   IF(AND(Calc!BD147=0,Calc!BE147=0),
     IF('Waste results'!$S$25&lt;&gt;"data missing", Calc!BC147*'Waste results'!$S$25, "data missing"),
   IF(AND(Calc!BC147=0,Calc!BE147=0),
     IF('Waste results'!$S$61&lt;&gt;"data missing", Calc!BD147*'Waste results'!$S$61, "data missing"),
   IF(AND(Calc!BC147=0,Calc!BD147=0),
     IF('Waste results'!$S$97&lt;&gt;"data missing", Calc!BE147*'Waste results'!$S$97, "data missing"),
   IF(Calc!BE147=0,
     IF(OR('Waste results'!$S$25&lt;&gt;"data missing", 'Waste results'!$S$61&lt;&gt;"data missing"), Calc!BC147*'Waste results'!$S$25+ Calc!BD147*'Waste results'!$S$61, "data missing"),
   IF(Calc!BD147=0,
     IF(OR('Waste results'!$S$25&lt;&gt;"data missing", 'Waste results'!$S$97&lt;&gt;"data missing"), Calc!BC147*'Waste results'!$S$25+ Calc!BE147*'Waste results'!$S$97, "data missing"),
   IF(Calc!BC147=0,
     IF(OR('Waste results'!$S$61&lt;&gt;"data missing", 'Waste results'!$S$97&lt;&gt;"data missing"), Calc!BD147*'Waste results'!$S$61+Calc!BE147*'Waste results'!$S$97, "data missing"),
   IF(OR('Waste results'!$S$25&lt;&gt;"data missing", 'Waste results'!$S$61&lt;&gt;"data missing", 'Waste results'!$S$97&lt;&gt;"data missing"), Calc!BC147*'Waste results'!$S$25+Calc!BD147*'Waste results'!$S$61+ Calc!BE147*'Waste results'!$S$97, "data missing")))))))))))</f>
        <v/>
      </c>
      <c r="AM149" s="239" t="str">
        <f ca="1">IF($B149="","",
IF(ISBLANK('Soil results'!K152),"data missing",'Soil results'!K152))</f>
        <v/>
      </c>
      <c r="AN149" s="239" t="str">
        <f t="shared" ca="1" si="40"/>
        <v/>
      </c>
      <c r="AO149" s="9" t="str">
        <f t="shared" ca="1" si="41"/>
        <v/>
      </c>
      <c r="AP149" s="9"/>
      <c r="AQ149" s="240" t="str">
        <f ca="1">IF(B149="","",
IF(AND('Field information 2'!$O$5="", 'Field information 2'!$Q$5=""),
   IF('Waste results'!$S$26&lt;&gt;"data missing", Calc!BC147*'Waste results'!$S$26, "data missing"),
IF('Field information 2'!$Q$5="",
   IF(Calc!BD147=0,
     IF('Waste results'!$S$26&lt;&gt;"data missing", Calc!BC147*'Waste results'!$S$26, "data missing"),
   IF(Calc!BC147=0,
     IF('Waste results'!$S$62&lt;&gt;"data missing", Calc!BD147*'Waste results'!$S$62, "data missing"),
   IF(OR('Waste results'!$S$26&lt;&gt;"data missing", 'Waste results'!$S$62&lt;&gt;"data missing"), Calc!BC147*'Waste results'!$S$26+ Calc!BD147*'Waste results'!$S$62, "data missing"))),
IF(AND('Field information 2'!$M$5&lt;&gt;"", 'Field information 2'!$O$5&lt;&gt;"", 'Field information 2'!$Q$5&lt;&gt;""),
   IF(AND(Calc!BD147=0,Calc!BE147=0),
     IF('Waste results'!$S$26&lt;&gt;"data missing", Calc!BC147*'Waste results'!$S$26, "data missing"),
   IF(AND(Calc!BC147=0,Calc!BE147=0),
     IF('Waste results'!$S$62&lt;&gt;"data missing", Calc!BD147*'Waste results'!$S$62, "data missing"),
   IF(AND(Calc!BC147=0,Calc!BD147=0),
     IF('Waste results'!$S$98&lt;&gt;"data missing", Calc!BE147*'Waste results'!$S$98, "data missing"),
   IF(Calc!BE147=0,
     IF(OR('Waste results'!$S$26&lt;&gt;"data missing", 'Waste results'!$S$62&lt;&gt;"data missing"), Calc!BC147*'Waste results'!$S$26+ Calc!BD147*'Waste results'!$S$62, "data missing"),
   IF(Calc!BD147=0,
     IF(OR('Waste results'!$S$26&lt;&gt;"data missing", 'Waste results'!$S$98&lt;&gt;"data missing"), Calc!BC147*'Waste results'!$S$26+ Calc!BE147*'Waste results'!$S$98, "data missing"),
   IF(Calc!BC147=0,
     IF(OR('Waste results'!$S$62&lt;&gt;"data missing", 'Waste results'!$S$98&lt;&gt;"data missing"), Calc!BD147*'Waste results'!$S$62+Calc!BE147*'Waste results'!$S$98, "data missing"),
   IF(OR('Waste results'!$S$26&lt;&gt;"data missing", 'Waste results'!$S$62&lt;&gt;"data missing", 'Waste results'!$S$98&lt;&gt;"data missing"), Calc!BC147*'Waste results'!$S$26+Calc!BD147*'Waste results'!$S$62+ Calc!BE147*'Waste results'!$S$98, "data missing")))))))))))</f>
        <v/>
      </c>
      <c r="AR149" s="241" t="str">
        <f ca="1">IF($B149="","",
IF(ISBLANK('Soil results'!L152),"data missing",'Soil results'!L152))</f>
        <v/>
      </c>
      <c r="AS149" s="241" t="str">
        <f t="shared" ca="1" si="42"/>
        <v/>
      </c>
      <c r="AT149" s="66" t="str">
        <f t="shared" ca="1" si="43"/>
        <v/>
      </c>
      <c r="AU149" s="9"/>
      <c r="AV149" s="238" t="str">
        <f ca="1">IF(B149="","",
IF(AND('Field information 2'!$O$5="", 'Field information 2'!$Q$5=""),
   IF('Waste results'!$S$27&lt;&gt;"data missing", Calc!BC147*'Waste results'!$S$27, "data missing"),
IF('Field information 2'!$Q$5="",
   IF(Calc!BD147=0,
     IF('Waste results'!$S$27&lt;&gt;"data missing", Calc!BC147*'Waste results'!$S$27, "data missing"),
   IF(Calc!BC147=0,
     IF('Waste results'!$S$63&lt;&gt;"data missing", Calc!BD147*'Waste results'!$S$63, "data missing"),
   IF(OR('Waste results'!$S$27&lt;&gt;"data missing", 'Waste results'!$S$63&lt;&gt;"data missing"), Calc!BC147*'Waste results'!$S$27+ Calc!BD147*'Waste results'!$S$63, "data missing"))),
IF(AND('Field information 2'!$M$5&lt;&gt;"", 'Field information 2'!$O$5&lt;&gt;"", 'Field information 2'!$Q$5&lt;&gt;""),
   IF(AND(Calc!BD147=0,Calc!BE147=0),
     IF('Waste results'!$S$27&lt;&gt;"data missing", Calc!BC147*'Waste results'!$S$27, "data missing"),
   IF(AND(Calc!BC147=0,Calc!BE147=0),
     IF('Waste results'!$S$63&lt;&gt;"data missing", Calc!BD147*'Waste results'!$S$63, "data missing"),
   IF(AND(Calc!BC147=0,Calc!BD147=0),
     IF('Waste results'!$S$99&lt;&gt;"data missing", Calc!BE147*'Waste results'!$S$99, "data missing"),
   IF(Calc!BE147=0,
     IF(OR('Waste results'!$S$27&lt;&gt;"data missing", 'Waste results'!$S$63&lt;&gt;"data missing"), Calc!BC147*'Waste results'!$S$27+ Calc!BD147*'Waste results'!$S$63, "data missing"),
   IF(Calc!BD147=0,
     IF(OR('Waste results'!$S$27&lt;&gt;"data missing", 'Waste results'!$S$99&lt;&gt;"data missing"), Calc!BC147*'Waste results'!$S$27+ Calc!BE147*'Waste results'!$S$99, "data missing"),
   IF(Calc!BC147=0,
     IF(OR('Waste results'!$S$63&lt;&gt;"data missing", 'Waste results'!$S$99&lt;&gt;"data missing"), Calc!BD147*'Waste results'!$S$63+Calc!BE147*'Waste results'!$S$99, "data missing"),
   IF(OR('Waste results'!$S$27&lt;&gt;"data missing", 'Waste results'!$S$63&lt;&gt;"data missing", 'Waste results'!$S$99&lt;&gt;"data missing"), Calc!BC147*'Waste results'!$S$27+Calc!BD147*'Waste results'!$S$63+ Calc!BE147*'Waste results'!$S$99, "data missing")))))))))))</f>
        <v/>
      </c>
      <c r="AW149" s="239" t="str">
        <f ca="1">IF($B149="","",
IF(ISBLANK('Soil results'!M152),"data missing",'Soil results'!M152))</f>
        <v/>
      </c>
      <c r="AX149" s="239" t="str">
        <f t="shared" ca="1" si="44"/>
        <v/>
      </c>
      <c r="AY149" s="9" t="str">
        <f ca="1">IF(B149="","",
IF(AV149=0,"n/a",
IF(OR(AV149="data missing",AW149="data missing"),"data missing",
IF(AV149&gt;7.5,"application rate too high - permissible rate exceeds limit",
IF('Soil results'!$F152&lt;=5.5,
  IF(AW149&gt;80,"no application - soil conc. already above limit",
  IF(AX149&gt;80,"application rate too high - soil conc. will exceed limit",
  IF(AW149&gt;80*0.9,"soil conc. is at or above 90% of the limit",
  IF(10*AV149*1000/3000+AW149&gt;80,"soil limit likely to be exceeded in 10yrs",
  IF(50*AV149*1000/3000+AW149&gt;80,"soil limit likely to be exceeded in 50yrs","ok"))))),
IF('Soil results'!$F152&lt;=6,
  IF(AW149&gt;100,"no application - soil conc. already above limit",
  IF(AX149&gt;100,"application rate too high - soil conc. will exceed limit",
  IF(AW149&gt;100*0.9,"soil conc. is at or above 90% of the limit",
  IF(10*AV149*1000/3000+AW149&gt;100,"soil limit likely to be exceeded in 10yrs",
  IF(50*AV149*1000/3000+AW149&gt;100,"soil limit likely to be exceeded in 50yrs","ok"))))),
IF('Soil results'!$F152&lt;=7,
  IF(AW149&gt;135,"no application - soil conc. already above limit",
  IF(AX149&gt;135,"application rate too high - soil conc. will exceed limit",
  IF(AW149&gt;135*0.9,"soil conc. is at or above 90% of the limit",
  IF(10*AV149*1000/3000+AW149&gt;135,"soil limit likely to be exceeded in 10yrs",
  IF(50*AV149*1000/3000+AW149&gt;135,"soil limit likely to be exceeded in 50yrs","ok"))))),
IF('Soil results'!$F152&gt;7,
  IF(AW149&gt;200,"no application - soil conc. already above limit",
  IF(AX149&gt;200,"application too high - soil conc. will exceed limit",
  IF(AW149&gt;200*0.9,"soil conc. is at or above 90% of the limit",
  IF(10*AV149*1000/3000+AW149&gt;200,"soil limit likely to be exceeded in 10yrs",
  IF(50*AV149*1000/3000+AW149&gt;200,"soil limit likely to be exceeded in 50yrs","ok")))))
))))))))</f>
        <v/>
      </c>
      <c r="AZ149" s="9"/>
      <c r="BA149" s="238" t="str">
        <f ca="1">IF(B149="","",
IF(AND('Field information 2'!$O$5="", 'Field information 2'!$Q$5=""),
   IF('Waste results'!$S$28&lt;&gt;"data missing", Calc!BC147*'Waste results'!$S$28, "data missing"),
IF('Field information 2'!$Q$5="",
   IF(Calc!BD147=0,
     IF('Waste results'!$S$28&lt;&gt;"data missing", Calc!BC147*'Waste results'!$S$28, "data missing"),
   IF(Calc!BC147=0,
     IF('Waste results'!$S$64&lt;&gt;"data missing", Calc!BD147*'Waste results'!$S$64, "data missing"),
   IF(OR('Waste results'!$S$28&lt;&gt;"data missing", 'Waste results'!$S$64&lt;&gt;"data missing"), Calc!BC147*'Waste results'!$S$28+ Calc!BD147*'Waste results'!$S$64, "data missing"))),
IF(AND('Field information 2'!$M$5&lt;&gt;"", 'Field information 2'!$O$5&lt;&gt;"", 'Field information 2'!$Q$5&lt;&gt;""),
   IF(AND(Calc!BD147=0,Calc!BE147=0),
     IF('Waste results'!$S$28&lt;&gt;"data missing", Calc!BC147*'Waste results'!$S$28, "data missing"),
   IF(AND(Calc!BC147=0,Calc!BE147=0),
     IF('Waste results'!$S$64&lt;&gt;"data missing", Calc!BD147*'Waste results'!$S$64, "data missing"),
   IF(AND(Calc!BC147=0,Calc!BD147=0),
     IF('Waste results'!$S$100&lt;&gt;"data missing", Calc!BE147*'Waste results'!$S$100, "data missing"),
   IF(Calc!BE147=0,
     IF(OR('Waste results'!$S$28&lt;&gt;"data missing", 'Waste results'!$S$64&lt;&gt;"data missing"), Calc!BC147*'Waste results'!$S$28+ Calc!BD147*'Waste results'!$S$64, "data missing"),
   IF(Calc!BD147=0,
     IF(OR('Waste results'!$S$28&lt;&gt;"data missing", 'Waste results'!$S$100&lt;&gt;"data missing"), Calc!BC147*'Waste results'!$S$28+ Calc!BE147*'Waste results'!$S$100, "data missing"),
   IF(Calc!BC147=0,
     IF(OR('Waste results'!$S$64&lt;&gt;"data missing", 'Waste results'!$S$100&lt;&gt;"data missing"), Calc!BD147*'Waste results'!$S$64+Calc!BE147*'Waste results'!$S$100, "data missing"),
   IF(OR('Waste results'!$S$28&lt;&gt;"data missing", 'Waste results'!$S$64&lt;&gt;"data missing", 'Waste results'!$S$100&lt;&gt;"data missing"), Calc!BC147*'Waste results'!$S$28+Calc!BD147*'Waste results'!$S$64+ Calc!BE147*'Waste results'!$S$100, "data missing")))))))))))</f>
        <v/>
      </c>
      <c r="BB149" s="239" t="str">
        <f ca="1">IF($B149="","",
IF(ISBLANK('Soil results'!N152),"data missing",'Soil results'!N152))</f>
        <v/>
      </c>
      <c r="BC149" s="239" t="str">
        <f t="shared" ca="1" si="45"/>
        <v/>
      </c>
      <c r="BD149" s="9" t="str">
        <f t="shared" ca="1" si="46"/>
        <v/>
      </c>
      <c r="BE149" s="9"/>
      <c r="BF149" s="238" t="str">
        <f ca="1">IF(B149="","",
IF(AND('Field information 2'!$O$5="", 'Field information 2'!$Q$5=""),
   IF('Waste results'!$S$29&lt;&gt;"data missing", Calc!BC147*'Waste results'!$S$29, "data missing"),
IF('Field information 2'!$Q$5="",
   IF(Calc!BD147=0,
     IF('Waste results'!$S$29&lt;&gt;"data missing", Calc!BC147*'Waste results'!$S$29, "data missing"),
   IF(Calc!BC147=0,
     IF('Waste results'!$S$65&lt;&gt;"data missing", Calc!BD147*'Waste results'!$S$65, "data missing"),
   IF(OR('Waste results'!$S$29&lt;&gt;"data missing", 'Waste results'!$S$65&lt;&gt;"data missing"), Calc!BC147*'Waste results'!$S$29+ Calc!BD147*'Waste results'!$S$65, "data missing"))),
IF(AND('Field information 2'!$M$5&lt;&gt;"", 'Field information 2'!$O$5&lt;&gt;"", 'Field information 2'!$Q$5&lt;&gt;""),
   IF(AND(Calc!BD147=0,Calc!BE147=0),
     IF('Waste results'!$S$29&lt;&gt;"data missing", Calc!BC147*'Waste results'!$S$29, "data missing"),
   IF(AND(Calc!BC147=0,Calc!BE147=0),
     IF('Waste results'!$S$65&lt;&gt;"data missing", Calc!BD147*'Waste results'!$S$65, "data missing"),
   IF(AND(Calc!BC147=0,Calc!BD147=0),
     IF('Waste results'!$S$101&lt;&gt;"data missing", Calc!BE147*'Waste results'!$S$101, "data missing"),
   IF(Calc!BE147=0,
     IF(OR('Waste results'!$S$29&lt;&gt;"data missing", 'Waste results'!$S$65&lt;&gt;"data missing"), Calc!BC147*'Waste results'!$S$29+ Calc!BD147*'Waste results'!$S$65, "data missing"),
   IF(Calc!BD147=0,
     IF(OR('Waste results'!$S$29&lt;&gt;"data missing", 'Waste results'!$S$101&lt;&gt;"data missing"), Calc!BC147*'Waste results'!$S$29+ Calc!BE147*'Waste results'!$S$101, "data missing"),
   IF(Calc!BC147=0,
     IF(OR('Waste results'!$S$65&lt;&gt;"data missing", 'Waste results'!$S$101&lt;&gt;"data missing"), Calc!BD147*'Waste results'!$S$65+Calc!BE147*'Waste results'!$S$101, "data missing"),
   IF(OR('Waste results'!$S$29&lt;&gt;"data missing", 'Waste results'!$S$65&lt;&gt;"data missing", 'Waste results'!$S$101&lt;&gt;"data missing"), Calc!BC147*'Waste results'!$S$29+Calc!BD147*'Waste results'!$S$65+ Calc!BE147*'Waste results'!$S$101, "data missing")))))))))))</f>
        <v/>
      </c>
      <c r="BG149" s="239" t="str">
        <f ca="1">IF($B149="","",
IF(ISBLANK('Soil results'!O152),"data missing",'Soil results'!O152))</f>
        <v/>
      </c>
      <c r="BH149" s="239" t="str">
        <f t="shared" ca="1" si="47"/>
        <v/>
      </c>
      <c r="BI149" s="9" t="str">
        <f ca="1">IF(B149="","",
IF(BF149=0,"n/a",
IF(OR(BF149="data missing",BG149="data missing"),"data missing",
IF(BF149&gt;3,"application rate too high - permissible rate exceeds limit",
IF('Soil results'!F152&lt;=5.5,
  IF(BG149&gt;50,"no application - soil conc. already above limit",
  IF(BH149&gt;50,"application rate too high - soil conc. will exceed limit",
  IF(BG149&gt;50*0.9,"soil conc. is at or above 90% of the limit",
  IF(10*BF149*1000/3000+BG149&gt;50,"soil limit likely to be exceeded in 10yrs",
  IF(50*BF149*1000/3000+BG149&gt;50,"soil limit likely to be exceeded in 50yrs","ok"))))),
IF('Soil results'!F152&lt;=6,
  IF(BG149&gt;60,"no application - soil conc. already above limit",
  IF(BH149&gt;60,"application rate too high - soil conc. will exceed limit",
  IF(BG149&gt;60*0.9,"soil conc. is at or above 90% of the limit",
  IF(10*BF149*1000/3000+BG149&gt;60,"soil limit likely to be exceeded in 10yrs",
  IF(50*BF149*1000/3000+BG149&gt;60,"soil limit likely to be exceeded in 50yrs","ok"))))),
IF('Soil results'!F152&lt;=7,
  IF(BG149&gt;75,"no application - soil conc. already above limit",
  IF(BH149&gt;75,"application rate too high - soil conc. will exceed limit",
  IF(BG149&gt;75*0.9,"soil conc. is at or above 90% of the limit",
  IF(10*BF149*1000/3000+BG149&gt;75,"soil limit likely to be exceeded in 10yrs",
  IF(50*BF149*1000/3000+BG149&gt;75,"soil limit likely to be exceeded in 50yrs","ok"))))),
IF('Soil results'!F152&gt;7,
  IF(BG149&gt;100,"no application - soil conc. already above limit",
  IF(BH149&gt;100,"application rate too high - soil conc. will exceed limit",
  IF(BG149&gt;100*0.9,"soil conc. is at or above 90% of the limit",
  IF(10*BF149*1000/3000+BG149&gt;100,"soil limit likely to be exceeded in 10yrs",
  IF(50*BF149*1000/3000+BG149&gt;100,"soil limit likely to beexceeded in 50yrs","ok")))))
))))))))</f>
        <v/>
      </c>
      <c r="BJ149" s="9"/>
      <c r="BK149" s="240" t="str">
        <f ca="1">IF(B149="","",
IF(AND('Field information 2'!$O$5="", 'Field information 2'!$Q$5=""),
   IF('Waste results'!$S$30&lt;&gt;"data missing", Calc!BC147*'Waste results'!$S$30, "data missing"),
IF('Field information 2'!$Q$5="",
   IF(Calc!BD147=0,
     IF('Waste results'!$S$30&lt;&gt;"data missing", Calc!BC147*'Waste results'!$S$30, "data missing"),
   IF(Calc!BC147=0,
     IF('Waste results'!$S$66&lt;&gt;"data missing", Calc!BD147*'Waste results'!$S$66, "data missing"),
   IF(OR('Waste results'!$S$30&lt;&gt;"data missing", 'Waste results'!$S$66&lt;&gt;"data missing"), Calc!BC147*'Waste results'!$S$30+ Calc!BD147*'Waste results'!$S$66, "data missing"))),
IF(AND('Field information 2'!$M$5&lt;&gt;"", 'Field information 2'!$O$5&lt;&gt;"", 'Field information 2'!$Q$5&lt;&gt;""),
   IF(AND(Calc!BD147=0,Calc!BE147=0),
     IF('Waste results'!$S$30&lt;&gt;"data missing", Calc!BC147*'Waste results'!$S$30, "data missing"),
   IF(AND(Calc!BC147=0,Calc!BE147=0),
     IF('Waste results'!$S$66&lt;&gt;"data missing", Calc!BD147*'Waste results'!$S$66, "data missing"),
   IF(AND(Calc!BC147=0,Calc!BD147=0),
     IF('Waste results'!$S$102&lt;&gt;"data missing", Calc!BE147*'Waste results'!$S$102, "data missing"),
   IF(Calc!BE147=0,
     IF(OR('Waste results'!$S$30&lt;&gt;"data missing", 'Waste results'!$S$66&lt;&gt;"data missing"), Calc!BC147*'Waste results'!$S$30+ Calc!BD147*'Waste results'!$S$66, "data missing"),
   IF(Calc!BD147=0,
     IF(OR('Waste results'!$S$30&lt;&gt;"data missing", 'Waste results'!$S$102&lt;&gt;"data missing"), Calc!BC147*'Waste results'!$S$30+ Calc!BE147*'Waste results'!$S$102, "data missing"),
   IF(Calc!BC147=0,
     IF(OR('Waste results'!$S$66&lt;&gt;"data missing", 'Waste results'!$S$102&lt;&gt;"data missing"), Calc!BD147*'Waste results'!$S$66+Calc!BE147*'Waste results'!$S$102, "data missing"),
   IF(OR('Waste results'!$S$30&lt;&gt;"data missing", 'Waste results'!$S$66&lt;&gt;"data missing", 'Waste results'!$S$102&lt;&gt;"data missing"), Calc!BC147*'Waste results'!$S$30+Calc!BD147*'Waste results'!$S$66+ Calc!BE147*'Waste results'!$S$102, "data missing")))))))))))</f>
        <v/>
      </c>
      <c r="BL149" s="241" t="str">
        <f ca="1">IF($B149="","",
IF(ISBLANK('Soil results'!P152),"data missing",'Soil results'!P152))</f>
        <v/>
      </c>
      <c r="BM149" s="241" t="str">
        <f t="shared" ca="1" si="48"/>
        <v/>
      </c>
      <c r="BN149" s="66" t="str">
        <f t="shared" ca="1" si="49"/>
        <v/>
      </c>
      <c r="BO149" s="9"/>
      <c r="BP149" s="238" t="str">
        <f ca="1">IF(B149="","",
IF(AND('Field information 2'!$O$5="", 'Field information 2'!$Q$5=""),
   IF('Waste results'!$S$31&lt;&gt;"data missing", Calc!BC147*'Waste results'!$S$31, "data missing"),
IF('Field information 2'!$Q$5="",
   IF(Calc!BD147=0,
     IF('Waste results'!$S$31&lt;&gt;"data missing", Calc!BC147*'Waste results'!$S$31, "data missing"),
   IF(Calc!BC147=0,
     IF('Waste results'!$S$67&lt;&gt;"data missing", Calc!BD147*'Waste results'!$S$67, "data missing"),
   IF(OR('Waste results'!$S$31&lt;&gt;"data missing", 'Waste results'!$S$67&lt;&gt;"data missing"), Calc!BC147*'Waste results'!$S$31+ Calc!BD147*'Waste results'!$S$67, "data missing"))),
IF(AND('Field information 2'!$M$5&lt;&gt;"", 'Field information 2'!$O$5&lt;&gt;"", 'Field information 2'!$Q$5&lt;&gt;""),
   IF(AND(Calc!BD147=0,Calc!BE147=0),
     IF('Waste results'!$S$31&lt;&gt;"data missing", Calc!BC147*'Waste results'!$S$31, "data missing"),
   IF(AND(Calc!BC147=0,Calc!BE147=0),
     IF('Waste results'!$S$67&lt;&gt;"data missing", Calc!BD147*'Waste results'!$S$67, "data missing"),
   IF(AND(Calc!BC147=0,Calc!BD147=0),
     IF('Waste results'!$S$103&lt;&gt;"data missing", Calc!BE147*'Waste results'!$S$103, "data missing"),
   IF(Calc!BE147=0,
     IF(OR('Waste results'!$S$31&lt;&gt;"data missing", 'Waste results'!$S$67&lt;&gt;"data missing"), Calc!BC147*'Waste results'!$S$31+ Calc!BD147*'Waste results'!$S$67, "data missing"),
   IF(Calc!BD147=0,
     IF(OR('Waste results'!$S$31&lt;&gt;"data missing", 'Waste results'!$S$103&lt;&gt;"data missing"), Calc!BC147*'Waste results'!$S$31+ Calc!BE147*'Waste results'!$S$103, "data missing"),
   IF(Calc!BC147=0,
     IF(OR('Waste results'!$S$67&lt;&gt;"data missing", 'Waste results'!$S$103&lt;&gt;"data missing"), Calc!BD147*'Waste results'!$S$67+Calc!BE147*'Waste results'!$S$103, "data missing"),
   IF(OR('Waste results'!$S$31&lt;&gt;"data missing", 'Waste results'!$S$67&lt;&gt;"data missing", 'Waste results'!$S$103&lt;&gt;"data missing"), Calc!BC147*'Waste results'!$S$31+Calc!BD147*'Waste results'!$S$67+ Calc!BE147*'Waste results'!$S$103, "data missing")))))))))))</f>
        <v/>
      </c>
      <c r="BQ149" s="239" t="str">
        <f ca="1">IF($B149="","",
IF(ISBLANK('Soil results'!Q152),"data missing",'Soil results'!Q152))</f>
        <v/>
      </c>
      <c r="BR149" s="239" t="str">
        <f t="shared" ca="1" si="50"/>
        <v/>
      </c>
      <c r="BS149" s="9" t="str">
        <f ca="1">IF(B149="","",
IF(BP149=0,"n/a",
IF(OR(BP149="data missing",BQ149=""),"data missing",
IF(BP149&gt;15,"application rate too high - permissible rate exceeds limit",
IF('Soil results'!F152&lt;=5.5,
  IF(BQ149&gt;200,"no application - soil conc. already above limit",
  IF(BR149&gt;200,"application rate too high - soil conc. will exceed limit",
  IF(BQ149&gt;200*0.9,"soil conc. is at or above 90% of the limit",
  IF(10*BP149*1000/3000+BQ149&gt;200,"soil limit likely to be exceeded in 10yrs",
  IF(50*BP149*1000/3000+BQ149&gt;200,"soil limit likely to be exceeded in 50yrs","ok"))))),
IF('Soil results'!F152&lt;=6,
  IF(BQ149&gt;250,"no application - soil conc. already above limit",
  IF(BR149&gt;250,"application rate too high - soil conc. will exceed limit",
  IF(BQ149&gt;250*0.9,"soil conc. is at or above 90% of the limit",
  IF(10*BP149*1000/3000+BQ149&gt;250,"soil limit likely to be exceeded in 10yrs",
  IF(50*BP149*1000/3000+BQ149&gt;250,"soil limit likely to be exceeded in 50yrs","ok"))))),
IF('Soil results'!F152&lt;=7,
  IF(BQ149&gt;300,"no application - soil conc. already above limit",
  IF(BR149&gt;300,"application rate too high - soil conc. will exceed limit",
  IF(BQ149&gt;300*0.9,"soil conc. is at or above 90% of the limit",
  IF(10*BP149*1000/3000+BQ149&gt;300,"soil limit likey to be exceeded in 10yrs",
  IF(50*BP149*1000/3000+BQ149&gt;300,"soil limit likely to be exceeded in 50yrs","ok"))))),
IF('Soil results'!F152&gt;7,
  IF(BQ149&gt;450,"no application - soil conc. already above limit",
  IF(BR149&gt;450,"application rate too high - soil conc. will exceed limit",
  IF(AW149&gt;450*0.9,"soil conc. is at or above 90% of the limit",
  IF(10*BP149*1000/3000+BQ149&gt;450,"soil limit likely to be exceeded in 10yrs",
  IF(50*BP149*1000/3000+BQ149&gt;450,"soil limit likely to be exceeded in 50yrs","ok")))))
))))))))</f>
        <v/>
      </c>
    </row>
    <row r="150" spans="2:71" ht="15" x14ac:dyDescent="0.25">
      <c r="B150" s="236" t="str">
        <f ca="1">'Soil results'!B153</f>
        <v/>
      </c>
      <c r="C150" s="91" t="str">
        <f ca="1">IF(B150="","",
IF(AND('Field information 2'!$O$5="", 'Field information 2'!$Q$5=""),
   IF('Waste results'!$S$12&lt;&gt;"data missing", Calc!BC148*'Waste results'!$S$12, "data missing"),
IF('Field information 2'!$Q$5="",
   IF(Calc!BD148=0,
     IF('Waste results'!$S$12&lt;&gt;"data missing", Calc!BC148*'Waste results'!$S$12, "data missing"),
   IF(Calc!BC148=0,
     IF('Waste results'!$S$48&lt;&gt;"data missing", Calc!BD148*'Waste results'!$S$48, "data missing"),
   IF(OR('Waste results'!$S$12&lt;&gt;"data missing", 'Waste results'!$S$48&lt;&gt;"data missing"), Calc!BC148*'Waste results'!$S$12+ Calc!BD148*'Waste results'!$S$48, "data missing"))),
IF(AND('Field information 2'!$M$5&lt;&gt;"", 'Field information 2'!$O$5&lt;&gt;"", 'Field information 2'!$Q$5&lt;&gt;""),
   IF(AND(Calc!BD148=0,Calc!BE148=0),
     IF('Waste results'!$S$12&lt;&gt;"data missing", Calc!BC148*'Waste results'!$S$12, "data missing"),
   IF(AND(Calc!BC148=0,Calc!BE148=0),
     IF('Waste results'!$S$48&lt;&gt;"data missing", Calc!BD148*'Waste results'!$S$48, "data missing"),
   IF(AND(Calc!BC148=0,Calc!BD148=0),
     IF('Waste results'!$S$84&lt;&gt;"data missing", Calc!BE148*'Waste results'!$S$84, "data missing"),
   IF(Calc!BE148=0,
     IF(OR('Waste results'!$S$12&lt;&gt;"data missing", 'Waste results'!$S$48&lt;&gt;"data missing"), Calc!BC148*'Waste results'!$S$12+ Calc!BD148*'Waste results'!$S$48, "data missing"),
   IF(Calc!BD148=0,
     IF(OR('Waste results'!$S$12&lt;&gt;"data missing", 'Waste results'!$S$84&lt;&gt;"data missing"), Calc!BC148*'Waste results'!$S$12+ Calc!BE148*'Waste results'!$S$84, "data missing"),
   IF(Calc!BC148=0,
     IF(OR('Waste results'!$S$48&lt;&gt;"data missing", 'Waste results'!$S$84&lt;&gt;"data missing"), Calc!BD148*'Waste results'!$S$48+Calc!BE148*'Waste results'!$S$84, "data missing"),
   IF(OR('Waste results'!$S$12&lt;&gt;"data missing", 'Waste results'!$S$48&lt;&gt;"data missing", 'Waste results'!$S$84&lt;&gt;"data missing"), Calc!BC148*'Waste results'!$S$12+Calc!BD148*'Waste results'!$S$48+ Calc!BE148*'Waste results'!$S$84, "data missing")))))))))))</f>
        <v/>
      </c>
      <c r="D150" s="161" t="str">
        <f ca="1">IF(B150="","",
IF(Calc!BG148="","soil texture missing",
IF(OR(Calc!BG148="SL; SZL; ZL",Calc!BG148="SCL; CL; ZCL; SC; ZC; C"),VLOOKUP(Calc!BI148,'Fertiliser recommendations'!$A$4:$C$63,3,FALSE),
IF(Calc!BG148="S; LS",VLOOKUP(Calc!BI148,'Fertiliser recommendations'!$A$4:$C$63,3,FALSE)+VLOOKUP(Calc!BI148,'Fertiliser recommendations'!$A$4:$D$63,4,FALSE),
IF(Calc!BG148="10-25% OM",VLOOKUP(Calc!BI148,'Fertiliser recommendations'!$A$4:$C$63,3,FALSE)+VLOOKUP(Calc!BI148,'Fertiliser recommendations'!$A$4:$E$63,5,FALSE),
IF(Calc!BG148="&gt;25% OM",VLOOKUP(Calc!BI148,'Fertiliser recommendations'!$A$4:$C$63,3,FALSE)+VLOOKUP(Calc!BI148,'Fertiliser recommendations'!$A$4:$F$63,6,FALSE),
""))))))</f>
        <v/>
      </c>
      <c r="E150" s="91" t="str">
        <f t="shared" ca="1" si="34"/>
        <v/>
      </c>
      <c r="F150" s="9" t="str">
        <f ca="1">IF(B150="","",
IF(OR(C150="data missing",D150="soil texture missing"),"data missing",
IF(Calc!BF148=0,"n/a",
IF(C150&lt;0.1*D150,"no benefit",
IF(C150&lt;0.3*D150,"limited benefit",
IF(C150&gt;250,"exceeds limit",
IF(OR(AND(D150=0,C150&gt;75),C150&gt;1.25*D150),"excessive",
IF(D150=0, "no requirement",
"benefit"))))))))</f>
        <v/>
      </c>
      <c r="G150" s="9"/>
      <c r="H150" s="91" t="str">
        <f ca="1">IF(B150="","",
IF(AND('Field information 2'!$O$5="", 'Field information 2'!$Q$5=""),
   IF('Waste results'!$S$17&lt;&gt;"data missing", Calc!BC148*'Waste results'!$S$17, "data missing"),
IF('Field information 2'!$Q$5="",
   IF(Calc!BD148=0,
     IF('Waste results'!$S$17&lt;&gt;"data missing", Calc!BC148*'Waste results'!$S$17, "data missing"),
   IF(Calc!BC148=0,
     IF('Waste results'!$S$53&lt;&gt;"data missing", Calc!BD148*'Waste results'!$S$53, "data missing"),
   IF(OR('Waste results'!$S$17&lt;&gt;"data missing", 'Waste results'!$S$53&lt;&gt;"data missing"), Calc!BC148*'Waste results'!$S$17+ Calc!BD148*'Waste results'!$S$53, "data missing"))),
IF(AND('Field information 2'!$M$5&lt;&gt;"", 'Field information 2'!$O$5&lt;&gt;"", 'Field information 2'!$Q$5&lt;&gt;""),
   IF(AND(Calc!BD148=0,Calc!BE148=0),
     IF('Waste results'!$S$17&lt;&gt;"data missing", Calc!BC148*'Waste results'!$S$17, "data missing"),
   IF(AND(Calc!BC148=0,Calc!BE148=0),
     IF('Waste results'!$S$53&lt;&gt;"data missing", Calc!BD148*'Waste results'!$S$53, "data missing"),
   IF(AND(Calc!BC148=0,Calc!BD148=0),
     IF('Waste results'!$S$89&lt;&gt;"data missing", Calc!BE148*'Waste results'!$S$89, "data missing"),
   IF(Calc!BE148=0,
     IF(OR('Waste results'!$S$17&lt;&gt;"data missing", 'Waste results'!$S$53&lt;&gt;"data missing"), Calc!BC148*'Waste results'!$S$17+ Calc!BD148*'Waste results'!$S$53, "data missing"),
   IF(Calc!BD148=0,
     IF(OR('Waste results'!$S$17&lt;&gt;"data missing", 'Waste results'!$S$89&lt;&gt;"data missing"), Calc!BC148*'Waste results'!$S$17+ Calc!BE148*'Waste results'!$S$89, "data missing"),
   IF(Calc!BC148=0,
     IF(OR('Waste results'!$S$53&lt;&gt;"data missing", 'Waste results'!$S$89&lt;&gt;"data missing"), Calc!BD148*'Waste results'!$S$53+Calc!BE148*'Waste results'!$S$89, "data missing"),
   IF(OR('Waste results'!$S$17&lt;&gt;"data missing", 'Waste results'!$S$53&lt;&gt;"data missing", 'Waste results'!$S$89&lt;&gt;"data missing"), Calc!BC148*'Waste results'!$S$17+Calc!BD148*'Waste results'!$S$53+ Calc!BE148*'Waste results'!$S$89, "data missing")))))))))))</f>
        <v/>
      </c>
      <c r="I150" s="195" t="str">
        <f ca="1">IF(B150="","",
IF(OR(ISBLANK('Soil results'!G153), ISBLANK('Soil results'!G$7)),"data missing",
IF(OR(AND('Soil results'!G$7="Olsen (ADAS)",'Soil results'!G153&lt;16),AND('Soil results'!G$7="modified Morgan (SAC)",'Soil results'!G153&lt;4.5)),50,100)))</f>
        <v/>
      </c>
      <c r="J150" s="49" t="str">
        <f ca="1">IF(B150="","",
IF(OR(ISBLANK('Soil results'!G$7),ISBLANK('Soil results'!G153)),"data missing",
IF(OR(AND('Soil results'!G$7="Olsen (ADAS)",'Soil results'!G153&gt;45),AND('Soil results'!G$7="modified Morgan (SAC)",'Soil results'!G153&gt;30)),0,
IF(OR(AND('Soil results'!G$7="Olsen (ADAS)",'Soil results'!G153&gt;=16,'Soil results'!G153&lt;=20),AND('Soil results'!G$7="modified Morgan (SAC)",'Soil results'!G153&gt;=4.5,'Soil results'!G153&lt;=9.4)),VLOOKUP(Calc!BI148,'Fertiliser recommendations'!$A$4:$I$63,9,FALSE),
IF(OR(AND('Soil results'!G$7="Olsen (ADAS)",'Soil results'!G153&lt;10),AND('Soil results'!G$7="modified Morgan (SAC)",'Soil results'!G153&lt;1.8)),VLOOKUP(Calc!BI148,'Fertiliser recommendations'!$A$4:$I$63,9,FALSE)+VLOOKUP(Calc!BI148,'Fertiliser recommendations'!$A$4:$J$63,10,FALSE),
IF(OR(AND('Soil results'!G$7="Olsen (ADAS)",'Soil results'!G153&lt;16),AND('Soil results'!G$7="modified Morgan (SAC)",'Soil results'!G153&lt;4.5)),VLOOKUP(Calc!BI148,'Fertiliser recommendations'!$A$4:$I$63,9,FALSE)+VLOOKUP(Calc!BI148,'Fertiliser recommendations'!$A$4:$K$63,11,FALSE),
IF(OR(AND('Soil results'!G$7="Olsen (ADAS)",'Soil results'!G153&lt;26),AND('Soil results'!G$7="modified Morgan (SAC)",'Soil results'!G153&lt;13.5)),VLOOKUP(Calc!BI148,'Fertiliser recommendations'!$A$4:$I$63,9,FALSE)+VLOOKUP(Calc!BI148,'Fertiliser recommendations'!$A$4:$L$63,12,FALSE),
IF(OR(AND('Soil results'!G$7="Olsen (ADAS)",'Soil results'!G153&lt;=45),AND('Soil results'!G$7="modified Morgan (SAC)",'Soil results'!G153&lt;=30)),VLOOKUP(Calc!BI148,'Fertiliser recommendations'!$A$4:$I$63,9,FALSE)+VLOOKUP(Calc!BI148,'Fertiliser recommendations'!$A$4:$M$63,13,FALSE),
""))))))))</f>
        <v/>
      </c>
      <c r="K150" s="161" t="str">
        <f t="shared" ca="1" si="35"/>
        <v/>
      </c>
      <c r="L150" s="47" t="str">
        <f ca="1">IF(OR(ISBLANK('Soil results'!G$7),ISBLANK('Soil results'!G153),B150="", H150="data missing"),"",
IF('Soil results'!G$7="Olsen (ADAS)",
IF(((H150*Calc!BM148/2.291-(VLOOKUP(Calc!BI148,'Fertiliser recommendations'!$A$4:$I$63,9,FALSE))/2.291)*10/(400/2.291)+'Soil results'!G153)&lt;10,"0 (VL)",
IF(((H150*Calc!BM148/2.291-(VLOOKUP(Calc!BI148,'Fertiliser recommendations'!$A$4:$I$63,9,FALSE))/2.291)*10/(400/2.291)+'Soil results'!G153)&lt;16,"1 (L)",
IF(((H150*Calc!BM148/2.291-(VLOOKUP(Calc!BI148,'Fertiliser recommendations'!$A$4:$I$63,9,FALSE))/2.291)*10/(400/2.291)+'Soil results'!G153)&lt;21,"2 (M-)",
IF(((H150*Calc!BM148/2.291-(VLOOKUP(Calc!BI148,'Fertiliser recommendations'!$A$4:$I$63,9,FALSE))/2.291)*10/(400/2.291)+'Soil results'!G153)&lt;26,"2 (M+)",
IF(((H150*Calc!BM148/2.291-(VLOOKUP(Calc!BI148,'Fertiliser recommendations'!$A$4:$I$63,9,FALSE))/2.291)*10/(400/2.291)+'Soil results'!G153)&lt;45,"3 (H)","&gt;3 (VH)"))))),
IF('Soil results'!G$7="modified Morgan (SAC)",
IF('Soil results'!G153&gt;=6,
IF(((H150*Calc!BM148/2.291-(VLOOKUP(Calc!BI148,'Fertiliser recommendations'!$A$4:$I$63,9,FALSE))/2.291)*5/(147/2.291)+'Soil results'!G153)&lt;9.5,"2 (M-)",
IF(((H150*Calc!BM148/2.291-(VLOOKUP(Calc!BI148,'Fertiliser recommendations'!$A$4:$I$63,9,FALSE))/2.291)*5/(147/2.291)+'Soil results'!G153)&lt;13.5,"2 (M+)",
IF(((H150*Calc!BM148/2.291-(VLOOKUP(Calc!BI148,'Fertiliser recommendations'!$A$4:$I$63,9,FALSE))/2.291)*5/(147/2.291)+'Soil results'!G153)&lt;30,"3 (H)","4 (VH)"))),
IF(((H150*Calc!BM148/2.291-(VLOOKUP(Calc!BI148,'Fertiliser recommendations'!$A$4:$I$63,9,FALSE))/2.291)*5/(346/2.291)+'Soil results'!G153)&lt;1.8,"0 (VL)",
IF(((H150*Calc!BM148/2.291-(VLOOKUP(Calc!BI148,'Fertiliser recommendations'!$A$4:$I$63,9,FALSE))/2.291)*5/(147/2.291)+'Soil results'!G153)&lt;4.5,"1 (L)","2 (M-)"))))))</f>
        <v/>
      </c>
      <c r="M150" s="9" t="str">
        <f ca="1">IF(B150="","",
IF(OR(H150="data missing",I150="data missing",J150="data missing"),"data missing",
IF(Calc!BF148=0,"n/a",
IF(OR(AND('Soil results'!G$7="Olsen (ADAS)",'Soil results'!G153&gt;45),AND('Soil results'!G$7="modified Morgan (SAC)",'Soil results'!G153&gt;30)),
IF(H150&gt;2,"too high, not acceptable","no requirement"),IF(OR(AND('Soil results'!G$7="Olsen (ADAS)",'Soil results'!G153&gt;25),AND('Soil results'!G$7="modified Morgan (SAC)",'Soil results'!G153&gt;13.4)),
IF(H150*(I150/100)&lt;0.1*J150,"no benefit",
IF(H150*(I150/100)&lt;0.3*J150,"limited benefit",
IF(H150*(I150/100)&lt;1.1*J150,"benefit",
IF(H150*(I150/100)&lt;0.7*VLOOKUP(Calc!BI148,'Fertiliser recommendations'!$A$4:$I$63,9,FALSE),"excessive","too high, not acceptable")))),
IF(OR(AND('Soil results'!G$7="Olsen (ADAS)",'Soil results'!G153&gt;20),AND('Soil results'!G$7="modified Morgan (SAC)",'Soil results'!G153&gt;9.4)),
IF(H150*Calc!BM148*(I150/100)&lt;0.1*J150,"no benefit",
IF(H150*Calc!BM148*(I150/100)&lt;0.3*J150,"limited benefit",
IF(H150*Calc!BM148*(I150/100)&lt;1.1*J150,"benefit",
IF(L150="3 (H)","too high, not acceptable","excessive")))),
IF(OR(AND('Soil results'!G$7="Olsen (ADAS)",'Soil results'!G153&gt;15),AND('Soil results'!G$7="modified Morgan (SAC)",'Soil results'!G153&gt;4.4)),
IF(H150*Calc!BM148*(I150/100)&lt;0.1*VLOOKUP(Calc!BI148,'Fertiliser recommendations'!$A$4:$I$63,9,FALSE),"no benefit",
IF(H150*Calc!BM148*(I150/100)&lt;0.3*VLOOKUP(Calc!BI148,'Fertiliser recommendations'!$A$4:$I$63,9,FALSE),"limited benefit",
IF(H150*Calc!BM148*(I150/100)&lt;1.1*VLOOKUP(Calc!BI148,'Fertiliser recommendations'!$A$4:$I$63,9,FALSE),"benefit",
IF(L150="3 (H)", "too high, not acceptable", "excessive")))),
IF(OR(AND('Soil results'!G$7="Olsen (ADAS)",'Soil results'!G153&lt;=15),AND('Soil results'!G$7="modified Morgan (SAC)",'Soil results'!G153&lt;=4.4)),
IF(H150*Calc!BM148*(I150/100)&lt;0.1*VLOOKUP(Calc!BI148,'Fertiliser recommendations'!$A$4:$I$63,9,FALSE),"no benefit",
IF(H150*Calc!BM148*(I150/100)&lt;0.3*VLOOKUP(Calc!BI148,'Fertiliser recommendations'!$A$4:$I$63,9,FALSE),"limited benefit",
IF(H150*Calc!BM148*(I150/100)&lt;1.1*J150,"benefit","excessive")))))))))))</f>
        <v/>
      </c>
      <c r="N150" s="9"/>
      <c r="O150" s="91" t="str">
        <f ca="1">IF(B150="","",
IF(AND('Field information 2'!$O$5="", 'Field information 2'!$Q$5=""),
   IF('Waste results'!$S$19&lt;&gt;"data missing", Calc!BC148*'Waste results'!$S$19, "data missing"),
IF('Field information 2'!$Q$5="",
   IF(Calc!BD148=0,
     IF('Waste results'!$S$19&lt;&gt;"data missing", Calc!BC148*'Waste results'!$S$19, "data missing"),
   IF(Calc!BC148=0,
     IF('Waste results'!$S$55&lt;&gt;"data missing", Calc!BD148*'Waste results'!$S$55, "data missing"),
   IF(OR('Waste results'!$S$19&lt;&gt;"data missing", 'Waste results'!$S$55&lt;&gt;"data missing"), Calc!BC148*'Waste results'!$S$19+ Calc!BD148*'Waste results'!$S$55, "data missing"))),
IF(AND('Field information 2'!$M$5&lt;&gt;"", 'Field information 2'!$O$5&lt;&gt;"", 'Field information 2'!$Q$5&lt;&gt;""),
   IF(AND(Calc!BD148=0,Calc!BE148=0),
     IF('Waste results'!$S$19&lt;&gt;"data missing", Calc!BC148*'Waste results'!$S$19, "data missing"),
   IF(AND(Calc!BC148=0,Calc!BE148=0),
     IF('Waste results'!$S$55&lt;&gt;"data missing", Calc!BD148*'Waste results'!$S$55, "data missing"),
   IF(AND(Calc!BC148=0,Calc!BD148=0),
     IF('Waste results'!$S$91&lt;&gt;"data missing", Calc!BE148*'Waste results'!$S$91, "data missing"),
   IF(Calc!BE148=0,
     IF(OR('Waste results'!$S$19&lt;&gt;"data missing", 'Waste results'!$S$55&lt;&gt;"data missing"), Calc!BC148*'Waste results'!$S$19+ Calc!BD148*'Waste results'!$S$55, "data missing"),
   IF(Calc!BD148=0,
     IF(OR('Waste results'!$S$19&lt;&gt;"data missing", 'Waste results'!$S$91&lt;&gt;"data missing"), Calc!BC148*'Waste results'!$S$19+ Calc!BE148*'Waste results'!$S$91, "data missing"),
   IF(Calc!BC148=0,
     IF(OR('Waste results'!$S$55&lt;&gt;"data missing", 'Waste results'!$S$91&lt;&gt;"data missing"), Calc!BD148*'Waste results'!$S$55+Calc!BE148*'Waste results'!$S$91, "data missing"),
   IF(OR('Waste results'!$S$19&lt;&gt;"data missing", 'Waste results'!$S$55&lt;&gt;"data missing", 'Waste results'!$S$91&lt;&gt;"data missing"), Calc!BC148*'Waste results'!$S$19+Calc!BD148*'Waste results'!$S$55+ Calc!BE148*'Waste results'!$S$91, "data missing")))))))))))</f>
        <v/>
      </c>
      <c r="P150" s="91" t="str">
        <f ca="1">IF(B150="","",
IF(OR(ISBLANK('Soil results'!H$7),ISBLANK('Soil results'!H153)),"data missing",
IF(OR(AND('Soil results'!H$7="ammonium nitrate (ADAS)",'Soil results'!H153&gt;400),AND('Soil results'!H$7="modified Morgan (SAC)",'Soil results'!H153&gt;400)),0,
IF(OR(AND('Soil results'!H$7="ammonium nitrate (ADAS)",'Soil results'!H153&gt;=121,'Soil results'!H153&lt;=180),AND('Soil results'!H$7="modified Morgan (SAC)",'Soil results'!H153&gt;=76,'Soil results'!H153&lt;=140)),VLOOKUP(Calc!BI148,'Fertiliser recommendations'!$A$4:$Z$63,26,FALSE),
IF(OR(AND('Soil results'!H$7="ammonium nitrate (ADAS)",'Soil results'!H153&lt;61),AND('Soil results'!H$7="modified Morgan (SAC)",'Soil results'!H153&lt;40)),VLOOKUP(Calc!BI148,'Fertiliser recommendations'!$A$4:$Z$63,26,FALSE)+VLOOKUP(Calc!BI148,'Fertiliser recommendations'!$A$4:$AA$63,27,FALSE),
IF(OR(AND('Soil results'!H$7="ammonium nitrate (ADAS)",'Soil results'!H153&lt;121),AND('Soil results'!H$7="modified Morgan (SAC)",'Soil results'!H153&lt;76)),VLOOKUP(Calc!BI148,'Fertiliser recommendations'!$A$4:$Z$63,26,FALSE)+VLOOKUP(Calc!BI148,'Fertiliser recommendations'!$A$4:$AB$63,28,FALSE),
IF(OR(AND('Soil results'!H$7="ammonium nitrate (ADAS)",'Soil results'!H153&lt;241),AND('Soil results'!H$7="modified Morgan (SAC)",'Soil results'!H153&lt;201)),VLOOKUP(Calc!BI148,'Fertiliser recommendations'!$A$4:$Z$63,26,FALSE)+VLOOKUP(Calc!BI148,'Fertiliser recommendations'!$A$4:$AC$63,29,FALSE),
IF(OR(AND('Soil results'!H$7="ammonium nitrate (ADAS)",'Soil results'!H153&lt;=400),AND('Soil results'!H$7="modified Morgan (SAC)",'Soil results'!H153&lt;=400)),VLOOKUP(Calc!BI148,'Fertiliser recommendations'!$A$4:$Z$63,26,FALSE)+VLOOKUP(Calc!BI148,'Fertiliser recommendations'!$A$4:$AD$63,30,FALSE),
"??"))))))))</f>
        <v/>
      </c>
      <c r="Q150" s="91" t="str">
        <f t="shared" ca="1" si="36"/>
        <v/>
      </c>
      <c r="R150" s="9" t="str">
        <f ca="1">IF(B150="","",
IF(OR(O150="data missing",P150="data missing"),"data missing",
IF(Calc!BF148=0,"n/a",
IF(P150=0, "no requirement",
IF(O150&lt;0.1*P150,"no benefit",
IF(O150&lt;0.3*P150,"limited benefit",
IF(O150&gt;1.25*P150,"excessive",
"benefit")))))))</f>
        <v/>
      </c>
      <c r="S150" s="9"/>
      <c r="T150" s="91" t="str">
        <f ca="1">IF(B150="","",
IF(AND('Field information 2'!$O$5="", 'Field information 2'!$Q$5=""),
   IF('Waste results'!$S$21&lt;&gt;"data missing", Calc!BC148*'Waste results'!$S$21, "data missing"),
IF('Field information 2'!$Q$5="",
   IF(Calc!BD148=0,
     IF('Waste results'!$S$21&lt;&gt;"data missing", Calc!BC148*'Waste results'!$S$21, "data missing"),
   IF(Calc!BC148=0,
     IF('Waste results'!$S$57&lt;&gt;"data missing", Calc!BD148*'Waste results'!$S$57, "data missing"),
   IF(OR('Waste results'!$S$21&lt;&gt;"data missing", 'Waste results'!$S$57&lt;&gt;"data missing"), Calc!BC148*'Waste results'!$S$21+ Calc!BD148*'Waste results'!$S$57, "data missing"))),
IF(AND('Field information 2'!$M$5&lt;&gt;"", 'Field information 2'!$O$5&lt;&gt;"", 'Field information 2'!$Q$5&lt;&gt;""),
   IF(AND(Calc!BD148=0,Calc!BE148=0),
     IF('Waste results'!$S$21&lt;&gt;"data missing", Calc!BC148*'Waste results'!$S$21, "data missing"),
   IF(AND(Calc!BC148=0,Calc!BE148=0),
     IF('Waste results'!$S$57&lt;&gt;"data missing", Calc!BD148*'Waste results'!$S$57, "data missing"),
   IF(AND(Calc!BC148=0,Calc!BD148=0),
     IF('Waste results'!$S$93&lt;&gt;"data missing", Calc!BE148*'Waste results'!$S$93, "data missing"),
   IF(Calc!BE148=0,
     IF(OR('Waste results'!$S$21&lt;&gt;"data missing", 'Waste results'!$S$57&lt;&gt;"data missing"), Calc!BC148*'Waste results'!$S$21+ Calc!BD148*'Waste results'!$S$57, "data missing"),
   IF(Calc!BD148=0,
     IF(OR('Waste results'!$S$21&lt;&gt;"data missing", 'Waste results'!$S$93&lt;&gt;"data missing"), Calc!BC148*'Waste results'!$S$21+ Calc!BE148*'Waste results'!$S$93, "data missing"),
   IF(Calc!BC148=0,
     IF(OR('Waste results'!$S$57&lt;&gt;"data missing", 'Waste results'!$S$93&lt;&gt;"data missing"), Calc!BD148*'Waste results'!$S$57+Calc!BE148*'Waste results'!$S$93, "data missing"),
   IF(OR('Waste results'!$S$21&lt;&gt;"data missing", 'Waste results'!$S$57&lt;&gt;"data missing", 'Waste results'!$S$93&lt;&gt;"data missing"), Calc!BC148*'Waste results'!$S$21+Calc!BD148*'Waste results'!$S$57+ Calc!BE148*'Waste results'!$S$93, "data missing")))))))))))</f>
        <v/>
      </c>
      <c r="U150" s="7" t="str">
        <f ca="1">IF(B150="","",
IF(OR(ISBLANK('Soil results'!I$7),ISBLANK('Soil results'!I153)),"data missing",
IF(OR(AND('Soil results'!I$7="ammonium nitrate (ADAS)",'Soil results'!I153&gt;51),AND('Soil results'!I$7="modified Morgan (SAC)",'Soil results'!I153&gt;61)),0,
IF(OR(AND('Soil results'!I$7="ammonium nitrate (ADAS)",'Soil results'!I153&lt;25),AND('Soil results'!I$7="modified Morgan (SAC)",'Soil results'!I153&lt;19)),VLOOKUP(Calc!BI148,'Fertiliser recommendations'!$A$4:$AH$63,34,FALSE),
IF(OR(AND('Soil results'!I$7="ammonium nitrate (ADAS)",'Soil results'!I153&lt;=51),AND('Soil results'!I$7="modified Morgan (SAC)",'Soil results'!I153&lt;=61)),VLOOKUP(Calc!BI148,'Fertiliser recommendations'!$A$4:$AI$63,35,FALSE),
"")))))</f>
        <v/>
      </c>
      <c r="V150" s="91" t="str">
        <f t="shared" ca="1" si="37"/>
        <v/>
      </c>
      <c r="W150" s="9" t="str">
        <f ca="1">IF(B150="","",
IF(OR(T150="data missing",U150="data missing"),"data missing",
IF(Calc!BF148=0,"n/a",
IF(U150=0,"no requirement",
IF(T150&lt;0.1*U150,"no benefit",
IF(T150&lt;0.3*U150,"limited benefit",
IF(OR(T150&gt;1.5*U150,AND(Calc!BJ148="g",T150&gt;100)),"excessive",
"benefit")))))))</f>
        <v/>
      </c>
      <c r="X150" s="9"/>
      <c r="Y150" s="91" t="str">
        <f ca="1">IF(B150="","",
IF(AND('Field information 2'!$O$5="", 'Field information 2'!$Q$5=""),
   IF('Waste results'!$P$23&lt;&gt;"", Calc!BC148*'Waste results'!$P$23, "no data"),
IF('Field information 2'!$Q$5="",
   IF(Calc!BD148=0,
     IF('Waste results'!$P$23&lt;&gt;"", Calc!BC148*'Waste results'!$P$23, "no data"),
   IF(Calc!BC148=0,
     IF('Waste results'!$P$59&lt;&gt;"", Calc!BD148*'Waste results'!$P$59, "no data"),
   IF(OR('Waste results'!$P$23&lt;&gt;"", 'Waste results'!$P$59&lt;&gt;""), Calc!BC148*'Waste results'!$P$23+ Calc!BD148*'Waste results'!$P$59, "no data"))),
IF(AND('Field information 2'!$M$5&lt;&gt;"", 'Field information 2'!$O$5&lt;&gt;"", 'Field information 2'!$Q$5&lt;&gt;""),
   IF(AND(Calc!BD148=0,Calc!BE148=0),
     IF('Waste results'!$P$23&lt;&gt;"", Calc!BC148*'Waste results'!$P$23, "no data"),
   IF(AND(Calc!BC148=0,Calc!BE148=0),
     IF('Waste results'!$P$59&lt;&gt;"", Calc!BD148*'Waste results'!$P$59, "no data"),
   IF(AND(Calc!BC148=0,Calc!BD148=0),
     IF('Waste results'!$P$95&lt;&gt;"", Calc!BE148*'Waste results'!$P$95, "no data"),
   IF(Calc!BE148=0,
     IF(OR('Waste results'!$P$23&lt;&gt;"", 'Waste results'!$P$59&lt;&gt;""), Calc!BC148*'Waste results'!$P$23+ Calc!BD148*'Waste results'!$P$59, "no data"),
   IF(Calc!BD148=0,
     IF(OR('Waste results'!$P$23&lt;&gt;"", 'Waste results'!$P$95&lt;&gt;""), Calc!BC148*'Waste results'!$P$23+ Calc!BE148*'Waste results'!$P$95, "no data"),
   IF(Calc!BC148=0,
     IF(OR('Waste results'!$P$59&lt;&gt;"", 'Waste results'!$P$95&lt;&gt;""), Calc!BD148*'Waste results'!$P$59+Calc!BE148*'Waste results'!$P$95, "no data"),
   IF(OR('Waste results'!$P$23&lt;&gt;"", 'Waste results'!$P$59&lt;&gt;"", 'Waste results'!$P$95&lt;&gt;""), Calc!BC148*'Waste results'!$P$23+Calc!BD148*'Waste results'!$P$59+ Calc!BE148*'Waste results'!$P$95, "no data")))))))))))</f>
        <v/>
      </c>
      <c r="Z150" s="7" t="str">
        <f ca="1">IF(OR(ISBLANK('Soil results'!I$7),ISBLANK('Soil results'!I153),'Soil results'!B153=""),"",
VLOOKUP(Calc!BI148,'Fertiliser recommendations'!$A$4:$AM$63,39,FALSE))</f>
        <v/>
      </c>
      <c r="AA150" s="91" t="str">
        <f t="shared" ca="1" si="38"/>
        <v/>
      </c>
      <c r="AB150" s="9" t="str">
        <f t="shared" ca="1" si="39"/>
        <v/>
      </c>
      <c r="AC150" s="9"/>
      <c r="AD150" s="48" t="str">
        <f>IF(ISBLANK('Soil results'!F153),"",'Soil results'!F153)</f>
        <v/>
      </c>
      <c r="AE150" s="49" t="str">
        <f ca="1">IF(B150="","",
IF(AND(Calc!BJ148="g", VLOOKUP(LEFT($B150,LEN($B150)-2),'Field information 2'!$B$12:$P$111,9,FALSE)&lt;&gt;"yes"),
 IF(Calc!BG148="10-25% OM", 5.9, IF(Calc!BG148="&gt;25% OM", 5.5, 6.2)),
IF(OR(Calc!BJ148="a", VLOOKUP(LEFT($B150,LEN($B150)-2),'Field information 2'!$B$12:$P$111,9,FALSE)="yes"),
 IF(Calc!BG148="10-25% OM", 6.4, IF(Calc!BG148="&gt;25% OM", 6, 6.7)), "")))</f>
        <v/>
      </c>
      <c r="AF150" s="91" t="str">
        <f ca="1">IF(B150="","",
IF('Waste results'!$Q$33="","no (significant) liming properties",
IF('Waste results'!Q$33&gt;100,"no (significant) liming properties",
IF(AD150="","",
IF(AD150&gt;=AE150,0,ROUNDDOWN((AE150-AD150)*Calc!BK148*'Waste results'!$Q$33+0.2,0))))))</f>
        <v/>
      </c>
      <c r="AG150" s="9" t="str">
        <f ca="1">IF(B150="","",
IF(T150=0,"n/a",
IF(AD150="","data missing",
IF(AND(AD150&lt;5,AF150="no (significant) liming properties"),"no waste application - pH too low",
IF(AND(AD150&gt;5.1,AF150="no (significant) liming properties",Calc!BH148&gt;25, LEFT(Calc!BI148,4)="graz"),"ok",
IF(AND(AD150&lt;=5.2,AF150="no (significant) liming properties"),"liming highly recommended",
IF(AF150=0,"no waste application - liming not required",
IF(AF150&lt;Calc!BC148,"application rate too high - exceeds liming requirement",
"ok"))))))))</f>
        <v/>
      </c>
      <c r="AH150" s="9"/>
      <c r="AI150" s="91" t="str">
        <f ca="1">IF(B150="","",
IF(AND('Field information 2'!$O$5="", 'Field information 2'!$Q$5=""),
   IF('Waste results'!$P$10&lt;&gt;"data missing", Calc!BC148*'Waste results'!$P$10, "data missing"),
IF('Field information 2'!$Q$5="",
   IF(Calc!BD148=0,
     IF('Waste results'!$P$10&lt;&gt;"data missing", Calc!BC148*'Waste results'!$P$10, "data missing"),
   IF(Calc!BC148=0,
     IF('Waste results'!$P$45&lt;&gt;"data missing", Calc!BD148*'Waste results'!$P$45, "data missing"),
   IF(OR('Waste results'!$P$10&lt;&gt;"data missing", 'Waste results'!$P$45&lt;&gt;"data missing"), Calc!BC148*'Waste results'!$P$10+ Calc!BD148*'Waste results'!$P$45, "data missing"))),
IF(AND('Field information 2'!$M$5&lt;&gt;"", 'Field information 2'!$O$5&lt;&gt;"", 'Field information 2'!$Q$5&lt;&gt;""),
   IF(AND(Calc!BD148=0,Calc!BE148=0),
     IF('Waste results'!$P$10&lt;&gt;"data missing", Calc!BC148*'Waste results'!$P$10, "data missing"),
   IF(AND(Calc!BC148=0,Calc!BE148=0),
     IF('Waste results'!$P$45&lt;&gt;"data missing", Calc!BD148*'Waste results'!$P$45, "data missing"),
   IF(AND(Calc!BC148=0,Calc!BD148=0),
     IF('Waste results'!$P$82&lt;&gt;"data missing", Calc!BE148*'Waste results'!$P$82, "data missing"),
   IF(Calc!BE148=0,
     IF(OR('Waste results'!$P$10&lt;&gt;"data missing", 'Waste results'!$P$45&lt;&gt;"data missing"), Calc!BC148*'Waste results'!$P$10+ Calc!BD148*'Waste results'!$P$45, "data missing"),
   IF(Calc!BD148=0,
     IF(OR('Waste results'!$P$10&lt;&gt;"data missing", 'Waste results'!$P$82&lt;&gt;"data missing"), Calc!BC148*'Waste results'!$P$10+ Calc!BE148*'Waste results'!$P$82, "data missing"),
   IF(Calc!BC148=0,
     IF(OR('Waste results'!$P$45&lt;&gt;"data missing", 'Waste results'!$P$82&lt;&gt;"data missing"), Calc!BD148*'Waste results'!$P$45+Calc!BE148*'Waste results'!$P$82, "data missing"),
   IF(OR('Waste results'!$P$10&lt;&gt;"data missing", 'Waste results'!$P$45&lt;&gt;"data missing", 'Waste results'!$P$82&lt;&gt;"data missing"), Calc!BC148*'Waste results'!$P$10+Calc!BD148*'Waste results'!$P$45+ Calc!BE148*'Waste results'!$P$82, "data missing")))))))))))</f>
        <v/>
      </c>
      <c r="AJ150" s="237" t="str">
        <f ca="1">IF(B150="","",
IF(AI150="data missing","data missing",
IF(Calc!BF148=0,"n/a",
IF(AND(Calc!BH148&gt;=8,AI150&lt;500),"no benefit",
IF(OR(AND(Calc!BH148&lt;=4,AI150&gt;=500),AND(Calc!BH148&lt;8,AI150&gt;5000)),"benefit",
"limited benefit")))))</f>
        <v/>
      </c>
      <c r="AK150" s="9"/>
      <c r="AL150" s="238" t="str">
        <f ca="1">IF(B150="","",
IF(AND('Field information 2'!$O$5="", 'Field information 2'!$Q$5=""),
   IF('Waste results'!$S$25&lt;&gt;"data missing", Calc!BC148*'Waste results'!$S$25, "data missing"),
IF('Field information 2'!$Q$5="",
   IF(Calc!BD148=0,
     IF('Waste results'!$S$25&lt;&gt;"data missing", Calc!BC148*'Waste results'!$S$25, "data missing"),
   IF(Calc!BC148=0,
     IF('Waste results'!$S$61&lt;&gt;"data missing", Calc!BD148*'Waste results'!$S$61, "data missing"),
   IF(OR('Waste results'!$S$25&lt;&gt;"data missing", 'Waste results'!$S$61&lt;&gt;"data missing"), Calc!BC148*'Waste results'!$S$25+ Calc!BD148*'Waste results'!$S$61, "data missing"))),
IF(AND('Field information 2'!$M$5&lt;&gt;"", 'Field information 2'!$O$5&lt;&gt;"", 'Field information 2'!$Q$5&lt;&gt;""),
   IF(AND(Calc!BD148=0,Calc!BE148=0),
     IF('Waste results'!$S$25&lt;&gt;"data missing", Calc!BC148*'Waste results'!$S$25, "data missing"),
   IF(AND(Calc!BC148=0,Calc!BE148=0),
     IF('Waste results'!$S$61&lt;&gt;"data missing", Calc!BD148*'Waste results'!$S$61, "data missing"),
   IF(AND(Calc!BC148=0,Calc!BD148=0),
     IF('Waste results'!$S$97&lt;&gt;"data missing", Calc!BE148*'Waste results'!$S$97, "data missing"),
   IF(Calc!BE148=0,
     IF(OR('Waste results'!$S$25&lt;&gt;"data missing", 'Waste results'!$S$61&lt;&gt;"data missing"), Calc!BC148*'Waste results'!$S$25+ Calc!BD148*'Waste results'!$S$61, "data missing"),
   IF(Calc!BD148=0,
     IF(OR('Waste results'!$S$25&lt;&gt;"data missing", 'Waste results'!$S$97&lt;&gt;"data missing"), Calc!BC148*'Waste results'!$S$25+ Calc!BE148*'Waste results'!$S$97, "data missing"),
   IF(Calc!BC148=0,
     IF(OR('Waste results'!$S$61&lt;&gt;"data missing", 'Waste results'!$S$97&lt;&gt;"data missing"), Calc!BD148*'Waste results'!$S$61+Calc!BE148*'Waste results'!$S$97, "data missing"),
   IF(OR('Waste results'!$S$25&lt;&gt;"data missing", 'Waste results'!$S$61&lt;&gt;"data missing", 'Waste results'!$S$97&lt;&gt;"data missing"), Calc!BC148*'Waste results'!$S$25+Calc!BD148*'Waste results'!$S$61+ Calc!BE148*'Waste results'!$S$97, "data missing")))))))))))</f>
        <v/>
      </c>
      <c r="AM150" s="239" t="str">
        <f ca="1">IF($B150="","",
IF(ISBLANK('Soil results'!K153),"data missing",'Soil results'!K153))</f>
        <v/>
      </c>
      <c r="AN150" s="239" t="str">
        <f t="shared" ca="1" si="40"/>
        <v/>
      </c>
      <c r="AO150" s="9" t="str">
        <f t="shared" ca="1" si="41"/>
        <v/>
      </c>
      <c r="AP150" s="9"/>
      <c r="AQ150" s="240" t="str">
        <f ca="1">IF(B150="","",
IF(AND('Field information 2'!$O$5="", 'Field information 2'!$Q$5=""),
   IF('Waste results'!$S$26&lt;&gt;"data missing", Calc!BC148*'Waste results'!$S$26, "data missing"),
IF('Field information 2'!$Q$5="",
   IF(Calc!BD148=0,
     IF('Waste results'!$S$26&lt;&gt;"data missing", Calc!BC148*'Waste results'!$S$26, "data missing"),
   IF(Calc!BC148=0,
     IF('Waste results'!$S$62&lt;&gt;"data missing", Calc!BD148*'Waste results'!$S$62, "data missing"),
   IF(OR('Waste results'!$S$26&lt;&gt;"data missing", 'Waste results'!$S$62&lt;&gt;"data missing"), Calc!BC148*'Waste results'!$S$26+ Calc!BD148*'Waste results'!$S$62, "data missing"))),
IF(AND('Field information 2'!$M$5&lt;&gt;"", 'Field information 2'!$O$5&lt;&gt;"", 'Field information 2'!$Q$5&lt;&gt;""),
   IF(AND(Calc!BD148=0,Calc!BE148=0),
     IF('Waste results'!$S$26&lt;&gt;"data missing", Calc!BC148*'Waste results'!$S$26, "data missing"),
   IF(AND(Calc!BC148=0,Calc!BE148=0),
     IF('Waste results'!$S$62&lt;&gt;"data missing", Calc!BD148*'Waste results'!$S$62, "data missing"),
   IF(AND(Calc!BC148=0,Calc!BD148=0),
     IF('Waste results'!$S$98&lt;&gt;"data missing", Calc!BE148*'Waste results'!$S$98, "data missing"),
   IF(Calc!BE148=0,
     IF(OR('Waste results'!$S$26&lt;&gt;"data missing", 'Waste results'!$S$62&lt;&gt;"data missing"), Calc!BC148*'Waste results'!$S$26+ Calc!BD148*'Waste results'!$S$62, "data missing"),
   IF(Calc!BD148=0,
     IF(OR('Waste results'!$S$26&lt;&gt;"data missing", 'Waste results'!$S$98&lt;&gt;"data missing"), Calc!BC148*'Waste results'!$S$26+ Calc!BE148*'Waste results'!$S$98, "data missing"),
   IF(Calc!BC148=0,
     IF(OR('Waste results'!$S$62&lt;&gt;"data missing", 'Waste results'!$S$98&lt;&gt;"data missing"), Calc!BD148*'Waste results'!$S$62+Calc!BE148*'Waste results'!$S$98, "data missing"),
   IF(OR('Waste results'!$S$26&lt;&gt;"data missing", 'Waste results'!$S$62&lt;&gt;"data missing", 'Waste results'!$S$98&lt;&gt;"data missing"), Calc!BC148*'Waste results'!$S$26+Calc!BD148*'Waste results'!$S$62+ Calc!BE148*'Waste results'!$S$98, "data missing")))))))))))</f>
        <v/>
      </c>
      <c r="AR150" s="241" t="str">
        <f ca="1">IF($B150="","",
IF(ISBLANK('Soil results'!L153),"data missing",'Soil results'!L153))</f>
        <v/>
      </c>
      <c r="AS150" s="241" t="str">
        <f t="shared" ca="1" si="42"/>
        <v/>
      </c>
      <c r="AT150" s="66" t="str">
        <f t="shared" ca="1" si="43"/>
        <v/>
      </c>
      <c r="AU150" s="9"/>
      <c r="AV150" s="238" t="str">
        <f ca="1">IF(B150="","",
IF(AND('Field information 2'!$O$5="", 'Field information 2'!$Q$5=""),
   IF('Waste results'!$S$27&lt;&gt;"data missing", Calc!BC148*'Waste results'!$S$27, "data missing"),
IF('Field information 2'!$Q$5="",
   IF(Calc!BD148=0,
     IF('Waste results'!$S$27&lt;&gt;"data missing", Calc!BC148*'Waste results'!$S$27, "data missing"),
   IF(Calc!BC148=0,
     IF('Waste results'!$S$63&lt;&gt;"data missing", Calc!BD148*'Waste results'!$S$63, "data missing"),
   IF(OR('Waste results'!$S$27&lt;&gt;"data missing", 'Waste results'!$S$63&lt;&gt;"data missing"), Calc!BC148*'Waste results'!$S$27+ Calc!BD148*'Waste results'!$S$63, "data missing"))),
IF(AND('Field information 2'!$M$5&lt;&gt;"", 'Field information 2'!$O$5&lt;&gt;"", 'Field information 2'!$Q$5&lt;&gt;""),
   IF(AND(Calc!BD148=0,Calc!BE148=0),
     IF('Waste results'!$S$27&lt;&gt;"data missing", Calc!BC148*'Waste results'!$S$27, "data missing"),
   IF(AND(Calc!BC148=0,Calc!BE148=0),
     IF('Waste results'!$S$63&lt;&gt;"data missing", Calc!BD148*'Waste results'!$S$63, "data missing"),
   IF(AND(Calc!BC148=0,Calc!BD148=0),
     IF('Waste results'!$S$99&lt;&gt;"data missing", Calc!BE148*'Waste results'!$S$99, "data missing"),
   IF(Calc!BE148=0,
     IF(OR('Waste results'!$S$27&lt;&gt;"data missing", 'Waste results'!$S$63&lt;&gt;"data missing"), Calc!BC148*'Waste results'!$S$27+ Calc!BD148*'Waste results'!$S$63, "data missing"),
   IF(Calc!BD148=0,
     IF(OR('Waste results'!$S$27&lt;&gt;"data missing", 'Waste results'!$S$99&lt;&gt;"data missing"), Calc!BC148*'Waste results'!$S$27+ Calc!BE148*'Waste results'!$S$99, "data missing"),
   IF(Calc!BC148=0,
     IF(OR('Waste results'!$S$63&lt;&gt;"data missing", 'Waste results'!$S$99&lt;&gt;"data missing"), Calc!BD148*'Waste results'!$S$63+Calc!BE148*'Waste results'!$S$99, "data missing"),
   IF(OR('Waste results'!$S$27&lt;&gt;"data missing", 'Waste results'!$S$63&lt;&gt;"data missing", 'Waste results'!$S$99&lt;&gt;"data missing"), Calc!BC148*'Waste results'!$S$27+Calc!BD148*'Waste results'!$S$63+ Calc!BE148*'Waste results'!$S$99, "data missing")))))))))))</f>
        <v/>
      </c>
      <c r="AW150" s="239" t="str">
        <f ca="1">IF($B150="","",
IF(ISBLANK('Soil results'!M153),"data missing",'Soil results'!M153))</f>
        <v/>
      </c>
      <c r="AX150" s="239" t="str">
        <f t="shared" ca="1" si="44"/>
        <v/>
      </c>
      <c r="AY150" s="9" t="str">
        <f ca="1">IF(B150="","",
IF(AV150=0,"n/a",
IF(OR(AV150="data missing",AW150="data missing"),"data missing",
IF(AV150&gt;7.5,"application rate too high - permissible rate exceeds limit",
IF('Soil results'!$F153&lt;=5.5,
  IF(AW150&gt;80,"no application - soil conc. already above limit",
  IF(AX150&gt;80,"application rate too high - soil conc. will exceed limit",
  IF(AW150&gt;80*0.9,"soil conc. is at or above 90% of the limit",
  IF(10*AV150*1000/3000+AW150&gt;80,"soil limit likely to be exceeded in 10yrs",
  IF(50*AV150*1000/3000+AW150&gt;80,"soil limit likely to be exceeded in 50yrs","ok"))))),
IF('Soil results'!$F153&lt;=6,
  IF(AW150&gt;100,"no application - soil conc. already above limit",
  IF(AX150&gt;100,"application rate too high - soil conc. will exceed limit",
  IF(AW150&gt;100*0.9,"soil conc. is at or above 90% of the limit",
  IF(10*AV150*1000/3000+AW150&gt;100,"soil limit likely to be exceeded in 10yrs",
  IF(50*AV150*1000/3000+AW150&gt;100,"soil limit likely to be exceeded in 50yrs","ok"))))),
IF('Soil results'!$F153&lt;=7,
  IF(AW150&gt;135,"no application - soil conc. already above limit",
  IF(AX150&gt;135,"application rate too high - soil conc. will exceed limit",
  IF(AW150&gt;135*0.9,"soil conc. is at or above 90% of the limit",
  IF(10*AV150*1000/3000+AW150&gt;135,"soil limit likely to be exceeded in 10yrs",
  IF(50*AV150*1000/3000+AW150&gt;135,"soil limit likely to be exceeded in 50yrs","ok"))))),
IF('Soil results'!$F153&gt;7,
  IF(AW150&gt;200,"no application - soil conc. already above limit",
  IF(AX150&gt;200,"application too high - soil conc. will exceed limit",
  IF(AW150&gt;200*0.9,"soil conc. is at or above 90% of the limit",
  IF(10*AV150*1000/3000+AW150&gt;200,"soil limit likely to be exceeded in 10yrs",
  IF(50*AV150*1000/3000+AW150&gt;200,"soil limit likely to be exceeded in 50yrs","ok")))))
))))))))</f>
        <v/>
      </c>
      <c r="AZ150" s="9"/>
      <c r="BA150" s="238" t="str">
        <f ca="1">IF(B150="","",
IF(AND('Field information 2'!$O$5="", 'Field information 2'!$Q$5=""),
   IF('Waste results'!$S$28&lt;&gt;"data missing", Calc!BC148*'Waste results'!$S$28, "data missing"),
IF('Field information 2'!$Q$5="",
   IF(Calc!BD148=0,
     IF('Waste results'!$S$28&lt;&gt;"data missing", Calc!BC148*'Waste results'!$S$28, "data missing"),
   IF(Calc!BC148=0,
     IF('Waste results'!$S$64&lt;&gt;"data missing", Calc!BD148*'Waste results'!$S$64, "data missing"),
   IF(OR('Waste results'!$S$28&lt;&gt;"data missing", 'Waste results'!$S$64&lt;&gt;"data missing"), Calc!BC148*'Waste results'!$S$28+ Calc!BD148*'Waste results'!$S$64, "data missing"))),
IF(AND('Field information 2'!$M$5&lt;&gt;"", 'Field information 2'!$O$5&lt;&gt;"", 'Field information 2'!$Q$5&lt;&gt;""),
   IF(AND(Calc!BD148=0,Calc!BE148=0),
     IF('Waste results'!$S$28&lt;&gt;"data missing", Calc!BC148*'Waste results'!$S$28, "data missing"),
   IF(AND(Calc!BC148=0,Calc!BE148=0),
     IF('Waste results'!$S$64&lt;&gt;"data missing", Calc!BD148*'Waste results'!$S$64, "data missing"),
   IF(AND(Calc!BC148=0,Calc!BD148=0),
     IF('Waste results'!$S$100&lt;&gt;"data missing", Calc!BE148*'Waste results'!$S$100, "data missing"),
   IF(Calc!BE148=0,
     IF(OR('Waste results'!$S$28&lt;&gt;"data missing", 'Waste results'!$S$64&lt;&gt;"data missing"), Calc!BC148*'Waste results'!$S$28+ Calc!BD148*'Waste results'!$S$64, "data missing"),
   IF(Calc!BD148=0,
     IF(OR('Waste results'!$S$28&lt;&gt;"data missing", 'Waste results'!$S$100&lt;&gt;"data missing"), Calc!BC148*'Waste results'!$S$28+ Calc!BE148*'Waste results'!$S$100, "data missing"),
   IF(Calc!BC148=0,
     IF(OR('Waste results'!$S$64&lt;&gt;"data missing", 'Waste results'!$S$100&lt;&gt;"data missing"), Calc!BD148*'Waste results'!$S$64+Calc!BE148*'Waste results'!$S$100, "data missing"),
   IF(OR('Waste results'!$S$28&lt;&gt;"data missing", 'Waste results'!$S$64&lt;&gt;"data missing", 'Waste results'!$S$100&lt;&gt;"data missing"), Calc!BC148*'Waste results'!$S$28+Calc!BD148*'Waste results'!$S$64+ Calc!BE148*'Waste results'!$S$100, "data missing")))))))))))</f>
        <v/>
      </c>
      <c r="BB150" s="239" t="str">
        <f ca="1">IF($B150="","",
IF(ISBLANK('Soil results'!N153),"data missing",'Soil results'!N153))</f>
        <v/>
      </c>
      <c r="BC150" s="239" t="str">
        <f t="shared" ca="1" si="45"/>
        <v/>
      </c>
      <c r="BD150" s="9" t="str">
        <f t="shared" ca="1" si="46"/>
        <v/>
      </c>
      <c r="BE150" s="9"/>
      <c r="BF150" s="238" t="str">
        <f ca="1">IF(B150="","",
IF(AND('Field information 2'!$O$5="", 'Field information 2'!$Q$5=""),
   IF('Waste results'!$S$29&lt;&gt;"data missing", Calc!BC148*'Waste results'!$S$29, "data missing"),
IF('Field information 2'!$Q$5="",
   IF(Calc!BD148=0,
     IF('Waste results'!$S$29&lt;&gt;"data missing", Calc!BC148*'Waste results'!$S$29, "data missing"),
   IF(Calc!BC148=0,
     IF('Waste results'!$S$65&lt;&gt;"data missing", Calc!BD148*'Waste results'!$S$65, "data missing"),
   IF(OR('Waste results'!$S$29&lt;&gt;"data missing", 'Waste results'!$S$65&lt;&gt;"data missing"), Calc!BC148*'Waste results'!$S$29+ Calc!BD148*'Waste results'!$S$65, "data missing"))),
IF(AND('Field information 2'!$M$5&lt;&gt;"", 'Field information 2'!$O$5&lt;&gt;"", 'Field information 2'!$Q$5&lt;&gt;""),
   IF(AND(Calc!BD148=0,Calc!BE148=0),
     IF('Waste results'!$S$29&lt;&gt;"data missing", Calc!BC148*'Waste results'!$S$29, "data missing"),
   IF(AND(Calc!BC148=0,Calc!BE148=0),
     IF('Waste results'!$S$65&lt;&gt;"data missing", Calc!BD148*'Waste results'!$S$65, "data missing"),
   IF(AND(Calc!BC148=0,Calc!BD148=0),
     IF('Waste results'!$S$101&lt;&gt;"data missing", Calc!BE148*'Waste results'!$S$101, "data missing"),
   IF(Calc!BE148=0,
     IF(OR('Waste results'!$S$29&lt;&gt;"data missing", 'Waste results'!$S$65&lt;&gt;"data missing"), Calc!BC148*'Waste results'!$S$29+ Calc!BD148*'Waste results'!$S$65, "data missing"),
   IF(Calc!BD148=0,
     IF(OR('Waste results'!$S$29&lt;&gt;"data missing", 'Waste results'!$S$101&lt;&gt;"data missing"), Calc!BC148*'Waste results'!$S$29+ Calc!BE148*'Waste results'!$S$101, "data missing"),
   IF(Calc!BC148=0,
     IF(OR('Waste results'!$S$65&lt;&gt;"data missing", 'Waste results'!$S$101&lt;&gt;"data missing"), Calc!BD148*'Waste results'!$S$65+Calc!BE148*'Waste results'!$S$101, "data missing"),
   IF(OR('Waste results'!$S$29&lt;&gt;"data missing", 'Waste results'!$S$65&lt;&gt;"data missing", 'Waste results'!$S$101&lt;&gt;"data missing"), Calc!BC148*'Waste results'!$S$29+Calc!BD148*'Waste results'!$S$65+ Calc!BE148*'Waste results'!$S$101, "data missing")))))))))))</f>
        <v/>
      </c>
      <c r="BG150" s="239" t="str">
        <f ca="1">IF($B150="","",
IF(ISBLANK('Soil results'!O153),"data missing",'Soil results'!O153))</f>
        <v/>
      </c>
      <c r="BH150" s="239" t="str">
        <f t="shared" ca="1" si="47"/>
        <v/>
      </c>
      <c r="BI150" s="9" t="str">
        <f ca="1">IF(B150="","",
IF(BF150=0,"n/a",
IF(OR(BF150="data missing",BG150="data missing"),"data missing",
IF(BF150&gt;3,"application rate too high - permissible rate exceeds limit",
IF('Soil results'!F153&lt;=5.5,
  IF(BG150&gt;50,"no application - soil conc. already above limit",
  IF(BH150&gt;50,"application rate too high - soil conc. will exceed limit",
  IF(BG150&gt;50*0.9,"soil conc. is at or above 90% of the limit",
  IF(10*BF150*1000/3000+BG150&gt;50,"soil limit likely to be exceeded in 10yrs",
  IF(50*BF150*1000/3000+BG150&gt;50,"soil limit likely to be exceeded in 50yrs","ok"))))),
IF('Soil results'!F153&lt;=6,
  IF(BG150&gt;60,"no application - soil conc. already above limit",
  IF(BH150&gt;60,"application rate too high - soil conc. will exceed limit",
  IF(BG150&gt;60*0.9,"soil conc. is at or above 90% of the limit",
  IF(10*BF150*1000/3000+BG150&gt;60,"soil limit likely to be exceeded in 10yrs",
  IF(50*BF150*1000/3000+BG150&gt;60,"soil limit likely to be exceeded in 50yrs","ok"))))),
IF('Soil results'!F153&lt;=7,
  IF(BG150&gt;75,"no application - soil conc. already above limit",
  IF(BH150&gt;75,"application rate too high - soil conc. will exceed limit",
  IF(BG150&gt;75*0.9,"soil conc. is at or above 90% of the limit",
  IF(10*BF150*1000/3000+BG150&gt;75,"soil limit likely to be exceeded in 10yrs",
  IF(50*BF150*1000/3000+BG150&gt;75,"soil limit likely to be exceeded in 50yrs","ok"))))),
IF('Soil results'!F153&gt;7,
  IF(BG150&gt;100,"no application - soil conc. already above limit",
  IF(BH150&gt;100,"application rate too high - soil conc. will exceed limit",
  IF(BG150&gt;100*0.9,"soil conc. is at or above 90% of the limit",
  IF(10*BF150*1000/3000+BG150&gt;100,"soil limit likely to be exceeded in 10yrs",
  IF(50*BF150*1000/3000+BG150&gt;100,"soil limit likely to beexceeded in 50yrs","ok")))))
))))))))</f>
        <v/>
      </c>
      <c r="BJ150" s="9"/>
      <c r="BK150" s="240" t="str">
        <f ca="1">IF(B150="","",
IF(AND('Field information 2'!$O$5="", 'Field information 2'!$Q$5=""),
   IF('Waste results'!$S$30&lt;&gt;"data missing", Calc!BC148*'Waste results'!$S$30, "data missing"),
IF('Field information 2'!$Q$5="",
   IF(Calc!BD148=0,
     IF('Waste results'!$S$30&lt;&gt;"data missing", Calc!BC148*'Waste results'!$S$30, "data missing"),
   IF(Calc!BC148=0,
     IF('Waste results'!$S$66&lt;&gt;"data missing", Calc!BD148*'Waste results'!$S$66, "data missing"),
   IF(OR('Waste results'!$S$30&lt;&gt;"data missing", 'Waste results'!$S$66&lt;&gt;"data missing"), Calc!BC148*'Waste results'!$S$30+ Calc!BD148*'Waste results'!$S$66, "data missing"))),
IF(AND('Field information 2'!$M$5&lt;&gt;"", 'Field information 2'!$O$5&lt;&gt;"", 'Field information 2'!$Q$5&lt;&gt;""),
   IF(AND(Calc!BD148=0,Calc!BE148=0),
     IF('Waste results'!$S$30&lt;&gt;"data missing", Calc!BC148*'Waste results'!$S$30, "data missing"),
   IF(AND(Calc!BC148=0,Calc!BE148=0),
     IF('Waste results'!$S$66&lt;&gt;"data missing", Calc!BD148*'Waste results'!$S$66, "data missing"),
   IF(AND(Calc!BC148=0,Calc!BD148=0),
     IF('Waste results'!$S$102&lt;&gt;"data missing", Calc!BE148*'Waste results'!$S$102, "data missing"),
   IF(Calc!BE148=0,
     IF(OR('Waste results'!$S$30&lt;&gt;"data missing", 'Waste results'!$S$66&lt;&gt;"data missing"), Calc!BC148*'Waste results'!$S$30+ Calc!BD148*'Waste results'!$S$66, "data missing"),
   IF(Calc!BD148=0,
     IF(OR('Waste results'!$S$30&lt;&gt;"data missing", 'Waste results'!$S$102&lt;&gt;"data missing"), Calc!BC148*'Waste results'!$S$30+ Calc!BE148*'Waste results'!$S$102, "data missing"),
   IF(Calc!BC148=0,
     IF(OR('Waste results'!$S$66&lt;&gt;"data missing", 'Waste results'!$S$102&lt;&gt;"data missing"), Calc!BD148*'Waste results'!$S$66+Calc!BE148*'Waste results'!$S$102, "data missing"),
   IF(OR('Waste results'!$S$30&lt;&gt;"data missing", 'Waste results'!$S$66&lt;&gt;"data missing", 'Waste results'!$S$102&lt;&gt;"data missing"), Calc!BC148*'Waste results'!$S$30+Calc!BD148*'Waste results'!$S$66+ Calc!BE148*'Waste results'!$S$102, "data missing")))))))))))</f>
        <v/>
      </c>
      <c r="BL150" s="241" t="str">
        <f ca="1">IF($B150="","",
IF(ISBLANK('Soil results'!P153),"data missing",'Soil results'!P153))</f>
        <v/>
      </c>
      <c r="BM150" s="241" t="str">
        <f t="shared" ca="1" si="48"/>
        <v/>
      </c>
      <c r="BN150" s="66" t="str">
        <f t="shared" ca="1" si="49"/>
        <v/>
      </c>
      <c r="BO150" s="9"/>
      <c r="BP150" s="238" t="str">
        <f ca="1">IF(B150="","",
IF(AND('Field information 2'!$O$5="", 'Field information 2'!$Q$5=""),
   IF('Waste results'!$S$31&lt;&gt;"data missing", Calc!BC148*'Waste results'!$S$31, "data missing"),
IF('Field information 2'!$Q$5="",
   IF(Calc!BD148=0,
     IF('Waste results'!$S$31&lt;&gt;"data missing", Calc!BC148*'Waste results'!$S$31, "data missing"),
   IF(Calc!BC148=0,
     IF('Waste results'!$S$67&lt;&gt;"data missing", Calc!BD148*'Waste results'!$S$67, "data missing"),
   IF(OR('Waste results'!$S$31&lt;&gt;"data missing", 'Waste results'!$S$67&lt;&gt;"data missing"), Calc!BC148*'Waste results'!$S$31+ Calc!BD148*'Waste results'!$S$67, "data missing"))),
IF(AND('Field information 2'!$M$5&lt;&gt;"", 'Field information 2'!$O$5&lt;&gt;"", 'Field information 2'!$Q$5&lt;&gt;""),
   IF(AND(Calc!BD148=0,Calc!BE148=0),
     IF('Waste results'!$S$31&lt;&gt;"data missing", Calc!BC148*'Waste results'!$S$31, "data missing"),
   IF(AND(Calc!BC148=0,Calc!BE148=0),
     IF('Waste results'!$S$67&lt;&gt;"data missing", Calc!BD148*'Waste results'!$S$67, "data missing"),
   IF(AND(Calc!BC148=0,Calc!BD148=0),
     IF('Waste results'!$S$103&lt;&gt;"data missing", Calc!BE148*'Waste results'!$S$103, "data missing"),
   IF(Calc!BE148=0,
     IF(OR('Waste results'!$S$31&lt;&gt;"data missing", 'Waste results'!$S$67&lt;&gt;"data missing"), Calc!BC148*'Waste results'!$S$31+ Calc!BD148*'Waste results'!$S$67, "data missing"),
   IF(Calc!BD148=0,
     IF(OR('Waste results'!$S$31&lt;&gt;"data missing", 'Waste results'!$S$103&lt;&gt;"data missing"), Calc!BC148*'Waste results'!$S$31+ Calc!BE148*'Waste results'!$S$103, "data missing"),
   IF(Calc!BC148=0,
     IF(OR('Waste results'!$S$67&lt;&gt;"data missing", 'Waste results'!$S$103&lt;&gt;"data missing"), Calc!BD148*'Waste results'!$S$67+Calc!BE148*'Waste results'!$S$103, "data missing"),
   IF(OR('Waste results'!$S$31&lt;&gt;"data missing", 'Waste results'!$S$67&lt;&gt;"data missing", 'Waste results'!$S$103&lt;&gt;"data missing"), Calc!BC148*'Waste results'!$S$31+Calc!BD148*'Waste results'!$S$67+ Calc!BE148*'Waste results'!$S$103, "data missing")))))))))))</f>
        <v/>
      </c>
      <c r="BQ150" s="239" t="str">
        <f ca="1">IF($B150="","",
IF(ISBLANK('Soil results'!Q153),"data missing",'Soil results'!Q153))</f>
        <v/>
      </c>
      <c r="BR150" s="239" t="str">
        <f t="shared" ca="1" si="50"/>
        <v/>
      </c>
      <c r="BS150" s="9" t="str">
        <f ca="1">IF(B150="","",
IF(BP150=0,"n/a",
IF(OR(BP150="data missing",BQ150=""),"data missing",
IF(BP150&gt;15,"application rate too high - permissible rate exceeds limit",
IF('Soil results'!F153&lt;=5.5,
  IF(BQ150&gt;200,"no application - soil conc. already above limit",
  IF(BR150&gt;200,"application rate too high - soil conc. will exceed limit",
  IF(BQ150&gt;200*0.9,"soil conc. is at or above 90% of the limit",
  IF(10*BP150*1000/3000+BQ150&gt;200,"soil limit likely to be exceeded in 10yrs",
  IF(50*BP150*1000/3000+BQ150&gt;200,"soil limit likely to be exceeded in 50yrs","ok"))))),
IF('Soil results'!F153&lt;=6,
  IF(BQ150&gt;250,"no application - soil conc. already above limit",
  IF(BR150&gt;250,"application rate too high - soil conc. will exceed limit",
  IF(BQ150&gt;250*0.9,"soil conc. is at or above 90% of the limit",
  IF(10*BP150*1000/3000+BQ150&gt;250,"soil limit likely to be exceeded in 10yrs",
  IF(50*BP150*1000/3000+BQ150&gt;250,"soil limit likely to be exceeded in 50yrs","ok"))))),
IF('Soil results'!F153&lt;=7,
  IF(BQ150&gt;300,"no application - soil conc. already above limit",
  IF(BR150&gt;300,"application rate too high - soil conc. will exceed limit",
  IF(BQ150&gt;300*0.9,"soil conc. is at or above 90% of the limit",
  IF(10*BP150*1000/3000+BQ150&gt;300,"soil limit likey to be exceeded in 10yrs",
  IF(50*BP150*1000/3000+BQ150&gt;300,"soil limit likely to be exceeded in 50yrs","ok"))))),
IF('Soil results'!F153&gt;7,
  IF(BQ150&gt;450,"no application - soil conc. already above limit",
  IF(BR150&gt;450,"application rate too high - soil conc. will exceed limit",
  IF(AW150&gt;450*0.9,"soil conc. is at or above 90% of the limit",
  IF(10*BP150*1000/3000+BQ150&gt;450,"soil limit likely to be exceeded in 10yrs",
  IF(50*BP150*1000/3000+BQ150&gt;450,"soil limit likely to be exceeded in 50yrs","ok")))))
))))))))</f>
        <v/>
      </c>
    </row>
    <row r="151" spans="2:71" ht="15" x14ac:dyDescent="0.25">
      <c r="B151" s="236" t="str">
        <f ca="1">'Soil results'!B154</f>
        <v/>
      </c>
      <c r="C151" s="91" t="str">
        <f ca="1">IF(B151="","",
IF(AND('Field information 2'!$O$5="", 'Field information 2'!$Q$5=""),
   IF('Waste results'!$S$12&lt;&gt;"data missing", Calc!BC149*'Waste results'!$S$12, "data missing"),
IF('Field information 2'!$Q$5="",
   IF(Calc!BD149=0,
     IF('Waste results'!$S$12&lt;&gt;"data missing", Calc!BC149*'Waste results'!$S$12, "data missing"),
   IF(Calc!BC149=0,
     IF('Waste results'!$S$48&lt;&gt;"data missing", Calc!BD149*'Waste results'!$S$48, "data missing"),
   IF(OR('Waste results'!$S$12&lt;&gt;"data missing", 'Waste results'!$S$48&lt;&gt;"data missing"), Calc!BC149*'Waste results'!$S$12+ Calc!BD149*'Waste results'!$S$48, "data missing"))),
IF(AND('Field information 2'!$M$5&lt;&gt;"", 'Field information 2'!$O$5&lt;&gt;"", 'Field information 2'!$Q$5&lt;&gt;""),
   IF(AND(Calc!BD149=0,Calc!BE149=0),
     IF('Waste results'!$S$12&lt;&gt;"data missing", Calc!BC149*'Waste results'!$S$12, "data missing"),
   IF(AND(Calc!BC149=0,Calc!BE149=0),
     IF('Waste results'!$S$48&lt;&gt;"data missing", Calc!BD149*'Waste results'!$S$48, "data missing"),
   IF(AND(Calc!BC149=0,Calc!BD149=0),
     IF('Waste results'!$S$84&lt;&gt;"data missing", Calc!BE149*'Waste results'!$S$84, "data missing"),
   IF(Calc!BE149=0,
     IF(OR('Waste results'!$S$12&lt;&gt;"data missing", 'Waste results'!$S$48&lt;&gt;"data missing"), Calc!BC149*'Waste results'!$S$12+ Calc!BD149*'Waste results'!$S$48, "data missing"),
   IF(Calc!BD149=0,
     IF(OR('Waste results'!$S$12&lt;&gt;"data missing", 'Waste results'!$S$84&lt;&gt;"data missing"), Calc!BC149*'Waste results'!$S$12+ Calc!BE149*'Waste results'!$S$84, "data missing"),
   IF(Calc!BC149=0,
     IF(OR('Waste results'!$S$48&lt;&gt;"data missing", 'Waste results'!$S$84&lt;&gt;"data missing"), Calc!BD149*'Waste results'!$S$48+Calc!BE149*'Waste results'!$S$84, "data missing"),
   IF(OR('Waste results'!$S$12&lt;&gt;"data missing", 'Waste results'!$S$48&lt;&gt;"data missing", 'Waste results'!$S$84&lt;&gt;"data missing"), Calc!BC149*'Waste results'!$S$12+Calc!BD149*'Waste results'!$S$48+ Calc!BE149*'Waste results'!$S$84, "data missing")))))))))))</f>
        <v/>
      </c>
      <c r="D151" s="161" t="str">
        <f ca="1">IF(B151="","",
IF(Calc!BG149="","soil texture missing",
IF(OR(Calc!BG149="SL; SZL; ZL",Calc!BG149="SCL; CL; ZCL; SC; ZC; C"),VLOOKUP(Calc!BI149,'Fertiliser recommendations'!$A$4:$C$63,3,FALSE),
IF(Calc!BG149="S; LS",VLOOKUP(Calc!BI149,'Fertiliser recommendations'!$A$4:$C$63,3,FALSE)+VLOOKUP(Calc!BI149,'Fertiliser recommendations'!$A$4:$D$63,4,FALSE),
IF(Calc!BG149="10-25% OM",VLOOKUP(Calc!BI149,'Fertiliser recommendations'!$A$4:$C$63,3,FALSE)+VLOOKUP(Calc!BI149,'Fertiliser recommendations'!$A$4:$E$63,5,FALSE),
IF(Calc!BG149="&gt;25% OM",VLOOKUP(Calc!BI149,'Fertiliser recommendations'!$A$4:$C$63,3,FALSE)+VLOOKUP(Calc!BI149,'Fertiliser recommendations'!$A$4:$F$63,6,FALSE),
""))))))</f>
        <v/>
      </c>
      <c r="E151" s="91" t="str">
        <f t="shared" ca="1" si="34"/>
        <v/>
      </c>
      <c r="F151" s="9" t="str">
        <f ca="1">IF(B151="","",
IF(OR(C151="data missing",D151="soil texture missing"),"data missing",
IF(Calc!BF149=0,"n/a",
IF(C151&lt;0.1*D151,"no benefit",
IF(C151&lt;0.3*D151,"limited benefit",
IF(C151&gt;250,"exceeds limit",
IF(OR(AND(D151=0,C151&gt;75),C151&gt;1.25*D151),"excessive",
IF(D151=0, "no requirement",
"benefit"))))))))</f>
        <v/>
      </c>
      <c r="G151" s="9"/>
      <c r="H151" s="91" t="str">
        <f ca="1">IF(B151="","",
IF(AND('Field information 2'!$O$5="", 'Field information 2'!$Q$5=""),
   IF('Waste results'!$S$17&lt;&gt;"data missing", Calc!BC149*'Waste results'!$S$17, "data missing"),
IF('Field information 2'!$Q$5="",
   IF(Calc!BD149=0,
     IF('Waste results'!$S$17&lt;&gt;"data missing", Calc!BC149*'Waste results'!$S$17, "data missing"),
   IF(Calc!BC149=0,
     IF('Waste results'!$S$53&lt;&gt;"data missing", Calc!BD149*'Waste results'!$S$53, "data missing"),
   IF(OR('Waste results'!$S$17&lt;&gt;"data missing", 'Waste results'!$S$53&lt;&gt;"data missing"), Calc!BC149*'Waste results'!$S$17+ Calc!BD149*'Waste results'!$S$53, "data missing"))),
IF(AND('Field information 2'!$M$5&lt;&gt;"", 'Field information 2'!$O$5&lt;&gt;"", 'Field information 2'!$Q$5&lt;&gt;""),
   IF(AND(Calc!BD149=0,Calc!BE149=0),
     IF('Waste results'!$S$17&lt;&gt;"data missing", Calc!BC149*'Waste results'!$S$17, "data missing"),
   IF(AND(Calc!BC149=0,Calc!BE149=0),
     IF('Waste results'!$S$53&lt;&gt;"data missing", Calc!BD149*'Waste results'!$S$53, "data missing"),
   IF(AND(Calc!BC149=0,Calc!BD149=0),
     IF('Waste results'!$S$89&lt;&gt;"data missing", Calc!BE149*'Waste results'!$S$89, "data missing"),
   IF(Calc!BE149=0,
     IF(OR('Waste results'!$S$17&lt;&gt;"data missing", 'Waste results'!$S$53&lt;&gt;"data missing"), Calc!BC149*'Waste results'!$S$17+ Calc!BD149*'Waste results'!$S$53, "data missing"),
   IF(Calc!BD149=0,
     IF(OR('Waste results'!$S$17&lt;&gt;"data missing", 'Waste results'!$S$89&lt;&gt;"data missing"), Calc!BC149*'Waste results'!$S$17+ Calc!BE149*'Waste results'!$S$89, "data missing"),
   IF(Calc!BC149=0,
     IF(OR('Waste results'!$S$53&lt;&gt;"data missing", 'Waste results'!$S$89&lt;&gt;"data missing"), Calc!BD149*'Waste results'!$S$53+Calc!BE149*'Waste results'!$S$89, "data missing"),
   IF(OR('Waste results'!$S$17&lt;&gt;"data missing", 'Waste results'!$S$53&lt;&gt;"data missing", 'Waste results'!$S$89&lt;&gt;"data missing"), Calc!BC149*'Waste results'!$S$17+Calc!BD149*'Waste results'!$S$53+ Calc!BE149*'Waste results'!$S$89, "data missing")))))))))))</f>
        <v/>
      </c>
      <c r="I151" s="195" t="str">
        <f ca="1">IF(B151="","",
IF(OR(ISBLANK('Soil results'!G154), ISBLANK('Soil results'!G$7)),"data missing",
IF(OR(AND('Soil results'!G$7="Olsen (ADAS)",'Soil results'!G154&lt;16),AND('Soil results'!G$7="modified Morgan (SAC)",'Soil results'!G154&lt;4.5)),50,100)))</f>
        <v/>
      </c>
      <c r="J151" s="49" t="str">
        <f ca="1">IF(B151="","",
IF(OR(ISBLANK('Soil results'!G$7),ISBLANK('Soil results'!G154)),"data missing",
IF(OR(AND('Soil results'!G$7="Olsen (ADAS)",'Soil results'!G154&gt;45),AND('Soil results'!G$7="modified Morgan (SAC)",'Soil results'!G154&gt;30)),0,
IF(OR(AND('Soil results'!G$7="Olsen (ADAS)",'Soil results'!G154&gt;=16,'Soil results'!G154&lt;=20),AND('Soil results'!G$7="modified Morgan (SAC)",'Soil results'!G154&gt;=4.5,'Soil results'!G154&lt;=9.4)),VLOOKUP(Calc!BI149,'Fertiliser recommendations'!$A$4:$I$63,9,FALSE),
IF(OR(AND('Soil results'!G$7="Olsen (ADAS)",'Soil results'!G154&lt;10),AND('Soil results'!G$7="modified Morgan (SAC)",'Soil results'!G154&lt;1.8)),VLOOKUP(Calc!BI149,'Fertiliser recommendations'!$A$4:$I$63,9,FALSE)+VLOOKUP(Calc!BI149,'Fertiliser recommendations'!$A$4:$J$63,10,FALSE),
IF(OR(AND('Soil results'!G$7="Olsen (ADAS)",'Soil results'!G154&lt;16),AND('Soil results'!G$7="modified Morgan (SAC)",'Soil results'!G154&lt;4.5)),VLOOKUP(Calc!BI149,'Fertiliser recommendations'!$A$4:$I$63,9,FALSE)+VLOOKUP(Calc!BI149,'Fertiliser recommendations'!$A$4:$K$63,11,FALSE),
IF(OR(AND('Soil results'!G$7="Olsen (ADAS)",'Soil results'!G154&lt;26),AND('Soil results'!G$7="modified Morgan (SAC)",'Soil results'!G154&lt;13.5)),VLOOKUP(Calc!BI149,'Fertiliser recommendations'!$A$4:$I$63,9,FALSE)+VLOOKUP(Calc!BI149,'Fertiliser recommendations'!$A$4:$L$63,12,FALSE),
IF(OR(AND('Soil results'!G$7="Olsen (ADAS)",'Soil results'!G154&lt;=45),AND('Soil results'!G$7="modified Morgan (SAC)",'Soil results'!G154&lt;=30)),VLOOKUP(Calc!BI149,'Fertiliser recommendations'!$A$4:$I$63,9,FALSE)+VLOOKUP(Calc!BI149,'Fertiliser recommendations'!$A$4:$M$63,13,FALSE),
""))))))))</f>
        <v/>
      </c>
      <c r="K151" s="161" t="str">
        <f t="shared" ca="1" si="35"/>
        <v/>
      </c>
      <c r="L151" s="47" t="str">
        <f ca="1">IF(OR(ISBLANK('Soil results'!G$7),ISBLANK('Soil results'!G154),B151="", H151="data missing"),"",
IF('Soil results'!G$7="Olsen (ADAS)",
IF(((H151*Calc!BM149/2.291-(VLOOKUP(Calc!BI149,'Fertiliser recommendations'!$A$4:$I$63,9,FALSE))/2.291)*10/(400/2.291)+'Soil results'!G154)&lt;10,"0 (VL)",
IF(((H151*Calc!BM149/2.291-(VLOOKUP(Calc!BI149,'Fertiliser recommendations'!$A$4:$I$63,9,FALSE))/2.291)*10/(400/2.291)+'Soil results'!G154)&lt;16,"1 (L)",
IF(((H151*Calc!BM149/2.291-(VLOOKUP(Calc!BI149,'Fertiliser recommendations'!$A$4:$I$63,9,FALSE))/2.291)*10/(400/2.291)+'Soil results'!G154)&lt;21,"2 (M-)",
IF(((H151*Calc!BM149/2.291-(VLOOKUP(Calc!BI149,'Fertiliser recommendations'!$A$4:$I$63,9,FALSE))/2.291)*10/(400/2.291)+'Soil results'!G154)&lt;26,"2 (M+)",
IF(((H151*Calc!BM149/2.291-(VLOOKUP(Calc!BI149,'Fertiliser recommendations'!$A$4:$I$63,9,FALSE))/2.291)*10/(400/2.291)+'Soil results'!G154)&lt;45,"3 (H)","&gt;3 (VH)"))))),
IF('Soil results'!G$7="modified Morgan (SAC)",
IF('Soil results'!G154&gt;=6,
IF(((H151*Calc!BM149/2.291-(VLOOKUP(Calc!BI149,'Fertiliser recommendations'!$A$4:$I$63,9,FALSE))/2.291)*5/(147/2.291)+'Soil results'!G154)&lt;9.5,"2 (M-)",
IF(((H151*Calc!BM149/2.291-(VLOOKUP(Calc!BI149,'Fertiliser recommendations'!$A$4:$I$63,9,FALSE))/2.291)*5/(147/2.291)+'Soil results'!G154)&lt;13.5,"2 (M+)",
IF(((H151*Calc!BM149/2.291-(VLOOKUP(Calc!BI149,'Fertiliser recommendations'!$A$4:$I$63,9,FALSE))/2.291)*5/(147/2.291)+'Soil results'!G154)&lt;30,"3 (H)","4 (VH)"))),
IF(((H151*Calc!BM149/2.291-(VLOOKUP(Calc!BI149,'Fertiliser recommendations'!$A$4:$I$63,9,FALSE))/2.291)*5/(346/2.291)+'Soil results'!G154)&lt;1.8,"0 (VL)",
IF(((H151*Calc!BM149/2.291-(VLOOKUP(Calc!BI149,'Fertiliser recommendations'!$A$4:$I$63,9,FALSE))/2.291)*5/(147/2.291)+'Soil results'!G154)&lt;4.5,"1 (L)","2 (M-)"))))))</f>
        <v/>
      </c>
      <c r="M151" s="9" t="str">
        <f ca="1">IF(B151="","",
IF(OR(H151="data missing",I151="data missing",J151="data missing"),"data missing",
IF(Calc!BF149=0,"n/a",
IF(OR(AND('Soil results'!G$7="Olsen (ADAS)",'Soil results'!G154&gt;45),AND('Soil results'!G$7="modified Morgan (SAC)",'Soil results'!G154&gt;30)),
IF(H151&gt;2,"too high, not acceptable","no requirement"),IF(OR(AND('Soil results'!G$7="Olsen (ADAS)",'Soil results'!G154&gt;25),AND('Soil results'!G$7="modified Morgan (SAC)",'Soil results'!G154&gt;13.4)),
IF(H151*(I151/100)&lt;0.1*J151,"no benefit",
IF(H151*(I151/100)&lt;0.3*J151,"limited benefit",
IF(H151*(I151/100)&lt;1.1*J151,"benefit",
IF(H151*(I151/100)&lt;0.7*VLOOKUP(Calc!BI149,'Fertiliser recommendations'!$A$4:$I$63,9,FALSE),"excessive","too high, not acceptable")))),
IF(OR(AND('Soil results'!G$7="Olsen (ADAS)",'Soil results'!G154&gt;20),AND('Soil results'!G$7="modified Morgan (SAC)",'Soil results'!G154&gt;9.4)),
IF(H151*Calc!BM149*(I151/100)&lt;0.1*J151,"no benefit",
IF(H151*Calc!BM149*(I151/100)&lt;0.3*J151,"limited benefit",
IF(H151*Calc!BM149*(I151/100)&lt;1.1*J151,"benefit",
IF(L151="3 (H)","too high, not acceptable","excessive")))),
IF(OR(AND('Soil results'!G$7="Olsen (ADAS)",'Soil results'!G154&gt;15),AND('Soil results'!G$7="modified Morgan (SAC)",'Soil results'!G154&gt;4.4)),
IF(H151*Calc!BM149*(I151/100)&lt;0.1*VLOOKUP(Calc!BI149,'Fertiliser recommendations'!$A$4:$I$63,9,FALSE),"no benefit",
IF(H151*Calc!BM149*(I151/100)&lt;0.3*VLOOKUP(Calc!BI149,'Fertiliser recommendations'!$A$4:$I$63,9,FALSE),"limited benefit",
IF(H151*Calc!BM149*(I151/100)&lt;1.1*VLOOKUP(Calc!BI149,'Fertiliser recommendations'!$A$4:$I$63,9,FALSE),"benefit",
IF(L151="3 (H)", "too high, not acceptable", "excessive")))),
IF(OR(AND('Soil results'!G$7="Olsen (ADAS)",'Soil results'!G154&lt;=15),AND('Soil results'!G$7="modified Morgan (SAC)",'Soil results'!G154&lt;=4.4)),
IF(H151*Calc!BM149*(I151/100)&lt;0.1*VLOOKUP(Calc!BI149,'Fertiliser recommendations'!$A$4:$I$63,9,FALSE),"no benefit",
IF(H151*Calc!BM149*(I151/100)&lt;0.3*VLOOKUP(Calc!BI149,'Fertiliser recommendations'!$A$4:$I$63,9,FALSE),"limited benefit",
IF(H151*Calc!BM149*(I151/100)&lt;1.1*J151,"benefit","excessive")))))))))))</f>
        <v/>
      </c>
      <c r="N151" s="9"/>
      <c r="O151" s="91" t="str">
        <f ca="1">IF(B151="","",
IF(AND('Field information 2'!$O$5="", 'Field information 2'!$Q$5=""),
   IF('Waste results'!$S$19&lt;&gt;"data missing", Calc!BC149*'Waste results'!$S$19, "data missing"),
IF('Field information 2'!$Q$5="",
   IF(Calc!BD149=0,
     IF('Waste results'!$S$19&lt;&gt;"data missing", Calc!BC149*'Waste results'!$S$19, "data missing"),
   IF(Calc!BC149=0,
     IF('Waste results'!$S$55&lt;&gt;"data missing", Calc!BD149*'Waste results'!$S$55, "data missing"),
   IF(OR('Waste results'!$S$19&lt;&gt;"data missing", 'Waste results'!$S$55&lt;&gt;"data missing"), Calc!BC149*'Waste results'!$S$19+ Calc!BD149*'Waste results'!$S$55, "data missing"))),
IF(AND('Field information 2'!$M$5&lt;&gt;"", 'Field information 2'!$O$5&lt;&gt;"", 'Field information 2'!$Q$5&lt;&gt;""),
   IF(AND(Calc!BD149=0,Calc!BE149=0),
     IF('Waste results'!$S$19&lt;&gt;"data missing", Calc!BC149*'Waste results'!$S$19, "data missing"),
   IF(AND(Calc!BC149=0,Calc!BE149=0),
     IF('Waste results'!$S$55&lt;&gt;"data missing", Calc!BD149*'Waste results'!$S$55, "data missing"),
   IF(AND(Calc!BC149=0,Calc!BD149=0),
     IF('Waste results'!$S$91&lt;&gt;"data missing", Calc!BE149*'Waste results'!$S$91, "data missing"),
   IF(Calc!BE149=0,
     IF(OR('Waste results'!$S$19&lt;&gt;"data missing", 'Waste results'!$S$55&lt;&gt;"data missing"), Calc!BC149*'Waste results'!$S$19+ Calc!BD149*'Waste results'!$S$55, "data missing"),
   IF(Calc!BD149=0,
     IF(OR('Waste results'!$S$19&lt;&gt;"data missing", 'Waste results'!$S$91&lt;&gt;"data missing"), Calc!BC149*'Waste results'!$S$19+ Calc!BE149*'Waste results'!$S$91, "data missing"),
   IF(Calc!BC149=0,
     IF(OR('Waste results'!$S$55&lt;&gt;"data missing", 'Waste results'!$S$91&lt;&gt;"data missing"), Calc!BD149*'Waste results'!$S$55+Calc!BE149*'Waste results'!$S$91, "data missing"),
   IF(OR('Waste results'!$S$19&lt;&gt;"data missing", 'Waste results'!$S$55&lt;&gt;"data missing", 'Waste results'!$S$91&lt;&gt;"data missing"), Calc!BC149*'Waste results'!$S$19+Calc!BD149*'Waste results'!$S$55+ Calc!BE149*'Waste results'!$S$91, "data missing")))))))))))</f>
        <v/>
      </c>
      <c r="P151" s="91" t="str">
        <f ca="1">IF(B151="","",
IF(OR(ISBLANK('Soil results'!H$7),ISBLANK('Soil results'!H154)),"data missing",
IF(OR(AND('Soil results'!H$7="ammonium nitrate (ADAS)",'Soil results'!H154&gt;400),AND('Soil results'!H$7="modified Morgan (SAC)",'Soil results'!H154&gt;400)),0,
IF(OR(AND('Soil results'!H$7="ammonium nitrate (ADAS)",'Soil results'!H154&gt;=121,'Soil results'!H154&lt;=180),AND('Soil results'!H$7="modified Morgan (SAC)",'Soil results'!H154&gt;=76,'Soil results'!H154&lt;=140)),VLOOKUP(Calc!BI149,'Fertiliser recommendations'!$A$4:$Z$63,26,FALSE),
IF(OR(AND('Soil results'!H$7="ammonium nitrate (ADAS)",'Soil results'!H154&lt;61),AND('Soil results'!H$7="modified Morgan (SAC)",'Soil results'!H154&lt;40)),VLOOKUP(Calc!BI149,'Fertiliser recommendations'!$A$4:$Z$63,26,FALSE)+VLOOKUP(Calc!BI149,'Fertiliser recommendations'!$A$4:$AA$63,27,FALSE),
IF(OR(AND('Soil results'!H$7="ammonium nitrate (ADAS)",'Soil results'!H154&lt;121),AND('Soil results'!H$7="modified Morgan (SAC)",'Soil results'!H154&lt;76)),VLOOKUP(Calc!BI149,'Fertiliser recommendations'!$A$4:$Z$63,26,FALSE)+VLOOKUP(Calc!BI149,'Fertiliser recommendations'!$A$4:$AB$63,28,FALSE),
IF(OR(AND('Soil results'!H$7="ammonium nitrate (ADAS)",'Soil results'!H154&lt;241),AND('Soil results'!H$7="modified Morgan (SAC)",'Soil results'!H154&lt;201)),VLOOKUP(Calc!BI149,'Fertiliser recommendations'!$A$4:$Z$63,26,FALSE)+VLOOKUP(Calc!BI149,'Fertiliser recommendations'!$A$4:$AC$63,29,FALSE),
IF(OR(AND('Soil results'!H$7="ammonium nitrate (ADAS)",'Soil results'!H154&lt;=400),AND('Soil results'!H$7="modified Morgan (SAC)",'Soil results'!H154&lt;=400)),VLOOKUP(Calc!BI149,'Fertiliser recommendations'!$A$4:$Z$63,26,FALSE)+VLOOKUP(Calc!BI149,'Fertiliser recommendations'!$A$4:$AD$63,30,FALSE),
"??"))))))))</f>
        <v/>
      </c>
      <c r="Q151" s="91" t="str">
        <f t="shared" ca="1" si="36"/>
        <v/>
      </c>
      <c r="R151" s="9" t="str">
        <f ca="1">IF(B151="","",
IF(OR(O151="data missing",P151="data missing"),"data missing",
IF(Calc!BF149=0,"n/a",
IF(P151=0, "no requirement",
IF(O151&lt;0.1*P151,"no benefit",
IF(O151&lt;0.3*P151,"limited benefit",
IF(O151&gt;1.25*P151,"excessive",
"benefit")))))))</f>
        <v/>
      </c>
      <c r="S151" s="9"/>
      <c r="T151" s="91" t="str">
        <f ca="1">IF(B151="","",
IF(AND('Field information 2'!$O$5="", 'Field information 2'!$Q$5=""),
   IF('Waste results'!$S$21&lt;&gt;"data missing", Calc!BC149*'Waste results'!$S$21, "data missing"),
IF('Field information 2'!$Q$5="",
   IF(Calc!BD149=0,
     IF('Waste results'!$S$21&lt;&gt;"data missing", Calc!BC149*'Waste results'!$S$21, "data missing"),
   IF(Calc!BC149=0,
     IF('Waste results'!$S$57&lt;&gt;"data missing", Calc!BD149*'Waste results'!$S$57, "data missing"),
   IF(OR('Waste results'!$S$21&lt;&gt;"data missing", 'Waste results'!$S$57&lt;&gt;"data missing"), Calc!BC149*'Waste results'!$S$21+ Calc!BD149*'Waste results'!$S$57, "data missing"))),
IF(AND('Field information 2'!$M$5&lt;&gt;"", 'Field information 2'!$O$5&lt;&gt;"", 'Field information 2'!$Q$5&lt;&gt;""),
   IF(AND(Calc!BD149=0,Calc!BE149=0),
     IF('Waste results'!$S$21&lt;&gt;"data missing", Calc!BC149*'Waste results'!$S$21, "data missing"),
   IF(AND(Calc!BC149=0,Calc!BE149=0),
     IF('Waste results'!$S$57&lt;&gt;"data missing", Calc!BD149*'Waste results'!$S$57, "data missing"),
   IF(AND(Calc!BC149=0,Calc!BD149=0),
     IF('Waste results'!$S$93&lt;&gt;"data missing", Calc!BE149*'Waste results'!$S$93, "data missing"),
   IF(Calc!BE149=0,
     IF(OR('Waste results'!$S$21&lt;&gt;"data missing", 'Waste results'!$S$57&lt;&gt;"data missing"), Calc!BC149*'Waste results'!$S$21+ Calc!BD149*'Waste results'!$S$57, "data missing"),
   IF(Calc!BD149=0,
     IF(OR('Waste results'!$S$21&lt;&gt;"data missing", 'Waste results'!$S$93&lt;&gt;"data missing"), Calc!BC149*'Waste results'!$S$21+ Calc!BE149*'Waste results'!$S$93, "data missing"),
   IF(Calc!BC149=0,
     IF(OR('Waste results'!$S$57&lt;&gt;"data missing", 'Waste results'!$S$93&lt;&gt;"data missing"), Calc!BD149*'Waste results'!$S$57+Calc!BE149*'Waste results'!$S$93, "data missing"),
   IF(OR('Waste results'!$S$21&lt;&gt;"data missing", 'Waste results'!$S$57&lt;&gt;"data missing", 'Waste results'!$S$93&lt;&gt;"data missing"), Calc!BC149*'Waste results'!$S$21+Calc!BD149*'Waste results'!$S$57+ Calc!BE149*'Waste results'!$S$93, "data missing")))))))))))</f>
        <v/>
      </c>
      <c r="U151" s="7" t="str">
        <f ca="1">IF(B151="","",
IF(OR(ISBLANK('Soil results'!I$7),ISBLANK('Soil results'!I154)),"data missing",
IF(OR(AND('Soil results'!I$7="ammonium nitrate (ADAS)",'Soil results'!I154&gt;51),AND('Soil results'!I$7="modified Morgan (SAC)",'Soil results'!I154&gt;61)),0,
IF(OR(AND('Soil results'!I$7="ammonium nitrate (ADAS)",'Soil results'!I154&lt;25),AND('Soil results'!I$7="modified Morgan (SAC)",'Soil results'!I154&lt;19)),VLOOKUP(Calc!BI149,'Fertiliser recommendations'!$A$4:$AH$63,34,FALSE),
IF(OR(AND('Soil results'!I$7="ammonium nitrate (ADAS)",'Soil results'!I154&lt;=51),AND('Soil results'!I$7="modified Morgan (SAC)",'Soil results'!I154&lt;=61)),VLOOKUP(Calc!BI149,'Fertiliser recommendations'!$A$4:$AI$63,35,FALSE),
"")))))</f>
        <v/>
      </c>
      <c r="V151" s="91" t="str">
        <f t="shared" ca="1" si="37"/>
        <v/>
      </c>
      <c r="W151" s="9" t="str">
        <f ca="1">IF(B151="","",
IF(OR(T151="data missing",U151="data missing"),"data missing",
IF(Calc!BF149=0,"n/a",
IF(U151=0,"no requirement",
IF(T151&lt;0.1*U151,"no benefit",
IF(T151&lt;0.3*U151,"limited benefit",
IF(OR(T151&gt;1.5*U151,AND(Calc!BJ149="g",T151&gt;100)),"excessive",
"benefit")))))))</f>
        <v/>
      </c>
      <c r="X151" s="9"/>
      <c r="Y151" s="91" t="str">
        <f ca="1">IF(B151="","",
IF(AND('Field information 2'!$O$5="", 'Field information 2'!$Q$5=""),
   IF('Waste results'!$P$23&lt;&gt;"", Calc!BC149*'Waste results'!$P$23, "no data"),
IF('Field information 2'!$Q$5="",
   IF(Calc!BD149=0,
     IF('Waste results'!$P$23&lt;&gt;"", Calc!BC149*'Waste results'!$P$23, "no data"),
   IF(Calc!BC149=0,
     IF('Waste results'!$P$59&lt;&gt;"", Calc!BD149*'Waste results'!$P$59, "no data"),
   IF(OR('Waste results'!$P$23&lt;&gt;"", 'Waste results'!$P$59&lt;&gt;""), Calc!BC149*'Waste results'!$P$23+ Calc!BD149*'Waste results'!$P$59, "no data"))),
IF(AND('Field information 2'!$M$5&lt;&gt;"", 'Field information 2'!$O$5&lt;&gt;"", 'Field information 2'!$Q$5&lt;&gt;""),
   IF(AND(Calc!BD149=0,Calc!BE149=0),
     IF('Waste results'!$P$23&lt;&gt;"", Calc!BC149*'Waste results'!$P$23, "no data"),
   IF(AND(Calc!BC149=0,Calc!BE149=0),
     IF('Waste results'!$P$59&lt;&gt;"", Calc!BD149*'Waste results'!$P$59, "no data"),
   IF(AND(Calc!BC149=0,Calc!BD149=0),
     IF('Waste results'!$P$95&lt;&gt;"", Calc!BE149*'Waste results'!$P$95, "no data"),
   IF(Calc!BE149=0,
     IF(OR('Waste results'!$P$23&lt;&gt;"", 'Waste results'!$P$59&lt;&gt;""), Calc!BC149*'Waste results'!$P$23+ Calc!BD149*'Waste results'!$P$59, "no data"),
   IF(Calc!BD149=0,
     IF(OR('Waste results'!$P$23&lt;&gt;"", 'Waste results'!$P$95&lt;&gt;""), Calc!BC149*'Waste results'!$P$23+ Calc!BE149*'Waste results'!$P$95, "no data"),
   IF(Calc!BC149=0,
     IF(OR('Waste results'!$P$59&lt;&gt;"", 'Waste results'!$P$95&lt;&gt;""), Calc!BD149*'Waste results'!$P$59+Calc!BE149*'Waste results'!$P$95, "no data"),
   IF(OR('Waste results'!$P$23&lt;&gt;"", 'Waste results'!$P$59&lt;&gt;"", 'Waste results'!$P$95&lt;&gt;""), Calc!BC149*'Waste results'!$P$23+Calc!BD149*'Waste results'!$P$59+ Calc!BE149*'Waste results'!$P$95, "no data")))))))))))</f>
        <v/>
      </c>
      <c r="Z151" s="7" t="str">
        <f ca="1">IF(OR(ISBLANK('Soil results'!I$7),ISBLANK('Soil results'!I154),'Soil results'!B154=""),"",
VLOOKUP(Calc!BI149,'Fertiliser recommendations'!$A$4:$AM$63,39,FALSE))</f>
        <v/>
      </c>
      <c r="AA151" s="91" t="str">
        <f t="shared" ca="1" si="38"/>
        <v/>
      </c>
      <c r="AB151" s="9" t="str">
        <f t="shared" ca="1" si="39"/>
        <v/>
      </c>
      <c r="AC151" s="9"/>
      <c r="AD151" s="48" t="str">
        <f>IF(ISBLANK('Soil results'!F154),"",'Soil results'!F154)</f>
        <v/>
      </c>
      <c r="AE151" s="49" t="str">
        <f ca="1">IF(B151="","",
IF(AND(Calc!BJ149="g", VLOOKUP(LEFT($B151,LEN($B151)-2),'Field information 2'!$B$12:$P$111,9,FALSE)&lt;&gt;"yes"),
 IF(Calc!BG149="10-25% OM", 5.9, IF(Calc!BG149="&gt;25% OM", 5.5, 6.2)),
IF(OR(Calc!BJ149="a", VLOOKUP(LEFT($B151,LEN($B151)-2),'Field information 2'!$B$12:$P$111,9,FALSE)="yes"),
 IF(Calc!BG149="10-25% OM", 6.4, IF(Calc!BG149="&gt;25% OM", 6, 6.7)), "")))</f>
        <v/>
      </c>
      <c r="AF151" s="91" t="str">
        <f ca="1">IF(B151="","",
IF('Waste results'!$Q$33="","no (significant) liming properties",
IF('Waste results'!Q$33&gt;100,"no (significant) liming properties",
IF(AD151="","",
IF(AD151&gt;=AE151,0,ROUNDDOWN((AE151-AD151)*Calc!BK149*'Waste results'!$Q$33+0.2,0))))))</f>
        <v/>
      </c>
      <c r="AG151" s="9" t="str">
        <f ca="1">IF(B151="","",
IF(T151=0,"n/a",
IF(AD151="","data missing",
IF(AND(AD151&lt;5,AF151="no (significant) liming properties"),"no waste application - pH too low",
IF(AND(AD151&gt;5.1,AF151="no (significant) liming properties",Calc!BH149&gt;25, LEFT(Calc!BI149,4)="graz"),"ok",
IF(AND(AD151&lt;=5.2,AF151="no (significant) liming properties"),"liming highly recommended",
IF(AF151=0,"no waste application - liming not required",
IF(AF151&lt;Calc!BC149,"application rate too high - exceeds liming requirement",
"ok"))))))))</f>
        <v/>
      </c>
      <c r="AH151" s="9"/>
      <c r="AI151" s="91" t="str">
        <f ca="1">IF(B151="","",
IF(AND('Field information 2'!$O$5="", 'Field information 2'!$Q$5=""),
   IF('Waste results'!$P$10&lt;&gt;"data missing", Calc!BC149*'Waste results'!$P$10, "data missing"),
IF('Field information 2'!$Q$5="",
   IF(Calc!BD149=0,
     IF('Waste results'!$P$10&lt;&gt;"data missing", Calc!BC149*'Waste results'!$P$10, "data missing"),
   IF(Calc!BC149=0,
     IF('Waste results'!$P$45&lt;&gt;"data missing", Calc!BD149*'Waste results'!$P$45, "data missing"),
   IF(OR('Waste results'!$P$10&lt;&gt;"data missing", 'Waste results'!$P$45&lt;&gt;"data missing"), Calc!BC149*'Waste results'!$P$10+ Calc!BD149*'Waste results'!$P$45, "data missing"))),
IF(AND('Field information 2'!$M$5&lt;&gt;"", 'Field information 2'!$O$5&lt;&gt;"", 'Field information 2'!$Q$5&lt;&gt;""),
   IF(AND(Calc!BD149=0,Calc!BE149=0),
     IF('Waste results'!$P$10&lt;&gt;"data missing", Calc!BC149*'Waste results'!$P$10, "data missing"),
   IF(AND(Calc!BC149=0,Calc!BE149=0),
     IF('Waste results'!$P$45&lt;&gt;"data missing", Calc!BD149*'Waste results'!$P$45, "data missing"),
   IF(AND(Calc!BC149=0,Calc!BD149=0),
     IF('Waste results'!$P$82&lt;&gt;"data missing", Calc!BE149*'Waste results'!$P$82, "data missing"),
   IF(Calc!BE149=0,
     IF(OR('Waste results'!$P$10&lt;&gt;"data missing", 'Waste results'!$P$45&lt;&gt;"data missing"), Calc!BC149*'Waste results'!$P$10+ Calc!BD149*'Waste results'!$P$45, "data missing"),
   IF(Calc!BD149=0,
     IF(OR('Waste results'!$P$10&lt;&gt;"data missing", 'Waste results'!$P$82&lt;&gt;"data missing"), Calc!BC149*'Waste results'!$P$10+ Calc!BE149*'Waste results'!$P$82, "data missing"),
   IF(Calc!BC149=0,
     IF(OR('Waste results'!$P$45&lt;&gt;"data missing", 'Waste results'!$P$82&lt;&gt;"data missing"), Calc!BD149*'Waste results'!$P$45+Calc!BE149*'Waste results'!$P$82, "data missing"),
   IF(OR('Waste results'!$P$10&lt;&gt;"data missing", 'Waste results'!$P$45&lt;&gt;"data missing", 'Waste results'!$P$82&lt;&gt;"data missing"), Calc!BC149*'Waste results'!$P$10+Calc!BD149*'Waste results'!$P$45+ Calc!BE149*'Waste results'!$P$82, "data missing")))))))))))</f>
        <v/>
      </c>
      <c r="AJ151" s="237" t="str">
        <f ca="1">IF(B151="","",
IF(AI151="data missing","data missing",
IF(Calc!BF149=0,"n/a",
IF(AND(Calc!BH149&gt;=8,AI151&lt;500),"no benefit",
IF(OR(AND(Calc!BH149&lt;=4,AI151&gt;=500),AND(Calc!BH149&lt;8,AI151&gt;5000)),"benefit",
"limited benefit")))))</f>
        <v/>
      </c>
      <c r="AK151" s="9"/>
      <c r="AL151" s="238" t="str">
        <f ca="1">IF(B151="","",
IF(AND('Field information 2'!$O$5="", 'Field information 2'!$Q$5=""),
   IF('Waste results'!$S$25&lt;&gt;"data missing", Calc!BC149*'Waste results'!$S$25, "data missing"),
IF('Field information 2'!$Q$5="",
   IF(Calc!BD149=0,
     IF('Waste results'!$S$25&lt;&gt;"data missing", Calc!BC149*'Waste results'!$S$25, "data missing"),
   IF(Calc!BC149=0,
     IF('Waste results'!$S$61&lt;&gt;"data missing", Calc!BD149*'Waste results'!$S$61, "data missing"),
   IF(OR('Waste results'!$S$25&lt;&gt;"data missing", 'Waste results'!$S$61&lt;&gt;"data missing"), Calc!BC149*'Waste results'!$S$25+ Calc!BD149*'Waste results'!$S$61, "data missing"))),
IF(AND('Field information 2'!$M$5&lt;&gt;"", 'Field information 2'!$O$5&lt;&gt;"", 'Field information 2'!$Q$5&lt;&gt;""),
   IF(AND(Calc!BD149=0,Calc!BE149=0),
     IF('Waste results'!$S$25&lt;&gt;"data missing", Calc!BC149*'Waste results'!$S$25, "data missing"),
   IF(AND(Calc!BC149=0,Calc!BE149=0),
     IF('Waste results'!$S$61&lt;&gt;"data missing", Calc!BD149*'Waste results'!$S$61, "data missing"),
   IF(AND(Calc!BC149=0,Calc!BD149=0),
     IF('Waste results'!$S$97&lt;&gt;"data missing", Calc!BE149*'Waste results'!$S$97, "data missing"),
   IF(Calc!BE149=0,
     IF(OR('Waste results'!$S$25&lt;&gt;"data missing", 'Waste results'!$S$61&lt;&gt;"data missing"), Calc!BC149*'Waste results'!$S$25+ Calc!BD149*'Waste results'!$S$61, "data missing"),
   IF(Calc!BD149=0,
     IF(OR('Waste results'!$S$25&lt;&gt;"data missing", 'Waste results'!$S$97&lt;&gt;"data missing"), Calc!BC149*'Waste results'!$S$25+ Calc!BE149*'Waste results'!$S$97, "data missing"),
   IF(Calc!BC149=0,
     IF(OR('Waste results'!$S$61&lt;&gt;"data missing", 'Waste results'!$S$97&lt;&gt;"data missing"), Calc!BD149*'Waste results'!$S$61+Calc!BE149*'Waste results'!$S$97, "data missing"),
   IF(OR('Waste results'!$S$25&lt;&gt;"data missing", 'Waste results'!$S$61&lt;&gt;"data missing", 'Waste results'!$S$97&lt;&gt;"data missing"), Calc!BC149*'Waste results'!$S$25+Calc!BD149*'Waste results'!$S$61+ Calc!BE149*'Waste results'!$S$97, "data missing")))))))))))</f>
        <v/>
      </c>
      <c r="AM151" s="239" t="str">
        <f ca="1">IF($B151="","",
IF(ISBLANK('Soil results'!K154),"data missing",'Soil results'!K154))</f>
        <v/>
      </c>
      <c r="AN151" s="239" t="str">
        <f t="shared" ca="1" si="40"/>
        <v/>
      </c>
      <c r="AO151" s="9" t="str">
        <f t="shared" ca="1" si="41"/>
        <v/>
      </c>
      <c r="AP151" s="9"/>
      <c r="AQ151" s="240" t="str">
        <f ca="1">IF(B151="","",
IF(AND('Field information 2'!$O$5="", 'Field information 2'!$Q$5=""),
   IF('Waste results'!$S$26&lt;&gt;"data missing", Calc!BC149*'Waste results'!$S$26, "data missing"),
IF('Field information 2'!$Q$5="",
   IF(Calc!BD149=0,
     IF('Waste results'!$S$26&lt;&gt;"data missing", Calc!BC149*'Waste results'!$S$26, "data missing"),
   IF(Calc!BC149=0,
     IF('Waste results'!$S$62&lt;&gt;"data missing", Calc!BD149*'Waste results'!$S$62, "data missing"),
   IF(OR('Waste results'!$S$26&lt;&gt;"data missing", 'Waste results'!$S$62&lt;&gt;"data missing"), Calc!BC149*'Waste results'!$S$26+ Calc!BD149*'Waste results'!$S$62, "data missing"))),
IF(AND('Field information 2'!$M$5&lt;&gt;"", 'Field information 2'!$O$5&lt;&gt;"", 'Field information 2'!$Q$5&lt;&gt;""),
   IF(AND(Calc!BD149=0,Calc!BE149=0),
     IF('Waste results'!$S$26&lt;&gt;"data missing", Calc!BC149*'Waste results'!$S$26, "data missing"),
   IF(AND(Calc!BC149=0,Calc!BE149=0),
     IF('Waste results'!$S$62&lt;&gt;"data missing", Calc!BD149*'Waste results'!$S$62, "data missing"),
   IF(AND(Calc!BC149=0,Calc!BD149=0),
     IF('Waste results'!$S$98&lt;&gt;"data missing", Calc!BE149*'Waste results'!$S$98, "data missing"),
   IF(Calc!BE149=0,
     IF(OR('Waste results'!$S$26&lt;&gt;"data missing", 'Waste results'!$S$62&lt;&gt;"data missing"), Calc!BC149*'Waste results'!$S$26+ Calc!BD149*'Waste results'!$S$62, "data missing"),
   IF(Calc!BD149=0,
     IF(OR('Waste results'!$S$26&lt;&gt;"data missing", 'Waste results'!$S$98&lt;&gt;"data missing"), Calc!BC149*'Waste results'!$S$26+ Calc!BE149*'Waste results'!$S$98, "data missing"),
   IF(Calc!BC149=0,
     IF(OR('Waste results'!$S$62&lt;&gt;"data missing", 'Waste results'!$S$98&lt;&gt;"data missing"), Calc!BD149*'Waste results'!$S$62+Calc!BE149*'Waste results'!$S$98, "data missing"),
   IF(OR('Waste results'!$S$26&lt;&gt;"data missing", 'Waste results'!$S$62&lt;&gt;"data missing", 'Waste results'!$S$98&lt;&gt;"data missing"), Calc!BC149*'Waste results'!$S$26+Calc!BD149*'Waste results'!$S$62+ Calc!BE149*'Waste results'!$S$98, "data missing")))))))))))</f>
        <v/>
      </c>
      <c r="AR151" s="241" t="str">
        <f ca="1">IF($B151="","",
IF(ISBLANK('Soil results'!L154),"data missing",'Soil results'!L154))</f>
        <v/>
      </c>
      <c r="AS151" s="241" t="str">
        <f t="shared" ca="1" si="42"/>
        <v/>
      </c>
      <c r="AT151" s="66" t="str">
        <f t="shared" ca="1" si="43"/>
        <v/>
      </c>
      <c r="AU151" s="9"/>
      <c r="AV151" s="238" t="str">
        <f ca="1">IF(B151="","",
IF(AND('Field information 2'!$O$5="", 'Field information 2'!$Q$5=""),
   IF('Waste results'!$S$27&lt;&gt;"data missing", Calc!BC149*'Waste results'!$S$27, "data missing"),
IF('Field information 2'!$Q$5="",
   IF(Calc!BD149=0,
     IF('Waste results'!$S$27&lt;&gt;"data missing", Calc!BC149*'Waste results'!$S$27, "data missing"),
   IF(Calc!BC149=0,
     IF('Waste results'!$S$63&lt;&gt;"data missing", Calc!BD149*'Waste results'!$S$63, "data missing"),
   IF(OR('Waste results'!$S$27&lt;&gt;"data missing", 'Waste results'!$S$63&lt;&gt;"data missing"), Calc!BC149*'Waste results'!$S$27+ Calc!BD149*'Waste results'!$S$63, "data missing"))),
IF(AND('Field information 2'!$M$5&lt;&gt;"", 'Field information 2'!$O$5&lt;&gt;"", 'Field information 2'!$Q$5&lt;&gt;""),
   IF(AND(Calc!BD149=0,Calc!BE149=0),
     IF('Waste results'!$S$27&lt;&gt;"data missing", Calc!BC149*'Waste results'!$S$27, "data missing"),
   IF(AND(Calc!BC149=0,Calc!BE149=0),
     IF('Waste results'!$S$63&lt;&gt;"data missing", Calc!BD149*'Waste results'!$S$63, "data missing"),
   IF(AND(Calc!BC149=0,Calc!BD149=0),
     IF('Waste results'!$S$99&lt;&gt;"data missing", Calc!BE149*'Waste results'!$S$99, "data missing"),
   IF(Calc!BE149=0,
     IF(OR('Waste results'!$S$27&lt;&gt;"data missing", 'Waste results'!$S$63&lt;&gt;"data missing"), Calc!BC149*'Waste results'!$S$27+ Calc!BD149*'Waste results'!$S$63, "data missing"),
   IF(Calc!BD149=0,
     IF(OR('Waste results'!$S$27&lt;&gt;"data missing", 'Waste results'!$S$99&lt;&gt;"data missing"), Calc!BC149*'Waste results'!$S$27+ Calc!BE149*'Waste results'!$S$99, "data missing"),
   IF(Calc!BC149=0,
     IF(OR('Waste results'!$S$63&lt;&gt;"data missing", 'Waste results'!$S$99&lt;&gt;"data missing"), Calc!BD149*'Waste results'!$S$63+Calc!BE149*'Waste results'!$S$99, "data missing"),
   IF(OR('Waste results'!$S$27&lt;&gt;"data missing", 'Waste results'!$S$63&lt;&gt;"data missing", 'Waste results'!$S$99&lt;&gt;"data missing"), Calc!BC149*'Waste results'!$S$27+Calc!BD149*'Waste results'!$S$63+ Calc!BE149*'Waste results'!$S$99, "data missing")))))))))))</f>
        <v/>
      </c>
      <c r="AW151" s="239" t="str">
        <f ca="1">IF($B151="","",
IF(ISBLANK('Soil results'!M154),"data missing",'Soil results'!M154))</f>
        <v/>
      </c>
      <c r="AX151" s="239" t="str">
        <f t="shared" ca="1" si="44"/>
        <v/>
      </c>
      <c r="AY151" s="9" t="str">
        <f ca="1">IF(B151="","",
IF(AV151=0,"n/a",
IF(OR(AV151="data missing",AW151="data missing"),"data missing",
IF(AV151&gt;7.5,"application rate too high - permissible rate exceeds limit",
IF('Soil results'!$F154&lt;=5.5,
  IF(AW151&gt;80,"no application - soil conc. already above limit",
  IF(AX151&gt;80,"application rate too high - soil conc. will exceed limit",
  IF(AW151&gt;80*0.9,"soil conc. is at or above 90% of the limit",
  IF(10*AV151*1000/3000+AW151&gt;80,"soil limit likely to be exceeded in 10yrs",
  IF(50*AV151*1000/3000+AW151&gt;80,"soil limit likely to be exceeded in 50yrs","ok"))))),
IF('Soil results'!$F154&lt;=6,
  IF(AW151&gt;100,"no application - soil conc. already above limit",
  IF(AX151&gt;100,"application rate too high - soil conc. will exceed limit",
  IF(AW151&gt;100*0.9,"soil conc. is at or above 90% of the limit",
  IF(10*AV151*1000/3000+AW151&gt;100,"soil limit likely to be exceeded in 10yrs",
  IF(50*AV151*1000/3000+AW151&gt;100,"soil limit likely to be exceeded in 50yrs","ok"))))),
IF('Soil results'!$F154&lt;=7,
  IF(AW151&gt;135,"no application - soil conc. already above limit",
  IF(AX151&gt;135,"application rate too high - soil conc. will exceed limit",
  IF(AW151&gt;135*0.9,"soil conc. is at or above 90% of the limit",
  IF(10*AV151*1000/3000+AW151&gt;135,"soil limit likely to be exceeded in 10yrs",
  IF(50*AV151*1000/3000+AW151&gt;135,"soil limit likely to be exceeded in 50yrs","ok"))))),
IF('Soil results'!$F154&gt;7,
  IF(AW151&gt;200,"no application - soil conc. already above limit",
  IF(AX151&gt;200,"application too high - soil conc. will exceed limit",
  IF(AW151&gt;200*0.9,"soil conc. is at or above 90% of the limit",
  IF(10*AV151*1000/3000+AW151&gt;200,"soil limit likely to be exceeded in 10yrs",
  IF(50*AV151*1000/3000+AW151&gt;200,"soil limit likely to be exceeded in 50yrs","ok")))))
))))))))</f>
        <v/>
      </c>
      <c r="AZ151" s="9"/>
      <c r="BA151" s="238" t="str">
        <f ca="1">IF(B151="","",
IF(AND('Field information 2'!$O$5="", 'Field information 2'!$Q$5=""),
   IF('Waste results'!$S$28&lt;&gt;"data missing", Calc!BC149*'Waste results'!$S$28, "data missing"),
IF('Field information 2'!$Q$5="",
   IF(Calc!BD149=0,
     IF('Waste results'!$S$28&lt;&gt;"data missing", Calc!BC149*'Waste results'!$S$28, "data missing"),
   IF(Calc!BC149=0,
     IF('Waste results'!$S$64&lt;&gt;"data missing", Calc!BD149*'Waste results'!$S$64, "data missing"),
   IF(OR('Waste results'!$S$28&lt;&gt;"data missing", 'Waste results'!$S$64&lt;&gt;"data missing"), Calc!BC149*'Waste results'!$S$28+ Calc!BD149*'Waste results'!$S$64, "data missing"))),
IF(AND('Field information 2'!$M$5&lt;&gt;"", 'Field information 2'!$O$5&lt;&gt;"", 'Field information 2'!$Q$5&lt;&gt;""),
   IF(AND(Calc!BD149=0,Calc!BE149=0),
     IF('Waste results'!$S$28&lt;&gt;"data missing", Calc!BC149*'Waste results'!$S$28, "data missing"),
   IF(AND(Calc!BC149=0,Calc!BE149=0),
     IF('Waste results'!$S$64&lt;&gt;"data missing", Calc!BD149*'Waste results'!$S$64, "data missing"),
   IF(AND(Calc!BC149=0,Calc!BD149=0),
     IF('Waste results'!$S$100&lt;&gt;"data missing", Calc!BE149*'Waste results'!$S$100, "data missing"),
   IF(Calc!BE149=0,
     IF(OR('Waste results'!$S$28&lt;&gt;"data missing", 'Waste results'!$S$64&lt;&gt;"data missing"), Calc!BC149*'Waste results'!$S$28+ Calc!BD149*'Waste results'!$S$64, "data missing"),
   IF(Calc!BD149=0,
     IF(OR('Waste results'!$S$28&lt;&gt;"data missing", 'Waste results'!$S$100&lt;&gt;"data missing"), Calc!BC149*'Waste results'!$S$28+ Calc!BE149*'Waste results'!$S$100, "data missing"),
   IF(Calc!BC149=0,
     IF(OR('Waste results'!$S$64&lt;&gt;"data missing", 'Waste results'!$S$100&lt;&gt;"data missing"), Calc!BD149*'Waste results'!$S$64+Calc!BE149*'Waste results'!$S$100, "data missing"),
   IF(OR('Waste results'!$S$28&lt;&gt;"data missing", 'Waste results'!$S$64&lt;&gt;"data missing", 'Waste results'!$S$100&lt;&gt;"data missing"), Calc!BC149*'Waste results'!$S$28+Calc!BD149*'Waste results'!$S$64+ Calc!BE149*'Waste results'!$S$100, "data missing")))))))))))</f>
        <v/>
      </c>
      <c r="BB151" s="239" t="str">
        <f ca="1">IF($B151="","",
IF(ISBLANK('Soil results'!N154),"data missing",'Soil results'!N154))</f>
        <v/>
      </c>
      <c r="BC151" s="239" t="str">
        <f t="shared" ca="1" si="45"/>
        <v/>
      </c>
      <c r="BD151" s="9" t="str">
        <f t="shared" ca="1" si="46"/>
        <v/>
      </c>
      <c r="BE151" s="9"/>
      <c r="BF151" s="238" t="str">
        <f ca="1">IF(B151="","",
IF(AND('Field information 2'!$O$5="", 'Field information 2'!$Q$5=""),
   IF('Waste results'!$S$29&lt;&gt;"data missing", Calc!BC149*'Waste results'!$S$29, "data missing"),
IF('Field information 2'!$Q$5="",
   IF(Calc!BD149=0,
     IF('Waste results'!$S$29&lt;&gt;"data missing", Calc!BC149*'Waste results'!$S$29, "data missing"),
   IF(Calc!BC149=0,
     IF('Waste results'!$S$65&lt;&gt;"data missing", Calc!BD149*'Waste results'!$S$65, "data missing"),
   IF(OR('Waste results'!$S$29&lt;&gt;"data missing", 'Waste results'!$S$65&lt;&gt;"data missing"), Calc!BC149*'Waste results'!$S$29+ Calc!BD149*'Waste results'!$S$65, "data missing"))),
IF(AND('Field information 2'!$M$5&lt;&gt;"", 'Field information 2'!$O$5&lt;&gt;"", 'Field information 2'!$Q$5&lt;&gt;""),
   IF(AND(Calc!BD149=0,Calc!BE149=0),
     IF('Waste results'!$S$29&lt;&gt;"data missing", Calc!BC149*'Waste results'!$S$29, "data missing"),
   IF(AND(Calc!BC149=0,Calc!BE149=0),
     IF('Waste results'!$S$65&lt;&gt;"data missing", Calc!BD149*'Waste results'!$S$65, "data missing"),
   IF(AND(Calc!BC149=0,Calc!BD149=0),
     IF('Waste results'!$S$101&lt;&gt;"data missing", Calc!BE149*'Waste results'!$S$101, "data missing"),
   IF(Calc!BE149=0,
     IF(OR('Waste results'!$S$29&lt;&gt;"data missing", 'Waste results'!$S$65&lt;&gt;"data missing"), Calc!BC149*'Waste results'!$S$29+ Calc!BD149*'Waste results'!$S$65, "data missing"),
   IF(Calc!BD149=0,
     IF(OR('Waste results'!$S$29&lt;&gt;"data missing", 'Waste results'!$S$101&lt;&gt;"data missing"), Calc!BC149*'Waste results'!$S$29+ Calc!BE149*'Waste results'!$S$101, "data missing"),
   IF(Calc!BC149=0,
     IF(OR('Waste results'!$S$65&lt;&gt;"data missing", 'Waste results'!$S$101&lt;&gt;"data missing"), Calc!BD149*'Waste results'!$S$65+Calc!BE149*'Waste results'!$S$101, "data missing"),
   IF(OR('Waste results'!$S$29&lt;&gt;"data missing", 'Waste results'!$S$65&lt;&gt;"data missing", 'Waste results'!$S$101&lt;&gt;"data missing"), Calc!BC149*'Waste results'!$S$29+Calc!BD149*'Waste results'!$S$65+ Calc!BE149*'Waste results'!$S$101, "data missing")))))))))))</f>
        <v/>
      </c>
      <c r="BG151" s="239" t="str">
        <f ca="1">IF($B151="","",
IF(ISBLANK('Soil results'!O154),"data missing",'Soil results'!O154))</f>
        <v/>
      </c>
      <c r="BH151" s="239" t="str">
        <f t="shared" ca="1" si="47"/>
        <v/>
      </c>
      <c r="BI151" s="9" t="str">
        <f ca="1">IF(B151="","",
IF(BF151=0,"n/a",
IF(OR(BF151="data missing",BG151="data missing"),"data missing",
IF(BF151&gt;3,"application rate too high - permissible rate exceeds limit",
IF('Soil results'!F154&lt;=5.5,
  IF(BG151&gt;50,"no application - soil conc. already above limit",
  IF(BH151&gt;50,"application rate too high - soil conc. will exceed limit",
  IF(BG151&gt;50*0.9,"soil conc. is at or above 90% of the limit",
  IF(10*BF151*1000/3000+BG151&gt;50,"soil limit likely to be exceeded in 10yrs",
  IF(50*BF151*1000/3000+BG151&gt;50,"soil limit likely to be exceeded in 50yrs","ok"))))),
IF('Soil results'!F154&lt;=6,
  IF(BG151&gt;60,"no application - soil conc. already above limit",
  IF(BH151&gt;60,"application rate too high - soil conc. will exceed limit",
  IF(BG151&gt;60*0.9,"soil conc. is at or above 90% of the limit",
  IF(10*BF151*1000/3000+BG151&gt;60,"soil limit likely to be exceeded in 10yrs",
  IF(50*BF151*1000/3000+BG151&gt;60,"soil limit likely to be exceeded in 50yrs","ok"))))),
IF('Soil results'!F154&lt;=7,
  IF(BG151&gt;75,"no application - soil conc. already above limit",
  IF(BH151&gt;75,"application rate too high - soil conc. will exceed limit",
  IF(BG151&gt;75*0.9,"soil conc. is at or above 90% of the limit",
  IF(10*BF151*1000/3000+BG151&gt;75,"soil limit likely to be exceeded in 10yrs",
  IF(50*BF151*1000/3000+BG151&gt;75,"soil limit likely to be exceeded in 50yrs","ok"))))),
IF('Soil results'!F154&gt;7,
  IF(BG151&gt;100,"no application - soil conc. already above limit",
  IF(BH151&gt;100,"application rate too high - soil conc. will exceed limit",
  IF(BG151&gt;100*0.9,"soil conc. is at or above 90% of the limit",
  IF(10*BF151*1000/3000+BG151&gt;100,"soil limit likely to be exceeded in 10yrs",
  IF(50*BF151*1000/3000+BG151&gt;100,"soil limit likely to beexceeded in 50yrs","ok")))))
))))))))</f>
        <v/>
      </c>
      <c r="BJ151" s="9"/>
      <c r="BK151" s="240" t="str">
        <f ca="1">IF(B151="","",
IF(AND('Field information 2'!$O$5="", 'Field information 2'!$Q$5=""),
   IF('Waste results'!$S$30&lt;&gt;"data missing", Calc!BC149*'Waste results'!$S$30, "data missing"),
IF('Field information 2'!$Q$5="",
   IF(Calc!BD149=0,
     IF('Waste results'!$S$30&lt;&gt;"data missing", Calc!BC149*'Waste results'!$S$30, "data missing"),
   IF(Calc!BC149=0,
     IF('Waste results'!$S$66&lt;&gt;"data missing", Calc!BD149*'Waste results'!$S$66, "data missing"),
   IF(OR('Waste results'!$S$30&lt;&gt;"data missing", 'Waste results'!$S$66&lt;&gt;"data missing"), Calc!BC149*'Waste results'!$S$30+ Calc!BD149*'Waste results'!$S$66, "data missing"))),
IF(AND('Field information 2'!$M$5&lt;&gt;"", 'Field information 2'!$O$5&lt;&gt;"", 'Field information 2'!$Q$5&lt;&gt;""),
   IF(AND(Calc!BD149=0,Calc!BE149=0),
     IF('Waste results'!$S$30&lt;&gt;"data missing", Calc!BC149*'Waste results'!$S$30, "data missing"),
   IF(AND(Calc!BC149=0,Calc!BE149=0),
     IF('Waste results'!$S$66&lt;&gt;"data missing", Calc!BD149*'Waste results'!$S$66, "data missing"),
   IF(AND(Calc!BC149=0,Calc!BD149=0),
     IF('Waste results'!$S$102&lt;&gt;"data missing", Calc!BE149*'Waste results'!$S$102, "data missing"),
   IF(Calc!BE149=0,
     IF(OR('Waste results'!$S$30&lt;&gt;"data missing", 'Waste results'!$S$66&lt;&gt;"data missing"), Calc!BC149*'Waste results'!$S$30+ Calc!BD149*'Waste results'!$S$66, "data missing"),
   IF(Calc!BD149=0,
     IF(OR('Waste results'!$S$30&lt;&gt;"data missing", 'Waste results'!$S$102&lt;&gt;"data missing"), Calc!BC149*'Waste results'!$S$30+ Calc!BE149*'Waste results'!$S$102, "data missing"),
   IF(Calc!BC149=0,
     IF(OR('Waste results'!$S$66&lt;&gt;"data missing", 'Waste results'!$S$102&lt;&gt;"data missing"), Calc!BD149*'Waste results'!$S$66+Calc!BE149*'Waste results'!$S$102, "data missing"),
   IF(OR('Waste results'!$S$30&lt;&gt;"data missing", 'Waste results'!$S$66&lt;&gt;"data missing", 'Waste results'!$S$102&lt;&gt;"data missing"), Calc!BC149*'Waste results'!$S$30+Calc!BD149*'Waste results'!$S$66+ Calc!BE149*'Waste results'!$S$102, "data missing")))))))))))</f>
        <v/>
      </c>
      <c r="BL151" s="241" t="str">
        <f ca="1">IF($B151="","",
IF(ISBLANK('Soil results'!P154),"data missing",'Soil results'!P154))</f>
        <v/>
      </c>
      <c r="BM151" s="241" t="str">
        <f t="shared" ca="1" si="48"/>
        <v/>
      </c>
      <c r="BN151" s="66" t="str">
        <f t="shared" ca="1" si="49"/>
        <v/>
      </c>
      <c r="BO151" s="9"/>
      <c r="BP151" s="238" t="str">
        <f ca="1">IF(B151="","",
IF(AND('Field information 2'!$O$5="", 'Field information 2'!$Q$5=""),
   IF('Waste results'!$S$31&lt;&gt;"data missing", Calc!BC149*'Waste results'!$S$31, "data missing"),
IF('Field information 2'!$Q$5="",
   IF(Calc!BD149=0,
     IF('Waste results'!$S$31&lt;&gt;"data missing", Calc!BC149*'Waste results'!$S$31, "data missing"),
   IF(Calc!BC149=0,
     IF('Waste results'!$S$67&lt;&gt;"data missing", Calc!BD149*'Waste results'!$S$67, "data missing"),
   IF(OR('Waste results'!$S$31&lt;&gt;"data missing", 'Waste results'!$S$67&lt;&gt;"data missing"), Calc!BC149*'Waste results'!$S$31+ Calc!BD149*'Waste results'!$S$67, "data missing"))),
IF(AND('Field information 2'!$M$5&lt;&gt;"", 'Field information 2'!$O$5&lt;&gt;"", 'Field information 2'!$Q$5&lt;&gt;""),
   IF(AND(Calc!BD149=0,Calc!BE149=0),
     IF('Waste results'!$S$31&lt;&gt;"data missing", Calc!BC149*'Waste results'!$S$31, "data missing"),
   IF(AND(Calc!BC149=0,Calc!BE149=0),
     IF('Waste results'!$S$67&lt;&gt;"data missing", Calc!BD149*'Waste results'!$S$67, "data missing"),
   IF(AND(Calc!BC149=0,Calc!BD149=0),
     IF('Waste results'!$S$103&lt;&gt;"data missing", Calc!BE149*'Waste results'!$S$103, "data missing"),
   IF(Calc!BE149=0,
     IF(OR('Waste results'!$S$31&lt;&gt;"data missing", 'Waste results'!$S$67&lt;&gt;"data missing"), Calc!BC149*'Waste results'!$S$31+ Calc!BD149*'Waste results'!$S$67, "data missing"),
   IF(Calc!BD149=0,
     IF(OR('Waste results'!$S$31&lt;&gt;"data missing", 'Waste results'!$S$103&lt;&gt;"data missing"), Calc!BC149*'Waste results'!$S$31+ Calc!BE149*'Waste results'!$S$103, "data missing"),
   IF(Calc!BC149=0,
     IF(OR('Waste results'!$S$67&lt;&gt;"data missing", 'Waste results'!$S$103&lt;&gt;"data missing"), Calc!BD149*'Waste results'!$S$67+Calc!BE149*'Waste results'!$S$103, "data missing"),
   IF(OR('Waste results'!$S$31&lt;&gt;"data missing", 'Waste results'!$S$67&lt;&gt;"data missing", 'Waste results'!$S$103&lt;&gt;"data missing"), Calc!BC149*'Waste results'!$S$31+Calc!BD149*'Waste results'!$S$67+ Calc!BE149*'Waste results'!$S$103, "data missing")))))))))))</f>
        <v/>
      </c>
      <c r="BQ151" s="239" t="str">
        <f ca="1">IF($B151="","",
IF(ISBLANK('Soil results'!Q154),"data missing",'Soil results'!Q154))</f>
        <v/>
      </c>
      <c r="BR151" s="239" t="str">
        <f t="shared" ca="1" si="50"/>
        <v/>
      </c>
      <c r="BS151" s="9" t="str">
        <f ca="1">IF(B151="","",
IF(BP151=0,"n/a",
IF(OR(BP151="data missing",BQ151=""),"data missing",
IF(BP151&gt;15,"application rate too high - permissible rate exceeds limit",
IF('Soil results'!F154&lt;=5.5,
  IF(BQ151&gt;200,"no application - soil conc. already above limit",
  IF(BR151&gt;200,"application rate too high - soil conc. will exceed limit",
  IF(BQ151&gt;200*0.9,"soil conc. is at or above 90% of the limit",
  IF(10*BP151*1000/3000+BQ151&gt;200,"soil limit likely to be exceeded in 10yrs",
  IF(50*BP151*1000/3000+BQ151&gt;200,"soil limit likely to be exceeded in 50yrs","ok"))))),
IF('Soil results'!F154&lt;=6,
  IF(BQ151&gt;250,"no application - soil conc. already above limit",
  IF(BR151&gt;250,"application rate too high - soil conc. will exceed limit",
  IF(BQ151&gt;250*0.9,"soil conc. is at or above 90% of the limit",
  IF(10*BP151*1000/3000+BQ151&gt;250,"soil limit likely to be exceeded in 10yrs",
  IF(50*BP151*1000/3000+BQ151&gt;250,"soil limit likely to be exceeded in 50yrs","ok"))))),
IF('Soil results'!F154&lt;=7,
  IF(BQ151&gt;300,"no application - soil conc. already above limit",
  IF(BR151&gt;300,"application rate too high - soil conc. will exceed limit",
  IF(BQ151&gt;300*0.9,"soil conc. is at or above 90% of the limit",
  IF(10*BP151*1000/3000+BQ151&gt;300,"soil limit likey to be exceeded in 10yrs",
  IF(50*BP151*1000/3000+BQ151&gt;300,"soil limit likely to be exceeded in 50yrs","ok"))))),
IF('Soil results'!F154&gt;7,
  IF(BQ151&gt;450,"no application - soil conc. already above limit",
  IF(BR151&gt;450,"application rate too high - soil conc. will exceed limit",
  IF(AW151&gt;450*0.9,"soil conc. is at or above 90% of the limit",
  IF(10*BP151*1000/3000+BQ151&gt;450,"soil limit likely to be exceeded in 10yrs",
  IF(50*BP151*1000/3000+BQ151&gt;450,"soil limit likely to be exceeded in 50yrs","ok")))))
))))))))</f>
        <v/>
      </c>
    </row>
    <row r="152" spans="2:71" ht="15" x14ac:dyDescent="0.25">
      <c r="B152" s="236" t="str">
        <f ca="1">'Soil results'!B155</f>
        <v/>
      </c>
      <c r="C152" s="91" t="str">
        <f ca="1">IF(B152="","",
IF(AND('Field information 2'!$O$5="", 'Field information 2'!$Q$5=""),
   IF('Waste results'!$S$12&lt;&gt;"data missing", Calc!BC150*'Waste results'!$S$12, "data missing"),
IF('Field information 2'!$Q$5="",
   IF(Calc!BD150=0,
     IF('Waste results'!$S$12&lt;&gt;"data missing", Calc!BC150*'Waste results'!$S$12, "data missing"),
   IF(Calc!BC150=0,
     IF('Waste results'!$S$48&lt;&gt;"data missing", Calc!BD150*'Waste results'!$S$48, "data missing"),
   IF(OR('Waste results'!$S$12&lt;&gt;"data missing", 'Waste results'!$S$48&lt;&gt;"data missing"), Calc!BC150*'Waste results'!$S$12+ Calc!BD150*'Waste results'!$S$48, "data missing"))),
IF(AND('Field information 2'!$M$5&lt;&gt;"", 'Field information 2'!$O$5&lt;&gt;"", 'Field information 2'!$Q$5&lt;&gt;""),
   IF(AND(Calc!BD150=0,Calc!BE150=0),
     IF('Waste results'!$S$12&lt;&gt;"data missing", Calc!BC150*'Waste results'!$S$12, "data missing"),
   IF(AND(Calc!BC150=0,Calc!BE150=0),
     IF('Waste results'!$S$48&lt;&gt;"data missing", Calc!BD150*'Waste results'!$S$48, "data missing"),
   IF(AND(Calc!BC150=0,Calc!BD150=0),
     IF('Waste results'!$S$84&lt;&gt;"data missing", Calc!BE150*'Waste results'!$S$84, "data missing"),
   IF(Calc!BE150=0,
     IF(OR('Waste results'!$S$12&lt;&gt;"data missing", 'Waste results'!$S$48&lt;&gt;"data missing"), Calc!BC150*'Waste results'!$S$12+ Calc!BD150*'Waste results'!$S$48, "data missing"),
   IF(Calc!BD150=0,
     IF(OR('Waste results'!$S$12&lt;&gt;"data missing", 'Waste results'!$S$84&lt;&gt;"data missing"), Calc!BC150*'Waste results'!$S$12+ Calc!BE150*'Waste results'!$S$84, "data missing"),
   IF(Calc!BC150=0,
     IF(OR('Waste results'!$S$48&lt;&gt;"data missing", 'Waste results'!$S$84&lt;&gt;"data missing"), Calc!BD150*'Waste results'!$S$48+Calc!BE150*'Waste results'!$S$84, "data missing"),
   IF(OR('Waste results'!$S$12&lt;&gt;"data missing", 'Waste results'!$S$48&lt;&gt;"data missing", 'Waste results'!$S$84&lt;&gt;"data missing"), Calc!BC150*'Waste results'!$S$12+Calc!BD150*'Waste results'!$S$48+ Calc!BE150*'Waste results'!$S$84, "data missing")))))))))))</f>
        <v/>
      </c>
      <c r="D152" s="161" t="str">
        <f ca="1">IF(B152="","",
IF(Calc!BG150="","soil texture missing",
IF(OR(Calc!BG150="SL; SZL; ZL",Calc!BG150="SCL; CL; ZCL; SC; ZC; C"),VLOOKUP(Calc!BI150,'Fertiliser recommendations'!$A$4:$C$63,3,FALSE),
IF(Calc!BG150="S; LS",VLOOKUP(Calc!BI150,'Fertiliser recommendations'!$A$4:$C$63,3,FALSE)+VLOOKUP(Calc!BI150,'Fertiliser recommendations'!$A$4:$D$63,4,FALSE),
IF(Calc!BG150="10-25% OM",VLOOKUP(Calc!BI150,'Fertiliser recommendations'!$A$4:$C$63,3,FALSE)+VLOOKUP(Calc!BI150,'Fertiliser recommendations'!$A$4:$E$63,5,FALSE),
IF(Calc!BG150="&gt;25% OM",VLOOKUP(Calc!BI150,'Fertiliser recommendations'!$A$4:$C$63,3,FALSE)+VLOOKUP(Calc!BI150,'Fertiliser recommendations'!$A$4:$F$63,6,FALSE),
""))))))</f>
        <v/>
      </c>
      <c r="E152" s="91" t="str">
        <f t="shared" ca="1" si="34"/>
        <v/>
      </c>
      <c r="F152" s="9" t="str">
        <f ca="1">IF(B152="","",
IF(OR(C152="data missing",D152="soil texture missing"),"data missing",
IF(Calc!BF150=0,"n/a",
IF(C152&lt;0.1*D152,"no benefit",
IF(C152&lt;0.3*D152,"limited benefit",
IF(C152&gt;250,"exceeds limit",
IF(OR(AND(D152=0,C152&gt;75),C152&gt;1.25*D152),"excessive",
IF(D152=0, "no requirement",
"benefit"))))))))</f>
        <v/>
      </c>
      <c r="G152" s="9"/>
      <c r="H152" s="91" t="str">
        <f ca="1">IF(B152="","",
IF(AND('Field information 2'!$O$5="", 'Field information 2'!$Q$5=""),
   IF('Waste results'!$S$17&lt;&gt;"data missing", Calc!BC150*'Waste results'!$S$17, "data missing"),
IF('Field information 2'!$Q$5="",
   IF(Calc!BD150=0,
     IF('Waste results'!$S$17&lt;&gt;"data missing", Calc!BC150*'Waste results'!$S$17, "data missing"),
   IF(Calc!BC150=0,
     IF('Waste results'!$S$53&lt;&gt;"data missing", Calc!BD150*'Waste results'!$S$53, "data missing"),
   IF(OR('Waste results'!$S$17&lt;&gt;"data missing", 'Waste results'!$S$53&lt;&gt;"data missing"), Calc!BC150*'Waste results'!$S$17+ Calc!BD150*'Waste results'!$S$53, "data missing"))),
IF(AND('Field information 2'!$M$5&lt;&gt;"", 'Field information 2'!$O$5&lt;&gt;"", 'Field information 2'!$Q$5&lt;&gt;""),
   IF(AND(Calc!BD150=0,Calc!BE150=0),
     IF('Waste results'!$S$17&lt;&gt;"data missing", Calc!BC150*'Waste results'!$S$17, "data missing"),
   IF(AND(Calc!BC150=0,Calc!BE150=0),
     IF('Waste results'!$S$53&lt;&gt;"data missing", Calc!BD150*'Waste results'!$S$53, "data missing"),
   IF(AND(Calc!BC150=0,Calc!BD150=0),
     IF('Waste results'!$S$89&lt;&gt;"data missing", Calc!BE150*'Waste results'!$S$89, "data missing"),
   IF(Calc!BE150=0,
     IF(OR('Waste results'!$S$17&lt;&gt;"data missing", 'Waste results'!$S$53&lt;&gt;"data missing"), Calc!BC150*'Waste results'!$S$17+ Calc!BD150*'Waste results'!$S$53, "data missing"),
   IF(Calc!BD150=0,
     IF(OR('Waste results'!$S$17&lt;&gt;"data missing", 'Waste results'!$S$89&lt;&gt;"data missing"), Calc!BC150*'Waste results'!$S$17+ Calc!BE150*'Waste results'!$S$89, "data missing"),
   IF(Calc!BC150=0,
     IF(OR('Waste results'!$S$53&lt;&gt;"data missing", 'Waste results'!$S$89&lt;&gt;"data missing"), Calc!BD150*'Waste results'!$S$53+Calc!BE150*'Waste results'!$S$89, "data missing"),
   IF(OR('Waste results'!$S$17&lt;&gt;"data missing", 'Waste results'!$S$53&lt;&gt;"data missing", 'Waste results'!$S$89&lt;&gt;"data missing"), Calc!BC150*'Waste results'!$S$17+Calc!BD150*'Waste results'!$S$53+ Calc!BE150*'Waste results'!$S$89, "data missing")))))))))))</f>
        <v/>
      </c>
      <c r="I152" s="195" t="str">
        <f ca="1">IF(B152="","",
IF(OR(ISBLANK('Soil results'!G155), ISBLANK('Soil results'!G$7)),"data missing",
IF(OR(AND('Soil results'!G$7="Olsen (ADAS)",'Soil results'!G155&lt;16),AND('Soil results'!G$7="modified Morgan (SAC)",'Soil results'!G155&lt;4.5)),50,100)))</f>
        <v/>
      </c>
      <c r="J152" s="49" t="str">
        <f ca="1">IF(B152="","",
IF(OR(ISBLANK('Soil results'!G$7),ISBLANK('Soil results'!G155)),"data missing",
IF(OR(AND('Soil results'!G$7="Olsen (ADAS)",'Soil results'!G155&gt;45),AND('Soil results'!G$7="modified Morgan (SAC)",'Soil results'!G155&gt;30)),0,
IF(OR(AND('Soil results'!G$7="Olsen (ADAS)",'Soil results'!G155&gt;=16,'Soil results'!G155&lt;=20),AND('Soil results'!G$7="modified Morgan (SAC)",'Soil results'!G155&gt;=4.5,'Soil results'!G155&lt;=9.4)),VLOOKUP(Calc!BI150,'Fertiliser recommendations'!$A$4:$I$63,9,FALSE),
IF(OR(AND('Soil results'!G$7="Olsen (ADAS)",'Soil results'!G155&lt;10),AND('Soil results'!G$7="modified Morgan (SAC)",'Soil results'!G155&lt;1.8)),VLOOKUP(Calc!BI150,'Fertiliser recommendations'!$A$4:$I$63,9,FALSE)+VLOOKUP(Calc!BI150,'Fertiliser recommendations'!$A$4:$J$63,10,FALSE),
IF(OR(AND('Soil results'!G$7="Olsen (ADAS)",'Soil results'!G155&lt;16),AND('Soil results'!G$7="modified Morgan (SAC)",'Soil results'!G155&lt;4.5)),VLOOKUP(Calc!BI150,'Fertiliser recommendations'!$A$4:$I$63,9,FALSE)+VLOOKUP(Calc!BI150,'Fertiliser recommendations'!$A$4:$K$63,11,FALSE),
IF(OR(AND('Soil results'!G$7="Olsen (ADAS)",'Soil results'!G155&lt;26),AND('Soil results'!G$7="modified Morgan (SAC)",'Soil results'!G155&lt;13.5)),VLOOKUP(Calc!BI150,'Fertiliser recommendations'!$A$4:$I$63,9,FALSE)+VLOOKUP(Calc!BI150,'Fertiliser recommendations'!$A$4:$L$63,12,FALSE),
IF(OR(AND('Soil results'!G$7="Olsen (ADAS)",'Soil results'!G155&lt;=45),AND('Soil results'!G$7="modified Morgan (SAC)",'Soil results'!G155&lt;=30)),VLOOKUP(Calc!BI150,'Fertiliser recommendations'!$A$4:$I$63,9,FALSE)+VLOOKUP(Calc!BI150,'Fertiliser recommendations'!$A$4:$M$63,13,FALSE),
""))))))))</f>
        <v/>
      </c>
      <c r="K152" s="161" t="str">
        <f t="shared" ca="1" si="35"/>
        <v/>
      </c>
      <c r="L152" s="47" t="str">
        <f ca="1">IF(OR(ISBLANK('Soil results'!G$7),ISBLANK('Soil results'!G155),B152="", H152="data missing"),"",
IF('Soil results'!G$7="Olsen (ADAS)",
IF(((H152*Calc!BM150/2.291-(VLOOKUP(Calc!BI150,'Fertiliser recommendations'!$A$4:$I$63,9,FALSE))/2.291)*10/(400/2.291)+'Soil results'!G155)&lt;10,"0 (VL)",
IF(((H152*Calc!BM150/2.291-(VLOOKUP(Calc!BI150,'Fertiliser recommendations'!$A$4:$I$63,9,FALSE))/2.291)*10/(400/2.291)+'Soil results'!G155)&lt;16,"1 (L)",
IF(((H152*Calc!BM150/2.291-(VLOOKUP(Calc!BI150,'Fertiliser recommendations'!$A$4:$I$63,9,FALSE))/2.291)*10/(400/2.291)+'Soil results'!G155)&lt;21,"2 (M-)",
IF(((H152*Calc!BM150/2.291-(VLOOKUP(Calc!BI150,'Fertiliser recommendations'!$A$4:$I$63,9,FALSE))/2.291)*10/(400/2.291)+'Soil results'!G155)&lt;26,"2 (M+)",
IF(((H152*Calc!BM150/2.291-(VLOOKUP(Calc!BI150,'Fertiliser recommendations'!$A$4:$I$63,9,FALSE))/2.291)*10/(400/2.291)+'Soil results'!G155)&lt;45,"3 (H)","&gt;3 (VH)"))))),
IF('Soil results'!G$7="modified Morgan (SAC)",
IF('Soil results'!G155&gt;=6,
IF(((H152*Calc!BM150/2.291-(VLOOKUP(Calc!BI150,'Fertiliser recommendations'!$A$4:$I$63,9,FALSE))/2.291)*5/(147/2.291)+'Soil results'!G155)&lt;9.5,"2 (M-)",
IF(((H152*Calc!BM150/2.291-(VLOOKUP(Calc!BI150,'Fertiliser recommendations'!$A$4:$I$63,9,FALSE))/2.291)*5/(147/2.291)+'Soil results'!G155)&lt;13.5,"2 (M+)",
IF(((H152*Calc!BM150/2.291-(VLOOKUP(Calc!BI150,'Fertiliser recommendations'!$A$4:$I$63,9,FALSE))/2.291)*5/(147/2.291)+'Soil results'!G155)&lt;30,"3 (H)","4 (VH)"))),
IF(((H152*Calc!BM150/2.291-(VLOOKUP(Calc!BI150,'Fertiliser recommendations'!$A$4:$I$63,9,FALSE))/2.291)*5/(346/2.291)+'Soil results'!G155)&lt;1.8,"0 (VL)",
IF(((H152*Calc!BM150/2.291-(VLOOKUP(Calc!BI150,'Fertiliser recommendations'!$A$4:$I$63,9,FALSE))/2.291)*5/(147/2.291)+'Soil results'!G155)&lt;4.5,"1 (L)","2 (M-)"))))))</f>
        <v/>
      </c>
      <c r="M152" s="9" t="str">
        <f ca="1">IF(B152="","",
IF(OR(H152="data missing",I152="data missing",J152="data missing"),"data missing",
IF(Calc!BF150=0,"n/a",
IF(OR(AND('Soil results'!G$7="Olsen (ADAS)",'Soil results'!G155&gt;45),AND('Soil results'!G$7="modified Morgan (SAC)",'Soil results'!G155&gt;30)),
IF(H152&gt;2,"too high, not acceptable","no requirement"),IF(OR(AND('Soil results'!G$7="Olsen (ADAS)",'Soil results'!G155&gt;25),AND('Soil results'!G$7="modified Morgan (SAC)",'Soil results'!G155&gt;13.4)),
IF(H152*(I152/100)&lt;0.1*J152,"no benefit",
IF(H152*(I152/100)&lt;0.3*J152,"limited benefit",
IF(H152*(I152/100)&lt;1.1*J152,"benefit",
IF(H152*(I152/100)&lt;0.7*VLOOKUP(Calc!BI150,'Fertiliser recommendations'!$A$4:$I$63,9,FALSE),"excessive","too high, not acceptable")))),
IF(OR(AND('Soil results'!G$7="Olsen (ADAS)",'Soil results'!G155&gt;20),AND('Soil results'!G$7="modified Morgan (SAC)",'Soil results'!G155&gt;9.4)),
IF(H152*Calc!BM150*(I152/100)&lt;0.1*J152,"no benefit",
IF(H152*Calc!BM150*(I152/100)&lt;0.3*J152,"limited benefit",
IF(H152*Calc!BM150*(I152/100)&lt;1.1*J152,"benefit",
IF(L152="3 (H)","too high, not acceptable","excessive")))),
IF(OR(AND('Soil results'!G$7="Olsen (ADAS)",'Soil results'!G155&gt;15),AND('Soil results'!G$7="modified Morgan (SAC)",'Soil results'!G155&gt;4.4)),
IF(H152*Calc!BM150*(I152/100)&lt;0.1*VLOOKUP(Calc!BI150,'Fertiliser recommendations'!$A$4:$I$63,9,FALSE),"no benefit",
IF(H152*Calc!BM150*(I152/100)&lt;0.3*VLOOKUP(Calc!BI150,'Fertiliser recommendations'!$A$4:$I$63,9,FALSE),"limited benefit",
IF(H152*Calc!BM150*(I152/100)&lt;1.1*VLOOKUP(Calc!BI150,'Fertiliser recommendations'!$A$4:$I$63,9,FALSE),"benefit",
IF(L152="3 (H)", "too high, not acceptable", "excessive")))),
IF(OR(AND('Soil results'!G$7="Olsen (ADAS)",'Soil results'!G155&lt;=15),AND('Soil results'!G$7="modified Morgan (SAC)",'Soil results'!G155&lt;=4.4)),
IF(H152*Calc!BM150*(I152/100)&lt;0.1*VLOOKUP(Calc!BI150,'Fertiliser recommendations'!$A$4:$I$63,9,FALSE),"no benefit",
IF(H152*Calc!BM150*(I152/100)&lt;0.3*VLOOKUP(Calc!BI150,'Fertiliser recommendations'!$A$4:$I$63,9,FALSE),"limited benefit",
IF(H152*Calc!BM150*(I152/100)&lt;1.1*J152,"benefit","excessive")))))))))))</f>
        <v/>
      </c>
      <c r="N152" s="9"/>
      <c r="O152" s="91" t="str">
        <f ca="1">IF(B152="","",
IF(AND('Field information 2'!$O$5="", 'Field information 2'!$Q$5=""),
   IF('Waste results'!$S$19&lt;&gt;"data missing", Calc!BC150*'Waste results'!$S$19, "data missing"),
IF('Field information 2'!$Q$5="",
   IF(Calc!BD150=0,
     IF('Waste results'!$S$19&lt;&gt;"data missing", Calc!BC150*'Waste results'!$S$19, "data missing"),
   IF(Calc!BC150=0,
     IF('Waste results'!$S$55&lt;&gt;"data missing", Calc!BD150*'Waste results'!$S$55, "data missing"),
   IF(OR('Waste results'!$S$19&lt;&gt;"data missing", 'Waste results'!$S$55&lt;&gt;"data missing"), Calc!BC150*'Waste results'!$S$19+ Calc!BD150*'Waste results'!$S$55, "data missing"))),
IF(AND('Field information 2'!$M$5&lt;&gt;"", 'Field information 2'!$O$5&lt;&gt;"", 'Field information 2'!$Q$5&lt;&gt;""),
   IF(AND(Calc!BD150=0,Calc!BE150=0),
     IF('Waste results'!$S$19&lt;&gt;"data missing", Calc!BC150*'Waste results'!$S$19, "data missing"),
   IF(AND(Calc!BC150=0,Calc!BE150=0),
     IF('Waste results'!$S$55&lt;&gt;"data missing", Calc!BD150*'Waste results'!$S$55, "data missing"),
   IF(AND(Calc!BC150=0,Calc!BD150=0),
     IF('Waste results'!$S$91&lt;&gt;"data missing", Calc!BE150*'Waste results'!$S$91, "data missing"),
   IF(Calc!BE150=0,
     IF(OR('Waste results'!$S$19&lt;&gt;"data missing", 'Waste results'!$S$55&lt;&gt;"data missing"), Calc!BC150*'Waste results'!$S$19+ Calc!BD150*'Waste results'!$S$55, "data missing"),
   IF(Calc!BD150=0,
     IF(OR('Waste results'!$S$19&lt;&gt;"data missing", 'Waste results'!$S$91&lt;&gt;"data missing"), Calc!BC150*'Waste results'!$S$19+ Calc!BE150*'Waste results'!$S$91, "data missing"),
   IF(Calc!BC150=0,
     IF(OR('Waste results'!$S$55&lt;&gt;"data missing", 'Waste results'!$S$91&lt;&gt;"data missing"), Calc!BD150*'Waste results'!$S$55+Calc!BE150*'Waste results'!$S$91, "data missing"),
   IF(OR('Waste results'!$S$19&lt;&gt;"data missing", 'Waste results'!$S$55&lt;&gt;"data missing", 'Waste results'!$S$91&lt;&gt;"data missing"), Calc!BC150*'Waste results'!$S$19+Calc!BD150*'Waste results'!$S$55+ Calc!BE150*'Waste results'!$S$91, "data missing")))))))))))</f>
        <v/>
      </c>
      <c r="P152" s="91" t="str">
        <f ca="1">IF(B152="","",
IF(OR(ISBLANK('Soil results'!H$7),ISBLANK('Soil results'!H155)),"data missing",
IF(OR(AND('Soil results'!H$7="ammonium nitrate (ADAS)",'Soil results'!H155&gt;400),AND('Soil results'!H$7="modified Morgan (SAC)",'Soil results'!H155&gt;400)),0,
IF(OR(AND('Soil results'!H$7="ammonium nitrate (ADAS)",'Soil results'!H155&gt;=121,'Soil results'!H155&lt;=180),AND('Soil results'!H$7="modified Morgan (SAC)",'Soil results'!H155&gt;=76,'Soil results'!H155&lt;=140)),VLOOKUP(Calc!BI150,'Fertiliser recommendations'!$A$4:$Z$63,26,FALSE),
IF(OR(AND('Soil results'!H$7="ammonium nitrate (ADAS)",'Soil results'!H155&lt;61),AND('Soil results'!H$7="modified Morgan (SAC)",'Soil results'!H155&lt;40)),VLOOKUP(Calc!BI150,'Fertiliser recommendations'!$A$4:$Z$63,26,FALSE)+VLOOKUP(Calc!BI150,'Fertiliser recommendations'!$A$4:$AA$63,27,FALSE),
IF(OR(AND('Soil results'!H$7="ammonium nitrate (ADAS)",'Soil results'!H155&lt;121),AND('Soil results'!H$7="modified Morgan (SAC)",'Soil results'!H155&lt;76)),VLOOKUP(Calc!BI150,'Fertiliser recommendations'!$A$4:$Z$63,26,FALSE)+VLOOKUP(Calc!BI150,'Fertiliser recommendations'!$A$4:$AB$63,28,FALSE),
IF(OR(AND('Soil results'!H$7="ammonium nitrate (ADAS)",'Soil results'!H155&lt;241),AND('Soil results'!H$7="modified Morgan (SAC)",'Soil results'!H155&lt;201)),VLOOKUP(Calc!BI150,'Fertiliser recommendations'!$A$4:$Z$63,26,FALSE)+VLOOKUP(Calc!BI150,'Fertiliser recommendations'!$A$4:$AC$63,29,FALSE),
IF(OR(AND('Soil results'!H$7="ammonium nitrate (ADAS)",'Soil results'!H155&lt;=400),AND('Soil results'!H$7="modified Morgan (SAC)",'Soil results'!H155&lt;=400)),VLOOKUP(Calc!BI150,'Fertiliser recommendations'!$A$4:$Z$63,26,FALSE)+VLOOKUP(Calc!BI150,'Fertiliser recommendations'!$A$4:$AD$63,30,FALSE),
"??"))))))))</f>
        <v/>
      </c>
      <c r="Q152" s="91" t="str">
        <f t="shared" ca="1" si="36"/>
        <v/>
      </c>
      <c r="R152" s="9" t="str">
        <f ca="1">IF(B152="","",
IF(OR(O152="data missing",P152="data missing"),"data missing",
IF(Calc!BF150=0,"n/a",
IF(P152=0, "no requirement",
IF(O152&lt;0.1*P152,"no benefit",
IF(O152&lt;0.3*P152,"limited benefit",
IF(O152&gt;1.25*P152,"excessive",
"benefit")))))))</f>
        <v/>
      </c>
      <c r="S152" s="9"/>
      <c r="T152" s="91" t="str">
        <f ca="1">IF(B152="","",
IF(AND('Field information 2'!$O$5="", 'Field information 2'!$Q$5=""),
   IF('Waste results'!$S$21&lt;&gt;"data missing", Calc!BC150*'Waste results'!$S$21, "data missing"),
IF('Field information 2'!$Q$5="",
   IF(Calc!BD150=0,
     IF('Waste results'!$S$21&lt;&gt;"data missing", Calc!BC150*'Waste results'!$S$21, "data missing"),
   IF(Calc!BC150=0,
     IF('Waste results'!$S$57&lt;&gt;"data missing", Calc!BD150*'Waste results'!$S$57, "data missing"),
   IF(OR('Waste results'!$S$21&lt;&gt;"data missing", 'Waste results'!$S$57&lt;&gt;"data missing"), Calc!BC150*'Waste results'!$S$21+ Calc!BD150*'Waste results'!$S$57, "data missing"))),
IF(AND('Field information 2'!$M$5&lt;&gt;"", 'Field information 2'!$O$5&lt;&gt;"", 'Field information 2'!$Q$5&lt;&gt;""),
   IF(AND(Calc!BD150=0,Calc!BE150=0),
     IF('Waste results'!$S$21&lt;&gt;"data missing", Calc!BC150*'Waste results'!$S$21, "data missing"),
   IF(AND(Calc!BC150=0,Calc!BE150=0),
     IF('Waste results'!$S$57&lt;&gt;"data missing", Calc!BD150*'Waste results'!$S$57, "data missing"),
   IF(AND(Calc!BC150=0,Calc!BD150=0),
     IF('Waste results'!$S$93&lt;&gt;"data missing", Calc!BE150*'Waste results'!$S$93, "data missing"),
   IF(Calc!BE150=0,
     IF(OR('Waste results'!$S$21&lt;&gt;"data missing", 'Waste results'!$S$57&lt;&gt;"data missing"), Calc!BC150*'Waste results'!$S$21+ Calc!BD150*'Waste results'!$S$57, "data missing"),
   IF(Calc!BD150=0,
     IF(OR('Waste results'!$S$21&lt;&gt;"data missing", 'Waste results'!$S$93&lt;&gt;"data missing"), Calc!BC150*'Waste results'!$S$21+ Calc!BE150*'Waste results'!$S$93, "data missing"),
   IF(Calc!BC150=0,
     IF(OR('Waste results'!$S$57&lt;&gt;"data missing", 'Waste results'!$S$93&lt;&gt;"data missing"), Calc!BD150*'Waste results'!$S$57+Calc!BE150*'Waste results'!$S$93, "data missing"),
   IF(OR('Waste results'!$S$21&lt;&gt;"data missing", 'Waste results'!$S$57&lt;&gt;"data missing", 'Waste results'!$S$93&lt;&gt;"data missing"), Calc!BC150*'Waste results'!$S$21+Calc!BD150*'Waste results'!$S$57+ Calc!BE150*'Waste results'!$S$93, "data missing")))))))))))</f>
        <v/>
      </c>
      <c r="U152" s="7" t="str">
        <f ca="1">IF(B152="","",
IF(OR(ISBLANK('Soil results'!I$7),ISBLANK('Soil results'!I155)),"data missing",
IF(OR(AND('Soil results'!I$7="ammonium nitrate (ADAS)",'Soil results'!I155&gt;51),AND('Soil results'!I$7="modified Morgan (SAC)",'Soil results'!I155&gt;61)),0,
IF(OR(AND('Soil results'!I$7="ammonium nitrate (ADAS)",'Soil results'!I155&lt;25),AND('Soil results'!I$7="modified Morgan (SAC)",'Soil results'!I155&lt;19)),VLOOKUP(Calc!BI150,'Fertiliser recommendations'!$A$4:$AH$63,34,FALSE),
IF(OR(AND('Soil results'!I$7="ammonium nitrate (ADAS)",'Soil results'!I155&lt;=51),AND('Soil results'!I$7="modified Morgan (SAC)",'Soil results'!I155&lt;=61)),VLOOKUP(Calc!BI150,'Fertiliser recommendations'!$A$4:$AI$63,35,FALSE),
"")))))</f>
        <v/>
      </c>
      <c r="V152" s="91" t="str">
        <f t="shared" ca="1" si="37"/>
        <v/>
      </c>
      <c r="W152" s="9" t="str">
        <f ca="1">IF(B152="","",
IF(OR(T152="data missing",U152="data missing"),"data missing",
IF(Calc!BF150=0,"n/a",
IF(U152=0,"no requirement",
IF(T152&lt;0.1*U152,"no benefit",
IF(T152&lt;0.3*U152,"limited benefit",
IF(OR(T152&gt;1.5*U152,AND(Calc!BJ150="g",T152&gt;100)),"excessive",
"benefit")))))))</f>
        <v/>
      </c>
      <c r="X152" s="9"/>
      <c r="Y152" s="91" t="str">
        <f ca="1">IF(B152="","",
IF(AND('Field information 2'!$O$5="", 'Field information 2'!$Q$5=""),
   IF('Waste results'!$P$23&lt;&gt;"", Calc!BC150*'Waste results'!$P$23, "no data"),
IF('Field information 2'!$Q$5="",
   IF(Calc!BD150=0,
     IF('Waste results'!$P$23&lt;&gt;"", Calc!BC150*'Waste results'!$P$23, "no data"),
   IF(Calc!BC150=0,
     IF('Waste results'!$P$59&lt;&gt;"", Calc!BD150*'Waste results'!$P$59, "no data"),
   IF(OR('Waste results'!$P$23&lt;&gt;"", 'Waste results'!$P$59&lt;&gt;""), Calc!BC150*'Waste results'!$P$23+ Calc!BD150*'Waste results'!$P$59, "no data"))),
IF(AND('Field information 2'!$M$5&lt;&gt;"", 'Field information 2'!$O$5&lt;&gt;"", 'Field information 2'!$Q$5&lt;&gt;""),
   IF(AND(Calc!BD150=0,Calc!BE150=0),
     IF('Waste results'!$P$23&lt;&gt;"", Calc!BC150*'Waste results'!$P$23, "no data"),
   IF(AND(Calc!BC150=0,Calc!BE150=0),
     IF('Waste results'!$P$59&lt;&gt;"", Calc!BD150*'Waste results'!$P$59, "no data"),
   IF(AND(Calc!BC150=0,Calc!BD150=0),
     IF('Waste results'!$P$95&lt;&gt;"", Calc!BE150*'Waste results'!$P$95, "no data"),
   IF(Calc!BE150=0,
     IF(OR('Waste results'!$P$23&lt;&gt;"", 'Waste results'!$P$59&lt;&gt;""), Calc!BC150*'Waste results'!$P$23+ Calc!BD150*'Waste results'!$P$59, "no data"),
   IF(Calc!BD150=0,
     IF(OR('Waste results'!$P$23&lt;&gt;"", 'Waste results'!$P$95&lt;&gt;""), Calc!BC150*'Waste results'!$P$23+ Calc!BE150*'Waste results'!$P$95, "no data"),
   IF(Calc!BC150=0,
     IF(OR('Waste results'!$P$59&lt;&gt;"", 'Waste results'!$P$95&lt;&gt;""), Calc!BD150*'Waste results'!$P$59+Calc!BE150*'Waste results'!$P$95, "no data"),
   IF(OR('Waste results'!$P$23&lt;&gt;"", 'Waste results'!$P$59&lt;&gt;"", 'Waste results'!$P$95&lt;&gt;""), Calc!BC150*'Waste results'!$P$23+Calc!BD150*'Waste results'!$P$59+ Calc!BE150*'Waste results'!$P$95, "no data")))))))))))</f>
        <v/>
      </c>
      <c r="Z152" s="7" t="str">
        <f ca="1">IF(OR(ISBLANK('Soil results'!I$7),ISBLANK('Soil results'!I155),'Soil results'!B155=""),"",
VLOOKUP(Calc!BI150,'Fertiliser recommendations'!$A$4:$AM$63,39,FALSE))</f>
        <v/>
      </c>
      <c r="AA152" s="91" t="str">
        <f t="shared" ca="1" si="38"/>
        <v/>
      </c>
      <c r="AB152" s="9" t="str">
        <f t="shared" ca="1" si="39"/>
        <v/>
      </c>
      <c r="AC152" s="9"/>
      <c r="AD152" s="48" t="str">
        <f>IF(ISBLANK('Soil results'!F155),"",'Soil results'!F155)</f>
        <v/>
      </c>
      <c r="AE152" s="49" t="str">
        <f ca="1">IF(B152="","",
IF(AND(Calc!BJ150="g", VLOOKUP(LEFT($B152,LEN($B152)-2),'Field information 2'!$B$12:$P$111,9,FALSE)&lt;&gt;"yes"),
 IF(Calc!BG150="10-25% OM", 5.9, IF(Calc!BG150="&gt;25% OM", 5.5, 6.2)),
IF(OR(Calc!BJ150="a", VLOOKUP(LEFT($B152,LEN($B152)-2),'Field information 2'!$B$12:$P$111,9,FALSE)="yes"),
 IF(Calc!BG150="10-25% OM", 6.4, IF(Calc!BG150="&gt;25% OM", 6, 6.7)), "")))</f>
        <v/>
      </c>
      <c r="AF152" s="91" t="str">
        <f ca="1">IF(B152="","",
IF('Waste results'!$Q$33="","no (significant) liming properties",
IF('Waste results'!Q$33&gt;100,"no (significant) liming properties",
IF(AD152="","",
IF(AD152&gt;=AE152,0,ROUNDDOWN((AE152-AD152)*Calc!BK150*'Waste results'!$Q$33+0.2,0))))))</f>
        <v/>
      </c>
      <c r="AG152" s="9" t="str">
        <f ca="1">IF(B152="","",
IF(T152=0,"n/a",
IF(AD152="","data missing",
IF(AND(AD152&lt;5,AF152="no (significant) liming properties"),"no waste application - pH too low",
IF(AND(AD152&gt;5.1,AF152="no (significant) liming properties",Calc!BH150&gt;25, LEFT(Calc!BI150,4)="graz"),"ok",
IF(AND(AD152&lt;=5.2,AF152="no (significant) liming properties"),"liming highly recommended",
IF(AF152=0,"no waste application - liming not required",
IF(AF152&lt;Calc!BC150,"application rate too high - exceeds liming requirement",
"ok"))))))))</f>
        <v/>
      </c>
      <c r="AH152" s="9"/>
      <c r="AI152" s="91" t="str">
        <f ca="1">IF(B152="","",
IF(AND('Field information 2'!$O$5="", 'Field information 2'!$Q$5=""),
   IF('Waste results'!$P$10&lt;&gt;"data missing", Calc!BC150*'Waste results'!$P$10, "data missing"),
IF('Field information 2'!$Q$5="",
   IF(Calc!BD150=0,
     IF('Waste results'!$P$10&lt;&gt;"data missing", Calc!BC150*'Waste results'!$P$10, "data missing"),
   IF(Calc!BC150=0,
     IF('Waste results'!$P$45&lt;&gt;"data missing", Calc!BD150*'Waste results'!$P$45, "data missing"),
   IF(OR('Waste results'!$P$10&lt;&gt;"data missing", 'Waste results'!$P$45&lt;&gt;"data missing"), Calc!BC150*'Waste results'!$P$10+ Calc!BD150*'Waste results'!$P$45, "data missing"))),
IF(AND('Field information 2'!$M$5&lt;&gt;"", 'Field information 2'!$O$5&lt;&gt;"", 'Field information 2'!$Q$5&lt;&gt;""),
   IF(AND(Calc!BD150=0,Calc!BE150=0),
     IF('Waste results'!$P$10&lt;&gt;"data missing", Calc!BC150*'Waste results'!$P$10, "data missing"),
   IF(AND(Calc!BC150=0,Calc!BE150=0),
     IF('Waste results'!$P$45&lt;&gt;"data missing", Calc!BD150*'Waste results'!$P$45, "data missing"),
   IF(AND(Calc!BC150=0,Calc!BD150=0),
     IF('Waste results'!$P$82&lt;&gt;"data missing", Calc!BE150*'Waste results'!$P$82, "data missing"),
   IF(Calc!BE150=0,
     IF(OR('Waste results'!$P$10&lt;&gt;"data missing", 'Waste results'!$P$45&lt;&gt;"data missing"), Calc!BC150*'Waste results'!$P$10+ Calc!BD150*'Waste results'!$P$45, "data missing"),
   IF(Calc!BD150=0,
     IF(OR('Waste results'!$P$10&lt;&gt;"data missing", 'Waste results'!$P$82&lt;&gt;"data missing"), Calc!BC150*'Waste results'!$P$10+ Calc!BE150*'Waste results'!$P$82, "data missing"),
   IF(Calc!BC150=0,
     IF(OR('Waste results'!$P$45&lt;&gt;"data missing", 'Waste results'!$P$82&lt;&gt;"data missing"), Calc!BD150*'Waste results'!$P$45+Calc!BE150*'Waste results'!$P$82, "data missing"),
   IF(OR('Waste results'!$P$10&lt;&gt;"data missing", 'Waste results'!$P$45&lt;&gt;"data missing", 'Waste results'!$P$82&lt;&gt;"data missing"), Calc!BC150*'Waste results'!$P$10+Calc!BD150*'Waste results'!$P$45+ Calc!BE150*'Waste results'!$P$82, "data missing")))))))))))</f>
        <v/>
      </c>
      <c r="AJ152" s="237" t="str">
        <f ca="1">IF(B152="","",
IF(AI152="data missing","data missing",
IF(Calc!BF150=0,"n/a",
IF(AND(Calc!BH150&gt;=8,AI152&lt;500),"no benefit",
IF(OR(AND(Calc!BH150&lt;=4,AI152&gt;=500),AND(Calc!BH150&lt;8,AI152&gt;5000)),"benefit",
"limited benefit")))))</f>
        <v/>
      </c>
      <c r="AK152" s="9"/>
      <c r="AL152" s="238" t="str">
        <f ca="1">IF(B152="","",
IF(AND('Field information 2'!$O$5="", 'Field information 2'!$Q$5=""),
   IF('Waste results'!$S$25&lt;&gt;"data missing", Calc!BC150*'Waste results'!$S$25, "data missing"),
IF('Field information 2'!$Q$5="",
   IF(Calc!BD150=0,
     IF('Waste results'!$S$25&lt;&gt;"data missing", Calc!BC150*'Waste results'!$S$25, "data missing"),
   IF(Calc!BC150=0,
     IF('Waste results'!$S$61&lt;&gt;"data missing", Calc!BD150*'Waste results'!$S$61, "data missing"),
   IF(OR('Waste results'!$S$25&lt;&gt;"data missing", 'Waste results'!$S$61&lt;&gt;"data missing"), Calc!BC150*'Waste results'!$S$25+ Calc!BD150*'Waste results'!$S$61, "data missing"))),
IF(AND('Field information 2'!$M$5&lt;&gt;"", 'Field information 2'!$O$5&lt;&gt;"", 'Field information 2'!$Q$5&lt;&gt;""),
   IF(AND(Calc!BD150=0,Calc!BE150=0),
     IF('Waste results'!$S$25&lt;&gt;"data missing", Calc!BC150*'Waste results'!$S$25, "data missing"),
   IF(AND(Calc!BC150=0,Calc!BE150=0),
     IF('Waste results'!$S$61&lt;&gt;"data missing", Calc!BD150*'Waste results'!$S$61, "data missing"),
   IF(AND(Calc!BC150=0,Calc!BD150=0),
     IF('Waste results'!$S$97&lt;&gt;"data missing", Calc!BE150*'Waste results'!$S$97, "data missing"),
   IF(Calc!BE150=0,
     IF(OR('Waste results'!$S$25&lt;&gt;"data missing", 'Waste results'!$S$61&lt;&gt;"data missing"), Calc!BC150*'Waste results'!$S$25+ Calc!BD150*'Waste results'!$S$61, "data missing"),
   IF(Calc!BD150=0,
     IF(OR('Waste results'!$S$25&lt;&gt;"data missing", 'Waste results'!$S$97&lt;&gt;"data missing"), Calc!BC150*'Waste results'!$S$25+ Calc!BE150*'Waste results'!$S$97, "data missing"),
   IF(Calc!BC150=0,
     IF(OR('Waste results'!$S$61&lt;&gt;"data missing", 'Waste results'!$S$97&lt;&gt;"data missing"), Calc!BD150*'Waste results'!$S$61+Calc!BE150*'Waste results'!$S$97, "data missing"),
   IF(OR('Waste results'!$S$25&lt;&gt;"data missing", 'Waste results'!$S$61&lt;&gt;"data missing", 'Waste results'!$S$97&lt;&gt;"data missing"), Calc!BC150*'Waste results'!$S$25+Calc!BD150*'Waste results'!$S$61+ Calc!BE150*'Waste results'!$S$97, "data missing")))))))))))</f>
        <v/>
      </c>
      <c r="AM152" s="239" t="str">
        <f ca="1">IF($B152="","",
IF(ISBLANK('Soil results'!K155),"data missing",'Soil results'!K155))</f>
        <v/>
      </c>
      <c r="AN152" s="239" t="str">
        <f t="shared" ca="1" si="40"/>
        <v/>
      </c>
      <c r="AO152" s="9" t="str">
        <f t="shared" ca="1" si="41"/>
        <v/>
      </c>
      <c r="AP152" s="9"/>
      <c r="AQ152" s="240" t="str">
        <f ca="1">IF(B152="","",
IF(AND('Field information 2'!$O$5="", 'Field information 2'!$Q$5=""),
   IF('Waste results'!$S$26&lt;&gt;"data missing", Calc!BC150*'Waste results'!$S$26, "data missing"),
IF('Field information 2'!$Q$5="",
   IF(Calc!BD150=0,
     IF('Waste results'!$S$26&lt;&gt;"data missing", Calc!BC150*'Waste results'!$S$26, "data missing"),
   IF(Calc!BC150=0,
     IF('Waste results'!$S$62&lt;&gt;"data missing", Calc!BD150*'Waste results'!$S$62, "data missing"),
   IF(OR('Waste results'!$S$26&lt;&gt;"data missing", 'Waste results'!$S$62&lt;&gt;"data missing"), Calc!BC150*'Waste results'!$S$26+ Calc!BD150*'Waste results'!$S$62, "data missing"))),
IF(AND('Field information 2'!$M$5&lt;&gt;"", 'Field information 2'!$O$5&lt;&gt;"", 'Field information 2'!$Q$5&lt;&gt;""),
   IF(AND(Calc!BD150=0,Calc!BE150=0),
     IF('Waste results'!$S$26&lt;&gt;"data missing", Calc!BC150*'Waste results'!$S$26, "data missing"),
   IF(AND(Calc!BC150=0,Calc!BE150=0),
     IF('Waste results'!$S$62&lt;&gt;"data missing", Calc!BD150*'Waste results'!$S$62, "data missing"),
   IF(AND(Calc!BC150=0,Calc!BD150=0),
     IF('Waste results'!$S$98&lt;&gt;"data missing", Calc!BE150*'Waste results'!$S$98, "data missing"),
   IF(Calc!BE150=0,
     IF(OR('Waste results'!$S$26&lt;&gt;"data missing", 'Waste results'!$S$62&lt;&gt;"data missing"), Calc!BC150*'Waste results'!$S$26+ Calc!BD150*'Waste results'!$S$62, "data missing"),
   IF(Calc!BD150=0,
     IF(OR('Waste results'!$S$26&lt;&gt;"data missing", 'Waste results'!$S$98&lt;&gt;"data missing"), Calc!BC150*'Waste results'!$S$26+ Calc!BE150*'Waste results'!$S$98, "data missing"),
   IF(Calc!BC150=0,
     IF(OR('Waste results'!$S$62&lt;&gt;"data missing", 'Waste results'!$S$98&lt;&gt;"data missing"), Calc!BD150*'Waste results'!$S$62+Calc!BE150*'Waste results'!$S$98, "data missing"),
   IF(OR('Waste results'!$S$26&lt;&gt;"data missing", 'Waste results'!$S$62&lt;&gt;"data missing", 'Waste results'!$S$98&lt;&gt;"data missing"), Calc!BC150*'Waste results'!$S$26+Calc!BD150*'Waste results'!$S$62+ Calc!BE150*'Waste results'!$S$98, "data missing")))))))))))</f>
        <v/>
      </c>
      <c r="AR152" s="241" t="str">
        <f ca="1">IF($B152="","",
IF(ISBLANK('Soil results'!L155),"data missing",'Soil results'!L155))</f>
        <v/>
      </c>
      <c r="AS152" s="241" t="str">
        <f t="shared" ca="1" si="42"/>
        <v/>
      </c>
      <c r="AT152" s="66" t="str">
        <f t="shared" ca="1" si="43"/>
        <v/>
      </c>
      <c r="AU152" s="9"/>
      <c r="AV152" s="238" t="str">
        <f ca="1">IF(B152="","",
IF(AND('Field information 2'!$O$5="", 'Field information 2'!$Q$5=""),
   IF('Waste results'!$S$27&lt;&gt;"data missing", Calc!BC150*'Waste results'!$S$27, "data missing"),
IF('Field information 2'!$Q$5="",
   IF(Calc!BD150=0,
     IF('Waste results'!$S$27&lt;&gt;"data missing", Calc!BC150*'Waste results'!$S$27, "data missing"),
   IF(Calc!BC150=0,
     IF('Waste results'!$S$63&lt;&gt;"data missing", Calc!BD150*'Waste results'!$S$63, "data missing"),
   IF(OR('Waste results'!$S$27&lt;&gt;"data missing", 'Waste results'!$S$63&lt;&gt;"data missing"), Calc!BC150*'Waste results'!$S$27+ Calc!BD150*'Waste results'!$S$63, "data missing"))),
IF(AND('Field information 2'!$M$5&lt;&gt;"", 'Field information 2'!$O$5&lt;&gt;"", 'Field information 2'!$Q$5&lt;&gt;""),
   IF(AND(Calc!BD150=0,Calc!BE150=0),
     IF('Waste results'!$S$27&lt;&gt;"data missing", Calc!BC150*'Waste results'!$S$27, "data missing"),
   IF(AND(Calc!BC150=0,Calc!BE150=0),
     IF('Waste results'!$S$63&lt;&gt;"data missing", Calc!BD150*'Waste results'!$S$63, "data missing"),
   IF(AND(Calc!BC150=0,Calc!BD150=0),
     IF('Waste results'!$S$99&lt;&gt;"data missing", Calc!BE150*'Waste results'!$S$99, "data missing"),
   IF(Calc!BE150=0,
     IF(OR('Waste results'!$S$27&lt;&gt;"data missing", 'Waste results'!$S$63&lt;&gt;"data missing"), Calc!BC150*'Waste results'!$S$27+ Calc!BD150*'Waste results'!$S$63, "data missing"),
   IF(Calc!BD150=0,
     IF(OR('Waste results'!$S$27&lt;&gt;"data missing", 'Waste results'!$S$99&lt;&gt;"data missing"), Calc!BC150*'Waste results'!$S$27+ Calc!BE150*'Waste results'!$S$99, "data missing"),
   IF(Calc!BC150=0,
     IF(OR('Waste results'!$S$63&lt;&gt;"data missing", 'Waste results'!$S$99&lt;&gt;"data missing"), Calc!BD150*'Waste results'!$S$63+Calc!BE150*'Waste results'!$S$99, "data missing"),
   IF(OR('Waste results'!$S$27&lt;&gt;"data missing", 'Waste results'!$S$63&lt;&gt;"data missing", 'Waste results'!$S$99&lt;&gt;"data missing"), Calc!BC150*'Waste results'!$S$27+Calc!BD150*'Waste results'!$S$63+ Calc!BE150*'Waste results'!$S$99, "data missing")))))))))))</f>
        <v/>
      </c>
      <c r="AW152" s="239" t="str">
        <f ca="1">IF($B152="","",
IF(ISBLANK('Soil results'!M155),"data missing",'Soil results'!M155))</f>
        <v/>
      </c>
      <c r="AX152" s="239" t="str">
        <f t="shared" ca="1" si="44"/>
        <v/>
      </c>
      <c r="AY152" s="9" t="str">
        <f ca="1">IF(B152="","",
IF(AV152=0,"n/a",
IF(OR(AV152="data missing",AW152="data missing"),"data missing",
IF(AV152&gt;7.5,"application rate too high - permissible rate exceeds limit",
IF('Soil results'!$F155&lt;=5.5,
  IF(AW152&gt;80,"no application - soil conc. already above limit",
  IF(AX152&gt;80,"application rate too high - soil conc. will exceed limit",
  IF(AW152&gt;80*0.9,"soil conc. is at or above 90% of the limit",
  IF(10*AV152*1000/3000+AW152&gt;80,"soil limit likely to be exceeded in 10yrs",
  IF(50*AV152*1000/3000+AW152&gt;80,"soil limit likely to be exceeded in 50yrs","ok"))))),
IF('Soil results'!$F155&lt;=6,
  IF(AW152&gt;100,"no application - soil conc. already above limit",
  IF(AX152&gt;100,"application rate too high - soil conc. will exceed limit",
  IF(AW152&gt;100*0.9,"soil conc. is at or above 90% of the limit",
  IF(10*AV152*1000/3000+AW152&gt;100,"soil limit likely to be exceeded in 10yrs",
  IF(50*AV152*1000/3000+AW152&gt;100,"soil limit likely to be exceeded in 50yrs","ok"))))),
IF('Soil results'!$F155&lt;=7,
  IF(AW152&gt;135,"no application - soil conc. already above limit",
  IF(AX152&gt;135,"application rate too high - soil conc. will exceed limit",
  IF(AW152&gt;135*0.9,"soil conc. is at or above 90% of the limit",
  IF(10*AV152*1000/3000+AW152&gt;135,"soil limit likely to be exceeded in 10yrs",
  IF(50*AV152*1000/3000+AW152&gt;135,"soil limit likely to be exceeded in 50yrs","ok"))))),
IF('Soil results'!$F155&gt;7,
  IF(AW152&gt;200,"no application - soil conc. already above limit",
  IF(AX152&gt;200,"application too high - soil conc. will exceed limit",
  IF(AW152&gt;200*0.9,"soil conc. is at or above 90% of the limit",
  IF(10*AV152*1000/3000+AW152&gt;200,"soil limit likely to be exceeded in 10yrs",
  IF(50*AV152*1000/3000+AW152&gt;200,"soil limit likely to be exceeded in 50yrs","ok")))))
))))))))</f>
        <v/>
      </c>
      <c r="AZ152" s="9"/>
      <c r="BA152" s="238" t="str">
        <f ca="1">IF(B152="","",
IF(AND('Field information 2'!$O$5="", 'Field information 2'!$Q$5=""),
   IF('Waste results'!$S$28&lt;&gt;"data missing", Calc!BC150*'Waste results'!$S$28, "data missing"),
IF('Field information 2'!$Q$5="",
   IF(Calc!BD150=0,
     IF('Waste results'!$S$28&lt;&gt;"data missing", Calc!BC150*'Waste results'!$S$28, "data missing"),
   IF(Calc!BC150=0,
     IF('Waste results'!$S$64&lt;&gt;"data missing", Calc!BD150*'Waste results'!$S$64, "data missing"),
   IF(OR('Waste results'!$S$28&lt;&gt;"data missing", 'Waste results'!$S$64&lt;&gt;"data missing"), Calc!BC150*'Waste results'!$S$28+ Calc!BD150*'Waste results'!$S$64, "data missing"))),
IF(AND('Field information 2'!$M$5&lt;&gt;"", 'Field information 2'!$O$5&lt;&gt;"", 'Field information 2'!$Q$5&lt;&gt;""),
   IF(AND(Calc!BD150=0,Calc!BE150=0),
     IF('Waste results'!$S$28&lt;&gt;"data missing", Calc!BC150*'Waste results'!$S$28, "data missing"),
   IF(AND(Calc!BC150=0,Calc!BE150=0),
     IF('Waste results'!$S$64&lt;&gt;"data missing", Calc!BD150*'Waste results'!$S$64, "data missing"),
   IF(AND(Calc!BC150=0,Calc!BD150=0),
     IF('Waste results'!$S$100&lt;&gt;"data missing", Calc!BE150*'Waste results'!$S$100, "data missing"),
   IF(Calc!BE150=0,
     IF(OR('Waste results'!$S$28&lt;&gt;"data missing", 'Waste results'!$S$64&lt;&gt;"data missing"), Calc!BC150*'Waste results'!$S$28+ Calc!BD150*'Waste results'!$S$64, "data missing"),
   IF(Calc!BD150=0,
     IF(OR('Waste results'!$S$28&lt;&gt;"data missing", 'Waste results'!$S$100&lt;&gt;"data missing"), Calc!BC150*'Waste results'!$S$28+ Calc!BE150*'Waste results'!$S$100, "data missing"),
   IF(Calc!BC150=0,
     IF(OR('Waste results'!$S$64&lt;&gt;"data missing", 'Waste results'!$S$100&lt;&gt;"data missing"), Calc!BD150*'Waste results'!$S$64+Calc!BE150*'Waste results'!$S$100, "data missing"),
   IF(OR('Waste results'!$S$28&lt;&gt;"data missing", 'Waste results'!$S$64&lt;&gt;"data missing", 'Waste results'!$S$100&lt;&gt;"data missing"), Calc!BC150*'Waste results'!$S$28+Calc!BD150*'Waste results'!$S$64+ Calc!BE150*'Waste results'!$S$100, "data missing")))))))))))</f>
        <v/>
      </c>
      <c r="BB152" s="239" t="str">
        <f ca="1">IF($B152="","",
IF(ISBLANK('Soil results'!N155),"data missing",'Soil results'!N155))</f>
        <v/>
      </c>
      <c r="BC152" s="239" t="str">
        <f t="shared" ca="1" si="45"/>
        <v/>
      </c>
      <c r="BD152" s="9" t="str">
        <f t="shared" ca="1" si="46"/>
        <v/>
      </c>
      <c r="BE152" s="9"/>
      <c r="BF152" s="238" t="str">
        <f ca="1">IF(B152="","",
IF(AND('Field information 2'!$O$5="", 'Field information 2'!$Q$5=""),
   IF('Waste results'!$S$29&lt;&gt;"data missing", Calc!BC150*'Waste results'!$S$29, "data missing"),
IF('Field information 2'!$Q$5="",
   IF(Calc!BD150=0,
     IF('Waste results'!$S$29&lt;&gt;"data missing", Calc!BC150*'Waste results'!$S$29, "data missing"),
   IF(Calc!BC150=0,
     IF('Waste results'!$S$65&lt;&gt;"data missing", Calc!BD150*'Waste results'!$S$65, "data missing"),
   IF(OR('Waste results'!$S$29&lt;&gt;"data missing", 'Waste results'!$S$65&lt;&gt;"data missing"), Calc!BC150*'Waste results'!$S$29+ Calc!BD150*'Waste results'!$S$65, "data missing"))),
IF(AND('Field information 2'!$M$5&lt;&gt;"", 'Field information 2'!$O$5&lt;&gt;"", 'Field information 2'!$Q$5&lt;&gt;""),
   IF(AND(Calc!BD150=0,Calc!BE150=0),
     IF('Waste results'!$S$29&lt;&gt;"data missing", Calc!BC150*'Waste results'!$S$29, "data missing"),
   IF(AND(Calc!BC150=0,Calc!BE150=0),
     IF('Waste results'!$S$65&lt;&gt;"data missing", Calc!BD150*'Waste results'!$S$65, "data missing"),
   IF(AND(Calc!BC150=0,Calc!BD150=0),
     IF('Waste results'!$S$101&lt;&gt;"data missing", Calc!BE150*'Waste results'!$S$101, "data missing"),
   IF(Calc!BE150=0,
     IF(OR('Waste results'!$S$29&lt;&gt;"data missing", 'Waste results'!$S$65&lt;&gt;"data missing"), Calc!BC150*'Waste results'!$S$29+ Calc!BD150*'Waste results'!$S$65, "data missing"),
   IF(Calc!BD150=0,
     IF(OR('Waste results'!$S$29&lt;&gt;"data missing", 'Waste results'!$S$101&lt;&gt;"data missing"), Calc!BC150*'Waste results'!$S$29+ Calc!BE150*'Waste results'!$S$101, "data missing"),
   IF(Calc!BC150=0,
     IF(OR('Waste results'!$S$65&lt;&gt;"data missing", 'Waste results'!$S$101&lt;&gt;"data missing"), Calc!BD150*'Waste results'!$S$65+Calc!BE150*'Waste results'!$S$101, "data missing"),
   IF(OR('Waste results'!$S$29&lt;&gt;"data missing", 'Waste results'!$S$65&lt;&gt;"data missing", 'Waste results'!$S$101&lt;&gt;"data missing"), Calc!BC150*'Waste results'!$S$29+Calc!BD150*'Waste results'!$S$65+ Calc!BE150*'Waste results'!$S$101, "data missing")))))))))))</f>
        <v/>
      </c>
      <c r="BG152" s="239" t="str">
        <f ca="1">IF($B152="","",
IF(ISBLANK('Soil results'!O155),"data missing",'Soil results'!O155))</f>
        <v/>
      </c>
      <c r="BH152" s="239" t="str">
        <f t="shared" ca="1" si="47"/>
        <v/>
      </c>
      <c r="BI152" s="9" t="str">
        <f ca="1">IF(B152="","",
IF(BF152=0,"n/a",
IF(OR(BF152="data missing",BG152="data missing"),"data missing",
IF(BF152&gt;3,"application rate too high - permissible rate exceeds limit",
IF('Soil results'!F155&lt;=5.5,
  IF(BG152&gt;50,"no application - soil conc. already above limit",
  IF(BH152&gt;50,"application rate too high - soil conc. will exceed limit",
  IF(BG152&gt;50*0.9,"soil conc. is at or above 90% of the limit",
  IF(10*BF152*1000/3000+BG152&gt;50,"soil limit likely to be exceeded in 10yrs",
  IF(50*BF152*1000/3000+BG152&gt;50,"soil limit likely to be exceeded in 50yrs","ok"))))),
IF('Soil results'!F155&lt;=6,
  IF(BG152&gt;60,"no application - soil conc. already above limit",
  IF(BH152&gt;60,"application rate too high - soil conc. will exceed limit",
  IF(BG152&gt;60*0.9,"soil conc. is at or above 90% of the limit",
  IF(10*BF152*1000/3000+BG152&gt;60,"soil limit likely to be exceeded in 10yrs",
  IF(50*BF152*1000/3000+BG152&gt;60,"soil limit likely to be exceeded in 50yrs","ok"))))),
IF('Soil results'!F155&lt;=7,
  IF(BG152&gt;75,"no application - soil conc. already above limit",
  IF(BH152&gt;75,"application rate too high - soil conc. will exceed limit",
  IF(BG152&gt;75*0.9,"soil conc. is at or above 90% of the limit",
  IF(10*BF152*1000/3000+BG152&gt;75,"soil limit likely to be exceeded in 10yrs",
  IF(50*BF152*1000/3000+BG152&gt;75,"soil limit likely to be exceeded in 50yrs","ok"))))),
IF('Soil results'!F155&gt;7,
  IF(BG152&gt;100,"no application - soil conc. already above limit",
  IF(BH152&gt;100,"application rate too high - soil conc. will exceed limit",
  IF(BG152&gt;100*0.9,"soil conc. is at or above 90% of the limit",
  IF(10*BF152*1000/3000+BG152&gt;100,"soil limit likely to be exceeded in 10yrs",
  IF(50*BF152*1000/3000+BG152&gt;100,"soil limit likely to beexceeded in 50yrs","ok")))))
))))))))</f>
        <v/>
      </c>
      <c r="BJ152" s="9"/>
      <c r="BK152" s="240" t="str">
        <f ca="1">IF(B152="","",
IF(AND('Field information 2'!$O$5="", 'Field information 2'!$Q$5=""),
   IF('Waste results'!$S$30&lt;&gt;"data missing", Calc!BC150*'Waste results'!$S$30, "data missing"),
IF('Field information 2'!$Q$5="",
   IF(Calc!BD150=0,
     IF('Waste results'!$S$30&lt;&gt;"data missing", Calc!BC150*'Waste results'!$S$30, "data missing"),
   IF(Calc!BC150=0,
     IF('Waste results'!$S$66&lt;&gt;"data missing", Calc!BD150*'Waste results'!$S$66, "data missing"),
   IF(OR('Waste results'!$S$30&lt;&gt;"data missing", 'Waste results'!$S$66&lt;&gt;"data missing"), Calc!BC150*'Waste results'!$S$30+ Calc!BD150*'Waste results'!$S$66, "data missing"))),
IF(AND('Field information 2'!$M$5&lt;&gt;"", 'Field information 2'!$O$5&lt;&gt;"", 'Field information 2'!$Q$5&lt;&gt;""),
   IF(AND(Calc!BD150=0,Calc!BE150=0),
     IF('Waste results'!$S$30&lt;&gt;"data missing", Calc!BC150*'Waste results'!$S$30, "data missing"),
   IF(AND(Calc!BC150=0,Calc!BE150=0),
     IF('Waste results'!$S$66&lt;&gt;"data missing", Calc!BD150*'Waste results'!$S$66, "data missing"),
   IF(AND(Calc!BC150=0,Calc!BD150=0),
     IF('Waste results'!$S$102&lt;&gt;"data missing", Calc!BE150*'Waste results'!$S$102, "data missing"),
   IF(Calc!BE150=0,
     IF(OR('Waste results'!$S$30&lt;&gt;"data missing", 'Waste results'!$S$66&lt;&gt;"data missing"), Calc!BC150*'Waste results'!$S$30+ Calc!BD150*'Waste results'!$S$66, "data missing"),
   IF(Calc!BD150=0,
     IF(OR('Waste results'!$S$30&lt;&gt;"data missing", 'Waste results'!$S$102&lt;&gt;"data missing"), Calc!BC150*'Waste results'!$S$30+ Calc!BE150*'Waste results'!$S$102, "data missing"),
   IF(Calc!BC150=0,
     IF(OR('Waste results'!$S$66&lt;&gt;"data missing", 'Waste results'!$S$102&lt;&gt;"data missing"), Calc!BD150*'Waste results'!$S$66+Calc!BE150*'Waste results'!$S$102, "data missing"),
   IF(OR('Waste results'!$S$30&lt;&gt;"data missing", 'Waste results'!$S$66&lt;&gt;"data missing", 'Waste results'!$S$102&lt;&gt;"data missing"), Calc!BC150*'Waste results'!$S$30+Calc!BD150*'Waste results'!$S$66+ Calc!BE150*'Waste results'!$S$102, "data missing")))))))))))</f>
        <v/>
      </c>
      <c r="BL152" s="241" t="str">
        <f ca="1">IF($B152="","",
IF(ISBLANK('Soil results'!P155),"data missing",'Soil results'!P155))</f>
        <v/>
      </c>
      <c r="BM152" s="241" t="str">
        <f t="shared" ca="1" si="48"/>
        <v/>
      </c>
      <c r="BN152" s="66" t="str">
        <f t="shared" ca="1" si="49"/>
        <v/>
      </c>
      <c r="BO152" s="9"/>
      <c r="BP152" s="238" t="str">
        <f ca="1">IF(B152="","",
IF(AND('Field information 2'!$O$5="", 'Field information 2'!$Q$5=""),
   IF('Waste results'!$S$31&lt;&gt;"data missing", Calc!BC150*'Waste results'!$S$31, "data missing"),
IF('Field information 2'!$Q$5="",
   IF(Calc!BD150=0,
     IF('Waste results'!$S$31&lt;&gt;"data missing", Calc!BC150*'Waste results'!$S$31, "data missing"),
   IF(Calc!BC150=0,
     IF('Waste results'!$S$67&lt;&gt;"data missing", Calc!BD150*'Waste results'!$S$67, "data missing"),
   IF(OR('Waste results'!$S$31&lt;&gt;"data missing", 'Waste results'!$S$67&lt;&gt;"data missing"), Calc!BC150*'Waste results'!$S$31+ Calc!BD150*'Waste results'!$S$67, "data missing"))),
IF(AND('Field information 2'!$M$5&lt;&gt;"", 'Field information 2'!$O$5&lt;&gt;"", 'Field information 2'!$Q$5&lt;&gt;""),
   IF(AND(Calc!BD150=0,Calc!BE150=0),
     IF('Waste results'!$S$31&lt;&gt;"data missing", Calc!BC150*'Waste results'!$S$31, "data missing"),
   IF(AND(Calc!BC150=0,Calc!BE150=0),
     IF('Waste results'!$S$67&lt;&gt;"data missing", Calc!BD150*'Waste results'!$S$67, "data missing"),
   IF(AND(Calc!BC150=0,Calc!BD150=0),
     IF('Waste results'!$S$103&lt;&gt;"data missing", Calc!BE150*'Waste results'!$S$103, "data missing"),
   IF(Calc!BE150=0,
     IF(OR('Waste results'!$S$31&lt;&gt;"data missing", 'Waste results'!$S$67&lt;&gt;"data missing"), Calc!BC150*'Waste results'!$S$31+ Calc!BD150*'Waste results'!$S$67, "data missing"),
   IF(Calc!BD150=0,
     IF(OR('Waste results'!$S$31&lt;&gt;"data missing", 'Waste results'!$S$103&lt;&gt;"data missing"), Calc!BC150*'Waste results'!$S$31+ Calc!BE150*'Waste results'!$S$103, "data missing"),
   IF(Calc!BC150=0,
     IF(OR('Waste results'!$S$67&lt;&gt;"data missing", 'Waste results'!$S$103&lt;&gt;"data missing"), Calc!BD150*'Waste results'!$S$67+Calc!BE150*'Waste results'!$S$103, "data missing"),
   IF(OR('Waste results'!$S$31&lt;&gt;"data missing", 'Waste results'!$S$67&lt;&gt;"data missing", 'Waste results'!$S$103&lt;&gt;"data missing"), Calc!BC150*'Waste results'!$S$31+Calc!BD150*'Waste results'!$S$67+ Calc!BE150*'Waste results'!$S$103, "data missing")))))))))))</f>
        <v/>
      </c>
      <c r="BQ152" s="239" t="str">
        <f ca="1">IF($B152="","",
IF(ISBLANK('Soil results'!Q155),"data missing",'Soil results'!Q155))</f>
        <v/>
      </c>
      <c r="BR152" s="239" t="str">
        <f t="shared" ca="1" si="50"/>
        <v/>
      </c>
      <c r="BS152" s="9" t="str">
        <f ca="1">IF(B152="","",
IF(BP152=0,"n/a",
IF(OR(BP152="data missing",BQ152=""),"data missing",
IF(BP152&gt;15,"application rate too high - permissible rate exceeds limit",
IF('Soil results'!F155&lt;=5.5,
  IF(BQ152&gt;200,"no application - soil conc. already above limit",
  IF(BR152&gt;200,"application rate too high - soil conc. will exceed limit",
  IF(BQ152&gt;200*0.9,"soil conc. is at or above 90% of the limit",
  IF(10*BP152*1000/3000+BQ152&gt;200,"soil limit likely to be exceeded in 10yrs",
  IF(50*BP152*1000/3000+BQ152&gt;200,"soil limit likely to be exceeded in 50yrs","ok"))))),
IF('Soil results'!F155&lt;=6,
  IF(BQ152&gt;250,"no application - soil conc. already above limit",
  IF(BR152&gt;250,"application rate too high - soil conc. will exceed limit",
  IF(BQ152&gt;250*0.9,"soil conc. is at or above 90% of the limit",
  IF(10*BP152*1000/3000+BQ152&gt;250,"soil limit likely to be exceeded in 10yrs",
  IF(50*BP152*1000/3000+BQ152&gt;250,"soil limit likely to be exceeded in 50yrs","ok"))))),
IF('Soil results'!F155&lt;=7,
  IF(BQ152&gt;300,"no application - soil conc. already above limit",
  IF(BR152&gt;300,"application rate too high - soil conc. will exceed limit",
  IF(BQ152&gt;300*0.9,"soil conc. is at or above 90% of the limit",
  IF(10*BP152*1000/3000+BQ152&gt;300,"soil limit likey to be exceeded in 10yrs",
  IF(50*BP152*1000/3000+BQ152&gt;300,"soil limit likely to be exceeded in 50yrs","ok"))))),
IF('Soil results'!F155&gt;7,
  IF(BQ152&gt;450,"no application - soil conc. already above limit",
  IF(BR152&gt;450,"application rate too high - soil conc. will exceed limit",
  IF(AW152&gt;450*0.9,"soil conc. is at or above 90% of the limit",
  IF(10*BP152*1000/3000+BQ152&gt;450,"soil limit likely to be exceeded in 10yrs",
  IF(50*BP152*1000/3000+BQ152&gt;450,"soil limit likely to be exceeded in 50yrs","ok")))))
))))))))</f>
        <v/>
      </c>
    </row>
    <row r="153" spans="2:71" ht="15" x14ac:dyDescent="0.25">
      <c r="B153" s="236" t="str">
        <f ca="1">'Soil results'!B156</f>
        <v/>
      </c>
      <c r="C153" s="91" t="str">
        <f ca="1">IF(B153="","",
IF(AND('Field information 2'!$O$5="", 'Field information 2'!$Q$5=""),
   IF('Waste results'!$S$12&lt;&gt;"data missing", Calc!BC151*'Waste results'!$S$12, "data missing"),
IF('Field information 2'!$Q$5="",
   IF(Calc!BD151=0,
     IF('Waste results'!$S$12&lt;&gt;"data missing", Calc!BC151*'Waste results'!$S$12, "data missing"),
   IF(Calc!BC151=0,
     IF('Waste results'!$S$48&lt;&gt;"data missing", Calc!BD151*'Waste results'!$S$48, "data missing"),
   IF(OR('Waste results'!$S$12&lt;&gt;"data missing", 'Waste results'!$S$48&lt;&gt;"data missing"), Calc!BC151*'Waste results'!$S$12+ Calc!BD151*'Waste results'!$S$48, "data missing"))),
IF(AND('Field information 2'!$M$5&lt;&gt;"", 'Field information 2'!$O$5&lt;&gt;"", 'Field information 2'!$Q$5&lt;&gt;""),
   IF(AND(Calc!BD151=0,Calc!BE151=0),
     IF('Waste results'!$S$12&lt;&gt;"data missing", Calc!BC151*'Waste results'!$S$12, "data missing"),
   IF(AND(Calc!BC151=0,Calc!BE151=0),
     IF('Waste results'!$S$48&lt;&gt;"data missing", Calc!BD151*'Waste results'!$S$48, "data missing"),
   IF(AND(Calc!BC151=0,Calc!BD151=0),
     IF('Waste results'!$S$84&lt;&gt;"data missing", Calc!BE151*'Waste results'!$S$84, "data missing"),
   IF(Calc!BE151=0,
     IF(OR('Waste results'!$S$12&lt;&gt;"data missing", 'Waste results'!$S$48&lt;&gt;"data missing"), Calc!BC151*'Waste results'!$S$12+ Calc!BD151*'Waste results'!$S$48, "data missing"),
   IF(Calc!BD151=0,
     IF(OR('Waste results'!$S$12&lt;&gt;"data missing", 'Waste results'!$S$84&lt;&gt;"data missing"), Calc!BC151*'Waste results'!$S$12+ Calc!BE151*'Waste results'!$S$84, "data missing"),
   IF(Calc!BC151=0,
     IF(OR('Waste results'!$S$48&lt;&gt;"data missing", 'Waste results'!$S$84&lt;&gt;"data missing"), Calc!BD151*'Waste results'!$S$48+Calc!BE151*'Waste results'!$S$84, "data missing"),
   IF(OR('Waste results'!$S$12&lt;&gt;"data missing", 'Waste results'!$S$48&lt;&gt;"data missing", 'Waste results'!$S$84&lt;&gt;"data missing"), Calc!BC151*'Waste results'!$S$12+Calc!BD151*'Waste results'!$S$48+ Calc!BE151*'Waste results'!$S$84, "data missing")))))))))))</f>
        <v/>
      </c>
      <c r="D153" s="161" t="str">
        <f ca="1">IF(B153="","",
IF(Calc!BG151="","soil texture missing",
IF(OR(Calc!BG151="SL; SZL; ZL",Calc!BG151="SCL; CL; ZCL; SC; ZC; C"),VLOOKUP(Calc!BI151,'Fertiliser recommendations'!$A$4:$C$63,3,FALSE),
IF(Calc!BG151="S; LS",VLOOKUP(Calc!BI151,'Fertiliser recommendations'!$A$4:$C$63,3,FALSE)+VLOOKUP(Calc!BI151,'Fertiliser recommendations'!$A$4:$D$63,4,FALSE),
IF(Calc!BG151="10-25% OM",VLOOKUP(Calc!BI151,'Fertiliser recommendations'!$A$4:$C$63,3,FALSE)+VLOOKUP(Calc!BI151,'Fertiliser recommendations'!$A$4:$E$63,5,FALSE),
IF(Calc!BG151="&gt;25% OM",VLOOKUP(Calc!BI151,'Fertiliser recommendations'!$A$4:$C$63,3,FALSE)+VLOOKUP(Calc!BI151,'Fertiliser recommendations'!$A$4:$F$63,6,FALSE),
""))))))</f>
        <v/>
      </c>
      <c r="E153" s="91" t="str">
        <f t="shared" ca="1" si="34"/>
        <v/>
      </c>
      <c r="F153" s="9" t="str">
        <f ca="1">IF(B153="","",
IF(OR(C153="data missing",D153="soil texture missing"),"data missing",
IF(Calc!BF151=0,"n/a",
IF(C153&lt;0.1*D153,"no benefit",
IF(C153&lt;0.3*D153,"limited benefit",
IF(C153&gt;250,"exceeds limit",
IF(OR(AND(D153=0,C153&gt;75),C153&gt;1.25*D153),"excessive",
IF(D153=0, "no requirement",
"benefit"))))))))</f>
        <v/>
      </c>
      <c r="G153" s="9"/>
      <c r="H153" s="91" t="str">
        <f ca="1">IF(B153="","",
IF(AND('Field information 2'!$O$5="", 'Field information 2'!$Q$5=""),
   IF('Waste results'!$S$17&lt;&gt;"data missing", Calc!BC151*'Waste results'!$S$17, "data missing"),
IF('Field information 2'!$Q$5="",
   IF(Calc!BD151=0,
     IF('Waste results'!$S$17&lt;&gt;"data missing", Calc!BC151*'Waste results'!$S$17, "data missing"),
   IF(Calc!BC151=0,
     IF('Waste results'!$S$53&lt;&gt;"data missing", Calc!BD151*'Waste results'!$S$53, "data missing"),
   IF(OR('Waste results'!$S$17&lt;&gt;"data missing", 'Waste results'!$S$53&lt;&gt;"data missing"), Calc!BC151*'Waste results'!$S$17+ Calc!BD151*'Waste results'!$S$53, "data missing"))),
IF(AND('Field information 2'!$M$5&lt;&gt;"", 'Field information 2'!$O$5&lt;&gt;"", 'Field information 2'!$Q$5&lt;&gt;""),
   IF(AND(Calc!BD151=0,Calc!BE151=0),
     IF('Waste results'!$S$17&lt;&gt;"data missing", Calc!BC151*'Waste results'!$S$17, "data missing"),
   IF(AND(Calc!BC151=0,Calc!BE151=0),
     IF('Waste results'!$S$53&lt;&gt;"data missing", Calc!BD151*'Waste results'!$S$53, "data missing"),
   IF(AND(Calc!BC151=0,Calc!BD151=0),
     IF('Waste results'!$S$89&lt;&gt;"data missing", Calc!BE151*'Waste results'!$S$89, "data missing"),
   IF(Calc!BE151=0,
     IF(OR('Waste results'!$S$17&lt;&gt;"data missing", 'Waste results'!$S$53&lt;&gt;"data missing"), Calc!BC151*'Waste results'!$S$17+ Calc!BD151*'Waste results'!$S$53, "data missing"),
   IF(Calc!BD151=0,
     IF(OR('Waste results'!$S$17&lt;&gt;"data missing", 'Waste results'!$S$89&lt;&gt;"data missing"), Calc!BC151*'Waste results'!$S$17+ Calc!BE151*'Waste results'!$S$89, "data missing"),
   IF(Calc!BC151=0,
     IF(OR('Waste results'!$S$53&lt;&gt;"data missing", 'Waste results'!$S$89&lt;&gt;"data missing"), Calc!BD151*'Waste results'!$S$53+Calc!BE151*'Waste results'!$S$89, "data missing"),
   IF(OR('Waste results'!$S$17&lt;&gt;"data missing", 'Waste results'!$S$53&lt;&gt;"data missing", 'Waste results'!$S$89&lt;&gt;"data missing"), Calc!BC151*'Waste results'!$S$17+Calc!BD151*'Waste results'!$S$53+ Calc!BE151*'Waste results'!$S$89, "data missing")))))))))))</f>
        <v/>
      </c>
      <c r="I153" s="195" t="str">
        <f ca="1">IF(B153="","",
IF(OR(ISBLANK('Soil results'!G156), ISBLANK('Soil results'!G$7)),"data missing",
IF(OR(AND('Soil results'!G$7="Olsen (ADAS)",'Soil results'!G156&lt;16),AND('Soil results'!G$7="modified Morgan (SAC)",'Soil results'!G156&lt;4.5)),50,100)))</f>
        <v/>
      </c>
      <c r="J153" s="49" t="str">
        <f ca="1">IF(B153="","",
IF(OR(ISBLANK('Soil results'!G$7),ISBLANK('Soil results'!G156)),"data missing",
IF(OR(AND('Soil results'!G$7="Olsen (ADAS)",'Soil results'!G156&gt;45),AND('Soil results'!G$7="modified Morgan (SAC)",'Soil results'!G156&gt;30)),0,
IF(OR(AND('Soil results'!G$7="Olsen (ADAS)",'Soil results'!G156&gt;=16,'Soil results'!G156&lt;=20),AND('Soil results'!G$7="modified Morgan (SAC)",'Soil results'!G156&gt;=4.5,'Soil results'!G156&lt;=9.4)),VLOOKUP(Calc!BI151,'Fertiliser recommendations'!$A$4:$I$63,9,FALSE),
IF(OR(AND('Soil results'!G$7="Olsen (ADAS)",'Soil results'!G156&lt;10),AND('Soil results'!G$7="modified Morgan (SAC)",'Soil results'!G156&lt;1.8)),VLOOKUP(Calc!BI151,'Fertiliser recommendations'!$A$4:$I$63,9,FALSE)+VLOOKUP(Calc!BI151,'Fertiliser recommendations'!$A$4:$J$63,10,FALSE),
IF(OR(AND('Soil results'!G$7="Olsen (ADAS)",'Soil results'!G156&lt;16),AND('Soil results'!G$7="modified Morgan (SAC)",'Soil results'!G156&lt;4.5)),VLOOKUP(Calc!BI151,'Fertiliser recommendations'!$A$4:$I$63,9,FALSE)+VLOOKUP(Calc!BI151,'Fertiliser recommendations'!$A$4:$K$63,11,FALSE),
IF(OR(AND('Soil results'!G$7="Olsen (ADAS)",'Soil results'!G156&lt;26),AND('Soil results'!G$7="modified Morgan (SAC)",'Soil results'!G156&lt;13.5)),VLOOKUP(Calc!BI151,'Fertiliser recommendations'!$A$4:$I$63,9,FALSE)+VLOOKUP(Calc!BI151,'Fertiliser recommendations'!$A$4:$L$63,12,FALSE),
IF(OR(AND('Soil results'!G$7="Olsen (ADAS)",'Soil results'!G156&lt;=45),AND('Soil results'!G$7="modified Morgan (SAC)",'Soil results'!G156&lt;=30)),VLOOKUP(Calc!BI151,'Fertiliser recommendations'!$A$4:$I$63,9,FALSE)+VLOOKUP(Calc!BI151,'Fertiliser recommendations'!$A$4:$M$63,13,FALSE),
""))))))))</f>
        <v/>
      </c>
      <c r="K153" s="161" t="str">
        <f t="shared" ca="1" si="35"/>
        <v/>
      </c>
      <c r="L153" s="47" t="str">
        <f ca="1">IF(OR(ISBLANK('Soil results'!G$7),ISBLANK('Soil results'!G156),B153="", H153="data missing"),"",
IF('Soil results'!G$7="Olsen (ADAS)",
IF(((H153*Calc!BM151/2.291-(VLOOKUP(Calc!BI151,'Fertiliser recommendations'!$A$4:$I$63,9,FALSE))/2.291)*10/(400/2.291)+'Soil results'!G156)&lt;10,"0 (VL)",
IF(((H153*Calc!BM151/2.291-(VLOOKUP(Calc!BI151,'Fertiliser recommendations'!$A$4:$I$63,9,FALSE))/2.291)*10/(400/2.291)+'Soil results'!G156)&lt;16,"1 (L)",
IF(((H153*Calc!BM151/2.291-(VLOOKUP(Calc!BI151,'Fertiliser recommendations'!$A$4:$I$63,9,FALSE))/2.291)*10/(400/2.291)+'Soil results'!G156)&lt;21,"2 (M-)",
IF(((H153*Calc!BM151/2.291-(VLOOKUP(Calc!BI151,'Fertiliser recommendations'!$A$4:$I$63,9,FALSE))/2.291)*10/(400/2.291)+'Soil results'!G156)&lt;26,"2 (M+)",
IF(((H153*Calc!BM151/2.291-(VLOOKUP(Calc!BI151,'Fertiliser recommendations'!$A$4:$I$63,9,FALSE))/2.291)*10/(400/2.291)+'Soil results'!G156)&lt;45,"3 (H)","&gt;3 (VH)"))))),
IF('Soil results'!G$7="modified Morgan (SAC)",
IF('Soil results'!G156&gt;=6,
IF(((H153*Calc!BM151/2.291-(VLOOKUP(Calc!BI151,'Fertiliser recommendations'!$A$4:$I$63,9,FALSE))/2.291)*5/(147/2.291)+'Soil results'!G156)&lt;9.5,"2 (M-)",
IF(((H153*Calc!BM151/2.291-(VLOOKUP(Calc!BI151,'Fertiliser recommendations'!$A$4:$I$63,9,FALSE))/2.291)*5/(147/2.291)+'Soil results'!G156)&lt;13.5,"2 (M+)",
IF(((H153*Calc!BM151/2.291-(VLOOKUP(Calc!BI151,'Fertiliser recommendations'!$A$4:$I$63,9,FALSE))/2.291)*5/(147/2.291)+'Soil results'!G156)&lt;30,"3 (H)","4 (VH)"))),
IF(((H153*Calc!BM151/2.291-(VLOOKUP(Calc!BI151,'Fertiliser recommendations'!$A$4:$I$63,9,FALSE))/2.291)*5/(346/2.291)+'Soil results'!G156)&lt;1.8,"0 (VL)",
IF(((H153*Calc!BM151/2.291-(VLOOKUP(Calc!BI151,'Fertiliser recommendations'!$A$4:$I$63,9,FALSE))/2.291)*5/(147/2.291)+'Soil results'!G156)&lt;4.5,"1 (L)","2 (M-)"))))))</f>
        <v/>
      </c>
      <c r="M153" s="9" t="str">
        <f ca="1">IF(B153="","",
IF(OR(H153="data missing",I153="data missing",J153="data missing"),"data missing",
IF(Calc!BF151=0,"n/a",
IF(OR(AND('Soil results'!G$7="Olsen (ADAS)",'Soil results'!G156&gt;45),AND('Soil results'!G$7="modified Morgan (SAC)",'Soil results'!G156&gt;30)),
IF(H153&gt;2,"too high, not acceptable","no requirement"),IF(OR(AND('Soil results'!G$7="Olsen (ADAS)",'Soil results'!G156&gt;25),AND('Soil results'!G$7="modified Morgan (SAC)",'Soil results'!G156&gt;13.4)),
IF(H153*(I153/100)&lt;0.1*J153,"no benefit",
IF(H153*(I153/100)&lt;0.3*J153,"limited benefit",
IF(H153*(I153/100)&lt;1.1*J153,"benefit",
IF(H153*(I153/100)&lt;0.7*VLOOKUP(Calc!BI151,'Fertiliser recommendations'!$A$4:$I$63,9,FALSE),"excessive","too high, not acceptable")))),
IF(OR(AND('Soil results'!G$7="Olsen (ADAS)",'Soil results'!G156&gt;20),AND('Soil results'!G$7="modified Morgan (SAC)",'Soil results'!G156&gt;9.4)),
IF(H153*Calc!BM151*(I153/100)&lt;0.1*J153,"no benefit",
IF(H153*Calc!BM151*(I153/100)&lt;0.3*J153,"limited benefit",
IF(H153*Calc!BM151*(I153/100)&lt;1.1*J153,"benefit",
IF(L153="3 (H)","too high, not acceptable","excessive")))),
IF(OR(AND('Soil results'!G$7="Olsen (ADAS)",'Soil results'!G156&gt;15),AND('Soil results'!G$7="modified Morgan (SAC)",'Soil results'!G156&gt;4.4)),
IF(H153*Calc!BM151*(I153/100)&lt;0.1*VLOOKUP(Calc!BI151,'Fertiliser recommendations'!$A$4:$I$63,9,FALSE),"no benefit",
IF(H153*Calc!BM151*(I153/100)&lt;0.3*VLOOKUP(Calc!BI151,'Fertiliser recommendations'!$A$4:$I$63,9,FALSE),"limited benefit",
IF(H153*Calc!BM151*(I153/100)&lt;1.1*VLOOKUP(Calc!BI151,'Fertiliser recommendations'!$A$4:$I$63,9,FALSE),"benefit",
IF(L153="3 (H)", "too high, not acceptable", "excessive")))),
IF(OR(AND('Soil results'!G$7="Olsen (ADAS)",'Soil results'!G156&lt;=15),AND('Soil results'!G$7="modified Morgan (SAC)",'Soil results'!G156&lt;=4.4)),
IF(H153*Calc!BM151*(I153/100)&lt;0.1*VLOOKUP(Calc!BI151,'Fertiliser recommendations'!$A$4:$I$63,9,FALSE),"no benefit",
IF(H153*Calc!BM151*(I153/100)&lt;0.3*VLOOKUP(Calc!BI151,'Fertiliser recommendations'!$A$4:$I$63,9,FALSE),"limited benefit",
IF(H153*Calc!BM151*(I153/100)&lt;1.1*J153,"benefit","excessive")))))))))))</f>
        <v/>
      </c>
      <c r="N153" s="9"/>
      <c r="O153" s="91" t="str">
        <f ca="1">IF(B153="","",
IF(AND('Field information 2'!$O$5="", 'Field information 2'!$Q$5=""),
   IF('Waste results'!$S$19&lt;&gt;"data missing", Calc!BC151*'Waste results'!$S$19, "data missing"),
IF('Field information 2'!$Q$5="",
   IF(Calc!BD151=0,
     IF('Waste results'!$S$19&lt;&gt;"data missing", Calc!BC151*'Waste results'!$S$19, "data missing"),
   IF(Calc!BC151=0,
     IF('Waste results'!$S$55&lt;&gt;"data missing", Calc!BD151*'Waste results'!$S$55, "data missing"),
   IF(OR('Waste results'!$S$19&lt;&gt;"data missing", 'Waste results'!$S$55&lt;&gt;"data missing"), Calc!BC151*'Waste results'!$S$19+ Calc!BD151*'Waste results'!$S$55, "data missing"))),
IF(AND('Field information 2'!$M$5&lt;&gt;"", 'Field information 2'!$O$5&lt;&gt;"", 'Field information 2'!$Q$5&lt;&gt;""),
   IF(AND(Calc!BD151=0,Calc!BE151=0),
     IF('Waste results'!$S$19&lt;&gt;"data missing", Calc!BC151*'Waste results'!$S$19, "data missing"),
   IF(AND(Calc!BC151=0,Calc!BE151=0),
     IF('Waste results'!$S$55&lt;&gt;"data missing", Calc!BD151*'Waste results'!$S$55, "data missing"),
   IF(AND(Calc!BC151=0,Calc!BD151=0),
     IF('Waste results'!$S$91&lt;&gt;"data missing", Calc!BE151*'Waste results'!$S$91, "data missing"),
   IF(Calc!BE151=0,
     IF(OR('Waste results'!$S$19&lt;&gt;"data missing", 'Waste results'!$S$55&lt;&gt;"data missing"), Calc!BC151*'Waste results'!$S$19+ Calc!BD151*'Waste results'!$S$55, "data missing"),
   IF(Calc!BD151=0,
     IF(OR('Waste results'!$S$19&lt;&gt;"data missing", 'Waste results'!$S$91&lt;&gt;"data missing"), Calc!BC151*'Waste results'!$S$19+ Calc!BE151*'Waste results'!$S$91, "data missing"),
   IF(Calc!BC151=0,
     IF(OR('Waste results'!$S$55&lt;&gt;"data missing", 'Waste results'!$S$91&lt;&gt;"data missing"), Calc!BD151*'Waste results'!$S$55+Calc!BE151*'Waste results'!$S$91, "data missing"),
   IF(OR('Waste results'!$S$19&lt;&gt;"data missing", 'Waste results'!$S$55&lt;&gt;"data missing", 'Waste results'!$S$91&lt;&gt;"data missing"), Calc!BC151*'Waste results'!$S$19+Calc!BD151*'Waste results'!$S$55+ Calc!BE151*'Waste results'!$S$91, "data missing")))))))))))</f>
        <v/>
      </c>
      <c r="P153" s="91" t="str">
        <f ca="1">IF(B153="","",
IF(OR(ISBLANK('Soil results'!H$7),ISBLANK('Soil results'!H156)),"data missing",
IF(OR(AND('Soil results'!H$7="ammonium nitrate (ADAS)",'Soil results'!H156&gt;400),AND('Soil results'!H$7="modified Morgan (SAC)",'Soil results'!H156&gt;400)),0,
IF(OR(AND('Soil results'!H$7="ammonium nitrate (ADAS)",'Soil results'!H156&gt;=121,'Soil results'!H156&lt;=180),AND('Soil results'!H$7="modified Morgan (SAC)",'Soil results'!H156&gt;=76,'Soil results'!H156&lt;=140)),VLOOKUP(Calc!BI151,'Fertiliser recommendations'!$A$4:$Z$63,26,FALSE),
IF(OR(AND('Soil results'!H$7="ammonium nitrate (ADAS)",'Soil results'!H156&lt;61),AND('Soil results'!H$7="modified Morgan (SAC)",'Soil results'!H156&lt;40)),VLOOKUP(Calc!BI151,'Fertiliser recommendations'!$A$4:$Z$63,26,FALSE)+VLOOKUP(Calc!BI151,'Fertiliser recommendations'!$A$4:$AA$63,27,FALSE),
IF(OR(AND('Soil results'!H$7="ammonium nitrate (ADAS)",'Soil results'!H156&lt;121),AND('Soil results'!H$7="modified Morgan (SAC)",'Soil results'!H156&lt;76)),VLOOKUP(Calc!BI151,'Fertiliser recommendations'!$A$4:$Z$63,26,FALSE)+VLOOKUP(Calc!BI151,'Fertiliser recommendations'!$A$4:$AB$63,28,FALSE),
IF(OR(AND('Soil results'!H$7="ammonium nitrate (ADAS)",'Soil results'!H156&lt;241),AND('Soil results'!H$7="modified Morgan (SAC)",'Soil results'!H156&lt;201)),VLOOKUP(Calc!BI151,'Fertiliser recommendations'!$A$4:$Z$63,26,FALSE)+VLOOKUP(Calc!BI151,'Fertiliser recommendations'!$A$4:$AC$63,29,FALSE),
IF(OR(AND('Soil results'!H$7="ammonium nitrate (ADAS)",'Soil results'!H156&lt;=400),AND('Soil results'!H$7="modified Morgan (SAC)",'Soil results'!H156&lt;=400)),VLOOKUP(Calc!BI151,'Fertiliser recommendations'!$A$4:$Z$63,26,FALSE)+VLOOKUP(Calc!BI151,'Fertiliser recommendations'!$A$4:$AD$63,30,FALSE),
"??"))))))))</f>
        <v/>
      </c>
      <c r="Q153" s="91" t="str">
        <f t="shared" ca="1" si="36"/>
        <v/>
      </c>
      <c r="R153" s="9" t="str">
        <f ca="1">IF(B153="","",
IF(OR(O153="data missing",P153="data missing"),"data missing",
IF(Calc!BF151=0,"n/a",
IF(P153=0, "no requirement",
IF(O153&lt;0.1*P153,"no benefit",
IF(O153&lt;0.3*P153,"limited benefit",
IF(O153&gt;1.25*P153,"excessive",
"benefit")))))))</f>
        <v/>
      </c>
      <c r="S153" s="9"/>
      <c r="T153" s="91" t="str">
        <f ca="1">IF(B153="","",
IF(AND('Field information 2'!$O$5="", 'Field information 2'!$Q$5=""),
   IF('Waste results'!$S$21&lt;&gt;"data missing", Calc!BC151*'Waste results'!$S$21, "data missing"),
IF('Field information 2'!$Q$5="",
   IF(Calc!BD151=0,
     IF('Waste results'!$S$21&lt;&gt;"data missing", Calc!BC151*'Waste results'!$S$21, "data missing"),
   IF(Calc!BC151=0,
     IF('Waste results'!$S$57&lt;&gt;"data missing", Calc!BD151*'Waste results'!$S$57, "data missing"),
   IF(OR('Waste results'!$S$21&lt;&gt;"data missing", 'Waste results'!$S$57&lt;&gt;"data missing"), Calc!BC151*'Waste results'!$S$21+ Calc!BD151*'Waste results'!$S$57, "data missing"))),
IF(AND('Field information 2'!$M$5&lt;&gt;"", 'Field information 2'!$O$5&lt;&gt;"", 'Field information 2'!$Q$5&lt;&gt;""),
   IF(AND(Calc!BD151=0,Calc!BE151=0),
     IF('Waste results'!$S$21&lt;&gt;"data missing", Calc!BC151*'Waste results'!$S$21, "data missing"),
   IF(AND(Calc!BC151=0,Calc!BE151=0),
     IF('Waste results'!$S$57&lt;&gt;"data missing", Calc!BD151*'Waste results'!$S$57, "data missing"),
   IF(AND(Calc!BC151=0,Calc!BD151=0),
     IF('Waste results'!$S$93&lt;&gt;"data missing", Calc!BE151*'Waste results'!$S$93, "data missing"),
   IF(Calc!BE151=0,
     IF(OR('Waste results'!$S$21&lt;&gt;"data missing", 'Waste results'!$S$57&lt;&gt;"data missing"), Calc!BC151*'Waste results'!$S$21+ Calc!BD151*'Waste results'!$S$57, "data missing"),
   IF(Calc!BD151=0,
     IF(OR('Waste results'!$S$21&lt;&gt;"data missing", 'Waste results'!$S$93&lt;&gt;"data missing"), Calc!BC151*'Waste results'!$S$21+ Calc!BE151*'Waste results'!$S$93, "data missing"),
   IF(Calc!BC151=0,
     IF(OR('Waste results'!$S$57&lt;&gt;"data missing", 'Waste results'!$S$93&lt;&gt;"data missing"), Calc!BD151*'Waste results'!$S$57+Calc!BE151*'Waste results'!$S$93, "data missing"),
   IF(OR('Waste results'!$S$21&lt;&gt;"data missing", 'Waste results'!$S$57&lt;&gt;"data missing", 'Waste results'!$S$93&lt;&gt;"data missing"), Calc!BC151*'Waste results'!$S$21+Calc!BD151*'Waste results'!$S$57+ Calc!BE151*'Waste results'!$S$93, "data missing")))))))))))</f>
        <v/>
      </c>
      <c r="U153" s="7" t="str">
        <f ca="1">IF(B153="","",
IF(OR(ISBLANK('Soil results'!I$7),ISBLANK('Soil results'!I156)),"data missing",
IF(OR(AND('Soil results'!I$7="ammonium nitrate (ADAS)",'Soil results'!I156&gt;51),AND('Soil results'!I$7="modified Morgan (SAC)",'Soil results'!I156&gt;61)),0,
IF(OR(AND('Soil results'!I$7="ammonium nitrate (ADAS)",'Soil results'!I156&lt;25),AND('Soil results'!I$7="modified Morgan (SAC)",'Soil results'!I156&lt;19)),VLOOKUP(Calc!BI151,'Fertiliser recommendations'!$A$4:$AH$63,34,FALSE),
IF(OR(AND('Soil results'!I$7="ammonium nitrate (ADAS)",'Soil results'!I156&lt;=51),AND('Soil results'!I$7="modified Morgan (SAC)",'Soil results'!I156&lt;=61)),VLOOKUP(Calc!BI151,'Fertiliser recommendations'!$A$4:$AI$63,35,FALSE),
"")))))</f>
        <v/>
      </c>
      <c r="V153" s="91" t="str">
        <f t="shared" ca="1" si="37"/>
        <v/>
      </c>
      <c r="W153" s="9" t="str">
        <f ca="1">IF(B153="","",
IF(OR(T153="data missing",U153="data missing"),"data missing",
IF(Calc!BF151=0,"n/a",
IF(U153=0,"no requirement",
IF(T153&lt;0.1*U153,"no benefit",
IF(T153&lt;0.3*U153,"limited benefit",
IF(OR(T153&gt;1.5*U153,AND(Calc!BJ151="g",T153&gt;100)),"excessive",
"benefit")))))))</f>
        <v/>
      </c>
      <c r="X153" s="9"/>
      <c r="Y153" s="91" t="str">
        <f ca="1">IF(B153="","",
IF(AND('Field information 2'!$O$5="", 'Field information 2'!$Q$5=""),
   IF('Waste results'!$P$23&lt;&gt;"", Calc!BC151*'Waste results'!$P$23, "no data"),
IF('Field information 2'!$Q$5="",
   IF(Calc!BD151=0,
     IF('Waste results'!$P$23&lt;&gt;"", Calc!BC151*'Waste results'!$P$23, "no data"),
   IF(Calc!BC151=0,
     IF('Waste results'!$P$59&lt;&gt;"", Calc!BD151*'Waste results'!$P$59, "no data"),
   IF(OR('Waste results'!$P$23&lt;&gt;"", 'Waste results'!$P$59&lt;&gt;""), Calc!BC151*'Waste results'!$P$23+ Calc!BD151*'Waste results'!$P$59, "no data"))),
IF(AND('Field information 2'!$M$5&lt;&gt;"", 'Field information 2'!$O$5&lt;&gt;"", 'Field information 2'!$Q$5&lt;&gt;""),
   IF(AND(Calc!BD151=0,Calc!BE151=0),
     IF('Waste results'!$P$23&lt;&gt;"", Calc!BC151*'Waste results'!$P$23, "no data"),
   IF(AND(Calc!BC151=0,Calc!BE151=0),
     IF('Waste results'!$P$59&lt;&gt;"", Calc!BD151*'Waste results'!$P$59, "no data"),
   IF(AND(Calc!BC151=0,Calc!BD151=0),
     IF('Waste results'!$P$95&lt;&gt;"", Calc!BE151*'Waste results'!$P$95, "no data"),
   IF(Calc!BE151=0,
     IF(OR('Waste results'!$P$23&lt;&gt;"", 'Waste results'!$P$59&lt;&gt;""), Calc!BC151*'Waste results'!$P$23+ Calc!BD151*'Waste results'!$P$59, "no data"),
   IF(Calc!BD151=0,
     IF(OR('Waste results'!$P$23&lt;&gt;"", 'Waste results'!$P$95&lt;&gt;""), Calc!BC151*'Waste results'!$P$23+ Calc!BE151*'Waste results'!$P$95, "no data"),
   IF(Calc!BC151=0,
     IF(OR('Waste results'!$P$59&lt;&gt;"", 'Waste results'!$P$95&lt;&gt;""), Calc!BD151*'Waste results'!$P$59+Calc!BE151*'Waste results'!$P$95, "no data"),
   IF(OR('Waste results'!$P$23&lt;&gt;"", 'Waste results'!$P$59&lt;&gt;"", 'Waste results'!$P$95&lt;&gt;""), Calc!BC151*'Waste results'!$P$23+Calc!BD151*'Waste results'!$P$59+ Calc!BE151*'Waste results'!$P$95, "no data")))))))))))</f>
        <v/>
      </c>
      <c r="Z153" s="7" t="str">
        <f ca="1">IF(OR(ISBLANK('Soil results'!I$7),ISBLANK('Soil results'!I156),'Soil results'!B156=""),"",
VLOOKUP(Calc!BI151,'Fertiliser recommendations'!$A$4:$AM$63,39,FALSE))</f>
        <v/>
      </c>
      <c r="AA153" s="91" t="str">
        <f t="shared" ca="1" si="38"/>
        <v/>
      </c>
      <c r="AB153" s="9" t="str">
        <f t="shared" ca="1" si="39"/>
        <v/>
      </c>
      <c r="AC153" s="9"/>
      <c r="AD153" s="48" t="str">
        <f>IF(ISBLANK('Soil results'!F156),"",'Soil results'!F156)</f>
        <v/>
      </c>
      <c r="AE153" s="49" t="str">
        <f ca="1">IF(B153="","",
IF(AND(Calc!BJ151="g", VLOOKUP(LEFT($B153,LEN($B153)-2),'Field information 2'!$B$12:$P$111,9,FALSE)&lt;&gt;"yes"),
 IF(Calc!BG151="10-25% OM", 5.9, IF(Calc!BG151="&gt;25% OM", 5.5, 6.2)),
IF(OR(Calc!BJ151="a", VLOOKUP(LEFT($B153,LEN($B153)-2),'Field information 2'!$B$12:$P$111,9,FALSE)="yes"),
 IF(Calc!BG151="10-25% OM", 6.4, IF(Calc!BG151="&gt;25% OM", 6, 6.7)), "")))</f>
        <v/>
      </c>
      <c r="AF153" s="91" t="str">
        <f ca="1">IF(B153="","",
IF('Waste results'!$Q$33="","no (significant) liming properties",
IF('Waste results'!Q$33&gt;100,"no (significant) liming properties",
IF(AD153="","",
IF(AD153&gt;=AE153,0,ROUNDDOWN((AE153-AD153)*Calc!BK151*'Waste results'!$Q$33+0.2,0))))))</f>
        <v/>
      </c>
      <c r="AG153" s="9" t="str">
        <f ca="1">IF(B153="","",
IF(T153=0,"n/a",
IF(AD153="","data missing",
IF(AND(AD153&lt;5,AF153="no (significant) liming properties"),"no waste application - pH too low",
IF(AND(AD153&gt;5.1,AF153="no (significant) liming properties",Calc!BH151&gt;25, LEFT(Calc!BI151,4)="graz"),"ok",
IF(AND(AD153&lt;=5.2,AF153="no (significant) liming properties"),"liming highly recommended",
IF(AF153=0,"no waste application - liming not required",
IF(AF153&lt;Calc!BC151,"application rate too high - exceeds liming requirement",
"ok"))))))))</f>
        <v/>
      </c>
      <c r="AH153" s="9"/>
      <c r="AI153" s="91" t="str">
        <f ca="1">IF(B153="","",
IF(AND('Field information 2'!$O$5="", 'Field information 2'!$Q$5=""),
   IF('Waste results'!$P$10&lt;&gt;"data missing", Calc!BC151*'Waste results'!$P$10, "data missing"),
IF('Field information 2'!$Q$5="",
   IF(Calc!BD151=0,
     IF('Waste results'!$P$10&lt;&gt;"data missing", Calc!BC151*'Waste results'!$P$10, "data missing"),
   IF(Calc!BC151=0,
     IF('Waste results'!$P$45&lt;&gt;"data missing", Calc!BD151*'Waste results'!$P$45, "data missing"),
   IF(OR('Waste results'!$P$10&lt;&gt;"data missing", 'Waste results'!$P$45&lt;&gt;"data missing"), Calc!BC151*'Waste results'!$P$10+ Calc!BD151*'Waste results'!$P$45, "data missing"))),
IF(AND('Field information 2'!$M$5&lt;&gt;"", 'Field information 2'!$O$5&lt;&gt;"", 'Field information 2'!$Q$5&lt;&gt;""),
   IF(AND(Calc!BD151=0,Calc!BE151=0),
     IF('Waste results'!$P$10&lt;&gt;"data missing", Calc!BC151*'Waste results'!$P$10, "data missing"),
   IF(AND(Calc!BC151=0,Calc!BE151=0),
     IF('Waste results'!$P$45&lt;&gt;"data missing", Calc!BD151*'Waste results'!$P$45, "data missing"),
   IF(AND(Calc!BC151=0,Calc!BD151=0),
     IF('Waste results'!$P$82&lt;&gt;"data missing", Calc!BE151*'Waste results'!$P$82, "data missing"),
   IF(Calc!BE151=0,
     IF(OR('Waste results'!$P$10&lt;&gt;"data missing", 'Waste results'!$P$45&lt;&gt;"data missing"), Calc!BC151*'Waste results'!$P$10+ Calc!BD151*'Waste results'!$P$45, "data missing"),
   IF(Calc!BD151=0,
     IF(OR('Waste results'!$P$10&lt;&gt;"data missing", 'Waste results'!$P$82&lt;&gt;"data missing"), Calc!BC151*'Waste results'!$P$10+ Calc!BE151*'Waste results'!$P$82, "data missing"),
   IF(Calc!BC151=0,
     IF(OR('Waste results'!$P$45&lt;&gt;"data missing", 'Waste results'!$P$82&lt;&gt;"data missing"), Calc!BD151*'Waste results'!$P$45+Calc!BE151*'Waste results'!$P$82, "data missing"),
   IF(OR('Waste results'!$P$10&lt;&gt;"data missing", 'Waste results'!$P$45&lt;&gt;"data missing", 'Waste results'!$P$82&lt;&gt;"data missing"), Calc!BC151*'Waste results'!$P$10+Calc!BD151*'Waste results'!$P$45+ Calc!BE151*'Waste results'!$P$82, "data missing")))))))))))</f>
        <v/>
      </c>
      <c r="AJ153" s="237" t="str">
        <f ca="1">IF(B153="","",
IF(AI153="data missing","data missing",
IF(Calc!BF151=0,"n/a",
IF(AND(Calc!BH151&gt;=8,AI153&lt;500),"no benefit",
IF(OR(AND(Calc!BH151&lt;=4,AI153&gt;=500),AND(Calc!BH151&lt;8,AI153&gt;5000)),"benefit",
"limited benefit")))))</f>
        <v/>
      </c>
      <c r="AK153" s="9"/>
      <c r="AL153" s="238" t="str">
        <f ca="1">IF(B153="","",
IF(AND('Field information 2'!$O$5="", 'Field information 2'!$Q$5=""),
   IF('Waste results'!$S$25&lt;&gt;"data missing", Calc!BC151*'Waste results'!$S$25, "data missing"),
IF('Field information 2'!$Q$5="",
   IF(Calc!BD151=0,
     IF('Waste results'!$S$25&lt;&gt;"data missing", Calc!BC151*'Waste results'!$S$25, "data missing"),
   IF(Calc!BC151=0,
     IF('Waste results'!$S$61&lt;&gt;"data missing", Calc!BD151*'Waste results'!$S$61, "data missing"),
   IF(OR('Waste results'!$S$25&lt;&gt;"data missing", 'Waste results'!$S$61&lt;&gt;"data missing"), Calc!BC151*'Waste results'!$S$25+ Calc!BD151*'Waste results'!$S$61, "data missing"))),
IF(AND('Field information 2'!$M$5&lt;&gt;"", 'Field information 2'!$O$5&lt;&gt;"", 'Field information 2'!$Q$5&lt;&gt;""),
   IF(AND(Calc!BD151=0,Calc!BE151=0),
     IF('Waste results'!$S$25&lt;&gt;"data missing", Calc!BC151*'Waste results'!$S$25, "data missing"),
   IF(AND(Calc!BC151=0,Calc!BE151=0),
     IF('Waste results'!$S$61&lt;&gt;"data missing", Calc!BD151*'Waste results'!$S$61, "data missing"),
   IF(AND(Calc!BC151=0,Calc!BD151=0),
     IF('Waste results'!$S$97&lt;&gt;"data missing", Calc!BE151*'Waste results'!$S$97, "data missing"),
   IF(Calc!BE151=0,
     IF(OR('Waste results'!$S$25&lt;&gt;"data missing", 'Waste results'!$S$61&lt;&gt;"data missing"), Calc!BC151*'Waste results'!$S$25+ Calc!BD151*'Waste results'!$S$61, "data missing"),
   IF(Calc!BD151=0,
     IF(OR('Waste results'!$S$25&lt;&gt;"data missing", 'Waste results'!$S$97&lt;&gt;"data missing"), Calc!BC151*'Waste results'!$S$25+ Calc!BE151*'Waste results'!$S$97, "data missing"),
   IF(Calc!BC151=0,
     IF(OR('Waste results'!$S$61&lt;&gt;"data missing", 'Waste results'!$S$97&lt;&gt;"data missing"), Calc!BD151*'Waste results'!$S$61+Calc!BE151*'Waste results'!$S$97, "data missing"),
   IF(OR('Waste results'!$S$25&lt;&gt;"data missing", 'Waste results'!$S$61&lt;&gt;"data missing", 'Waste results'!$S$97&lt;&gt;"data missing"), Calc!BC151*'Waste results'!$S$25+Calc!BD151*'Waste results'!$S$61+ Calc!BE151*'Waste results'!$S$97, "data missing")))))))))))</f>
        <v/>
      </c>
      <c r="AM153" s="239" t="str">
        <f ca="1">IF($B153="","",
IF(ISBLANK('Soil results'!K156),"data missing",'Soil results'!K156))</f>
        <v/>
      </c>
      <c r="AN153" s="239" t="str">
        <f t="shared" ca="1" si="40"/>
        <v/>
      </c>
      <c r="AO153" s="9" t="str">
        <f t="shared" ca="1" si="41"/>
        <v/>
      </c>
      <c r="AP153" s="9"/>
      <c r="AQ153" s="240" t="str">
        <f ca="1">IF(B153="","",
IF(AND('Field information 2'!$O$5="", 'Field information 2'!$Q$5=""),
   IF('Waste results'!$S$26&lt;&gt;"data missing", Calc!BC151*'Waste results'!$S$26, "data missing"),
IF('Field information 2'!$Q$5="",
   IF(Calc!BD151=0,
     IF('Waste results'!$S$26&lt;&gt;"data missing", Calc!BC151*'Waste results'!$S$26, "data missing"),
   IF(Calc!BC151=0,
     IF('Waste results'!$S$62&lt;&gt;"data missing", Calc!BD151*'Waste results'!$S$62, "data missing"),
   IF(OR('Waste results'!$S$26&lt;&gt;"data missing", 'Waste results'!$S$62&lt;&gt;"data missing"), Calc!BC151*'Waste results'!$S$26+ Calc!BD151*'Waste results'!$S$62, "data missing"))),
IF(AND('Field information 2'!$M$5&lt;&gt;"", 'Field information 2'!$O$5&lt;&gt;"", 'Field information 2'!$Q$5&lt;&gt;""),
   IF(AND(Calc!BD151=0,Calc!BE151=0),
     IF('Waste results'!$S$26&lt;&gt;"data missing", Calc!BC151*'Waste results'!$S$26, "data missing"),
   IF(AND(Calc!BC151=0,Calc!BE151=0),
     IF('Waste results'!$S$62&lt;&gt;"data missing", Calc!BD151*'Waste results'!$S$62, "data missing"),
   IF(AND(Calc!BC151=0,Calc!BD151=0),
     IF('Waste results'!$S$98&lt;&gt;"data missing", Calc!BE151*'Waste results'!$S$98, "data missing"),
   IF(Calc!BE151=0,
     IF(OR('Waste results'!$S$26&lt;&gt;"data missing", 'Waste results'!$S$62&lt;&gt;"data missing"), Calc!BC151*'Waste results'!$S$26+ Calc!BD151*'Waste results'!$S$62, "data missing"),
   IF(Calc!BD151=0,
     IF(OR('Waste results'!$S$26&lt;&gt;"data missing", 'Waste results'!$S$98&lt;&gt;"data missing"), Calc!BC151*'Waste results'!$S$26+ Calc!BE151*'Waste results'!$S$98, "data missing"),
   IF(Calc!BC151=0,
     IF(OR('Waste results'!$S$62&lt;&gt;"data missing", 'Waste results'!$S$98&lt;&gt;"data missing"), Calc!BD151*'Waste results'!$S$62+Calc!BE151*'Waste results'!$S$98, "data missing"),
   IF(OR('Waste results'!$S$26&lt;&gt;"data missing", 'Waste results'!$S$62&lt;&gt;"data missing", 'Waste results'!$S$98&lt;&gt;"data missing"), Calc!BC151*'Waste results'!$S$26+Calc!BD151*'Waste results'!$S$62+ Calc!BE151*'Waste results'!$S$98, "data missing")))))))))))</f>
        <v/>
      </c>
      <c r="AR153" s="241" t="str">
        <f ca="1">IF($B153="","",
IF(ISBLANK('Soil results'!L156),"data missing",'Soil results'!L156))</f>
        <v/>
      </c>
      <c r="AS153" s="241" t="str">
        <f t="shared" ca="1" si="42"/>
        <v/>
      </c>
      <c r="AT153" s="66" t="str">
        <f t="shared" ca="1" si="43"/>
        <v/>
      </c>
      <c r="AU153" s="9"/>
      <c r="AV153" s="238" t="str">
        <f ca="1">IF(B153="","",
IF(AND('Field information 2'!$O$5="", 'Field information 2'!$Q$5=""),
   IF('Waste results'!$S$27&lt;&gt;"data missing", Calc!BC151*'Waste results'!$S$27, "data missing"),
IF('Field information 2'!$Q$5="",
   IF(Calc!BD151=0,
     IF('Waste results'!$S$27&lt;&gt;"data missing", Calc!BC151*'Waste results'!$S$27, "data missing"),
   IF(Calc!BC151=0,
     IF('Waste results'!$S$63&lt;&gt;"data missing", Calc!BD151*'Waste results'!$S$63, "data missing"),
   IF(OR('Waste results'!$S$27&lt;&gt;"data missing", 'Waste results'!$S$63&lt;&gt;"data missing"), Calc!BC151*'Waste results'!$S$27+ Calc!BD151*'Waste results'!$S$63, "data missing"))),
IF(AND('Field information 2'!$M$5&lt;&gt;"", 'Field information 2'!$O$5&lt;&gt;"", 'Field information 2'!$Q$5&lt;&gt;""),
   IF(AND(Calc!BD151=0,Calc!BE151=0),
     IF('Waste results'!$S$27&lt;&gt;"data missing", Calc!BC151*'Waste results'!$S$27, "data missing"),
   IF(AND(Calc!BC151=0,Calc!BE151=0),
     IF('Waste results'!$S$63&lt;&gt;"data missing", Calc!BD151*'Waste results'!$S$63, "data missing"),
   IF(AND(Calc!BC151=0,Calc!BD151=0),
     IF('Waste results'!$S$99&lt;&gt;"data missing", Calc!BE151*'Waste results'!$S$99, "data missing"),
   IF(Calc!BE151=0,
     IF(OR('Waste results'!$S$27&lt;&gt;"data missing", 'Waste results'!$S$63&lt;&gt;"data missing"), Calc!BC151*'Waste results'!$S$27+ Calc!BD151*'Waste results'!$S$63, "data missing"),
   IF(Calc!BD151=0,
     IF(OR('Waste results'!$S$27&lt;&gt;"data missing", 'Waste results'!$S$99&lt;&gt;"data missing"), Calc!BC151*'Waste results'!$S$27+ Calc!BE151*'Waste results'!$S$99, "data missing"),
   IF(Calc!BC151=0,
     IF(OR('Waste results'!$S$63&lt;&gt;"data missing", 'Waste results'!$S$99&lt;&gt;"data missing"), Calc!BD151*'Waste results'!$S$63+Calc!BE151*'Waste results'!$S$99, "data missing"),
   IF(OR('Waste results'!$S$27&lt;&gt;"data missing", 'Waste results'!$S$63&lt;&gt;"data missing", 'Waste results'!$S$99&lt;&gt;"data missing"), Calc!BC151*'Waste results'!$S$27+Calc!BD151*'Waste results'!$S$63+ Calc!BE151*'Waste results'!$S$99, "data missing")))))))))))</f>
        <v/>
      </c>
      <c r="AW153" s="239" t="str">
        <f ca="1">IF($B153="","",
IF(ISBLANK('Soil results'!M156),"data missing",'Soil results'!M156))</f>
        <v/>
      </c>
      <c r="AX153" s="239" t="str">
        <f t="shared" ca="1" si="44"/>
        <v/>
      </c>
      <c r="AY153" s="9" t="str">
        <f ca="1">IF(B153="","",
IF(AV153=0,"n/a",
IF(OR(AV153="data missing",AW153="data missing"),"data missing",
IF(AV153&gt;7.5,"application rate too high - permissible rate exceeds limit",
IF('Soil results'!$F156&lt;=5.5,
  IF(AW153&gt;80,"no application - soil conc. already above limit",
  IF(AX153&gt;80,"application rate too high - soil conc. will exceed limit",
  IF(AW153&gt;80*0.9,"soil conc. is at or above 90% of the limit",
  IF(10*AV153*1000/3000+AW153&gt;80,"soil limit likely to be exceeded in 10yrs",
  IF(50*AV153*1000/3000+AW153&gt;80,"soil limit likely to be exceeded in 50yrs","ok"))))),
IF('Soil results'!$F156&lt;=6,
  IF(AW153&gt;100,"no application - soil conc. already above limit",
  IF(AX153&gt;100,"application rate too high - soil conc. will exceed limit",
  IF(AW153&gt;100*0.9,"soil conc. is at or above 90% of the limit",
  IF(10*AV153*1000/3000+AW153&gt;100,"soil limit likely to be exceeded in 10yrs",
  IF(50*AV153*1000/3000+AW153&gt;100,"soil limit likely to be exceeded in 50yrs","ok"))))),
IF('Soil results'!$F156&lt;=7,
  IF(AW153&gt;135,"no application - soil conc. already above limit",
  IF(AX153&gt;135,"application rate too high - soil conc. will exceed limit",
  IF(AW153&gt;135*0.9,"soil conc. is at or above 90% of the limit",
  IF(10*AV153*1000/3000+AW153&gt;135,"soil limit likely to be exceeded in 10yrs",
  IF(50*AV153*1000/3000+AW153&gt;135,"soil limit likely to be exceeded in 50yrs","ok"))))),
IF('Soil results'!$F156&gt;7,
  IF(AW153&gt;200,"no application - soil conc. already above limit",
  IF(AX153&gt;200,"application too high - soil conc. will exceed limit",
  IF(AW153&gt;200*0.9,"soil conc. is at or above 90% of the limit",
  IF(10*AV153*1000/3000+AW153&gt;200,"soil limit likely to be exceeded in 10yrs",
  IF(50*AV153*1000/3000+AW153&gt;200,"soil limit likely to be exceeded in 50yrs","ok")))))
))))))))</f>
        <v/>
      </c>
      <c r="AZ153" s="9"/>
      <c r="BA153" s="238" t="str">
        <f ca="1">IF(B153="","",
IF(AND('Field information 2'!$O$5="", 'Field information 2'!$Q$5=""),
   IF('Waste results'!$S$28&lt;&gt;"data missing", Calc!BC151*'Waste results'!$S$28, "data missing"),
IF('Field information 2'!$Q$5="",
   IF(Calc!BD151=0,
     IF('Waste results'!$S$28&lt;&gt;"data missing", Calc!BC151*'Waste results'!$S$28, "data missing"),
   IF(Calc!BC151=0,
     IF('Waste results'!$S$64&lt;&gt;"data missing", Calc!BD151*'Waste results'!$S$64, "data missing"),
   IF(OR('Waste results'!$S$28&lt;&gt;"data missing", 'Waste results'!$S$64&lt;&gt;"data missing"), Calc!BC151*'Waste results'!$S$28+ Calc!BD151*'Waste results'!$S$64, "data missing"))),
IF(AND('Field information 2'!$M$5&lt;&gt;"", 'Field information 2'!$O$5&lt;&gt;"", 'Field information 2'!$Q$5&lt;&gt;""),
   IF(AND(Calc!BD151=0,Calc!BE151=0),
     IF('Waste results'!$S$28&lt;&gt;"data missing", Calc!BC151*'Waste results'!$S$28, "data missing"),
   IF(AND(Calc!BC151=0,Calc!BE151=0),
     IF('Waste results'!$S$64&lt;&gt;"data missing", Calc!BD151*'Waste results'!$S$64, "data missing"),
   IF(AND(Calc!BC151=0,Calc!BD151=0),
     IF('Waste results'!$S$100&lt;&gt;"data missing", Calc!BE151*'Waste results'!$S$100, "data missing"),
   IF(Calc!BE151=0,
     IF(OR('Waste results'!$S$28&lt;&gt;"data missing", 'Waste results'!$S$64&lt;&gt;"data missing"), Calc!BC151*'Waste results'!$S$28+ Calc!BD151*'Waste results'!$S$64, "data missing"),
   IF(Calc!BD151=0,
     IF(OR('Waste results'!$S$28&lt;&gt;"data missing", 'Waste results'!$S$100&lt;&gt;"data missing"), Calc!BC151*'Waste results'!$S$28+ Calc!BE151*'Waste results'!$S$100, "data missing"),
   IF(Calc!BC151=0,
     IF(OR('Waste results'!$S$64&lt;&gt;"data missing", 'Waste results'!$S$100&lt;&gt;"data missing"), Calc!BD151*'Waste results'!$S$64+Calc!BE151*'Waste results'!$S$100, "data missing"),
   IF(OR('Waste results'!$S$28&lt;&gt;"data missing", 'Waste results'!$S$64&lt;&gt;"data missing", 'Waste results'!$S$100&lt;&gt;"data missing"), Calc!BC151*'Waste results'!$S$28+Calc!BD151*'Waste results'!$S$64+ Calc!BE151*'Waste results'!$S$100, "data missing")))))))))))</f>
        <v/>
      </c>
      <c r="BB153" s="239" t="str">
        <f ca="1">IF($B153="","",
IF(ISBLANK('Soil results'!N156),"data missing",'Soil results'!N156))</f>
        <v/>
      </c>
      <c r="BC153" s="239" t="str">
        <f t="shared" ca="1" si="45"/>
        <v/>
      </c>
      <c r="BD153" s="9" t="str">
        <f t="shared" ca="1" si="46"/>
        <v/>
      </c>
      <c r="BE153" s="9"/>
      <c r="BF153" s="238" t="str">
        <f ca="1">IF(B153="","",
IF(AND('Field information 2'!$O$5="", 'Field information 2'!$Q$5=""),
   IF('Waste results'!$S$29&lt;&gt;"data missing", Calc!BC151*'Waste results'!$S$29, "data missing"),
IF('Field information 2'!$Q$5="",
   IF(Calc!BD151=0,
     IF('Waste results'!$S$29&lt;&gt;"data missing", Calc!BC151*'Waste results'!$S$29, "data missing"),
   IF(Calc!BC151=0,
     IF('Waste results'!$S$65&lt;&gt;"data missing", Calc!BD151*'Waste results'!$S$65, "data missing"),
   IF(OR('Waste results'!$S$29&lt;&gt;"data missing", 'Waste results'!$S$65&lt;&gt;"data missing"), Calc!BC151*'Waste results'!$S$29+ Calc!BD151*'Waste results'!$S$65, "data missing"))),
IF(AND('Field information 2'!$M$5&lt;&gt;"", 'Field information 2'!$O$5&lt;&gt;"", 'Field information 2'!$Q$5&lt;&gt;""),
   IF(AND(Calc!BD151=0,Calc!BE151=0),
     IF('Waste results'!$S$29&lt;&gt;"data missing", Calc!BC151*'Waste results'!$S$29, "data missing"),
   IF(AND(Calc!BC151=0,Calc!BE151=0),
     IF('Waste results'!$S$65&lt;&gt;"data missing", Calc!BD151*'Waste results'!$S$65, "data missing"),
   IF(AND(Calc!BC151=0,Calc!BD151=0),
     IF('Waste results'!$S$101&lt;&gt;"data missing", Calc!BE151*'Waste results'!$S$101, "data missing"),
   IF(Calc!BE151=0,
     IF(OR('Waste results'!$S$29&lt;&gt;"data missing", 'Waste results'!$S$65&lt;&gt;"data missing"), Calc!BC151*'Waste results'!$S$29+ Calc!BD151*'Waste results'!$S$65, "data missing"),
   IF(Calc!BD151=0,
     IF(OR('Waste results'!$S$29&lt;&gt;"data missing", 'Waste results'!$S$101&lt;&gt;"data missing"), Calc!BC151*'Waste results'!$S$29+ Calc!BE151*'Waste results'!$S$101, "data missing"),
   IF(Calc!BC151=0,
     IF(OR('Waste results'!$S$65&lt;&gt;"data missing", 'Waste results'!$S$101&lt;&gt;"data missing"), Calc!BD151*'Waste results'!$S$65+Calc!BE151*'Waste results'!$S$101, "data missing"),
   IF(OR('Waste results'!$S$29&lt;&gt;"data missing", 'Waste results'!$S$65&lt;&gt;"data missing", 'Waste results'!$S$101&lt;&gt;"data missing"), Calc!BC151*'Waste results'!$S$29+Calc!BD151*'Waste results'!$S$65+ Calc!BE151*'Waste results'!$S$101, "data missing")))))))))))</f>
        <v/>
      </c>
      <c r="BG153" s="239" t="str">
        <f ca="1">IF($B153="","",
IF(ISBLANK('Soil results'!O156),"data missing",'Soil results'!O156))</f>
        <v/>
      </c>
      <c r="BH153" s="239" t="str">
        <f t="shared" ca="1" si="47"/>
        <v/>
      </c>
      <c r="BI153" s="9" t="str">
        <f ca="1">IF(B153="","",
IF(BF153=0,"n/a",
IF(OR(BF153="data missing",BG153="data missing"),"data missing",
IF(BF153&gt;3,"application rate too high - permissible rate exceeds limit",
IF('Soil results'!F156&lt;=5.5,
  IF(BG153&gt;50,"no application - soil conc. already above limit",
  IF(BH153&gt;50,"application rate too high - soil conc. will exceed limit",
  IF(BG153&gt;50*0.9,"soil conc. is at or above 90% of the limit",
  IF(10*BF153*1000/3000+BG153&gt;50,"soil limit likely to be exceeded in 10yrs",
  IF(50*BF153*1000/3000+BG153&gt;50,"soil limit likely to be exceeded in 50yrs","ok"))))),
IF('Soil results'!F156&lt;=6,
  IF(BG153&gt;60,"no application - soil conc. already above limit",
  IF(BH153&gt;60,"application rate too high - soil conc. will exceed limit",
  IF(BG153&gt;60*0.9,"soil conc. is at or above 90% of the limit",
  IF(10*BF153*1000/3000+BG153&gt;60,"soil limit likely to be exceeded in 10yrs",
  IF(50*BF153*1000/3000+BG153&gt;60,"soil limit likely to be exceeded in 50yrs","ok"))))),
IF('Soil results'!F156&lt;=7,
  IF(BG153&gt;75,"no application - soil conc. already above limit",
  IF(BH153&gt;75,"application rate too high - soil conc. will exceed limit",
  IF(BG153&gt;75*0.9,"soil conc. is at or above 90% of the limit",
  IF(10*BF153*1000/3000+BG153&gt;75,"soil limit likely to be exceeded in 10yrs",
  IF(50*BF153*1000/3000+BG153&gt;75,"soil limit likely to be exceeded in 50yrs","ok"))))),
IF('Soil results'!F156&gt;7,
  IF(BG153&gt;100,"no application - soil conc. already above limit",
  IF(BH153&gt;100,"application rate too high - soil conc. will exceed limit",
  IF(BG153&gt;100*0.9,"soil conc. is at or above 90% of the limit",
  IF(10*BF153*1000/3000+BG153&gt;100,"soil limit likely to be exceeded in 10yrs",
  IF(50*BF153*1000/3000+BG153&gt;100,"soil limit likely to beexceeded in 50yrs","ok")))))
))))))))</f>
        <v/>
      </c>
      <c r="BJ153" s="9"/>
      <c r="BK153" s="240" t="str">
        <f ca="1">IF(B153="","",
IF(AND('Field information 2'!$O$5="", 'Field information 2'!$Q$5=""),
   IF('Waste results'!$S$30&lt;&gt;"data missing", Calc!BC151*'Waste results'!$S$30, "data missing"),
IF('Field information 2'!$Q$5="",
   IF(Calc!BD151=0,
     IF('Waste results'!$S$30&lt;&gt;"data missing", Calc!BC151*'Waste results'!$S$30, "data missing"),
   IF(Calc!BC151=0,
     IF('Waste results'!$S$66&lt;&gt;"data missing", Calc!BD151*'Waste results'!$S$66, "data missing"),
   IF(OR('Waste results'!$S$30&lt;&gt;"data missing", 'Waste results'!$S$66&lt;&gt;"data missing"), Calc!BC151*'Waste results'!$S$30+ Calc!BD151*'Waste results'!$S$66, "data missing"))),
IF(AND('Field information 2'!$M$5&lt;&gt;"", 'Field information 2'!$O$5&lt;&gt;"", 'Field information 2'!$Q$5&lt;&gt;""),
   IF(AND(Calc!BD151=0,Calc!BE151=0),
     IF('Waste results'!$S$30&lt;&gt;"data missing", Calc!BC151*'Waste results'!$S$30, "data missing"),
   IF(AND(Calc!BC151=0,Calc!BE151=0),
     IF('Waste results'!$S$66&lt;&gt;"data missing", Calc!BD151*'Waste results'!$S$66, "data missing"),
   IF(AND(Calc!BC151=0,Calc!BD151=0),
     IF('Waste results'!$S$102&lt;&gt;"data missing", Calc!BE151*'Waste results'!$S$102, "data missing"),
   IF(Calc!BE151=0,
     IF(OR('Waste results'!$S$30&lt;&gt;"data missing", 'Waste results'!$S$66&lt;&gt;"data missing"), Calc!BC151*'Waste results'!$S$30+ Calc!BD151*'Waste results'!$S$66, "data missing"),
   IF(Calc!BD151=0,
     IF(OR('Waste results'!$S$30&lt;&gt;"data missing", 'Waste results'!$S$102&lt;&gt;"data missing"), Calc!BC151*'Waste results'!$S$30+ Calc!BE151*'Waste results'!$S$102, "data missing"),
   IF(Calc!BC151=0,
     IF(OR('Waste results'!$S$66&lt;&gt;"data missing", 'Waste results'!$S$102&lt;&gt;"data missing"), Calc!BD151*'Waste results'!$S$66+Calc!BE151*'Waste results'!$S$102, "data missing"),
   IF(OR('Waste results'!$S$30&lt;&gt;"data missing", 'Waste results'!$S$66&lt;&gt;"data missing", 'Waste results'!$S$102&lt;&gt;"data missing"), Calc!BC151*'Waste results'!$S$30+Calc!BD151*'Waste results'!$S$66+ Calc!BE151*'Waste results'!$S$102, "data missing")))))))))))</f>
        <v/>
      </c>
      <c r="BL153" s="241" t="str">
        <f ca="1">IF($B153="","",
IF(ISBLANK('Soil results'!P156),"data missing",'Soil results'!P156))</f>
        <v/>
      </c>
      <c r="BM153" s="241" t="str">
        <f t="shared" ca="1" si="48"/>
        <v/>
      </c>
      <c r="BN153" s="66" t="str">
        <f t="shared" ca="1" si="49"/>
        <v/>
      </c>
      <c r="BO153" s="9"/>
      <c r="BP153" s="238" t="str">
        <f ca="1">IF(B153="","",
IF(AND('Field information 2'!$O$5="", 'Field information 2'!$Q$5=""),
   IF('Waste results'!$S$31&lt;&gt;"data missing", Calc!BC151*'Waste results'!$S$31, "data missing"),
IF('Field information 2'!$Q$5="",
   IF(Calc!BD151=0,
     IF('Waste results'!$S$31&lt;&gt;"data missing", Calc!BC151*'Waste results'!$S$31, "data missing"),
   IF(Calc!BC151=0,
     IF('Waste results'!$S$67&lt;&gt;"data missing", Calc!BD151*'Waste results'!$S$67, "data missing"),
   IF(OR('Waste results'!$S$31&lt;&gt;"data missing", 'Waste results'!$S$67&lt;&gt;"data missing"), Calc!BC151*'Waste results'!$S$31+ Calc!BD151*'Waste results'!$S$67, "data missing"))),
IF(AND('Field information 2'!$M$5&lt;&gt;"", 'Field information 2'!$O$5&lt;&gt;"", 'Field information 2'!$Q$5&lt;&gt;""),
   IF(AND(Calc!BD151=0,Calc!BE151=0),
     IF('Waste results'!$S$31&lt;&gt;"data missing", Calc!BC151*'Waste results'!$S$31, "data missing"),
   IF(AND(Calc!BC151=0,Calc!BE151=0),
     IF('Waste results'!$S$67&lt;&gt;"data missing", Calc!BD151*'Waste results'!$S$67, "data missing"),
   IF(AND(Calc!BC151=0,Calc!BD151=0),
     IF('Waste results'!$S$103&lt;&gt;"data missing", Calc!BE151*'Waste results'!$S$103, "data missing"),
   IF(Calc!BE151=0,
     IF(OR('Waste results'!$S$31&lt;&gt;"data missing", 'Waste results'!$S$67&lt;&gt;"data missing"), Calc!BC151*'Waste results'!$S$31+ Calc!BD151*'Waste results'!$S$67, "data missing"),
   IF(Calc!BD151=0,
     IF(OR('Waste results'!$S$31&lt;&gt;"data missing", 'Waste results'!$S$103&lt;&gt;"data missing"), Calc!BC151*'Waste results'!$S$31+ Calc!BE151*'Waste results'!$S$103, "data missing"),
   IF(Calc!BC151=0,
     IF(OR('Waste results'!$S$67&lt;&gt;"data missing", 'Waste results'!$S$103&lt;&gt;"data missing"), Calc!BD151*'Waste results'!$S$67+Calc!BE151*'Waste results'!$S$103, "data missing"),
   IF(OR('Waste results'!$S$31&lt;&gt;"data missing", 'Waste results'!$S$67&lt;&gt;"data missing", 'Waste results'!$S$103&lt;&gt;"data missing"), Calc!BC151*'Waste results'!$S$31+Calc!BD151*'Waste results'!$S$67+ Calc!BE151*'Waste results'!$S$103, "data missing")))))))))))</f>
        <v/>
      </c>
      <c r="BQ153" s="239" t="str">
        <f ca="1">IF($B153="","",
IF(ISBLANK('Soil results'!Q156),"data missing",'Soil results'!Q156))</f>
        <v/>
      </c>
      <c r="BR153" s="239" t="str">
        <f t="shared" ca="1" si="50"/>
        <v/>
      </c>
      <c r="BS153" s="9" t="str">
        <f ca="1">IF(B153="","",
IF(BP153=0,"n/a",
IF(OR(BP153="data missing",BQ153=""),"data missing",
IF(BP153&gt;15,"application rate too high - permissible rate exceeds limit",
IF('Soil results'!F156&lt;=5.5,
  IF(BQ153&gt;200,"no application - soil conc. already above limit",
  IF(BR153&gt;200,"application rate too high - soil conc. will exceed limit",
  IF(BQ153&gt;200*0.9,"soil conc. is at or above 90% of the limit",
  IF(10*BP153*1000/3000+BQ153&gt;200,"soil limit likely to be exceeded in 10yrs",
  IF(50*BP153*1000/3000+BQ153&gt;200,"soil limit likely to be exceeded in 50yrs","ok"))))),
IF('Soil results'!F156&lt;=6,
  IF(BQ153&gt;250,"no application - soil conc. already above limit",
  IF(BR153&gt;250,"application rate too high - soil conc. will exceed limit",
  IF(BQ153&gt;250*0.9,"soil conc. is at or above 90% of the limit",
  IF(10*BP153*1000/3000+BQ153&gt;250,"soil limit likely to be exceeded in 10yrs",
  IF(50*BP153*1000/3000+BQ153&gt;250,"soil limit likely to be exceeded in 50yrs","ok"))))),
IF('Soil results'!F156&lt;=7,
  IF(BQ153&gt;300,"no application - soil conc. already above limit",
  IF(BR153&gt;300,"application rate too high - soil conc. will exceed limit",
  IF(BQ153&gt;300*0.9,"soil conc. is at or above 90% of the limit",
  IF(10*BP153*1000/3000+BQ153&gt;300,"soil limit likey to be exceeded in 10yrs",
  IF(50*BP153*1000/3000+BQ153&gt;300,"soil limit likely to be exceeded in 50yrs","ok"))))),
IF('Soil results'!F156&gt;7,
  IF(BQ153&gt;450,"no application - soil conc. already above limit",
  IF(BR153&gt;450,"application rate too high - soil conc. will exceed limit",
  IF(AW153&gt;450*0.9,"soil conc. is at or above 90% of the limit",
  IF(10*BP153*1000/3000+BQ153&gt;450,"soil limit likely to be exceeded in 10yrs",
  IF(50*BP153*1000/3000+BQ153&gt;450,"soil limit likely to be exceeded in 50yrs","ok")))))
))))))))</f>
        <v/>
      </c>
    </row>
    <row r="154" spans="2:71" ht="15" x14ac:dyDescent="0.25">
      <c r="B154" s="236" t="str">
        <f ca="1">'Soil results'!B157</f>
        <v/>
      </c>
      <c r="C154" s="91" t="str">
        <f ca="1">IF(B154="","",
IF(AND('Field information 2'!$O$5="", 'Field information 2'!$Q$5=""),
   IF('Waste results'!$S$12&lt;&gt;"data missing", Calc!BC152*'Waste results'!$S$12, "data missing"),
IF('Field information 2'!$Q$5="",
   IF(Calc!BD152=0,
     IF('Waste results'!$S$12&lt;&gt;"data missing", Calc!BC152*'Waste results'!$S$12, "data missing"),
   IF(Calc!BC152=0,
     IF('Waste results'!$S$48&lt;&gt;"data missing", Calc!BD152*'Waste results'!$S$48, "data missing"),
   IF(OR('Waste results'!$S$12&lt;&gt;"data missing", 'Waste results'!$S$48&lt;&gt;"data missing"), Calc!BC152*'Waste results'!$S$12+ Calc!BD152*'Waste results'!$S$48, "data missing"))),
IF(AND('Field information 2'!$M$5&lt;&gt;"", 'Field information 2'!$O$5&lt;&gt;"", 'Field information 2'!$Q$5&lt;&gt;""),
   IF(AND(Calc!BD152=0,Calc!BE152=0),
     IF('Waste results'!$S$12&lt;&gt;"data missing", Calc!BC152*'Waste results'!$S$12, "data missing"),
   IF(AND(Calc!BC152=0,Calc!BE152=0),
     IF('Waste results'!$S$48&lt;&gt;"data missing", Calc!BD152*'Waste results'!$S$48, "data missing"),
   IF(AND(Calc!BC152=0,Calc!BD152=0),
     IF('Waste results'!$S$84&lt;&gt;"data missing", Calc!BE152*'Waste results'!$S$84, "data missing"),
   IF(Calc!BE152=0,
     IF(OR('Waste results'!$S$12&lt;&gt;"data missing", 'Waste results'!$S$48&lt;&gt;"data missing"), Calc!BC152*'Waste results'!$S$12+ Calc!BD152*'Waste results'!$S$48, "data missing"),
   IF(Calc!BD152=0,
     IF(OR('Waste results'!$S$12&lt;&gt;"data missing", 'Waste results'!$S$84&lt;&gt;"data missing"), Calc!BC152*'Waste results'!$S$12+ Calc!BE152*'Waste results'!$S$84, "data missing"),
   IF(Calc!BC152=0,
     IF(OR('Waste results'!$S$48&lt;&gt;"data missing", 'Waste results'!$S$84&lt;&gt;"data missing"), Calc!BD152*'Waste results'!$S$48+Calc!BE152*'Waste results'!$S$84, "data missing"),
   IF(OR('Waste results'!$S$12&lt;&gt;"data missing", 'Waste results'!$S$48&lt;&gt;"data missing", 'Waste results'!$S$84&lt;&gt;"data missing"), Calc!BC152*'Waste results'!$S$12+Calc!BD152*'Waste results'!$S$48+ Calc!BE152*'Waste results'!$S$84, "data missing")))))))))))</f>
        <v/>
      </c>
      <c r="D154" s="161" t="str">
        <f ca="1">IF(B154="","",
IF(Calc!BG152="","soil texture missing",
IF(OR(Calc!BG152="SL; SZL; ZL",Calc!BG152="SCL; CL; ZCL; SC; ZC; C"),VLOOKUP(Calc!BI152,'Fertiliser recommendations'!$A$4:$C$63,3,FALSE),
IF(Calc!BG152="S; LS",VLOOKUP(Calc!BI152,'Fertiliser recommendations'!$A$4:$C$63,3,FALSE)+VLOOKUP(Calc!BI152,'Fertiliser recommendations'!$A$4:$D$63,4,FALSE),
IF(Calc!BG152="10-25% OM",VLOOKUP(Calc!BI152,'Fertiliser recommendations'!$A$4:$C$63,3,FALSE)+VLOOKUP(Calc!BI152,'Fertiliser recommendations'!$A$4:$E$63,5,FALSE),
IF(Calc!BG152="&gt;25% OM",VLOOKUP(Calc!BI152,'Fertiliser recommendations'!$A$4:$C$63,3,FALSE)+VLOOKUP(Calc!BI152,'Fertiliser recommendations'!$A$4:$F$63,6,FALSE),
""))))))</f>
        <v/>
      </c>
      <c r="E154" s="91" t="str">
        <f t="shared" ca="1" si="34"/>
        <v/>
      </c>
      <c r="F154" s="9" t="str">
        <f ca="1">IF(B154="","",
IF(OR(C154="data missing",D154="soil texture missing"),"data missing",
IF(Calc!BF152=0,"n/a",
IF(C154&lt;0.1*D154,"no benefit",
IF(C154&lt;0.3*D154,"limited benefit",
IF(C154&gt;250,"exceeds limit",
IF(OR(AND(D154=0,C154&gt;75),C154&gt;1.25*D154),"excessive",
IF(D154=0, "no requirement",
"benefit"))))))))</f>
        <v/>
      </c>
      <c r="G154" s="9"/>
      <c r="H154" s="91" t="str">
        <f ca="1">IF(B154="","",
IF(AND('Field information 2'!$O$5="", 'Field information 2'!$Q$5=""),
   IF('Waste results'!$S$17&lt;&gt;"data missing", Calc!BC152*'Waste results'!$S$17, "data missing"),
IF('Field information 2'!$Q$5="",
   IF(Calc!BD152=0,
     IF('Waste results'!$S$17&lt;&gt;"data missing", Calc!BC152*'Waste results'!$S$17, "data missing"),
   IF(Calc!BC152=0,
     IF('Waste results'!$S$53&lt;&gt;"data missing", Calc!BD152*'Waste results'!$S$53, "data missing"),
   IF(OR('Waste results'!$S$17&lt;&gt;"data missing", 'Waste results'!$S$53&lt;&gt;"data missing"), Calc!BC152*'Waste results'!$S$17+ Calc!BD152*'Waste results'!$S$53, "data missing"))),
IF(AND('Field information 2'!$M$5&lt;&gt;"", 'Field information 2'!$O$5&lt;&gt;"", 'Field information 2'!$Q$5&lt;&gt;""),
   IF(AND(Calc!BD152=0,Calc!BE152=0),
     IF('Waste results'!$S$17&lt;&gt;"data missing", Calc!BC152*'Waste results'!$S$17, "data missing"),
   IF(AND(Calc!BC152=0,Calc!BE152=0),
     IF('Waste results'!$S$53&lt;&gt;"data missing", Calc!BD152*'Waste results'!$S$53, "data missing"),
   IF(AND(Calc!BC152=0,Calc!BD152=0),
     IF('Waste results'!$S$89&lt;&gt;"data missing", Calc!BE152*'Waste results'!$S$89, "data missing"),
   IF(Calc!BE152=0,
     IF(OR('Waste results'!$S$17&lt;&gt;"data missing", 'Waste results'!$S$53&lt;&gt;"data missing"), Calc!BC152*'Waste results'!$S$17+ Calc!BD152*'Waste results'!$S$53, "data missing"),
   IF(Calc!BD152=0,
     IF(OR('Waste results'!$S$17&lt;&gt;"data missing", 'Waste results'!$S$89&lt;&gt;"data missing"), Calc!BC152*'Waste results'!$S$17+ Calc!BE152*'Waste results'!$S$89, "data missing"),
   IF(Calc!BC152=0,
     IF(OR('Waste results'!$S$53&lt;&gt;"data missing", 'Waste results'!$S$89&lt;&gt;"data missing"), Calc!BD152*'Waste results'!$S$53+Calc!BE152*'Waste results'!$S$89, "data missing"),
   IF(OR('Waste results'!$S$17&lt;&gt;"data missing", 'Waste results'!$S$53&lt;&gt;"data missing", 'Waste results'!$S$89&lt;&gt;"data missing"), Calc!BC152*'Waste results'!$S$17+Calc!BD152*'Waste results'!$S$53+ Calc!BE152*'Waste results'!$S$89, "data missing")))))))))))</f>
        <v/>
      </c>
      <c r="I154" s="195" t="str">
        <f ca="1">IF(B154="","",
IF(OR(ISBLANK('Soil results'!G157), ISBLANK('Soil results'!G$7)),"data missing",
IF(OR(AND('Soil results'!G$7="Olsen (ADAS)",'Soil results'!G157&lt;16),AND('Soil results'!G$7="modified Morgan (SAC)",'Soil results'!G157&lt;4.5)),50,100)))</f>
        <v/>
      </c>
      <c r="J154" s="49" t="str">
        <f ca="1">IF(B154="","",
IF(OR(ISBLANK('Soil results'!G$7),ISBLANK('Soil results'!G157)),"data missing",
IF(OR(AND('Soil results'!G$7="Olsen (ADAS)",'Soil results'!G157&gt;45),AND('Soil results'!G$7="modified Morgan (SAC)",'Soil results'!G157&gt;30)),0,
IF(OR(AND('Soil results'!G$7="Olsen (ADAS)",'Soil results'!G157&gt;=16,'Soil results'!G157&lt;=20),AND('Soil results'!G$7="modified Morgan (SAC)",'Soil results'!G157&gt;=4.5,'Soil results'!G157&lt;=9.4)),VLOOKUP(Calc!BI152,'Fertiliser recommendations'!$A$4:$I$63,9,FALSE),
IF(OR(AND('Soil results'!G$7="Olsen (ADAS)",'Soil results'!G157&lt;10),AND('Soil results'!G$7="modified Morgan (SAC)",'Soil results'!G157&lt;1.8)),VLOOKUP(Calc!BI152,'Fertiliser recommendations'!$A$4:$I$63,9,FALSE)+VLOOKUP(Calc!BI152,'Fertiliser recommendations'!$A$4:$J$63,10,FALSE),
IF(OR(AND('Soil results'!G$7="Olsen (ADAS)",'Soil results'!G157&lt;16),AND('Soil results'!G$7="modified Morgan (SAC)",'Soil results'!G157&lt;4.5)),VLOOKUP(Calc!BI152,'Fertiliser recommendations'!$A$4:$I$63,9,FALSE)+VLOOKUP(Calc!BI152,'Fertiliser recommendations'!$A$4:$K$63,11,FALSE),
IF(OR(AND('Soil results'!G$7="Olsen (ADAS)",'Soil results'!G157&lt;26),AND('Soil results'!G$7="modified Morgan (SAC)",'Soil results'!G157&lt;13.5)),VLOOKUP(Calc!BI152,'Fertiliser recommendations'!$A$4:$I$63,9,FALSE)+VLOOKUP(Calc!BI152,'Fertiliser recommendations'!$A$4:$L$63,12,FALSE),
IF(OR(AND('Soil results'!G$7="Olsen (ADAS)",'Soil results'!G157&lt;=45),AND('Soil results'!G$7="modified Morgan (SAC)",'Soil results'!G157&lt;=30)),VLOOKUP(Calc!BI152,'Fertiliser recommendations'!$A$4:$I$63,9,FALSE)+VLOOKUP(Calc!BI152,'Fertiliser recommendations'!$A$4:$M$63,13,FALSE),
""))))))))</f>
        <v/>
      </c>
      <c r="K154" s="161" t="str">
        <f t="shared" ca="1" si="35"/>
        <v/>
      </c>
      <c r="L154" s="47" t="str">
        <f ca="1">IF(OR(ISBLANK('Soil results'!G$7),ISBLANK('Soil results'!G157),B154="", H154="data missing"),"",
IF('Soil results'!G$7="Olsen (ADAS)",
IF(((H154*Calc!BM152/2.291-(VLOOKUP(Calc!BI152,'Fertiliser recommendations'!$A$4:$I$63,9,FALSE))/2.291)*10/(400/2.291)+'Soil results'!G157)&lt;10,"0 (VL)",
IF(((H154*Calc!BM152/2.291-(VLOOKUP(Calc!BI152,'Fertiliser recommendations'!$A$4:$I$63,9,FALSE))/2.291)*10/(400/2.291)+'Soil results'!G157)&lt;16,"1 (L)",
IF(((H154*Calc!BM152/2.291-(VLOOKUP(Calc!BI152,'Fertiliser recommendations'!$A$4:$I$63,9,FALSE))/2.291)*10/(400/2.291)+'Soil results'!G157)&lt;21,"2 (M-)",
IF(((H154*Calc!BM152/2.291-(VLOOKUP(Calc!BI152,'Fertiliser recommendations'!$A$4:$I$63,9,FALSE))/2.291)*10/(400/2.291)+'Soil results'!G157)&lt;26,"2 (M+)",
IF(((H154*Calc!BM152/2.291-(VLOOKUP(Calc!BI152,'Fertiliser recommendations'!$A$4:$I$63,9,FALSE))/2.291)*10/(400/2.291)+'Soil results'!G157)&lt;45,"3 (H)","&gt;3 (VH)"))))),
IF('Soil results'!G$7="modified Morgan (SAC)",
IF('Soil results'!G157&gt;=6,
IF(((H154*Calc!BM152/2.291-(VLOOKUP(Calc!BI152,'Fertiliser recommendations'!$A$4:$I$63,9,FALSE))/2.291)*5/(147/2.291)+'Soil results'!G157)&lt;9.5,"2 (M-)",
IF(((H154*Calc!BM152/2.291-(VLOOKUP(Calc!BI152,'Fertiliser recommendations'!$A$4:$I$63,9,FALSE))/2.291)*5/(147/2.291)+'Soil results'!G157)&lt;13.5,"2 (M+)",
IF(((H154*Calc!BM152/2.291-(VLOOKUP(Calc!BI152,'Fertiliser recommendations'!$A$4:$I$63,9,FALSE))/2.291)*5/(147/2.291)+'Soil results'!G157)&lt;30,"3 (H)","4 (VH)"))),
IF(((H154*Calc!BM152/2.291-(VLOOKUP(Calc!BI152,'Fertiliser recommendations'!$A$4:$I$63,9,FALSE))/2.291)*5/(346/2.291)+'Soil results'!G157)&lt;1.8,"0 (VL)",
IF(((H154*Calc!BM152/2.291-(VLOOKUP(Calc!BI152,'Fertiliser recommendations'!$A$4:$I$63,9,FALSE))/2.291)*5/(147/2.291)+'Soil results'!G157)&lt;4.5,"1 (L)","2 (M-)"))))))</f>
        <v/>
      </c>
      <c r="M154" s="9" t="str">
        <f ca="1">IF(B154="","",
IF(OR(H154="data missing",I154="data missing",J154="data missing"),"data missing",
IF(Calc!BF152=0,"n/a",
IF(OR(AND('Soil results'!G$7="Olsen (ADAS)",'Soil results'!G157&gt;45),AND('Soil results'!G$7="modified Morgan (SAC)",'Soil results'!G157&gt;30)),
IF(H154&gt;2,"too high, not acceptable","no requirement"),IF(OR(AND('Soil results'!G$7="Olsen (ADAS)",'Soil results'!G157&gt;25),AND('Soil results'!G$7="modified Morgan (SAC)",'Soil results'!G157&gt;13.4)),
IF(H154*(I154/100)&lt;0.1*J154,"no benefit",
IF(H154*(I154/100)&lt;0.3*J154,"limited benefit",
IF(H154*(I154/100)&lt;1.1*J154,"benefit",
IF(H154*(I154/100)&lt;0.7*VLOOKUP(Calc!BI152,'Fertiliser recommendations'!$A$4:$I$63,9,FALSE),"excessive","too high, not acceptable")))),
IF(OR(AND('Soil results'!G$7="Olsen (ADAS)",'Soil results'!G157&gt;20),AND('Soil results'!G$7="modified Morgan (SAC)",'Soil results'!G157&gt;9.4)),
IF(H154*Calc!BM152*(I154/100)&lt;0.1*J154,"no benefit",
IF(H154*Calc!BM152*(I154/100)&lt;0.3*J154,"limited benefit",
IF(H154*Calc!BM152*(I154/100)&lt;1.1*J154,"benefit",
IF(L154="3 (H)","too high, not acceptable","excessive")))),
IF(OR(AND('Soil results'!G$7="Olsen (ADAS)",'Soil results'!G157&gt;15),AND('Soil results'!G$7="modified Morgan (SAC)",'Soil results'!G157&gt;4.4)),
IF(H154*Calc!BM152*(I154/100)&lt;0.1*VLOOKUP(Calc!BI152,'Fertiliser recommendations'!$A$4:$I$63,9,FALSE),"no benefit",
IF(H154*Calc!BM152*(I154/100)&lt;0.3*VLOOKUP(Calc!BI152,'Fertiliser recommendations'!$A$4:$I$63,9,FALSE),"limited benefit",
IF(H154*Calc!BM152*(I154/100)&lt;1.1*VLOOKUP(Calc!BI152,'Fertiliser recommendations'!$A$4:$I$63,9,FALSE),"benefit",
IF(L154="3 (H)", "too high, not acceptable", "excessive")))),
IF(OR(AND('Soil results'!G$7="Olsen (ADAS)",'Soil results'!G157&lt;=15),AND('Soil results'!G$7="modified Morgan (SAC)",'Soil results'!G157&lt;=4.4)),
IF(H154*Calc!BM152*(I154/100)&lt;0.1*VLOOKUP(Calc!BI152,'Fertiliser recommendations'!$A$4:$I$63,9,FALSE),"no benefit",
IF(H154*Calc!BM152*(I154/100)&lt;0.3*VLOOKUP(Calc!BI152,'Fertiliser recommendations'!$A$4:$I$63,9,FALSE),"limited benefit",
IF(H154*Calc!BM152*(I154/100)&lt;1.1*J154,"benefit","excessive")))))))))))</f>
        <v/>
      </c>
      <c r="N154" s="9"/>
      <c r="O154" s="91" t="str">
        <f ca="1">IF(B154="","",
IF(AND('Field information 2'!$O$5="", 'Field information 2'!$Q$5=""),
   IF('Waste results'!$S$19&lt;&gt;"data missing", Calc!BC152*'Waste results'!$S$19, "data missing"),
IF('Field information 2'!$Q$5="",
   IF(Calc!BD152=0,
     IF('Waste results'!$S$19&lt;&gt;"data missing", Calc!BC152*'Waste results'!$S$19, "data missing"),
   IF(Calc!BC152=0,
     IF('Waste results'!$S$55&lt;&gt;"data missing", Calc!BD152*'Waste results'!$S$55, "data missing"),
   IF(OR('Waste results'!$S$19&lt;&gt;"data missing", 'Waste results'!$S$55&lt;&gt;"data missing"), Calc!BC152*'Waste results'!$S$19+ Calc!BD152*'Waste results'!$S$55, "data missing"))),
IF(AND('Field information 2'!$M$5&lt;&gt;"", 'Field information 2'!$O$5&lt;&gt;"", 'Field information 2'!$Q$5&lt;&gt;""),
   IF(AND(Calc!BD152=0,Calc!BE152=0),
     IF('Waste results'!$S$19&lt;&gt;"data missing", Calc!BC152*'Waste results'!$S$19, "data missing"),
   IF(AND(Calc!BC152=0,Calc!BE152=0),
     IF('Waste results'!$S$55&lt;&gt;"data missing", Calc!BD152*'Waste results'!$S$55, "data missing"),
   IF(AND(Calc!BC152=0,Calc!BD152=0),
     IF('Waste results'!$S$91&lt;&gt;"data missing", Calc!BE152*'Waste results'!$S$91, "data missing"),
   IF(Calc!BE152=0,
     IF(OR('Waste results'!$S$19&lt;&gt;"data missing", 'Waste results'!$S$55&lt;&gt;"data missing"), Calc!BC152*'Waste results'!$S$19+ Calc!BD152*'Waste results'!$S$55, "data missing"),
   IF(Calc!BD152=0,
     IF(OR('Waste results'!$S$19&lt;&gt;"data missing", 'Waste results'!$S$91&lt;&gt;"data missing"), Calc!BC152*'Waste results'!$S$19+ Calc!BE152*'Waste results'!$S$91, "data missing"),
   IF(Calc!BC152=0,
     IF(OR('Waste results'!$S$55&lt;&gt;"data missing", 'Waste results'!$S$91&lt;&gt;"data missing"), Calc!BD152*'Waste results'!$S$55+Calc!BE152*'Waste results'!$S$91, "data missing"),
   IF(OR('Waste results'!$S$19&lt;&gt;"data missing", 'Waste results'!$S$55&lt;&gt;"data missing", 'Waste results'!$S$91&lt;&gt;"data missing"), Calc!BC152*'Waste results'!$S$19+Calc!BD152*'Waste results'!$S$55+ Calc!BE152*'Waste results'!$S$91, "data missing")))))))))))</f>
        <v/>
      </c>
      <c r="P154" s="91" t="str">
        <f ca="1">IF(B154="","",
IF(OR(ISBLANK('Soil results'!H$7),ISBLANK('Soil results'!H157)),"data missing",
IF(OR(AND('Soil results'!H$7="ammonium nitrate (ADAS)",'Soil results'!H157&gt;400),AND('Soil results'!H$7="modified Morgan (SAC)",'Soil results'!H157&gt;400)),0,
IF(OR(AND('Soil results'!H$7="ammonium nitrate (ADAS)",'Soil results'!H157&gt;=121,'Soil results'!H157&lt;=180),AND('Soil results'!H$7="modified Morgan (SAC)",'Soil results'!H157&gt;=76,'Soil results'!H157&lt;=140)),VLOOKUP(Calc!BI152,'Fertiliser recommendations'!$A$4:$Z$63,26,FALSE),
IF(OR(AND('Soil results'!H$7="ammonium nitrate (ADAS)",'Soil results'!H157&lt;61),AND('Soil results'!H$7="modified Morgan (SAC)",'Soil results'!H157&lt;40)),VLOOKUP(Calc!BI152,'Fertiliser recommendations'!$A$4:$Z$63,26,FALSE)+VLOOKUP(Calc!BI152,'Fertiliser recommendations'!$A$4:$AA$63,27,FALSE),
IF(OR(AND('Soil results'!H$7="ammonium nitrate (ADAS)",'Soil results'!H157&lt;121),AND('Soil results'!H$7="modified Morgan (SAC)",'Soil results'!H157&lt;76)),VLOOKUP(Calc!BI152,'Fertiliser recommendations'!$A$4:$Z$63,26,FALSE)+VLOOKUP(Calc!BI152,'Fertiliser recommendations'!$A$4:$AB$63,28,FALSE),
IF(OR(AND('Soil results'!H$7="ammonium nitrate (ADAS)",'Soil results'!H157&lt;241),AND('Soil results'!H$7="modified Morgan (SAC)",'Soil results'!H157&lt;201)),VLOOKUP(Calc!BI152,'Fertiliser recommendations'!$A$4:$Z$63,26,FALSE)+VLOOKUP(Calc!BI152,'Fertiliser recommendations'!$A$4:$AC$63,29,FALSE),
IF(OR(AND('Soil results'!H$7="ammonium nitrate (ADAS)",'Soil results'!H157&lt;=400),AND('Soil results'!H$7="modified Morgan (SAC)",'Soil results'!H157&lt;=400)),VLOOKUP(Calc!BI152,'Fertiliser recommendations'!$A$4:$Z$63,26,FALSE)+VLOOKUP(Calc!BI152,'Fertiliser recommendations'!$A$4:$AD$63,30,FALSE),
"??"))))))))</f>
        <v/>
      </c>
      <c r="Q154" s="91" t="str">
        <f t="shared" ca="1" si="36"/>
        <v/>
      </c>
      <c r="R154" s="9" t="str">
        <f ca="1">IF(B154="","",
IF(OR(O154="data missing",P154="data missing"),"data missing",
IF(Calc!BF152=0,"n/a",
IF(P154=0, "no requirement",
IF(O154&lt;0.1*P154,"no benefit",
IF(O154&lt;0.3*P154,"limited benefit",
IF(O154&gt;1.25*P154,"excessive",
"benefit")))))))</f>
        <v/>
      </c>
      <c r="S154" s="9"/>
      <c r="T154" s="91" t="str">
        <f ca="1">IF(B154="","",
IF(AND('Field information 2'!$O$5="", 'Field information 2'!$Q$5=""),
   IF('Waste results'!$S$21&lt;&gt;"data missing", Calc!BC152*'Waste results'!$S$21, "data missing"),
IF('Field information 2'!$Q$5="",
   IF(Calc!BD152=0,
     IF('Waste results'!$S$21&lt;&gt;"data missing", Calc!BC152*'Waste results'!$S$21, "data missing"),
   IF(Calc!BC152=0,
     IF('Waste results'!$S$57&lt;&gt;"data missing", Calc!BD152*'Waste results'!$S$57, "data missing"),
   IF(OR('Waste results'!$S$21&lt;&gt;"data missing", 'Waste results'!$S$57&lt;&gt;"data missing"), Calc!BC152*'Waste results'!$S$21+ Calc!BD152*'Waste results'!$S$57, "data missing"))),
IF(AND('Field information 2'!$M$5&lt;&gt;"", 'Field information 2'!$O$5&lt;&gt;"", 'Field information 2'!$Q$5&lt;&gt;""),
   IF(AND(Calc!BD152=0,Calc!BE152=0),
     IF('Waste results'!$S$21&lt;&gt;"data missing", Calc!BC152*'Waste results'!$S$21, "data missing"),
   IF(AND(Calc!BC152=0,Calc!BE152=0),
     IF('Waste results'!$S$57&lt;&gt;"data missing", Calc!BD152*'Waste results'!$S$57, "data missing"),
   IF(AND(Calc!BC152=0,Calc!BD152=0),
     IF('Waste results'!$S$93&lt;&gt;"data missing", Calc!BE152*'Waste results'!$S$93, "data missing"),
   IF(Calc!BE152=0,
     IF(OR('Waste results'!$S$21&lt;&gt;"data missing", 'Waste results'!$S$57&lt;&gt;"data missing"), Calc!BC152*'Waste results'!$S$21+ Calc!BD152*'Waste results'!$S$57, "data missing"),
   IF(Calc!BD152=0,
     IF(OR('Waste results'!$S$21&lt;&gt;"data missing", 'Waste results'!$S$93&lt;&gt;"data missing"), Calc!BC152*'Waste results'!$S$21+ Calc!BE152*'Waste results'!$S$93, "data missing"),
   IF(Calc!BC152=0,
     IF(OR('Waste results'!$S$57&lt;&gt;"data missing", 'Waste results'!$S$93&lt;&gt;"data missing"), Calc!BD152*'Waste results'!$S$57+Calc!BE152*'Waste results'!$S$93, "data missing"),
   IF(OR('Waste results'!$S$21&lt;&gt;"data missing", 'Waste results'!$S$57&lt;&gt;"data missing", 'Waste results'!$S$93&lt;&gt;"data missing"), Calc!BC152*'Waste results'!$S$21+Calc!BD152*'Waste results'!$S$57+ Calc!BE152*'Waste results'!$S$93, "data missing")))))))))))</f>
        <v/>
      </c>
      <c r="U154" s="7" t="str">
        <f ca="1">IF(B154="","",
IF(OR(ISBLANK('Soil results'!I$7),ISBLANK('Soil results'!I157)),"data missing",
IF(OR(AND('Soil results'!I$7="ammonium nitrate (ADAS)",'Soil results'!I157&gt;51),AND('Soil results'!I$7="modified Morgan (SAC)",'Soil results'!I157&gt;61)),0,
IF(OR(AND('Soil results'!I$7="ammonium nitrate (ADAS)",'Soil results'!I157&lt;25),AND('Soil results'!I$7="modified Morgan (SAC)",'Soil results'!I157&lt;19)),VLOOKUP(Calc!BI152,'Fertiliser recommendations'!$A$4:$AH$63,34,FALSE),
IF(OR(AND('Soil results'!I$7="ammonium nitrate (ADAS)",'Soil results'!I157&lt;=51),AND('Soil results'!I$7="modified Morgan (SAC)",'Soil results'!I157&lt;=61)),VLOOKUP(Calc!BI152,'Fertiliser recommendations'!$A$4:$AI$63,35,FALSE),
"")))))</f>
        <v/>
      </c>
      <c r="V154" s="91" t="str">
        <f t="shared" ca="1" si="37"/>
        <v/>
      </c>
      <c r="W154" s="9" t="str">
        <f ca="1">IF(B154="","",
IF(OR(T154="data missing",U154="data missing"),"data missing",
IF(Calc!BF152=0,"n/a",
IF(U154=0,"no requirement",
IF(T154&lt;0.1*U154,"no benefit",
IF(T154&lt;0.3*U154,"limited benefit",
IF(OR(T154&gt;1.5*U154,AND(Calc!BJ152="g",T154&gt;100)),"excessive",
"benefit")))))))</f>
        <v/>
      </c>
      <c r="X154" s="9"/>
      <c r="Y154" s="91" t="str">
        <f ca="1">IF(B154="","",
IF(AND('Field information 2'!$O$5="", 'Field information 2'!$Q$5=""),
   IF('Waste results'!$P$23&lt;&gt;"", Calc!BC152*'Waste results'!$P$23, "no data"),
IF('Field information 2'!$Q$5="",
   IF(Calc!BD152=0,
     IF('Waste results'!$P$23&lt;&gt;"", Calc!BC152*'Waste results'!$P$23, "no data"),
   IF(Calc!BC152=0,
     IF('Waste results'!$P$59&lt;&gt;"", Calc!BD152*'Waste results'!$P$59, "no data"),
   IF(OR('Waste results'!$P$23&lt;&gt;"", 'Waste results'!$P$59&lt;&gt;""), Calc!BC152*'Waste results'!$P$23+ Calc!BD152*'Waste results'!$P$59, "no data"))),
IF(AND('Field information 2'!$M$5&lt;&gt;"", 'Field information 2'!$O$5&lt;&gt;"", 'Field information 2'!$Q$5&lt;&gt;""),
   IF(AND(Calc!BD152=0,Calc!BE152=0),
     IF('Waste results'!$P$23&lt;&gt;"", Calc!BC152*'Waste results'!$P$23, "no data"),
   IF(AND(Calc!BC152=0,Calc!BE152=0),
     IF('Waste results'!$P$59&lt;&gt;"", Calc!BD152*'Waste results'!$P$59, "no data"),
   IF(AND(Calc!BC152=0,Calc!BD152=0),
     IF('Waste results'!$P$95&lt;&gt;"", Calc!BE152*'Waste results'!$P$95, "no data"),
   IF(Calc!BE152=0,
     IF(OR('Waste results'!$P$23&lt;&gt;"", 'Waste results'!$P$59&lt;&gt;""), Calc!BC152*'Waste results'!$P$23+ Calc!BD152*'Waste results'!$P$59, "no data"),
   IF(Calc!BD152=0,
     IF(OR('Waste results'!$P$23&lt;&gt;"", 'Waste results'!$P$95&lt;&gt;""), Calc!BC152*'Waste results'!$P$23+ Calc!BE152*'Waste results'!$P$95, "no data"),
   IF(Calc!BC152=0,
     IF(OR('Waste results'!$P$59&lt;&gt;"", 'Waste results'!$P$95&lt;&gt;""), Calc!BD152*'Waste results'!$P$59+Calc!BE152*'Waste results'!$P$95, "no data"),
   IF(OR('Waste results'!$P$23&lt;&gt;"", 'Waste results'!$P$59&lt;&gt;"", 'Waste results'!$P$95&lt;&gt;""), Calc!BC152*'Waste results'!$P$23+Calc!BD152*'Waste results'!$P$59+ Calc!BE152*'Waste results'!$P$95, "no data")))))))))))</f>
        <v/>
      </c>
      <c r="Z154" s="7" t="str">
        <f ca="1">IF(OR(ISBLANK('Soil results'!I$7),ISBLANK('Soil results'!I157),'Soil results'!B157=""),"",
VLOOKUP(Calc!BI152,'Fertiliser recommendations'!$A$4:$AM$63,39,FALSE))</f>
        <v/>
      </c>
      <c r="AA154" s="91" t="str">
        <f t="shared" ca="1" si="38"/>
        <v/>
      </c>
      <c r="AB154" s="9" t="str">
        <f t="shared" ca="1" si="39"/>
        <v/>
      </c>
      <c r="AC154" s="9"/>
      <c r="AD154" s="48" t="str">
        <f>IF(ISBLANK('Soil results'!F157),"",'Soil results'!F157)</f>
        <v/>
      </c>
      <c r="AE154" s="49" t="str">
        <f ca="1">IF(B154="","",
IF(AND(Calc!BJ152="g", VLOOKUP(LEFT($B154,LEN($B154)-2),'Field information 2'!$B$12:$P$111,9,FALSE)&lt;&gt;"yes"),
 IF(Calc!BG152="10-25% OM", 5.9, IF(Calc!BG152="&gt;25% OM", 5.5, 6.2)),
IF(OR(Calc!BJ152="a", VLOOKUP(LEFT($B154,LEN($B154)-2),'Field information 2'!$B$12:$P$111,9,FALSE)="yes"),
 IF(Calc!BG152="10-25% OM", 6.4, IF(Calc!BG152="&gt;25% OM", 6, 6.7)), "")))</f>
        <v/>
      </c>
      <c r="AF154" s="91" t="str">
        <f ca="1">IF(B154="","",
IF('Waste results'!$Q$33="","no (significant) liming properties",
IF('Waste results'!Q$33&gt;100,"no (significant) liming properties",
IF(AD154="","",
IF(AD154&gt;=AE154,0,ROUNDDOWN((AE154-AD154)*Calc!BK152*'Waste results'!$Q$33+0.2,0))))))</f>
        <v/>
      </c>
      <c r="AG154" s="9" t="str">
        <f ca="1">IF(B154="","",
IF(T154=0,"n/a",
IF(AD154="","data missing",
IF(AND(AD154&lt;5,AF154="no (significant) liming properties"),"no waste application - pH too low",
IF(AND(AD154&gt;5.1,AF154="no (significant) liming properties",Calc!BH152&gt;25, LEFT(Calc!BI152,4)="graz"),"ok",
IF(AND(AD154&lt;=5.2,AF154="no (significant) liming properties"),"liming highly recommended",
IF(AF154=0,"no waste application - liming not required",
IF(AF154&lt;Calc!BC152,"application rate too high - exceeds liming requirement",
"ok"))))))))</f>
        <v/>
      </c>
      <c r="AH154" s="9"/>
      <c r="AI154" s="91" t="str">
        <f ca="1">IF(B154="","",
IF(AND('Field information 2'!$O$5="", 'Field information 2'!$Q$5=""),
   IF('Waste results'!$P$10&lt;&gt;"data missing", Calc!BC152*'Waste results'!$P$10, "data missing"),
IF('Field information 2'!$Q$5="",
   IF(Calc!BD152=0,
     IF('Waste results'!$P$10&lt;&gt;"data missing", Calc!BC152*'Waste results'!$P$10, "data missing"),
   IF(Calc!BC152=0,
     IF('Waste results'!$P$45&lt;&gt;"data missing", Calc!BD152*'Waste results'!$P$45, "data missing"),
   IF(OR('Waste results'!$P$10&lt;&gt;"data missing", 'Waste results'!$P$45&lt;&gt;"data missing"), Calc!BC152*'Waste results'!$P$10+ Calc!BD152*'Waste results'!$P$45, "data missing"))),
IF(AND('Field information 2'!$M$5&lt;&gt;"", 'Field information 2'!$O$5&lt;&gt;"", 'Field information 2'!$Q$5&lt;&gt;""),
   IF(AND(Calc!BD152=0,Calc!BE152=0),
     IF('Waste results'!$P$10&lt;&gt;"data missing", Calc!BC152*'Waste results'!$P$10, "data missing"),
   IF(AND(Calc!BC152=0,Calc!BE152=0),
     IF('Waste results'!$P$45&lt;&gt;"data missing", Calc!BD152*'Waste results'!$P$45, "data missing"),
   IF(AND(Calc!BC152=0,Calc!BD152=0),
     IF('Waste results'!$P$82&lt;&gt;"data missing", Calc!BE152*'Waste results'!$P$82, "data missing"),
   IF(Calc!BE152=0,
     IF(OR('Waste results'!$P$10&lt;&gt;"data missing", 'Waste results'!$P$45&lt;&gt;"data missing"), Calc!BC152*'Waste results'!$P$10+ Calc!BD152*'Waste results'!$P$45, "data missing"),
   IF(Calc!BD152=0,
     IF(OR('Waste results'!$P$10&lt;&gt;"data missing", 'Waste results'!$P$82&lt;&gt;"data missing"), Calc!BC152*'Waste results'!$P$10+ Calc!BE152*'Waste results'!$P$82, "data missing"),
   IF(Calc!BC152=0,
     IF(OR('Waste results'!$P$45&lt;&gt;"data missing", 'Waste results'!$P$82&lt;&gt;"data missing"), Calc!BD152*'Waste results'!$P$45+Calc!BE152*'Waste results'!$P$82, "data missing"),
   IF(OR('Waste results'!$P$10&lt;&gt;"data missing", 'Waste results'!$P$45&lt;&gt;"data missing", 'Waste results'!$P$82&lt;&gt;"data missing"), Calc!BC152*'Waste results'!$P$10+Calc!BD152*'Waste results'!$P$45+ Calc!BE152*'Waste results'!$P$82, "data missing")))))))))))</f>
        <v/>
      </c>
      <c r="AJ154" s="237" t="str">
        <f ca="1">IF(B154="","",
IF(AI154="data missing","data missing",
IF(Calc!BF152=0,"n/a",
IF(AND(Calc!BH152&gt;=8,AI154&lt;500),"no benefit",
IF(OR(AND(Calc!BH152&lt;=4,AI154&gt;=500),AND(Calc!BH152&lt;8,AI154&gt;5000)),"benefit",
"limited benefit")))))</f>
        <v/>
      </c>
      <c r="AK154" s="9"/>
      <c r="AL154" s="238" t="str">
        <f ca="1">IF(B154="","",
IF(AND('Field information 2'!$O$5="", 'Field information 2'!$Q$5=""),
   IF('Waste results'!$S$25&lt;&gt;"data missing", Calc!BC152*'Waste results'!$S$25, "data missing"),
IF('Field information 2'!$Q$5="",
   IF(Calc!BD152=0,
     IF('Waste results'!$S$25&lt;&gt;"data missing", Calc!BC152*'Waste results'!$S$25, "data missing"),
   IF(Calc!BC152=0,
     IF('Waste results'!$S$61&lt;&gt;"data missing", Calc!BD152*'Waste results'!$S$61, "data missing"),
   IF(OR('Waste results'!$S$25&lt;&gt;"data missing", 'Waste results'!$S$61&lt;&gt;"data missing"), Calc!BC152*'Waste results'!$S$25+ Calc!BD152*'Waste results'!$S$61, "data missing"))),
IF(AND('Field information 2'!$M$5&lt;&gt;"", 'Field information 2'!$O$5&lt;&gt;"", 'Field information 2'!$Q$5&lt;&gt;""),
   IF(AND(Calc!BD152=0,Calc!BE152=0),
     IF('Waste results'!$S$25&lt;&gt;"data missing", Calc!BC152*'Waste results'!$S$25, "data missing"),
   IF(AND(Calc!BC152=0,Calc!BE152=0),
     IF('Waste results'!$S$61&lt;&gt;"data missing", Calc!BD152*'Waste results'!$S$61, "data missing"),
   IF(AND(Calc!BC152=0,Calc!BD152=0),
     IF('Waste results'!$S$97&lt;&gt;"data missing", Calc!BE152*'Waste results'!$S$97, "data missing"),
   IF(Calc!BE152=0,
     IF(OR('Waste results'!$S$25&lt;&gt;"data missing", 'Waste results'!$S$61&lt;&gt;"data missing"), Calc!BC152*'Waste results'!$S$25+ Calc!BD152*'Waste results'!$S$61, "data missing"),
   IF(Calc!BD152=0,
     IF(OR('Waste results'!$S$25&lt;&gt;"data missing", 'Waste results'!$S$97&lt;&gt;"data missing"), Calc!BC152*'Waste results'!$S$25+ Calc!BE152*'Waste results'!$S$97, "data missing"),
   IF(Calc!BC152=0,
     IF(OR('Waste results'!$S$61&lt;&gt;"data missing", 'Waste results'!$S$97&lt;&gt;"data missing"), Calc!BD152*'Waste results'!$S$61+Calc!BE152*'Waste results'!$S$97, "data missing"),
   IF(OR('Waste results'!$S$25&lt;&gt;"data missing", 'Waste results'!$S$61&lt;&gt;"data missing", 'Waste results'!$S$97&lt;&gt;"data missing"), Calc!BC152*'Waste results'!$S$25+Calc!BD152*'Waste results'!$S$61+ Calc!BE152*'Waste results'!$S$97, "data missing")))))))))))</f>
        <v/>
      </c>
      <c r="AM154" s="239" t="str">
        <f ca="1">IF($B154="","",
IF(ISBLANK('Soil results'!K157),"data missing",'Soil results'!K157))</f>
        <v/>
      </c>
      <c r="AN154" s="239" t="str">
        <f t="shared" ca="1" si="40"/>
        <v/>
      </c>
      <c r="AO154" s="9" t="str">
        <f t="shared" ca="1" si="41"/>
        <v/>
      </c>
      <c r="AP154" s="9"/>
      <c r="AQ154" s="240" t="str">
        <f ca="1">IF(B154="","",
IF(AND('Field information 2'!$O$5="", 'Field information 2'!$Q$5=""),
   IF('Waste results'!$S$26&lt;&gt;"data missing", Calc!BC152*'Waste results'!$S$26, "data missing"),
IF('Field information 2'!$Q$5="",
   IF(Calc!BD152=0,
     IF('Waste results'!$S$26&lt;&gt;"data missing", Calc!BC152*'Waste results'!$S$26, "data missing"),
   IF(Calc!BC152=0,
     IF('Waste results'!$S$62&lt;&gt;"data missing", Calc!BD152*'Waste results'!$S$62, "data missing"),
   IF(OR('Waste results'!$S$26&lt;&gt;"data missing", 'Waste results'!$S$62&lt;&gt;"data missing"), Calc!BC152*'Waste results'!$S$26+ Calc!BD152*'Waste results'!$S$62, "data missing"))),
IF(AND('Field information 2'!$M$5&lt;&gt;"", 'Field information 2'!$O$5&lt;&gt;"", 'Field information 2'!$Q$5&lt;&gt;""),
   IF(AND(Calc!BD152=0,Calc!BE152=0),
     IF('Waste results'!$S$26&lt;&gt;"data missing", Calc!BC152*'Waste results'!$S$26, "data missing"),
   IF(AND(Calc!BC152=0,Calc!BE152=0),
     IF('Waste results'!$S$62&lt;&gt;"data missing", Calc!BD152*'Waste results'!$S$62, "data missing"),
   IF(AND(Calc!BC152=0,Calc!BD152=0),
     IF('Waste results'!$S$98&lt;&gt;"data missing", Calc!BE152*'Waste results'!$S$98, "data missing"),
   IF(Calc!BE152=0,
     IF(OR('Waste results'!$S$26&lt;&gt;"data missing", 'Waste results'!$S$62&lt;&gt;"data missing"), Calc!BC152*'Waste results'!$S$26+ Calc!BD152*'Waste results'!$S$62, "data missing"),
   IF(Calc!BD152=0,
     IF(OR('Waste results'!$S$26&lt;&gt;"data missing", 'Waste results'!$S$98&lt;&gt;"data missing"), Calc!BC152*'Waste results'!$S$26+ Calc!BE152*'Waste results'!$S$98, "data missing"),
   IF(Calc!BC152=0,
     IF(OR('Waste results'!$S$62&lt;&gt;"data missing", 'Waste results'!$S$98&lt;&gt;"data missing"), Calc!BD152*'Waste results'!$S$62+Calc!BE152*'Waste results'!$S$98, "data missing"),
   IF(OR('Waste results'!$S$26&lt;&gt;"data missing", 'Waste results'!$S$62&lt;&gt;"data missing", 'Waste results'!$S$98&lt;&gt;"data missing"), Calc!BC152*'Waste results'!$S$26+Calc!BD152*'Waste results'!$S$62+ Calc!BE152*'Waste results'!$S$98, "data missing")))))))))))</f>
        <v/>
      </c>
      <c r="AR154" s="241" t="str">
        <f ca="1">IF($B154="","",
IF(ISBLANK('Soil results'!L157),"data missing",'Soil results'!L157))</f>
        <v/>
      </c>
      <c r="AS154" s="241" t="str">
        <f t="shared" ca="1" si="42"/>
        <v/>
      </c>
      <c r="AT154" s="66" t="str">
        <f t="shared" ca="1" si="43"/>
        <v/>
      </c>
      <c r="AU154" s="9"/>
      <c r="AV154" s="238" t="str">
        <f ca="1">IF(B154="","",
IF(AND('Field information 2'!$O$5="", 'Field information 2'!$Q$5=""),
   IF('Waste results'!$S$27&lt;&gt;"data missing", Calc!BC152*'Waste results'!$S$27, "data missing"),
IF('Field information 2'!$Q$5="",
   IF(Calc!BD152=0,
     IF('Waste results'!$S$27&lt;&gt;"data missing", Calc!BC152*'Waste results'!$S$27, "data missing"),
   IF(Calc!BC152=0,
     IF('Waste results'!$S$63&lt;&gt;"data missing", Calc!BD152*'Waste results'!$S$63, "data missing"),
   IF(OR('Waste results'!$S$27&lt;&gt;"data missing", 'Waste results'!$S$63&lt;&gt;"data missing"), Calc!BC152*'Waste results'!$S$27+ Calc!BD152*'Waste results'!$S$63, "data missing"))),
IF(AND('Field information 2'!$M$5&lt;&gt;"", 'Field information 2'!$O$5&lt;&gt;"", 'Field information 2'!$Q$5&lt;&gt;""),
   IF(AND(Calc!BD152=0,Calc!BE152=0),
     IF('Waste results'!$S$27&lt;&gt;"data missing", Calc!BC152*'Waste results'!$S$27, "data missing"),
   IF(AND(Calc!BC152=0,Calc!BE152=0),
     IF('Waste results'!$S$63&lt;&gt;"data missing", Calc!BD152*'Waste results'!$S$63, "data missing"),
   IF(AND(Calc!BC152=0,Calc!BD152=0),
     IF('Waste results'!$S$99&lt;&gt;"data missing", Calc!BE152*'Waste results'!$S$99, "data missing"),
   IF(Calc!BE152=0,
     IF(OR('Waste results'!$S$27&lt;&gt;"data missing", 'Waste results'!$S$63&lt;&gt;"data missing"), Calc!BC152*'Waste results'!$S$27+ Calc!BD152*'Waste results'!$S$63, "data missing"),
   IF(Calc!BD152=0,
     IF(OR('Waste results'!$S$27&lt;&gt;"data missing", 'Waste results'!$S$99&lt;&gt;"data missing"), Calc!BC152*'Waste results'!$S$27+ Calc!BE152*'Waste results'!$S$99, "data missing"),
   IF(Calc!BC152=0,
     IF(OR('Waste results'!$S$63&lt;&gt;"data missing", 'Waste results'!$S$99&lt;&gt;"data missing"), Calc!BD152*'Waste results'!$S$63+Calc!BE152*'Waste results'!$S$99, "data missing"),
   IF(OR('Waste results'!$S$27&lt;&gt;"data missing", 'Waste results'!$S$63&lt;&gt;"data missing", 'Waste results'!$S$99&lt;&gt;"data missing"), Calc!BC152*'Waste results'!$S$27+Calc!BD152*'Waste results'!$S$63+ Calc!BE152*'Waste results'!$S$99, "data missing")))))))))))</f>
        <v/>
      </c>
      <c r="AW154" s="239" t="str">
        <f ca="1">IF($B154="","",
IF(ISBLANK('Soil results'!M157),"data missing",'Soil results'!M157))</f>
        <v/>
      </c>
      <c r="AX154" s="239" t="str">
        <f t="shared" ca="1" si="44"/>
        <v/>
      </c>
      <c r="AY154" s="9" t="str">
        <f ca="1">IF(B154="","",
IF(AV154=0,"n/a",
IF(OR(AV154="data missing",AW154="data missing"),"data missing",
IF(AV154&gt;7.5,"application rate too high - permissible rate exceeds limit",
IF('Soil results'!$F157&lt;=5.5,
  IF(AW154&gt;80,"no application - soil conc. already above limit",
  IF(AX154&gt;80,"application rate too high - soil conc. will exceed limit",
  IF(AW154&gt;80*0.9,"soil conc. is at or above 90% of the limit",
  IF(10*AV154*1000/3000+AW154&gt;80,"soil limit likely to be exceeded in 10yrs",
  IF(50*AV154*1000/3000+AW154&gt;80,"soil limit likely to be exceeded in 50yrs","ok"))))),
IF('Soil results'!$F157&lt;=6,
  IF(AW154&gt;100,"no application - soil conc. already above limit",
  IF(AX154&gt;100,"application rate too high - soil conc. will exceed limit",
  IF(AW154&gt;100*0.9,"soil conc. is at or above 90% of the limit",
  IF(10*AV154*1000/3000+AW154&gt;100,"soil limit likely to be exceeded in 10yrs",
  IF(50*AV154*1000/3000+AW154&gt;100,"soil limit likely to be exceeded in 50yrs","ok"))))),
IF('Soil results'!$F157&lt;=7,
  IF(AW154&gt;135,"no application - soil conc. already above limit",
  IF(AX154&gt;135,"application rate too high - soil conc. will exceed limit",
  IF(AW154&gt;135*0.9,"soil conc. is at or above 90% of the limit",
  IF(10*AV154*1000/3000+AW154&gt;135,"soil limit likely to be exceeded in 10yrs",
  IF(50*AV154*1000/3000+AW154&gt;135,"soil limit likely to be exceeded in 50yrs","ok"))))),
IF('Soil results'!$F157&gt;7,
  IF(AW154&gt;200,"no application - soil conc. already above limit",
  IF(AX154&gt;200,"application too high - soil conc. will exceed limit",
  IF(AW154&gt;200*0.9,"soil conc. is at or above 90% of the limit",
  IF(10*AV154*1000/3000+AW154&gt;200,"soil limit likely to be exceeded in 10yrs",
  IF(50*AV154*1000/3000+AW154&gt;200,"soil limit likely to be exceeded in 50yrs","ok")))))
))))))))</f>
        <v/>
      </c>
      <c r="AZ154" s="9"/>
      <c r="BA154" s="238" t="str">
        <f ca="1">IF(B154="","",
IF(AND('Field information 2'!$O$5="", 'Field information 2'!$Q$5=""),
   IF('Waste results'!$S$28&lt;&gt;"data missing", Calc!BC152*'Waste results'!$S$28, "data missing"),
IF('Field information 2'!$Q$5="",
   IF(Calc!BD152=0,
     IF('Waste results'!$S$28&lt;&gt;"data missing", Calc!BC152*'Waste results'!$S$28, "data missing"),
   IF(Calc!BC152=0,
     IF('Waste results'!$S$64&lt;&gt;"data missing", Calc!BD152*'Waste results'!$S$64, "data missing"),
   IF(OR('Waste results'!$S$28&lt;&gt;"data missing", 'Waste results'!$S$64&lt;&gt;"data missing"), Calc!BC152*'Waste results'!$S$28+ Calc!BD152*'Waste results'!$S$64, "data missing"))),
IF(AND('Field information 2'!$M$5&lt;&gt;"", 'Field information 2'!$O$5&lt;&gt;"", 'Field information 2'!$Q$5&lt;&gt;""),
   IF(AND(Calc!BD152=0,Calc!BE152=0),
     IF('Waste results'!$S$28&lt;&gt;"data missing", Calc!BC152*'Waste results'!$S$28, "data missing"),
   IF(AND(Calc!BC152=0,Calc!BE152=0),
     IF('Waste results'!$S$64&lt;&gt;"data missing", Calc!BD152*'Waste results'!$S$64, "data missing"),
   IF(AND(Calc!BC152=0,Calc!BD152=0),
     IF('Waste results'!$S$100&lt;&gt;"data missing", Calc!BE152*'Waste results'!$S$100, "data missing"),
   IF(Calc!BE152=0,
     IF(OR('Waste results'!$S$28&lt;&gt;"data missing", 'Waste results'!$S$64&lt;&gt;"data missing"), Calc!BC152*'Waste results'!$S$28+ Calc!BD152*'Waste results'!$S$64, "data missing"),
   IF(Calc!BD152=0,
     IF(OR('Waste results'!$S$28&lt;&gt;"data missing", 'Waste results'!$S$100&lt;&gt;"data missing"), Calc!BC152*'Waste results'!$S$28+ Calc!BE152*'Waste results'!$S$100, "data missing"),
   IF(Calc!BC152=0,
     IF(OR('Waste results'!$S$64&lt;&gt;"data missing", 'Waste results'!$S$100&lt;&gt;"data missing"), Calc!BD152*'Waste results'!$S$64+Calc!BE152*'Waste results'!$S$100, "data missing"),
   IF(OR('Waste results'!$S$28&lt;&gt;"data missing", 'Waste results'!$S$64&lt;&gt;"data missing", 'Waste results'!$S$100&lt;&gt;"data missing"), Calc!BC152*'Waste results'!$S$28+Calc!BD152*'Waste results'!$S$64+ Calc!BE152*'Waste results'!$S$100, "data missing")))))))))))</f>
        <v/>
      </c>
      <c r="BB154" s="239" t="str">
        <f ca="1">IF($B154="","",
IF(ISBLANK('Soil results'!N157),"data missing",'Soil results'!N157))</f>
        <v/>
      </c>
      <c r="BC154" s="239" t="str">
        <f t="shared" ca="1" si="45"/>
        <v/>
      </c>
      <c r="BD154" s="9" t="str">
        <f t="shared" ca="1" si="46"/>
        <v/>
      </c>
      <c r="BE154" s="9"/>
      <c r="BF154" s="238" t="str">
        <f ca="1">IF(B154="","",
IF(AND('Field information 2'!$O$5="", 'Field information 2'!$Q$5=""),
   IF('Waste results'!$S$29&lt;&gt;"data missing", Calc!BC152*'Waste results'!$S$29, "data missing"),
IF('Field information 2'!$Q$5="",
   IF(Calc!BD152=0,
     IF('Waste results'!$S$29&lt;&gt;"data missing", Calc!BC152*'Waste results'!$S$29, "data missing"),
   IF(Calc!BC152=0,
     IF('Waste results'!$S$65&lt;&gt;"data missing", Calc!BD152*'Waste results'!$S$65, "data missing"),
   IF(OR('Waste results'!$S$29&lt;&gt;"data missing", 'Waste results'!$S$65&lt;&gt;"data missing"), Calc!BC152*'Waste results'!$S$29+ Calc!BD152*'Waste results'!$S$65, "data missing"))),
IF(AND('Field information 2'!$M$5&lt;&gt;"", 'Field information 2'!$O$5&lt;&gt;"", 'Field information 2'!$Q$5&lt;&gt;""),
   IF(AND(Calc!BD152=0,Calc!BE152=0),
     IF('Waste results'!$S$29&lt;&gt;"data missing", Calc!BC152*'Waste results'!$S$29, "data missing"),
   IF(AND(Calc!BC152=0,Calc!BE152=0),
     IF('Waste results'!$S$65&lt;&gt;"data missing", Calc!BD152*'Waste results'!$S$65, "data missing"),
   IF(AND(Calc!BC152=0,Calc!BD152=0),
     IF('Waste results'!$S$101&lt;&gt;"data missing", Calc!BE152*'Waste results'!$S$101, "data missing"),
   IF(Calc!BE152=0,
     IF(OR('Waste results'!$S$29&lt;&gt;"data missing", 'Waste results'!$S$65&lt;&gt;"data missing"), Calc!BC152*'Waste results'!$S$29+ Calc!BD152*'Waste results'!$S$65, "data missing"),
   IF(Calc!BD152=0,
     IF(OR('Waste results'!$S$29&lt;&gt;"data missing", 'Waste results'!$S$101&lt;&gt;"data missing"), Calc!BC152*'Waste results'!$S$29+ Calc!BE152*'Waste results'!$S$101, "data missing"),
   IF(Calc!BC152=0,
     IF(OR('Waste results'!$S$65&lt;&gt;"data missing", 'Waste results'!$S$101&lt;&gt;"data missing"), Calc!BD152*'Waste results'!$S$65+Calc!BE152*'Waste results'!$S$101, "data missing"),
   IF(OR('Waste results'!$S$29&lt;&gt;"data missing", 'Waste results'!$S$65&lt;&gt;"data missing", 'Waste results'!$S$101&lt;&gt;"data missing"), Calc!BC152*'Waste results'!$S$29+Calc!BD152*'Waste results'!$S$65+ Calc!BE152*'Waste results'!$S$101, "data missing")))))))))))</f>
        <v/>
      </c>
      <c r="BG154" s="239" t="str">
        <f ca="1">IF($B154="","",
IF(ISBLANK('Soil results'!O157),"data missing",'Soil results'!O157))</f>
        <v/>
      </c>
      <c r="BH154" s="239" t="str">
        <f t="shared" ca="1" si="47"/>
        <v/>
      </c>
      <c r="BI154" s="9" t="str">
        <f ca="1">IF(B154="","",
IF(BF154=0,"n/a",
IF(OR(BF154="data missing",BG154="data missing"),"data missing",
IF(BF154&gt;3,"application rate too high - permissible rate exceeds limit",
IF('Soil results'!F157&lt;=5.5,
  IF(BG154&gt;50,"no application - soil conc. already above limit",
  IF(BH154&gt;50,"application rate too high - soil conc. will exceed limit",
  IF(BG154&gt;50*0.9,"soil conc. is at or above 90% of the limit",
  IF(10*BF154*1000/3000+BG154&gt;50,"soil limit likely to be exceeded in 10yrs",
  IF(50*BF154*1000/3000+BG154&gt;50,"soil limit likely to be exceeded in 50yrs","ok"))))),
IF('Soil results'!F157&lt;=6,
  IF(BG154&gt;60,"no application - soil conc. already above limit",
  IF(BH154&gt;60,"application rate too high - soil conc. will exceed limit",
  IF(BG154&gt;60*0.9,"soil conc. is at or above 90% of the limit",
  IF(10*BF154*1000/3000+BG154&gt;60,"soil limit likely to be exceeded in 10yrs",
  IF(50*BF154*1000/3000+BG154&gt;60,"soil limit likely to be exceeded in 50yrs","ok"))))),
IF('Soil results'!F157&lt;=7,
  IF(BG154&gt;75,"no application - soil conc. already above limit",
  IF(BH154&gt;75,"application rate too high - soil conc. will exceed limit",
  IF(BG154&gt;75*0.9,"soil conc. is at or above 90% of the limit",
  IF(10*BF154*1000/3000+BG154&gt;75,"soil limit likely to be exceeded in 10yrs",
  IF(50*BF154*1000/3000+BG154&gt;75,"soil limit likely to be exceeded in 50yrs","ok"))))),
IF('Soil results'!F157&gt;7,
  IF(BG154&gt;100,"no application - soil conc. already above limit",
  IF(BH154&gt;100,"application rate too high - soil conc. will exceed limit",
  IF(BG154&gt;100*0.9,"soil conc. is at or above 90% of the limit",
  IF(10*BF154*1000/3000+BG154&gt;100,"soil limit likely to be exceeded in 10yrs",
  IF(50*BF154*1000/3000+BG154&gt;100,"soil limit likely to beexceeded in 50yrs","ok")))))
))))))))</f>
        <v/>
      </c>
      <c r="BJ154" s="9"/>
      <c r="BK154" s="240" t="str">
        <f ca="1">IF(B154="","",
IF(AND('Field information 2'!$O$5="", 'Field information 2'!$Q$5=""),
   IF('Waste results'!$S$30&lt;&gt;"data missing", Calc!BC152*'Waste results'!$S$30, "data missing"),
IF('Field information 2'!$Q$5="",
   IF(Calc!BD152=0,
     IF('Waste results'!$S$30&lt;&gt;"data missing", Calc!BC152*'Waste results'!$S$30, "data missing"),
   IF(Calc!BC152=0,
     IF('Waste results'!$S$66&lt;&gt;"data missing", Calc!BD152*'Waste results'!$S$66, "data missing"),
   IF(OR('Waste results'!$S$30&lt;&gt;"data missing", 'Waste results'!$S$66&lt;&gt;"data missing"), Calc!BC152*'Waste results'!$S$30+ Calc!BD152*'Waste results'!$S$66, "data missing"))),
IF(AND('Field information 2'!$M$5&lt;&gt;"", 'Field information 2'!$O$5&lt;&gt;"", 'Field information 2'!$Q$5&lt;&gt;""),
   IF(AND(Calc!BD152=0,Calc!BE152=0),
     IF('Waste results'!$S$30&lt;&gt;"data missing", Calc!BC152*'Waste results'!$S$30, "data missing"),
   IF(AND(Calc!BC152=0,Calc!BE152=0),
     IF('Waste results'!$S$66&lt;&gt;"data missing", Calc!BD152*'Waste results'!$S$66, "data missing"),
   IF(AND(Calc!BC152=0,Calc!BD152=0),
     IF('Waste results'!$S$102&lt;&gt;"data missing", Calc!BE152*'Waste results'!$S$102, "data missing"),
   IF(Calc!BE152=0,
     IF(OR('Waste results'!$S$30&lt;&gt;"data missing", 'Waste results'!$S$66&lt;&gt;"data missing"), Calc!BC152*'Waste results'!$S$30+ Calc!BD152*'Waste results'!$S$66, "data missing"),
   IF(Calc!BD152=0,
     IF(OR('Waste results'!$S$30&lt;&gt;"data missing", 'Waste results'!$S$102&lt;&gt;"data missing"), Calc!BC152*'Waste results'!$S$30+ Calc!BE152*'Waste results'!$S$102, "data missing"),
   IF(Calc!BC152=0,
     IF(OR('Waste results'!$S$66&lt;&gt;"data missing", 'Waste results'!$S$102&lt;&gt;"data missing"), Calc!BD152*'Waste results'!$S$66+Calc!BE152*'Waste results'!$S$102, "data missing"),
   IF(OR('Waste results'!$S$30&lt;&gt;"data missing", 'Waste results'!$S$66&lt;&gt;"data missing", 'Waste results'!$S$102&lt;&gt;"data missing"), Calc!BC152*'Waste results'!$S$30+Calc!BD152*'Waste results'!$S$66+ Calc!BE152*'Waste results'!$S$102, "data missing")))))))))))</f>
        <v/>
      </c>
      <c r="BL154" s="241" t="str">
        <f ca="1">IF($B154="","",
IF(ISBLANK('Soil results'!P157),"data missing",'Soil results'!P157))</f>
        <v/>
      </c>
      <c r="BM154" s="241" t="str">
        <f t="shared" ca="1" si="48"/>
        <v/>
      </c>
      <c r="BN154" s="66" t="str">
        <f t="shared" ca="1" si="49"/>
        <v/>
      </c>
      <c r="BO154" s="9"/>
      <c r="BP154" s="238" t="str">
        <f ca="1">IF(B154="","",
IF(AND('Field information 2'!$O$5="", 'Field information 2'!$Q$5=""),
   IF('Waste results'!$S$31&lt;&gt;"data missing", Calc!BC152*'Waste results'!$S$31, "data missing"),
IF('Field information 2'!$Q$5="",
   IF(Calc!BD152=0,
     IF('Waste results'!$S$31&lt;&gt;"data missing", Calc!BC152*'Waste results'!$S$31, "data missing"),
   IF(Calc!BC152=0,
     IF('Waste results'!$S$67&lt;&gt;"data missing", Calc!BD152*'Waste results'!$S$67, "data missing"),
   IF(OR('Waste results'!$S$31&lt;&gt;"data missing", 'Waste results'!$S$67&lt;&gt;"data missing"), Calc!BC152*'Waste results'!$S$31+ Calc!BD152*'Waste results'!$S$67, "data missing"))),
IF(AND('Field information 2'!$M$5&lt;&gt;"", 'Field information 2'!$O$5&lt;&gt;"", 'Field information 2'!$Q$5&lt;&gt;""),
   IF(AND(Calc!BD152=0,Calc!BE152=0),
     IF('Waste results'!$S$31&lt;&gt;"data missing", Calc!BC152*'Waste results'!$S$31, "data missing"),
   IF(AND(Calc!BC152=0,Calc!BE152=0),
     IF('Waste results'!$S$67&lt;&gt;"data missing", Calc!BD152*'Waste results'!$S$67, "data missing"),
   IF(AND(Calc!BC152=0,Calc!BD152=0),
     IF('Waste results'!$S$103&lt;&gt;"data missing", Calc!BE152*'Waste results'!$S$103, "data missing"),
   IF(Calc!BE152=0,
     IF(OR('Waste results'!$S$31&lt;&gt;"data missing", 'Waste results'!$S$67&lt;&gt;"data missing"), Calc!BC152*'Waste results'!$S$31+ Calc!BD152*'Waste results'!$S$67, "data missing"),
   IF(Calc!BD152=0,
     IF(OR('Waste results'!$S$31&lt;&gt;"data missing", 'Waste results'!$S$103&lt;&gt;"data missing"), Calc!BC152*'Waste results'!$S$31+ Calc!BE152*'Waste results'!$S$103, "data missing"),
   IF(Calc!BC152=0,
     IF(OR('Waste results'!$S$67&lt;&gt;"data missing", 'Waste results'!$S$103&lt;&gt;"data missing"), Calc!BD152*'Waste results'!$S$67+Calc!BE152*'Waste results'!$S$103, "data missing"),
   IF(OR('Waste results'!$S$31&lt;&gt;"data missing", 'Waste results'!$S$67&lt;&gt;"data missing", 'Waste results'!$S$103&lt;&gt;"data missing"), Calc!BC152*'Waste results'!$S$31+Calc!BD152*'Waste results'!$S$67+ Calc!BE152*'Waste results'!$S$103, "data missing")))))))))))</f>
        <v/>
      </c>
      <c r="BQ154" s="239" t="str">
        <f ca="1">IF($B154="","",
IF(ISBLANK('Soil results'!Q157),"data missing",'Soil results'!Q157))</f>
        <v/>
      </c>
      <c r="BR154" s="239" t="str">
        <f t="shared" ca="1" si="50"/>
        <v/>
      </c>
      <c r="BS154" s="9" t="str">
        <f ca="1">IF(B154="","",
IF(BP154=0,"n/a",
IF(OR(BP154="data missing",BQ154=""),"data missing",
IF(BP154&gt;15,"application rate too high - permissible rate exceeds limit",
IF('Soil results'!F157&lt;=5.5,
  IF(BQ154&gt;200,"no application - soil conc. already above limit",
  IF(BR154&gt;200,"application rate too high - soil conc. will exceed limit",
  IF(BQ154&gt;200*0.9,"soil conc. is at or above 90% of the limit",
  IF(10*BP154*1000/3000+BQ154&gt;200,"soil limit likely to be exceeded in 10yrs",
  IF(50*BP154*1000/3000+BQ154&gt;200,"soil limit likely to be exceeded in 50yrs","ok"))))),
IF('Soil results'!F157&lt;=6,
  IF(BQ154&gt;250,"no application - soil conc. already above limit",
  IF(BR154&gt;250,"application rate too high - soil conc. will exceed limit",
  IF(BQ154&gt;250*0.9,"soil conc. is at or above 90% of the limit",
  IF(10*BP154*1000/3000+BQ154&gt;250,"soil limit likely to be exceeded in 10yrs",
  IF(50*BP154*1000/3000+BQ154&gt;250,"soil limit likely to be exceeded in 50yrs","ok"))))),
IF('Soil results'!F157&lt;=7,
  IF(BQ154&gt;300,"no application - soil conc. already above limit",
  IF(BR154&gt;300,"application rate too high - soil conc. will exceed limit",
  IF(BQ154&gt;300*0.9,"soil conc. is at or above 90% of the limit",
  IF(10*BP154*1000/3000+BQ154&gt;300,"soil limit likey to be exceeded in 10yrs",
  IF(50*BP154*1000/3000+BQ154&gt;300,"soil limit likely to be exceeded in 50yrs","ok"))))),
IF('Soil results'!F157&gt;7,
  IF(BQ154&gt;450,"no application - soil conc. already above limit",
  IF(BR154&gt;450,"application rate too high - soil conc. will exceed limit",
  IF(AW154&gt;450*0.9,"soil conc. is at or above 90% of the limit",
  IF(10*BP154*1000/3000+BQ154&gt;450,"soil limit likely to be exceeded in 10yrs",
  IF(50*BP154*1000/3000+BQ154&gt;450,"soil limit likely to be exceeded in 50yrs","ok")))))
))))))))</f>
        <v/>
      </c>
    </row>
    <row r="155" spans="2:71" ht="15" x14ac:dyDescent="0.25">
      <c r="B155" s="236" t="str">
        <f ca="1">'Soil results'!B158</f>
        <v/>
      </c>
      <c r="C155" s="91" t="str">
        <f ca="1">IF(B155="","",
IF(AND('Field information 2'!$O$5="", 'Field information 2'!$Q$5=""),
   IF('Waste results'!$S$12&lt;&gt;"data missing", Calc!BC153*'Waste results'!$S$12, "data missing"),
IF('Field information 2'!$Q$5="",
   IF(Calc!BD153=0,
     IF('Waste results'!$S$12&lt;&gt;"data missing", Calc!BC153*'Waste results'!$S$12, "data missing"),
   IF(Calc!BC153=0,
     IF('Waste results'!$S$48&lt;&gt;"data missing", Calc!BD153*'Waste results'!$S$48, "data missing"),
   IF(OR('Waste results'!$S$12&lt;&gt;"data missing", 'Waste results'!$S$48&lt;&gt;"data missing"), Calc!BC153*'Waste results'!$S$12+ Calc!BD153*'Waste results'!$S$48, "data missing"))),
IF(AND('Field information 2'!$M$5&lt;&gt;"", 'Field information 2'!$O$5&lt;&gt;"", 'Field information 2'!$Q$5&lt;&gt;""),
   IF(AND(Calc!BD153=0,Calc!BE153=0),
     IF('Waste results'!$S$12&lt;&gt;"data missing", Calc!BC153*'Waste results'!$S$12, "data missing"),
   IF(AND(Calc!BC153=0,Calc!BE153=0),
     IF('Waste results'!$S$48&lt;&gt;"data missing", Calc!BD153*'Waste results'!$S$48, "data missing"),
   IF(AND(Calc!BC153=0,Calc!BD153=0),
     IF('Waste results'!$S$84&lt;&gt;"data missing", Calc!BE153*'Waste results'!$S$84, "data missing"),
   IF(Calc!BE153=0,
     IF(OR('Waste results'!$S$12&lt;&gt;"data missing", 'Waste results'!$S$48&lt;&gt;"data missing"), Calc!BC153*'Waste results'!$S$12+ Calc!BD153*'Waste results'!$S$48, "data missing"),
   IF(Calc!BD153=0,
     IF(OR('Waste results'!$S$12&lt;&gt;"data missing", 'Waste results'!$S$84&lt;&gt;"data missing"), Calc!BC153*'Waste results'!$S$12+ Calc!BE153*'Waste results'!$S$84, "data missing"),
   IF(Calc!BC153=0,
     IF(OR('Waste results'!$S$48&lt;&gt;"data missing", 'Waste results'!$S$84&lt;&gt;"data missing"), Calc!BD153*'Waste results'!$S$48+Calc!BE153*'Waste results'!$S$84, "data missing"),
   IF(OR('Waste results'!$S$12&lt;&gt;"data missing", 'Waste results'!$S$48&lt;&gt;"data missing", 'Waste results'!$S$84&lt;&gt;"data missing"), Calc!BC153*'Waste results'!$S$12+Calc!BD153*'Waste results'!$S$48+ Calc!BE153*'Waste results'!$S$84, "data missing")))))))))))</f>
        <v/>
      </c>
      <c r="D155" s="161" t="str">
        <f ca="1">IF(B155="","",
IF(Calc!BG153="","soil texture missing",
IF(OR(Calc!BG153="SL; SZL; ZL",Calc!BG153="SCL; CL; ZCL; SC; ZC; C"),VLOOKUP(Calc!BI153,'Fertiliser recommendations'!$A$4:$C$63,3,FALSE),
IF(Calc!BG153="S; LS",VLOOKUP(Calc!BI153,'Fertiliser recommendations'!$A$4:$C$63,3,FALSE)+VLOOKUP(Calc!BI153,'Fertiliser recommendations'!$A$4:$D$63,4,FALSE),
IF(Calc!BG153="10-25% OM",VLOOKUP(Calc!BI153,'Fertiliser recommendations'!$A$4:$C$63,3,FALSE)+VLOOKUP(Calc!BI153,'Fertiliser recommendations'!$A$4:$E$63,5,FALSE),
IF(Calc!BG153="&gt;25% OM",VLOOKUP(Calc!BI153,'Fertiliser recommendations'!$A$4:$C$63,3,FALSE)+VLOOKUP(Calc!BI153,'Fertiliser recommendations'!$A$4:$F$63,6,FALSE),
""))))))</f>
        <v/>
      </c>
      <c r="E155" s="91" t="str">
        <f t="shared" ca="1" si="34"/>
        <v/>
      </c>
      <c r="F155" s="9" t="str">
        <f ca="1">IF(B155="","",
IF(OR(C155="data missing",D155="soil texture missing"),"data missing",
IF(Calc!BF153=0,"n/a",
IF(C155&lt;0.1*D155,"no benefit",
IF(C155&lt;0.3*D155,"limited benefit",
IF(C155&gt;250,"exceeds limit",
IF(OR(AND(D155=0,C155&gt;75),C155&gt;1.25*D155),"excessive",
IF(D155=0, "no requirement",
"benefit"))))))))</f>
        <v/>
      </c>
      <c r="G155" s="9"/>
      <c r="H155" s="91" t="str">
        <f ca="1">IF(B155="","",
IF(AND('Field information 2'!$O$5="", 'Field information 2'!$Q$5=""),
   IF('Waste results'!$S$17&lt;&gt;"data missing", Calc!BC153*'Waste results'!$S$17, "data missing"),
IF('Field information 2'!$Q$5="",
   IF(Calc!BD153=0,
     IF('Waste results'!$S$17&lt;&gt;"data missing", Calc!BC153*'Waste results'!$S$17, "data missing"),
   IF(Calc!BC153=0,
     IF('Waste results'!$S$53&lt;&gt;"data missing", Calc!BD153*'Waste results'!$S$53, "data missing"),
   IF(OR('Waste results'!$S$17&lt;&gt;"data missing", 'Waste results'!$S$53&lt;&gt;"data missing"), Calc!BC153*'Waste results'!$S$17+ Calc!BD153*'Waste results'!$S$53, "data missing"))),
IF(AND('Field information 2'!$M$5&lt;&gt;"", 'Field information 2'!$O$5&lt;&gt;"", 'Field information 2'!$Q$5&lt;&gt;""),
   IF(AND(Calc!BD153=0,Calc!BE153=0),
     IF('Waste results'!$S$17&lt;&gt;"data missing", Calc!BC153*'Waste results'!$S$17, "data missing"),
   IF(AND(Calc!BC153=0,Calc!BE153=0),
     IF('Waste results'!$S$53&lt;&gt;"data missing", Calc!BD153*'Waste results'!$S$53, "data missing"),
   IF(AND(Calc!BC153=0,Calc!BD153=0),
     IF('Waste results'!$S$89&lt;&gt;"data missing", Calc!BE153*'Waste results'!$S$89, "data missing"),
   IF(Calc!BE153=0,
     IF(OR('Waste results'!$S$17&lt;&gt;"data missing", 'Waste results'!$S$53&lt;&gt;"data missing"), Calc!BC153*'Waste results'!$S$17+ Calc!BD153*'Waste results'!$S$53, "data missing"),
   IF(Calc!BD153=0,
     IF(OR('Waste results'!$S$17&lt;&gt;"data missing", 'Waste results'!$S$89&lt;&gt;"data missing"), Calc!BC153*'Waste results'!$S$17+ Calc!BE153*'Waste results'!$S$89, "data missing"),
   IF(Calc!BC153=0,
     IF(OR('Waste results'!$S$53&lt;&gt;"data missing", 'Waste results'!$S$89&lt;&gt;"data missing"), Calc!BD153*'Waste results'!$S$53+Calc!BE153*'Waste results'!$S$89, "data missing"),
   IF(OR('Waste results'!$S$17&lt;&gt;"data missing", 'Waste results'!$S$53&lt;&gt;"data missing", 'Waste results'!$S$89&lt;&gt;"data missing"), Calc!BC153*'Waste results'!$S$17+Calc!BD153*'Waste results'!$S$53+ Calc!BE153*'Waste results'!$S$89, "data missing")))))))))))</f>
        <v/>
      </c>
      <c r="I155" s="195" t="str">
        <f ca="1">IF(B155="","",
IF(OR(ISBLANK('Soil results'!G158), ISBLANK('Soil results'!G$7)),"data missing",
IF(OR(AND('Soil results'!G$7="Olsen (ADAS)",'Soil results'!G158&lt;16),AND('Soil results'!G$7="modified Morgan (SAC)",'Soil results'!G158&lt;4.5)),50,100)))</f>
        <v/>
      </c>
      <c r="J155" s="49" t="str">
        <f ca="1">IF(B155="","",
IF(OR(ISBLANK('Soil results'!G$7),ISBLANK('Soil results'!G158)),"data missing",
IF(OR(AND('Soil results'!G$7="Olsen (ADAS)",'Soil results'!G158&gt;45),AND('Soil results'!G$7="modified Morgan (SAC)",'Soil results'!G158&gt;30)),0,
IF(OR(AND('Soil results'!G$7="Olsen (ADAS)",'Soil results'!G158&gt;=16,'Soil results'!G158&lt;=20),AND('Soil results'!G$7="modified Morgan (SAC)",'Soil results'!G158&gt;=4.5,'Soil results'!G158&lt;=9.4)),VLOOKUP(Calc!BI153,'Fertiliser recommendations'!$A$4:$I$63,9,FALSE),
IF(OR(AND('Soil results'!G$7="Olsen (ADAS)",'Soil results'!G158&lt;10),AND('Soil results'!G$7="modified Morgan (SAC)",'Soil results'!G158&lt;1.8)),VLOOKUP(Calc!BI153,'Fertiliser recommendations'!$A$4:$I$63,9,FALSE)+VLOOKUP(Calc!BI153,'Fertiliser recommendations'!$A$4:$J$63,10,FALSE),
IF(OR(AND('Soil results'!G$7="Olsen (ADAS)",'Soil results'!G158&lt;16),AND('Soil results'!G$7="modified Morgan (SAC)",'Soil results'!G158&lt;4.5)),VLOOKUP(Calc!BI153,'Fertiliser recommendations'!$A$4:$I$63,9,FALSE)+VLOOKUP(Calc!BI153,'Fertiliser recommendations'!$A$4:$K$63,11,FALSE),
IF(OR(AND('Soil results'!G$7="Olsen (ADAS)",'Soil results'!G158&lt;26),AND('Soil results'!G$7="modified Morgan (SAC)",'Soil results'!G158&lt;13.5)),VLOOKUP(Calc!BI153,'Fertiliser recommendations'!$A$4:$I$63,9,FALSE)+VLOOKUP(Calc!BI153,'Fertiliser recommendations'!$A$4:$L$63,12,FALSE),
IF(OR(AND('Soil results'!G$7="Olsen (ADAS)",'Soil results'!G158&lt;=45),AND('Soil results'!G$7="modified Morgan (SAC)",'Soil results'!G158&lt;=30)),VLOOKUP(Calc!BI153,'Fertiliser recommendations'!$A$4:$I$63,9,FALSE)+VLOOKUP(Calc!BI153,'Fertiliser recommendations'!$A$4:$M$63,13,FALSE),
""))))))))</f>
        <v/>
      </c>
      <c r="K155" s="161" t="str">
        <f t="shared" ca="1" si="35"/>
        <v/>
      </c>
      <c r="L155" s="47" t="str">
        <f ca="1">IF(OR(ISBLANK('Soil results'!G$7),ISBLANK('Soil results'!G158),B155="", H155="data missing"),"",
IF('Soil results'!G$7="Olsen (ADAS)",
IF(((H155*Calc!BM153/2.291-(VLOOKUP(Calc!BI153,'Fertiliser recommendations'!$A$4:$I$63,9,FALSE))/2.291)*10/(400/2.291)+'Soil results'!G158)&lt;10,"0 (VL)",
IF(((H155*Calc!BM153/2.291-(VLOOKUP(Calc!BI153,'Fertiliser recommendations'!$A$4:$I$63,9,FALSE))/2.291)*10/(400/2.291)+'Soil results'!G158)&lt;16,"1 (L)",
IF(((H155*Calc!BM153/2.291-(VLOOKUP(Calc!BI153,'Fertiliser recommendations'!$A$4:$I$63,9,FALSE))/2.291)*10/(400/2.291)+'Soil results'!G158)&lt;21,"2 (M-)",
IF(((H155*Calc!BM153/2.291-(VLOOKUP(Calc!BI153,'Fertiliser recommendations'!$A$4:$I$63,9,FALSE))/2.291)*10/(400/2.291)+'Soil results'!G158)&lt;26,"2 (M+)",
IF(((H155*Calc!BM153/2.291-(VLOOKUP(Calc!BI153,'Fertiliser recommendations'!$A$4:$I$63,9,FALSE))/2.291)*10/(400/2.291)+'Soil results'!G158)&lt;45,"3 (H)","&gt;3 (VH)"))))),
IF('Soil results'!G$7="modified Morgan (SAC)",
IF('Soil results'!G158&gt;=6,
IF(((H155*Calc!BM153/2.291-(VLOOKUP(Calc!BI153,'Fertiliser recommendations'!$A$4:$I$63,9,FALSE))/2.291)*5/(147/2.291)+'Soil results'!G158)&lt;9.5,"2 (M-)",
IF(((H155*Calc!BM153/2.291-(VLOOKUP(Calc!BI153,'Fertiliser recommendations'!$A$4:$I$63,9,FALSE))/2.291)*5/(147/2.291)+'Soil results'!G158)&lt;13.5,"2 (M+)",
IF(((H155*Calc!BM153/2.291-(VLOOKUP(Calc!BI153,'Fertiliser recommendations'!$A$4:$I$63,9,FALSE))/2.291)*5/(147/2.291)+'Soil results'!G158)&lt;30,"3 (H)","4 (VH)"))),
IF(((H155*Calc!BM153/2.291-(VLOOKUP(Calc!BI153,'Fertiliser recommendations'!$A$4:$I$63,9,FALSE))/2.291)*5/(346/2.291)+'Soil results'!G158)&lt;1.8,"0 (VL)",
IF(((H155*Calc!BM153/2.291-(VLOOKUP(Calc!BI153,'Fertiliser recommendations'!$A$4:$I$63,9,FALSE))/2.291)*5/(147/2.291)+'Soil results'!G158)&lt;4.5,"1 (L)","2 (M-)"))))))</f>
        <v/>
      </c>
      <c r="M155" s="9" t="str">
        <f ca="1">IF(B155="","",
IF(OR(H155="data missing",I155="data missing",J155="data missing"),"data missing",
IF(Calc!BF153=0,"n/a",
IF(OR(AND('Soil results'!G$7="Olsen (ADAS)",'Soil results'!G158&gt;45),AND('Soil results'!G$7="modified Morgan (SAC)",'Soil results'!G158&gt;30)),
IF(H155&gt;2,"too high, not acceptable","no requirement"),IF(OR(AND('Soil results'!G$7="Olsen (ADAS)",'Soil results'!G158&gt;25),AND('Soil results'!G$7="modified Morgan (SAC)",'Soil results'!G158&gt;13.4)),
IF(H155*(I155/100)&lt;0.1*J155,"no benefit",
IF(H155*(I155/100)&lt;0.3*J155,"limited benefit",
IF(H155*(I155/100)&lt;1.1*J155,"benefit",
IF(H155*(I155/100)&lt;0.7*VLOOKUP(Calc!BI153,'Fertiliser recommendations'!$A$4:$I$63,9,FALSE),"excessive","too high, not acceptable")))),
IF(OR(AND('Soil results'!G$7="Olsen (ADAS)",'Soil results'!G158&gt;20),AND('Soil results'!G$7="modified Morgan (SAC)",'Soil results'!G158&gt;9.4)),
IF(H155*Calc!BM153*(I155/100)&lt;0.1*J155,"no benefit",
IF(H155*Calc!BM153*(I155/100)&lt;0.3*J155,"limited benefit",
IF(H155*Calc!BM153*(I155/100)&lt;1.1*J155,"benefit",
IF(L155="3 (H)","too high, not acceptable","excessive")))),
IF(OR(AND('Soil results'!G$7="Olsen (ADAS)",'Soil results'!G158&gt;15),AND('Soil results'!G$7="modified Morgan (SAC)",'Soil results'!G158&gt;4.4)),
IF(H155*Calc!BM153*(I155/100)&lt;0.1*VLOOKUP(Calc!BI153,'Fertiliser recommendations'!$A$4:$I$63,9,FALSE),"no benefit",
IF(H155*Calc!BM153*(I155/100)&lt;0.3*VLOOKUP(Calc!BI153,'Fertiliser recommendations'!$A$4:$I$63,9,FALSE),"limited benefit",
IF(H155*Calc!BM153*(I155/100)&lt;1.1*VLOOKUP(Calc!BI153,'Fertiliser recommendations'!$A$4:$I$63,9,FALSE),"benefit",
IF(L155="3 (H)", "too high, not acceptable", "excessive")))),
IF(OR(AND('Soil results'!G$7="Olsen (ADAS)",'Soil results'!G158&lt;=15),AND('Soil results'!G$7="modified Morgan (SAC)",'Soil results'!G158&lt;=4.4)),
IF(H155*Calc!BM153*(I155/100)&lt;0.1*VLOOKUP(Calc!BI153,'Fertiliser recommendations'!$A$4:$I$63,9,FALSE),"no benefit",
IF(H155*Calc!BM153*(I155/100)&lt;0.3*VLOOKUP(Calc!BI153,'Fertiliser recommendations'!$A$4:$I$63,9,FALSE),"limited benefit",
IF(H155*Calc!BM153*(I155/100)&lt;1.1*J155,"benefit","excessive")))))))))))</f>
        <v/>
      </c>
      <c r="N155" s="9"/>
      <c r="O155" s="91" t="str">
        <f ca="1">IF(B155="","",
IF(AND('Field information 2'!$O$5="", 'Field information 2'!$Q$5=""),
   IF('Waste results'!$S$19&lt;&gt;"data missing", Calc!BC153*'Waste results'!$S$19, "data missing"),
IF('Field information 2'!$Q$5="",
   IF(Calc!BD153=0,
     IF('Waste results'!$S$19&lt;&gt;"data missing", Calc!BC153*'Waste results'!$S$19, "data missing"),
   IF(Calc!BC153=0,
     IF('Waste results'!$S$55&lt;&gt;"data missing", Calc!BD153*'Waste results'!$S$55, "data missing"),
   IF(OR('Waste results'!$S$19&lt;&gt;"data missing", 'Waste results'!$S$55&lt;&gt;"data missing"), Calc!BC153*'Waste results'!$S$19+ Calc!BD153*'Waste results'!$S$55, "data missing"))),
IF(AND('Field information 2'!$M$5&lt;&gt;"", 'Field information 2'!$O$5&lt;&gt;"", 'Field information 2'!$Q$5&lt;&gt;""),
   IF(AND(Calc!BD153=0,Calc!BE153=0),
     IF('Waste results'!$S$19&lt;&gt;"data missing", Calc!BC153*'Waste results'!$S$19, "data missing"),
   IF(AND(Calc!BC153=0,Calc!BE153=0),
     IF('Waste results'!$S$55&lt;&gt;"data missing", Calc!BD153*'Waste results'!$S$55, "data missing"),
   IF(AND(Calc!BC153=0,Calc!BD153=0),
     IF('Waste results'!$S$91&lt;&gt;"data missing", Calc!BE153*'Waste results'!$S$91, "data missing"),
   IF(Calc!BE153=0,
     IF(OR('Waste results'!$S$19&lt;&gt;"data missing", 'Waste results'!$S$55&lt;&gt;"data missing"), Calc!BC153*'Waste results'!$S$19+ Calc!BD153*'Waste results'!$S$55, "data missing"),
   IF(Calc!BD153=0,
     IF(OR('Waste results'!$S$19&lt;&gt;"data missing", 'Waste results'!$S$91&lt;&gt;"data missing"), Calc!BC153*'Waste results'!$S$19+ Calc!BE153*'Waste results'!$S$91, "data missing"),
   IF(Calc!BC153=0,
     IF(OR('Waste results'!$S$55&lt;&gt;"data missing", 'Waste results'!$S$91&lt;&gt;"data missing"), Calc!BD153*'Waste results'!$S$55+Calc!BE153*'Waste results'!$S$91, "data missing"),
   IF(OR('Waste results'!$S$19&lt;&gt;"data missing", 'Waste results'!$S$55&lt;&gt;"data missing", 'Waste results'!$S$91&lt;&gt;"data missing"), Calc!BC153*'Waste results'!$S$19+Calc!BD153*'Waste results'!$S$55+ Calc!BE153*'Waste results'!$S$91, "data missing")))))))))))</f>
        <v/>
      </c>
      <c r="P155" s="91" t="str">
        <f ca="1">IF(B155="","",
IF(OR(ISBLANK('Soil results'!H$7),ISBLANK('Soil results'!H158)),"data missing",
IF(OR(AND('Soil results'!H$7="ammonium nitrate (ADAS)",'Soil results'!H158&gt;400),AND('Soil results'!H$7="modified Morgan (SAC)",'Soil results'!H158&gt;400)),0,
IF(OR(AND('Soil results'!H$7="ammonium nitrate (ADAS)",'Soil results'!H158&gt;=121,'Soil results'!H158&lt;=180),AND('Soil results'!H$7="modified Morgan (SAC)",'Soil results'!H158&gt;=76,'Soil results'!H158&lt;=140)),VLOOKUP(Calc!BI153,'Fertiliser recommendations'!$A$4:$Z$63,26,FALSE),
IF(OR(AND('Soil results'!H$7="ammonium nitrate (ADAS)",'Soil results'!H158&lt;61),AND('Soil results'!H$7="modified Morgan (SAC)",'Soil results'!H158&lt;40)),VLOOKUP(Calc!BI153,'Fertiliser recommendations'!$A$4:$Z$63,26,FALSE)+VLOOKUP(Calc!BI153,'Fertiliser recommendations'!$A$4:$AA$63,27,FALSE),
IF(OR(AND('Soil results'!H$7="ammonium nitrate (ADAS)",'Soil results'!H158&lt;121),AND('Soil results'!H$7="modified Morgan (SAC)",'Soil results'!H158&lt;76)),VLOOKUP(Calc!BI153,'Fertiliser recommendations'!$A$4:$Z$63,26,FALSE)+VLOOKUP(Calc!BI153,'Fertiliser recommendations'!$A$4:$AB$63,28,FALSE),
IF(OR(AND('Soil results'!H$7="ammonium nitrate (ADAS)",'Soil results'!H158&lt;241),AND('Soil results'!H$7="modified Morgan (SAC)",'Soil results'!H158&lt;201)),VLOOKUP(Calc!BI153,'Fertiliser recommendations'!$A$4:$Z$63,26,FALSE)+VLOOKUP(Calc!BI153,'Fertiliser recommendations'!$A$4:$AC$63,29,FALSE),
IF(OR(AND('Soil results'!H$7="ammonium nitrate (ADAS)",'Soil results'!H158&lt;=400),AND('Soil results'!H$7="modified Morgan (SAC)",'Soil results'!H158&lt;=400)),VLOOKUP(Calc!BI153,'Fertiliser recommendations'!$A$4:$Z$63,26,FALSE)+VLOOKUP(Calc!BI153,'Fertiliser recommendations'!$A$4:$AD$63,30,FALSE),
"??"))))))))</f>
        <v/>
      </c>
      <c r="Q155" s="91" t="str">
        <f t="shared" ca="1" si="36"/>
        <v/>
      </c>
      <c r="R155" s="9" t="str">
        <f ca="1">IF(B155="","",
IF(OR(O155="data missing",P155="data missing"),"data missing",
IF(Calc!BF153=0,"n/a",
IF(P155=0, "no requirement",
IF(O155&lt;0.1*P155,"no benefit",
IF(O155&lt;0.3*P155,"limited benefit",
IF(O155&gt;1.25*P155,"excessive",
"benefit")))))))</f>
        <v/>
      </c>
      <c r="S155" s="9"/>
      <c r="T155" s="91" t="str">
        <f ca="1">IF(B155="","",
IF(AND('Field information 2'!$O$5="", 'Field information 2'!$Q$5=""),
   IF('Waste results'!$S$21&lt;&gt;"data missing", Calc!BC153*'Waste results'!$S$21, "data missing"),
IF('Field information 2'!$Q$5="",
   IF(Calc!BD153=0,
     IF('Waste results'!$S$21&lt;&gt;"data missing", Calc!BC153*'Waste results'!$S$21, "data missing"),
   IF(Calc!BC153=0,
     IF('Waste results'!$S$57&lt;&gt;"data missing", Calc!BD153*'Waste results'!$S$57, "data missing"),
   IF(OR('Waste results'!$S$21&lt;&gt;"data missing", 'Waste results'!$S$57&lt;&gt;"data missing"), Calc!BC153*'Waste results'!$S$21+ Calc!BD153*'Waste results'!$S$57, "data missing"))),
IF(AND('Field information 2'!$M$5&lt;&gt;"", 'Field information 2'!$O$5&lt;&gt;"", 'Field information 2'!$Q$5&lt;&gt;""),
   IF(AND(Calc!BD153=0,Calc!BE153=0),
     IF('Waste results'!$S$21&lt;&gt;"data missing", Calc!BC153*'Waste results'!$S$21, "data missing"),
   IF(AND(Calc!BC153=0,Calc!BE153=0),
     IF('Waste results'!$S$57&lt;&gt;"data missing", Calc!BD153*'Waste results'!$S$57, "data missing"),
   IF(AND(Calc!BC153=0,Calc!BD153=0),
     IF('Waste results'!$S$93&lt;&gt;"data missing", Calc!BE153*'Waste results'!$S$93, "data missing"),
   IF(Calc!BE153=0,
     IF(OR('Waste results'!$S$21&lt;&gt;"data missing", 'Waste results'!$S$57&lt;&gt;"data missing"), Calc!BC153*'Waste results'!$S$21+ Calc!BD153*'Waste results'!$S$57, "data missing"),
   IF(Calc!BD153=0,
     IF(OR('Waste results'!$S$21&lt;&gt;"data missing", 'Waste results'!$S$93&lt;&gt;"data missing"), Calc!BC153*'Waste results'!$S$21+ Calc!BE153*'Waste results'!$S$93, "data missing"),
   IF(Calc!BC153=0,
     IF(OR('Waste results'!$S$57&lt;&gt;"data missing", 'Waste results'!$S$93&lt;&gt;"data missing"), Calc!BD153*'Waste results'!$S$57+Calc!BE153*'Waste results'!$S$93, "data missing"),
   IF(OR('Waste results'!$S$21&lt;&gt;"data missing", 'Waste results'!$S$57&lt;&gt;"data missing", 'Waste results'!$S$93&lt;&gt;"data missing"), Calc!BC153*'Waste results'!$S$21+Calc!BD153*'Waste results'!$S$57+ Calc!BE153*'Waste results'!$S$93, "data missing")))))))))))</f>
        <v/>
      </c>
      <c r="U155" s="7" t="str">
        <f ca="1">IF(B155="","",
IF(OR(ISBLANK('Soil results'!I$7),ISBLANK('Soil results'!I158)),"data missing",
IF(OR(AND('Soil results'!I$7="ammonium nitrate (ADAS)",'Soil results'!I158&gt;51),AND('Soil results'!I$7="modified Morgan (SAC)",'Soil results'!I158&gt;61)),0,
IF(OR(AND('Soil results'!I$7="ammonium nitrate (ADAS)",'Soil results'!I158&lt;25),AND('Soil results'!I$7="modified Morgan (SAC)",'Soil results'!I158&lt;19)),VLOOKUP(Calc!BI153,'Fertiliser recommendations'!$A$4:$AH$63,34,FALSE),
IF(OR(AND('Soil results'!I$7="ammonium nitrate (ADAS)",'Soil results'!I158&lt;=51),AND('Soil results'!I$7="modified Morgan (SAC)",'Soil results'!I158&lt;=61)),VLOOKUP(Calc!BI153,'Fertiliser recommendations'!$A$4:$AI$63,35,FALSE),
"")))))</f>
        <v/>
      </c>
      <c r="V155" s="91" t="str">
        <f t="shared" ca="1" si="37"/>
        <v/>
      </c>
      <c r="W155" s="9" t="str">
        <f ca="1">IF(B155="","",
IF(OR(T155="data missing",U155="data missing"),"data missing",
IF(Calc!BF153=0,"n/a",
IF(U155=0,"no requirement",
IF(T155&lt;0.1*U155,"no benefit",
IF(T155&lt;0.3*U155,"limited benefit",
IF(OR(T155&gt;1.5*U155,AND(Calc!BJ153="g",T155&gt;100)),"excessive",
"benefit")))))))</f>
        <v/>
      </c>
      <c r="X155" s="9"/>
      <c r="Y155" s="91" t="str">
        <f ca="1">IF(B155="","",
IF(AND('Field information 2'!$O$5="", 'Field information 2'!$Q$5=""),
   IF('Waste results'!$P$23&lt;&gt;"", Calc!BC153*'Waste results'!$P$23, "no data"),
IF('Field information 2'!$Q$5="",
   IF(Calc!BD153=0,
     IF('Waste results'!$P$23&lt;&gt;"", Calc!BC153*'Waste results'!$P$23, "no data"),
   IF(Calc!BC153=0,
     IF('Waste results'!$P$59&lt;&gt;"", Calc!BD153*'Waste results'!$P$59, "no data"),
   IF(OR('Waste results'!$P$23&lt;&gt;"", 'Waste results'!$P$59&lt;&gt;""), Calc!BC153*'Waste results'!$P$23+ Calc!BD153*'Waste results'!$P$59, "no data"))),
IF(AND('Field information 2'!$M$5&lt;&gt;"", 'Field information 2'!$O$5&lt;&gt;"", 'Field information 2'!$Q$5&lt;&gt;""),
   IF(AND(Calc!BD153=0,Calc!BE153=0),
     IF('Waste results'!$P$23&lt;&gt;"", Calc!BC153*'Waste results'!$P$23, "no data"),
   IF(AND(Calc!BC153=0,Calc!BE153=0),
     IF('Waste results'!$P$59&lt;&gt;"", Calc!BD153*'Waste results'!$P$59, "no data"),
   IF(AND(Calc!BC153=0,Calc!BD153=0),
     IF('Waste results'!$P$95&lt;&gt;"", Calc!BE153*'Waste results'!$P$95, "no data"),
   IF(Calc!BE153=0,
     IF(OR('Waste results'!$P$23&lt;&gt;"", 'Waste results'!$P$59&lt;&gt;""), Calc!BC153*'Waste results'!$P$23+ Calc!BD153*'Waste results'!$P$59, "no data"),
   IF(Calc!BD153=0,
     IF(OR('Waste results'!$P$23&lt;&gt;"", 'Waste results'!$P$95&lt;&gt;""), Calc!BC153*'Waste results'!$P$23+ Calc!BE153*'Waste results'!$P$95, "no data"),
   IF(Calc!BC153=0,
     IF(OR('Waste results'!$P$59&lt;&gt;"", 'Waste results'!$P$95&lt;&gt;""), Calc!BD153*'Waste results'!$P$59+Calc!BE153*'Waste results'!$P$95, "no data"),
   IF(OR('Waste results'!$P$23&lt;&gt;"", 'Waste results'!$P$59&lt;&gt;"", 'Waste results'!$P$95&lt;&gt;""), Calc!BC153*'Waste results'!$P$23+Calc!BD153*'Waste results'!$P$59+ Calc!BE153*'Waste results'!$P$95, "no data")))))))))))</f>
        <v/>
      </c>
      <c r="Z155" s="7" t="str">
        <f ca="1">IF(OR(ISBLANK('Soil results'!I$7),ISBLANK('Soil results'!I158),'Soil results'!B158=""),"",
VLOOKUP(Calc!BI153,'Fertiliser recommendations'!$A$4:$AM$63,39,FALSE))</f>
        <v/>
      </c>
      <c r="AA155" s="91" t="str">
        <f t="shared" ca="1" si="38"/>
        <v/>
      </c>
      <c r="AB155" s="9" t="str">
        <f t="shared" ca="1" si="39"/>
        <v/>
      </c>
      <c r="AC155" s="9"/>
      <c r="AD155" s="48" t="str">
        <f>IF(ISBLANK('Soil results'!F158),"",'Soil results'!F158)</f>
        <v/>
      </c>
      <c r="AE155" s="49" t="str">
        <f ca="1">IF(B155="","",
IF(AND(Calc!BJ153="g", VLOOKUP(LEFT($B155,LEN($B155)-2),'Field information 2'!$B$12:$P$111,9,FALSE)&lt;&gt;"yes"),
 IF(Calc!BG153="10-25% OM", 5.9, IF(Calc!BG153="&gt;25% OM", 5.5, 6.2)),
IF(OR(Calc!BJ153="a", VLOOKUP(LEFT($B155,LEN($B155)-2),'Field information 2'!$B$12:$P$111,9,FALSE)="yes"),
 IF(Calc!BG153="10-25% OM", 6.4, IF(Calc!BG153="&gt;25% OM", 6, 6.7)), "")))</f>
        <v/>
      </c>
      <c r="AF155" s="91" t="str">
        <f ca="1">IF(B155="","",
IF('Waste results'!$Q$33="","no (significant) liming properties",
IF('Waste results'!Q$33&gt;100,"no (significant) liming properties",
IF(AD155="","",
IF(AD155&gt;=AE155,0,ROUNDDOWN((AE155-AD155)*Calc!BK153*'Waste results'!$Q$33+0.2,0))))))</f>
        <v/>
      </c>
      <c r="AG155" s="9" t="str">
        <f ca="1">IF(B155="","",
IF(T155=0,"n/a",
IF(AD155="","data missing",
IF(AND(AD155&lt;5,AF155="no (significant) liming properties"),"no waste application - pH too low",
IF(AND(AD155&gt;5.1,AF155="no (significant) liming properties",Calc!BH153&gt;25, LEFT(Calc!BI153,4)="graz"),"ok",
IF(AND(AD155&lt;=5.2,AF155="no (significant) liming properties"),"liming highly recommended",
IF(AF155=0,"no waste application - liming not required",
IF(AF155&lt;Calc!BC153,"application rate too high - exceeds liming requirement",
"ok"))))))))</f>
        <v/>
      </c>
      <c r="AH155" s="9"/>
      <c r="AI155" s="91" t="str">
        <f ca="1">IF(B155="","",
IF(AND('Field information 2'!$O$5="", 'Field information 2'!$Q$5=""),
   IF('Waste results'!$P$10&lt;&gt;"data missing", Calc!BC153*'Waste results'!$P$10, "data missing"),
IF('Field information 2'!$Q$5="",
   IF(Calc!BD153=0,
     IF('Waste results'!$P$10&lt;&gt;"data missing", Calc!BC153*'Waste results'!$P$10, "data missing"),
   IF(Calc!BC153=0,
     IF('Waste results'!$P$45&lt;&gt;"data missing", Calc!BD153*'Waste results'!$P$45, "data missing"),
   IF(OR('Waste results'!$P$10&lt;&gt;"data missing", 'Waste results'!$P$45&lt;&gt;"data missing"), Calc!BC153*'Waste results'!$P$10+ Calc!BD153*'Waste results'!$P$45, "data missing"))),
IF(AND('Field information 2'!$M$5&lt;&gt;"", 'Field information 2'!$O$5&lt;&gt;"", 'Field information 2'!$Q$5&lt;&gt;""),
   IF(AND(Calc!BD153=0,Calc!BE153=0),
     IF('Waste results'!$P$10&lt;&gt;"data missing", Calc!BC153*'Waste results'!$P$10, "data missing"),
   IF(AND(Calc!BC153=0,Calc!BE153=0),
     IF('Waste results'!$P$45&lt;&gt;"data missing", Calc!BD153*'Waste results'!$P$45, "data missing"),
   IF(AND(Calc!BC153=0,Calc!BD153=0),
     IF('Waste results'!$P$82&lt;&gt;"data missing", Calc!BE153*'Waste results'!$P$82, "data missing"),
   IF(Calc!BE153=0,
     IF(OR('Waste results'!$P$10&lt;&gt;"data missing", 'Waste results'!$P$45&lt;&gt;"data missing"), Calc!BC153*'Waste results'!$P$10+ Calc!BD153*'Waste results'!$P$45, "data missing"),
   IF(Calc!BD153=0,
     IF(OR('Waste results'!$P$10&lt;&gt;"data missing", 'Waste results'!$P$82&lt;&gt;"data missing"), Calc!BC153*'Waste results'!$P$10+ Calc!BE153*'Waste results'!$P$82, "data missing"),
   IF(Calc!BC153=0,
     IF(OR('Waste results'!$P$45&lt;&gt;"data missing", 'Waste results'!$P$82&lt;&gt;"data missing"), Calc!BD153*'Waste results'!$P$45+Calc!BE153*'Waste results'!$P$82, "data missing"),
   IF(OR('Waste results'!$P$10&lt;&gt;"data missing", 'Waste results'!$P$45&lt;&gt;"data missing", 'Waste results'!$P$82&lt;&gt;"data missing"), Calc!BC153*'Waste results'!$P$10+Calc!BD153*'Waste results'!$P$45+ Calc!BE153*'Waste results'!$P$82, "data missing")))))))))))</f>
        <v/>
      </c>
      <c r="AJ155" s="237" t="str">
        <f ca="1">IF(B155="","",
IF(AI155="data missing","data missing",
IF(Calc!BF153=0,"n/a",
IF(AND(Calc!BH153&gt;=8,AI155&lt;500),"no benefit",
IF(OR(AND(Calc!BH153&lt;=4,AI155&gt;=500),AND(Calc!BH153&lt;8,AI155&gt;5000)),"benefit",
"limited benefit")))))</f>
        <v/>
      </c>
      <c r="AK155" s="9"/>
      <c r="AL155" s="238" t="str">
        <f ca="1">IF(B155="","",
IF(AND('Field information 2'!$O$5="", 'Field information 2'!$Q$5=""),
   IF('Waste results'!$S$25&lt;&gt;"data missing", Calc!BC153*'Waste results'!$S$25, "data missing"),
IF('Field information 2'!$Q$5="",
   IF(Calc!BD153=0,
     IF('Waste results'!$S$25&lt;&gt;"data missing", Calc!BC153*'Waste results'!$S$25, "data missing"),
   IF(Calc!BC153=0,
     IF('Waste results'!$S$61&lt;&gt;"data missing", Calc!BD153*'Waste results'!$S$61, "data missing"),
   IF(OR('Waste results'!$S$25&lt;&gt;"data missing", 'Waste results'!$S$61&lt;&gt;"data missing"), Calc!BC153*'Waste results'!$S$25+ Calc!BD153*'Waste results'!$S$61, "data missing"))),
IF(AND('Field information 2'!$M$5&lt;&gt;"", 'Field information 2'!$O$5&lt;&gt;"", 'Field information 2'!$Q$5&lt;&gt;""),
   IF(AND(Calc!BD153=0,Calc!BE153=0),
     IF('Waste results'!$S$25&lt;&gt;"data missing", Calc!BC153*'Waste results'!$S$25, "data missing"),
   IF(AND(Calc!BC153=0,Calc!BE153=0),
     IF('Waste results'!$S$61&lt;&gt;"data missing", Calc!BD153*'Waste results'!$S$61, "data missing"),
   IF(AND(Calc!BC153=0,Calc!BD153=0),
     IF('Waste results'!$S$97&lt;&gt;"data missing", Calc!BE153*'Waste results'!$S$97, "data missing"),
   IF(Calc!BE153=0,
     IF(OR('Waste results'!$S$25&lt;&gt;"data missing", 'Waste results'!$S$61&lt;&gt;"data missing"), Calc!BC153*'Waste results'!$S$25+ Calc!BD153*'Waste results'!$S$61, "data missing"),
   IF(Calc!BD153=0,
     IF(OR('Waste results'!$S$25&lt;&gt;"data missing", 'Waste results'!$S$97&lt;&gt;"data missing"), Calc!BC153*'Waste results'!$S$25+ Calc!BE153*'Waste results'!$S$97, "data missing"),
   IF(Calc!BC153=0,
     IF(OR('Waste results'!$S$61&lt;&gt;"data missing", 'Waste results'!$S$97&lt;&gt;"data missing"), Calc!BD153*'Waste results'!$S$61+Calc!BE153*'Waste results'!$S$97, "data missing"),
   IF(OR('Waste results'!$S$25&lt;&gt;"data missing", 'Waste results'!$S$61&lt;&gt;"data missing", 'Waste results'!$S$97&lt;&gt;"data missing"), Calc!BC153*'Waste results'!$S$25+Calc!BD153*'Waste results'!$S$61+ Calc!BE153*'Waste results'!$S$97, "data missing")))))))))))</f>
        <v/>
      </c>
      <c r="AM155" s="239" t="str">
        <f ca="1">IF($B155="","",
IF(ISBLANK('Soil results'!K158),"data missing",'Soil results'!K158))</f>
        <v/>
      </c>
      <c r="AN155" s="239" t="str">
        <f t="shared" ca="1" si="40"/>
        <v/>
      </c>
      <c r="AO155" s="9" t="str">
        <f t="shared" ca="1" si="41"/>
        <v/>
      </c>
      <c r="AP155" s="9"/>
      <c r="AQ155" s="240" t="str">
        <f ca="1">IF(B155="","",
IF(AND('Field information 2'!$O$5="", 'Field information 2'!$Q$5=""),
   IF('Waste results'!$S$26&lt;&gt;"data missing", Calc!BC153*'Waste results'!$S$26, "data missing"),
IF('Field information 2'!$Q$5="",
   IF(Calc!BD153=0,
     IF('Waste results'!$S$26&lt;&gt;"data missing", Calc!BC153*'Waste results'!$S$26, "data missing"),
   IF(Calc!BC153=0,
     IF('Waste results'!$S$62&lt;&gt;"data missing", Calc!BD153*'Waste results'!$S$62, "data missing"),
   IF(OR('Waste results'!$S$26&lt;&gt;"data missing", 'Waste results'!$S$62&lt;&gt;"data missing"), Calc!BC153*'Waste results'!$S$26+ Calc!BD153*'Waste results'!$S$62, "data missing"))),
IF(AND('Field information 2'!$M$5&lt;&gt;"", 'Field information 2'!$O$5&lt;&gt;"", 'Field information 2'!$Q$5&lt;&gt;""),
   IF(AND(Calc!BD153=0,Calc!BE153=0),
     IF('Waste results'!$S$26&lt;&gt;"data missing", Calc!BC153*'Waste results'!$S$26, "data missing"),
   IF(AND(Calc!BC153=0,Calc!BE153=0),
     IF('Waste results'!$S$62&lt;&gt;"data missing", Calc!BD153*'Waste results'!$S$62, "data missing"),
   IF(AND(Calc!BC153=0,Calc!BD153=0),
     IF('Waste results'!$S$98&lt;&gt;"data missing", Calc!BE153*'Waste results'!$S$98, "data missing"),
   IF(Calc!BE153=0,
     IF(OR('Waste results'!$S$26&lt;&gt;"data missing", 'Waste results'!$S$62&lt;&gt;"data missing"), Calc!BC153*'Waste results'!$S$26+ Calc!BD153*'Waste results'!$S$62, "data missing"),
   IF(Calc!BD153=0,
     IF(OR('Waste results'!$S$26&lt;&gt;"data missing", 'Waste results'!$S$98&lt;&gt;"data missing"), Calc!BC153*'Waste results'!$S$26+ Calc!BE153*'Waste results'!$S$98, "data missing"),
   IF(Calc!BC153=0,
     IF(OR('Waste results'!$S$62&lt;&gt;"data missing", 'Waste results'!$S$98&lt;&gt;"data missing"), Calc!BD153*'Waste results'!$S$62+Calc!BE153*'Waste results'!$S$98, "data missing"),
   IF(OR('Waste results'!$S$26&lt;&gt;"data missing", 'Waste results'!$S$62&lt;&gt;"data missing", 'Waste results'!$S$98&lt;&gt;"data missing"), Calc!BC153*'Waste results'!$S$26+Calc!BD153*'Waste results'!$S$62+ Calc!BE153*'Waste results'!$S$98, "data missing")))))))))))</f>
        <v/>
      </c>
      <c r="AR155" s="241" t="str">
        <f ca="1">IF($B155="","",
IF(ISBLANK('Soil results'!L158),"data missing",'Soil results'!L158))</f>
        <v/>
      </c>
      <c r="AS155" s="241" t="str">
        <f t="shared" ca="1" si="42"/>
        <v/>
      </c>
      <c r="AT155" s="66" t="str">
        <f t="shared" ca="1" si="43"/>
        <v/>
      </c>
      <c r="AU155" s="9"/>
      <c r="AV155" s="238" t="str">
        <f ca="1">IF(B155="","",
IF(AND('Field information 2'!$O$5="", 'Field information 2'!$Q$5=""),
   IF('Waste results'!$S$27&lt;&gt;"data missing", Calc!BC153*'Waste results'!$S$27, "data missing"),
IF('Field information 2'!$Q$5="",
   IF(Calc!BD153=0,
     IF('Waste results'!$S$27&lt;&gt;"data missing", Calc!BC153*'Waste results'!$S$27, "data missing"),
   IF(Calc!BC153=0,
     IF('Waste results'!$S$63&lt;&gt;"data missing", Calc!BD153*'Waste results'!$S$63, "data missing"),
   IF(OR('Waste results'!$S$27&lt;&gt;"data missing", 'Waste results'!$S$63&lt;&gt;"data missing"), Calc!BC153*'Waste results'!$S$27+ Calc!BD153*'Waste results'!$S$63, "data missing"))),
IF(AND('Field information 2'!$M$5&lt;&gt;"", 'Field information 2'!$O$5&lt;&gt;"", 'Field information 2'!$Q$5&lt;&gt;""),
   IF(AND(Calc!BD153=0,Calc!BE153=0),
     IF('Waste results'!$S$27&lt;&gt;"data missing", Calc!BC153*'Waste results'!$S$27, "data missing"),
   IF(AND(Calc!BC153=0,Calc!BE153=0),
     IF('Waste results'!$S$63&lt;&gt;"data missing", Calc!BD153*'Waste results'!$S$63, "data missing"),
   IF(AND(Calc!BC153=0,Calc!BD153=0),
     IF('Waste results'!$S$99&lt;&gt;"data missing", Calc!BE153*'Waste results'!$S$99, "data missing"),
   IF(Calc!BE153=0,
     IF(OR('Waste results'!$S$27&lt;&gt;"data missing", 'Waste results'!$S$63&lt;&gt;"data missing"), Calc!BC153*'Waste results'!$S$27+ Calc!BD153*'Waste results'!$S$63, "data missing"),
   IF(Calc!BD153=0,
     IF(OR('Waste results'!$S$27&lt;&gt;"data missing", 'Waste results'!$S$99&lt;&gt;"data missing"), Calc!BC153*'Waste results'!$S$27+ Calc!BE153*'Waste results'!$S$99, "data missing"),
   IF(Calc!BC153=0,
     IF(OR('Waste results'!$S$63&lt;&gt;"data missing", 'Waste results'!$S$99&lt;&gt;"data missing"), Calc!BD153*'Waste results'!$S$63+Calc!BE153*'Waste results'!$S$99, "data missing"),
   IF(OR('Waste results'!$S$27&lt;&gt;"data missing", 'Waste results'!$S$63&lt;&gt;"data missing", 'Waste results'!$S$99&lt;&gt;"data missing"), Calc!BC153*'Waste results'!$S$27+Calc!BD153*'Waste results'!$S$63+ Calc!BE153*'Waste results'!$S$99, "data missing")))))))))))</f>
        <v/>
      </c>
      <c r="AW155" s="239" t="str">
        <f ca="1">IF($B155="","",
IF(ISBLANK('Soil results'!M158),"data missing",'Soil results'!M158))</f>
        <v/>
      </c>
      <c r="AX155" s="239" t="str">
        <f t="shared" ca="1" si="44"/>
        <v/>
      </c>
      <c r="AY155" s="9" t="str">
        <f ca="1">IF(B155="","",
IF(AV155=0,"n/a",
IF(OR(AV155="data missing",AW155="data missing"),"data missing",
IF(AV155&gt;7.5,"application rate too high - permissible rate exceeds limit",
IF('Soil results'!$F158&lt;=5.5,
  IF(AW155&gt;80,"no application - soil conc. already above limit",
  IF(AX155&gt;80,"application rate too high - soil conc. will exceed limit",
  IF(AW155&gt;80*0.9,"soil conc. is at or above 90% of the limit",
  IF(10*AV155*1000/3000+AW155&gt;80,"soil limit likely to be exceeded in 10yrs",
  IF(50*AV155*1000/3000+AW155&gt;80,"soil limit likely to be exceeded in 50yrs","ok"))))),
IF('Soil results'!$F158&lt;=6,
  IF(AW155&gt;100,"no application - soil conc. already above limit",
  IF(AX155&gt;100,"application rate too high - soil conc. will exceed limit",
  IF(AW155&gt;100*0.9,"soil conc. is at or above 90% of the limit",
  IF(10*AV155*1000/3000+AW155&gt;100,"soil limit likely to be exceeded in 10yrs",
  IF(50*AV155*1000/3000+AW155&gt;100,"soil limit likely to be exceeded in 50yrs","ok"))))),
IF('Soil results'!$F158&lt;=7,
  IF(AW155&gt;135,"no application - soil conc. already above limit",
  IF(AX155&gt;135,"application rate too high - soil conc. will exceed limit",
  IF(AW155&gt;135*0.9,"soil conc. is at or above 90% of the limit",
  IF(10*AV155*1000/3000+AW155&gt;135,"soil limit likely to be exceeded in 10yrs",
  IF(50*AV155*1000/3000+AW155&gt;135,"soil limit likely to be exceeded in 50yrs","ok"))))),
IF('Soil results'!$F158&gt;7,
  IF(AW155&gt;200,"no application - soil conc. already above limit",
  IF(AX155&gt;200,"application too high - soil conc. will exceed limit",
  IF(AW155&gt;200*0.9,"soil conc. is at or above 90% of the limit",
  IF(10*AV155*1000/3000+AW155&gt;200,"soil limit likely to be exceeded in 10yrs",
  IF(50*AV155*1000/3000+AW155&gt;200,"soil limit likely to be exceeded in 50yrs","ok")))))
))))))))</f>
        <v/>
      </c>
      <c r="AZ155" s="9"/>
      <c r="BA155" s="238" t="str">
        <f ca="1">IF(B155="","",
IF(AND('Field information 2'!$O$5="", 'Field information 2'!$Q$5=""),
   IF('Waste results'!$S$28&lt;&gt;"data missing", Calc!BC153*'Waste results'!$S$28, "data missing"),
IF('Field information 2'!$Q$5="",
   IF(Calc!BD153=0,
     IF('Waste results'!$S$28&lt;&gt;"data missing", Calc!BC153*'Waste results'!$S$28, "data missing"),
   IF(Calc!BC153=0,
     IF('Waste results'!$S$64&lt;&gt;"data missing", Calc!BD153*'Waste results'!$S$64, "data missing"),
   IF(OR('Waste results'!$S$28&lt;&gt;"data missing", 'Waste results'!$S$64&lt;&gt;"data missing"), Calc!BC153*'Waste results'!$S$28+ Calc!BD153*'Waste results'!$S$64, "data missing"))),
IF(AND('Field information 2'!$M$5&lt;&gt;"", 'Field information 2'!$O$5&lt;&gt;"", 'Field information 2'!$Q$5&lt;&gt;""),
   IF(AND(Calc!BD153=0,Calc!BE153=0),
     IF('Waste results'!$S$28&lt;&gt;"data missing", Calc!BC153*'Waste results'!$S$28, "data missing"),
   IF(AND(Calc!BC153=0,Calc!BE153=0),
     IF('Waste results'!$S$64&lt;&gt;"data missing", Calc!BD153*'Waste results'!$S$64, "data missing"),
   IF(AND(Calc!BC153=0,Calc!BD153=0),
     IF('Waste results'!$S$100&lt;&gt;"data missing", Calc!BE153*'Waste results'!$S$100, "data missing"),
   IF(Calc!BE153=0,
     IF(OR('Waste results'!$S$28&lt;&gt;"data missing", 'Waste results'!$S$64&lt;&gt;"data missing"), Calc!BC153*'Waste results'!$S$28+ Calc!BD153*'Waste results'!$S$64, "data missing"),
   IF(Calc!BD153=0,
     IF(OR('Waste results'!$S$28&lt;&gt;"data missing", 'Waste results'!$S$100&lt;&gt;"data missing"), Calc!BC153*'Waste results'!$S$28+ Calc!BE153*'Waste results'!$S$100, "data missing"),
   IF(Calc!BC153=0,
     IF(OR('Waste results'!$S$64&lt;&gt;"data missing", 'Waste results'!$S$100&lt;&gt;"data missing"), Calc!BD153*'Waste results'!$S$64+Calc!BE153*'Waste results'!$S$100, "data missing"),
   IF(OR('Waste results'!$S$28&lt;&gt;"data missing", 'Waste results'!$S$64&lt;&gt;"data missing", 'Waste results'!$S$100&lt;&gt;"data missing"), Calc!BC153*'Waste results'!$S$28+Calc!BD153*'Waste results'!$S$64+ Calc!BE153*'Waste results'!$S$100, "data missing")))))))))))</f>
        <v/>
      </c>
      <c r="BB155" s="239" t="str">
        <f ca="1">IF($B155="","",
IF(ISBLANK('Soil results'!N158),"data missing",'Soil results'!N158))</f>
        <v/>
      </c>
      <c r="BC155" s="239" t="str">
        <f t="shared" ca="1" si="45"/>
        <v/>
      </c>
      <c r="BD155" s="9" t="str">
        <f t="shared" ca="1" si="46"/>
        <v/>
      </c>
      <c r="BE155" s="9"/>
      <c r="BF155" s="238" t="str">
        <f ca="1">IF(B155="","",
IF(AND('Field information 2'!$O$5="", 'Field information 2'!$Q$5=""),
   IF('Waste results'!$S$29&lt;&gt;"data missing", Calc!BC153*'Waste results'!$S$29, "data missing"),
IF('Field information 2'!$Q$5="",
   IF(Calc!BD153=0,
     IF('Waste results'!$S$29&lt;&gt;"data missing", Calc!BC153*'Waste results'!$S$29, "data missing"),
   IF(Calc!BC153=0,
     IF('Waste results'!$S$65&lt;&gt;"data missing", Calc!BD153*'Waste results'!$S$65, "data missing"),
   IF(OR('Waste results'!$S$29&lt;&gt;"data missing", 'Waste results'!$S$65&lt;&gt;"data missing"), Calc!BC153*'Waste results'!$S$29+ Calc!BD153*'Waste results'!$S$65, "data missing"))),
IF(AND('Field information 2'!$M$5&lt;&gt;"", 'Field information 2'!$O$5&lt;&gt;"", 'Field information 2'!$Q$5&lt;&gt;""),
   IF(AND(Calc!BD153=0,Calc!BE153=0),
     IF('Waste results'!$S$29&lt;&gt;"data missing", Calc!BC153*'Waste results'!$S$29, "data missing"),
   IF(AND(Calc!BC153=0,Calc!BE153=0),
     IF('Waste results'!$S$65&lt;&gt;"data missing", Calc!BD153*'Waste results'!$S$65, "data missing"),
   IF(AND(Calc!BC153=0,Calc!BD153=0),
     IF('Waste results'!$S$101&lt;&gt;"data missing", Calc!BE153*'Waste results'!$S$101, "data missing"),
   IF(Calc!BE153=0,
     IF(OR('Waste results'!$S$29&lt;&gt;"data missing", 'Waste results'!$S$65&lt;&gt;"data missing"), Calc!BC153*'Waste results'!$S$29+ Calc!BD153*'Waste results'!$S$65, "data missing"),
   IF(Calc!BD153=0,
     IF(OR('Waste results'!$S$29&lt;&gt;"data missing", 'Waste results'!$S$101&lt;&gt;"data missing"), Calc!BC153*'Waste results'!$S$29+ Calc!BE153*'Waste results'!$S$101, "data missing"),
   IF(Calc!BC153=0,
     IF(OR('Waste results'!$S$65&lt;&gt;"data missing", 'Waste results'!$S$101&lt;&gt;"data missing"), Calc!BD153*'Waste results'!$S$65+Calc!BE153*'Waste results'!$S$101, "data missing"),
   IF(OR('Waste results'!$S$29&lt;&gt;"data missing", 'Waste results'!$S$65&lt;&gt;"data missing", 'Waste results'!$S$101&lt;&gt;"data missing"), Calc!BC153*'Waste results'!$S$29+Calc!BD153*'Waste results'!$S$65+ Calc!BE153*'Waste results'!$S$101, "data missing")))))))))))</f>
        <v/>
      </c>
      <c r="BG155" s="239" t="str">
        <f ca="1">IF($B155="","",
IF(ISBLANK('Soil results'!O158),"data missing",'Soil results'!O158))</f>
        <v/>
      </c>
      <c r="BH155" s="239" t="str">
        <f t="shared" ca="1" si="47"/>
        <v/>
      </c>
      <c r="BI155" s="9" t="str">
        <f ca="1">IF(B155="","",
IF(BF155=0,"n/a",
IF(OR(BF155="data missing",BG155="data missing"),"data missing",
IF(BF155&gt;3,"application rate too high - permissible rate exceeds limit",
IF('Soil results'!F158&lt;=5.5,
  IF(BG155&gt;50,"no application - soil conc. already above limit",
  IF(BH155&gt;50,"application rate too high - soil conc. will exceed limit",
  IF(BG155&gt;50*0.9,"soil conc. is at or above 90% of the limit",
  IF(10*BF155*1000/3000+BG155&gt;50,"soil limit likely to be exceeded in 10yrs",
  IF(50*BF155*1000/3000+BG155&gt;50,"soil limit likely to be exceeded in 50yrs","ok"))))),
IF('Soil results'!F158&lt;=6,
  IF(BG155&gt;60,"no application - soil conc. already above limit",
  IF(BH155&gt;60,"application rate too high - soil conc. will exceed limit",
  IF(BG155&gt;60*0.9,"soil conc. is at or above 90% of the limit",
  IF(10*BF155*1000/3000+BG155&gt;60,"soil limit likely to be exceeded in 10yrs",
  IF(50*BF155*1000/3000+BG155&gt;60,"soil limit likely to be exceeded in 50yrs","ok"))))),
IF('Soil results'!F158&lt;=7,
  IF(BG155&gt;75,"no application - soil conc. already above limit",
  IF(BH155&gt;75,"application rate too high - soil conc. will exceed limit",
  IF(BG155&gt;75*0.9,"soil conc. is at or above 90% of the limit",
  IF(10*BF155*1000/3000+BG155&gt;75,"soil limit likely to be exceeded in 10yrs",
  IF(50*BF155*1000/3000+BG155&gt;75,"soil limit likely to be exceeded in 50yrs","ok"))))),
IF('Soil results'!F158&gt;7,
  IF(BG155&gt;100,"no application - soil conc. already above limit",
  IF(BH155&gt;100,"application rate too high - soil conc. will exceed limit",
  IF(BG155&gt;100*0.9,"soil conc. is at or above 90% of the limit",
  IF(10*BF155*1000/3000+BG155&gt;100,"soil limit likely to be exceeded in 10yrs",
  IF(50*BF155*1000/3000+BG155&gt;100,"soil limit likely to beexceeded in 50yrs","ok")))))
))))))))</f>
        <v/>
      </c>
      <c r="BJ155" s="9"/>
      <c r="BK155" s="240" t="str">
        <f ca="1">IF(B155="","",
IF(AND('Field information 2'!$O$5="", 'Field information 2'!$Q$5=""),
   IF('Waste results'!$S$30&lt;&gt;"data missing", Calc!BC153*'Waste results'!$S$30, "data missing"),
IF('Field information 2'!$Q$5="",
   IF(Calc!BD153=0,
     IF('Waste results'!$S$30&lt;&gt;"data missing", Calc!BC153*'Waste results'!$S$30, "data missing"),
   IF(Calc!BC153=0,
     IF('Waste results'!$S$66&lt;&gt;"data missing", Calc!BD153*'Waste results'!$S$66, "data missing"),
   IF(OR('Waste results'!$S$30&lt;&gt;"data missing", 'Waste results'!$S$66&lt;&gt;"data missing"), Calc!BC153*'Waste results'!$S$30+ Calc!BD153*'Waste results'!$S$66, "data missing"))),
IF(AND('Field information 2'!$M$5&lt;&gt;"", 'Field information 2'!$O$5&lt;&gt;"", 'Field information 2'!$Q$5&lt;&gt;""),
   IF(AND(Calc!BD153=0,Calc!BE153=0),
     IF('Waste results'!$S$30&lt;&gt;"data missing", Calc!BC153*'Waste results'!$S$30, "data missing"),
   IF(AND(Calc!BC153=0,Calc!BE153=0),
     IF('Waste results'!$S$66&lt;&gt;"data missing", Calc!BD153*'Waste results'!$S$66, "data missing"),
   IF(AND(Calc!BC153=0,Calc!BD153=0),
     IF('Waste results'!$S$102&lt;&gt;"data missing", Calc!BE153*'Waste results'!$S$102, "data missing"),
   IF(Calc!BE153=0,
     IF(OR('Waste results'!$S$30&lt;&gt;"data missing", 'Waste results'!$S$66&lt;&gt;"data missing"), Calc!BC153*'Waste results'!$S$30+ Calc!BD153*'Waste results'!$S$66, "data missing"),
   IF(Calc!BD153=0,
     IF(OR('Waste results'!$S$30&lt;&gt;"data missing", 'Waste results'!$S$102&lt;&gt;"data missing"), Calc!BC153*'Waste results'!$S$30+ Calc!BE153*'Waste results'!$S$102, "data missing"),
   IF(Calc!BC153=0,
     IF(OR('Waste results'!$S$66&lt;&gt;"data missing", 'Waste results'!$S$102&lt;&gt;"data missing"), Calc!BD153*'Waste results'!$S$66+Calc!BE153*'Waste results'!$S$102, "data missing"),
   IF(OR('Waste results'!$S$30&lt;&gt;"data missing", 'Waste results'!$S$66&lt;&gt;"data missing", 'Waste results'!$S$102&lt;&gt;"data missing"), Calc!BC153*'Waste results'!$S$30+Calc!BD153*'Waste results'!$S$66+ Calc!BE153*'Waste results'!$S$102, "data missing")))))))))))</f>
        <v/>
      </c>
      <c r="BL155" s="241" t="str">
        <f ca="1">IF($B155="","",
IF(ISBLANK('Soil results'!P158),"data missing",'Soil results'!P158))</f>
        <v/>
      </c>
      <c r="BM155" s="241" t="str">
        <f t="shared" ca="1" si="48"/>
        <v/>
      </c>
      <c r="BN155" s="66" t="str">
        <f t="shared" ca="1" si="49"/>
        <v/>
      </c>
      <c r="BO155" s="9"/>
      <c r="BP155" s="238" t="str">
        <f ca="1">IF(B155="","",
IF(AND('Field information 2'!$O$5="", 'Field information 2'!$Q$5=""),
   IF('Waste results'!$S$31&lt;&gt;"data missing", Calc!BC153*'Waste results'!$S$31, "data missing"),
IF('Field information 2'!$Q$5="",
   IF(Calc!BD153=0,
     IF('Waste results'!$S$31&lt;&gt;"data missing", Calc!BC153*'Waste results'!$S$31, "data missing"),
   IF(Calc!BC153=0,
     IF('Waste results'!$S$67&lt;&gt;"data missing", Calc!BD153*'Waste results'!$S$67, "data missing"),
   IF(OR('Waste results'!$S$31&lt;&gt;"data missing", 'Waste results'!$S$67&lt;&gt;"data missing"), Calc!BC153*'Waste results'!$S$31+ Calc!BD153*'Waste results'!$S$67, "data missing"))),
IF(AND('Field information 2'!$M$5&lt;&gt;"", 'Field information 2'!$O$5&lt;&gt;"", 'Field information 2'!$Q$5&lt;&gt;""),
   IF(AND(Calc!BD153=0,Calc!BE153=0),
     IF('Waste results'!$S$31&lt;&gt;"data missing", Calc!BC153*'Waste results'!$S$31, "data missing"),
   IF(AND(Calc!BC153=0,Calc!BE153=0),
     IF('Waste results'!$S$67&lt;&gt;"data missing", Calc!BD153*'Waste results'!$S$67, "data missing"),
   IF(AND(Calc!BC153=0,Calc!BD153=0),
     IF('Waste results'!$S$103&lt;&gt;"data missing", Calc!BE153*'Waste results'!$S$103, "data missing"),
   IF(Calc!BE153=0,
     IF(OR('Waste results'!$S$31&lt;&gt;"data missing", 'Waste results'!$S$67&lt;&gt;"data missing"), Calc!BC153*'Waste results'!$S$31+ Calc!BD153*'Waste results'!$S$67, "data missing"),
   IF(Calc!BD153=0,
     IF(OR('Waste results'!$S$31&lt;&gt;"data missing", 'Waste results'!$S$103&lt;&gt;"data missing"), Calc!BC153*'Waste results'!$S$31+ Calc!BE153*'Waste results'!$S$103, "data missing"),
   IF(Calc!BC153=0,
     IF(OR('Waste results'!$S$67&lt;&gt;"data missing", 'Waste results'!$S$103&lt;&gt;"data missing"), Calc!BD153*'Waste results'!$S$67+Calc!BE153*'Waste results'!$S$103, "data missing"),
   IF(OR('Waste results'!$S$31&lt;&gt;"data missing", 'Waste results'!$S$67&lt;&gt;"data missing", 'Waste results'!$S$103&lt;&gt;"data missing"), Calc!BC153*'Waste results'!$S$31+Calc!BD153*'Waste results'!$S$67+ Calc!BE153*'Waste results'!$S$103, "data missing")))))))))))</f>
        <v/>
      </c>
      <c r="BQ155" s="239" t="str">
        <f ca="1">IF($B155="","",
IF(ISBLANK('Soil results'!Q158),"data missing",'Soil results'!Q158))</f>
        <v/>
      </c>
      <c r="BR155" s="239" t="str">
        <f t="shared" ca="1" si="50"/>
        <v/>
      </c>
      <c r="BS155" s="9" t="str">
        <f ca="1">IF(B155="","",
IF(BP155=0,"n/a",
IF(OR(BP155="data missing",BQ155=""),"data missing",
IF(BP155&gt;15,"application rate too high - permissible rate exceeds limit",
IF('Soil results'!F158&lt;=5.5,
  IF(BQ155&gt;200,"no application - soil conc. already above limit",
  IF(BR155&gt;200,"application rate too high - soil conc. will exceed limit",
  IF(BQ155&gt;200*0.9,"soil conc. is at or above 90% of the limit",
  IF(10*BP155*1000/3000+BQ155&gt;200,"soil limit likely to be exceeded in 10yrs",
  IF(50*BP155*1000/3000+BQ155&gt;200,"soil limit likely to be exceeded in 50yrs","ok"))))),
IF('Soil results'!F158&lt;=6,
  IF(BQ155&gt;250,"no application - soil conc. already above limit",
  IF(BR155&gt;250,"application rate too high - soil conc. will exceed limit",
  IF(BQ155&gt;250*0.9,"soil conc. is at or above 90% of the limit",
  IF(10*BP155*1000/3000+BQ155&gt;250,"soil limit likely to be exceeded in 10yrs",
  IF(50*BP155*1000/3000+BQ155&gt;250,"soil limit likely to be exceeded in 50yrs","ok"))))),
IF('Soil results'!F158&lt;=7,
  IF(BQ155&gt;300,"no application - soil conc. already above limit",
  IF(BR155&gt;300,"application rate too high - soil conc. will exceed limit",
  IF(BQ155&gt;300*0.9,"soil conc. is at or above 90% of the limit",
  IF(10*BP155*1000/3000+BQ155&gt;300,"soil limit likey to be exceeded in 10yrs",
  IF(50*BP155*1000/3000+BQ155&gt;300,"soil limit likely to be exceeded in 50yrs","ok"))))),
IF('Soil results'!F158&gt;7,
  IF(BQ155&gt;450,"no application - soil conc. already above limit",
  IF(BR155&gt;450,"application rate too high - soil conc. will exceed limit",
  IF(AW155&gt;450*0.9,"soil conc. is at or above 90% of the limit",
  IF(10*BP155*1000/3000+BQ155&gt;450,"soil limit likely to be exceeded in 10yrs",
  IF(50*BP155*1000/3000+BQ155&gt;450,"soil limit likely to be exceeded in 50yrs","ok")))))
))))))))</f>
        <v/>
      </c>
    </row>
    <row r="156" spans="2:71" ht="15" x14ac:dyDescent="0.25">
      <c r="B156" s="236" t="str">
        <f ca="1">'Soil results'!B159</f>
        <v/>
      </c>
      <c r="C156" s="91" t="str">
        <f ca="1">IF(B156="","",
IF(AND('Field information 2'!$O$5="", 'Field information 2'!$Q$5=""),
   IF('Waste results'!$S$12&lt;&gt;"data missing", Calc!BC154*'Waste results'!$S$12, "data missing"),
IF('Field information 2'!$Q$5="",
   IF(Calc!BD154=0,
     IF('Waste results'!$S$12&lt;&gt;"data missing", Calc!BC154*'Waste results'!$S$12, "data missing"),
   IF(Calc!BC154=0,
     IF('Waste results'!$S$48&lt;&gt;"data missing", Calc!BD154*'Waste results'!$S$48, "data missing"),
   IF(OR('Waste results'!$S$12&lt;&gt;"data missing", 'Waste results'!$S$48&lt;&gt;"data missing"), Calc!BC154*'Waste results'!$S$12+ Calc!BD154*'Waste results'!$S$48, "data missing"))),
IF(AND('Field information 2'!$M$5&lt;&gt;"", 'Field information 2'!$O$5&lt;&gt;"", 'Field information 2'!$Q$5&lt;&gt;""),
   IF(AND(Calc!BD154=0,Calc!BE154=0),
     IF('Waste results'!$S$12&lt;&gt;"data missing", Calc!BC154*'Waste results'!$S$12, "data missing"),
   IF(AND(Calc!BC154=0,Calc!BE154=0),
     IF('Waste results'!$S$48&lt;&gt;"data missing", Calc!BD154*'Waste results'!$S$48, "data missing"),
   IF(AND(Calc!BC154=0,Calc!BD154=0),
     IF('Waste results'!$S$84&lt;&gt;"data missing", Calc!BE154*'Waste results'!$S$84, "data missing"),
   IF(Calc!BE154=0,
     IF(OR('Waste results'!$S$12&lt;&gt;"data missing", 'Waste results'!$S$48&lt;&gt;"data missing"), Calc!BC154*'Waste results'!$S$12+ Calc!BD154*'Waste results'!$S$48, "data missing"),
   IF(Calc!BD154=0,
     IF(OR('Waste results'!$S$12&lt;&gt;"data missing", 'Waste results'!$S$84&lt;&gt;"data missing"), Calc!BC154*'Waste results'!$S$12+ Calc!BE154*'Waste results'!$S$84, "data missing"),
   IF(Calc!BC154=0,
     IF(OR('Waste results'!$S$48&lt;&gt;"data missing", 'Waste results'!$S$84&lt;&gt;"data missing"), Calc!BD154*'Waste results'!$S$48+Calc!BE154*'Waste results'!$S$84, "data missing"),
   IF(OR('Waste results'!$S$12&lt;&gt;"data missing", 'Waste results'!$S$48&lt;&gt;"data missing", 'Waste results'!$S$84&lt;&gt;"data missing"), Calc!BC154*'Waste results'!$S$12+Calc!BD154*'Waste results'!$S$48+ Calc!BE154*'Waste results'!$S$84, "data missing")))))))))))</f>
        <v/>
      </c>
      <c r="D156" s="161" t="str">
        <f ca="1">IF(B156="","",
IF(Calc!BG154="","soil texture missing",
IF(OR(Calc!BG154="SL; SZL; ZL",Calc!BG154="SCL; CL; ZCL; SC; ZC; C"),VLOOKUP(Calc!BI154,'Fertiliser recommendations'!$A$4:$C$63,3,FALSE),
IF(Calc!BG154="S; LS",VLOOKUP(Calc!BI154,'Fertiliser recommendations'!$A$4:$C$63,3,FALSE)+VLOOKUP(Calc!BI154,'Fertiliser recommendations'!$A$4:$D$63,4,FALSE),
IF(Calc!BG154="10-25% OM",VLOOKUP(Calc!BI154,'Fertiliser recommendations'!$A$4:$C$63,3,FALSE)+VLOOKUP(Calc!BI154,'Fertiliser recommendations'!$A$4:$E$63,5,FALSE),
IF(Calc!BG154="&gt;25% OM",VLOOKUP(Calc!BI154,'Fertiliser recommendations'!$A$4:$C$63,3,FALSE)+VLOOKUP(Calc!BI154,'Fertiliser recommendations'!$A$4:$F$63,6,FALSE),
""))))))</f>
        <v/>
      </c>
      <c r="E156" s="91" t="str">
        <f t="shared" ca="1" si="34"/>
        <v/>
      </c>
      <c r="F156" s="9" t="str">
        <f ca="1">IF(B156="","",
IF(OR(C156="data missing",D156="soil texture missing"),"data missing",
IF(Calc!BF154=0,"n/a",
IF(C156&lt;0.1*D156,"no benefit",
IF(C156&lt;0.3*D156,"limited benefit",
IF(C156&gt;250,"exceeds limit",
IF(OR(AND(D156=0,C156&gt;75),C156&gt;1.25*D156),"excessive",
IF(D156=0, "no requirement",
"benefit"))))))))</f>
        <v/>
      </c>
      <c r="G156" s="9"/>
      <c r="H156" s="91" t="str">
        <f ca="1">IF(B156="","",
IF(AND('Field information 2'!$O$5="", 'Field information 2'!$Q$5=""),
   IF('Waste results'!$S$17&lt;&gt;"data missing", Calc!BC154*'Waste results'!$S$17, "data missing"),
IF('Field information 2'!$Q$5="",
   IF(Calc!BD154=0,
     IF('Waste results'!$S$17&lt;&gt;"data missing", Calc!BC154*'Waste results'!$S$17, "data missing"),
   IF(Calc!BC154=0,
     IF('Waste results'!$S$53&lt;&gt;"data missing", Calc!BD154*'Waste results'!$S$53, "data missing"),
   IF(OR('Waste results'!$S$17&lt;&gt;"data missing", 'Waste results'!$S$53&lt;&gt;"data missing"), Calc!BC154*'Waste results'!$S$17+ Calc!BD154*'Waste results'!$S$53, "data missing"))),
IF(AND('Field information 2'!$M$5&lt;&gt;"", 'Field information 2'!$O$5&lt;&gt;"", 'Field information 2'!$Q$5&lt;&gt;""),
   IF(AND(Calc!BD154=0,Calc!BE154=0),
     IF('Waste results'!$S$17&lt;&gt;"data missing", Calc!BC154*'Waste results'!$S$17, "data missing"),
   IF(AND(Calc!BC154=0,Calc!BE154=0),
     IF('Waste results'!$S$53&lt;&gt;"data missing", Calc!BD154*'Waste results'!$S$53, "data missing"),
   IF(AND(Calc!BC154=0,Calc!BD154=0),
     IF('Waste results'!$S$89&lt;&gt;"data missing", Calc!BE154*'Waste results'!$S$89, "data missing"),
   IF(Calc!BE154=0,
     IF(OR('Waste results'!$S$17&lt;&gt;"data missing", 'Waste results'!$S$53&lt;&gt;"data missing"), Calc!BC154*'Waste results'!$S$17+ Calc!BD154*'Waste results'!$S$53, "data missing"),
   IF(Calc!BD154=0,
     IF(OR('Waste results'!$S$17&lt;&gt;"data missing", 'Waste results'!$S$89&lt;&gt;"data missing"), Calc!BC154*'Waste results'!$S$17+ Calc!BE154*'Waste results'!$S$89, "data missing"),
   IF(Calc!BC154=0,
     IF(OR('Waste results'!$S$53&lt;&gt;"data missing", 'Waste results'!$S$89&lt;&gt;"data missing"), Calc!BD154*'Waste results'!$S$53+Calc!BE154*'Waste results'!$S$89, "data missing"),
   IF(OR('Waste results'!$S$17&lt;&gt;"data missing", 'Waste results'!$S$53&lt;&gt;"data missing", 'Waste results'!$S$89&lt;&gt;"data missing"), Calc!BC154*'Waste results'!$S$17+Calc!BD154*'Waste results'!$S$53+ Calc!BE154*'Waste results'!$S$89, "data missing")))))))))))</f>
        <v/>
      </c>
      <c r="I156" s="195" t="str">
        <f ca="1">IF(B156="","",
IF(OR(ISBLANK('Soil results'!G159), ISBLANK('Soil results'!G$7)),"data missing",
IF(OR(AND('Soil results'!G$7="Olsen (ADAS)",'Soil results'!G159&lt;16),AND('Soil results'!G$7="modified Morgan (SAC)",'Soil results'!G159&lt;4.5)),50,100)))</f>
        <v/>
      </c>
      <c r="J156" s="49" t="str">
        <f ca="1">IF(B156="","",
IF(OR(ISBLANK('Soil results'!G$7),ISBLANK('Soil results'!G159)),"data missing",
IF(OR(AND('Soil results'!G$7="Olsen (ADAS)",'Soil results'!G159&gt;45),AND('Soil results'!G$7="modified Morgan (SAC)",'Soil results'!G159&gt;30)),0,
IF(OR(AND('Soil results'!G$7="Olsen (ADAS)",'Soil results'!G159&gt;=16,'Soil results'!G159&lt;=20),AND('Soil results'!G$7="modified Morgan (SAC)",'Soil results'!G159&gt;=4.5,'Soil results'!G159&lt;=9.4)),VLOOKUP(Calc!BI154,'Fertiliser recommendations'!$A$4:$I$63,9,FALSE),
IF(OR(AND('Soil results'!G$7="Olsen (ADAS)",'Soil results'!G159&lt;10),AND('Soil results'!G$7="modified Morgan (SAC)",'Soil results'!G159&lt;1.8)),VLOOKUP(Calc!BI154,'Fertiliser recommendations'!$A$4:$I$63,9,FALSE)+VLOOKUP(Calc!BI154,'Fertiliser recommendations'!$A$4:$J$63,10,FALSE),
IF(OR(AND('Soil results'!G$7="Olsen (ADAS)",'Soil results'!G159&lt;16),AND('Soil results'!G$7="modified Morgan (SAC)",'Soil results'!G159&lt;4.5)),VLOOKUP(Calc!BI154,'Fertiliser recommendations'!$A$4:$I$63,9,FALSE)+VLOOKUP(Calc!BI154,'Fertiliser recommendations'!$A$4:$K$63,11,FALSE),
IF(OR(AND('Soil results'!G$7="Olsen (ADAS)",'Soil results'!G159&lt;26),AND('Soil results'!G$7="modified Morgan (SAC)",'Soil results'!G159&lt;13.5)),VLOOKUP(Calc!BI154,'Fertiliser recommendations'!$A$4:$I$63,9,FALSE)+VLOOKUP(Calc!BI154,'Fertiliser recommendations'!$A$4:$L$63,12,FALSE),
IF(OR(AND('Soil results'!G$7="Olsen (ADAS)",'Soil results'!G159&lt;=45),AND('Soil results'!G$7="modified Morgan (SAC)",'Soil results'!G159&lt;=30)),VLOOKUP(Calc!BI154,'Fertiliser recommendations'!$A$4:$I$63,9,FALSE)+VLOOKUP(Calc!BI154,'Fertiliser recommendations'!$A$4:$M$63,13,FALSE),
""))))))))</f>
        <v/>
      </c>
      <c r="K156" s="161" t="str">
        <f t="shared" ca="1" si="35"/>
        <v/>
      </c>
      <c r="L156" s="47" t="str">
        <f ca="1">IF(OR(ISBLANK('Soil results'!G$7),ISBLANK('Soil results'!G159),B156="", H156="data missing"),"",
IF('Soil results'!G$7="Olsen (ADAS)",
IF(((H156*Calc!BM154/2.291-(VLOOKUP(Calc!BI154,'Fertiliser recommendations'!$A$4:$I$63,9,FALSE))/2.291)*10/(400/2.291)+'Soil results'!G159)&lt;10,"0 (VL)",
IF(((H156*Calc!BM154/2.291-(VLOOKUP(Calc!BI154,'Fertiliser recommendations'!$A$4:$I$63,9,FALSE))/2.291)*10/(400/2.291)+'Soil results'!G159)&lt;16,"1 (L)",
IF(((H156*Calc!BM154/2.291-(VLOOKUP(Calc!BI154,'Fertiliser recommendations'!$A$4:$I$63,9,FALSE))/2.291)*10/(400/2.291)+'Soil results'!G159)&lt;21,"2 (M-)",
IF(((H156*Calc!BM154/2.291-(VLOOKUP(Calc!BI154,'Fertiliser recommendations'!$A$4:$I$63,9,FALSE))/2.291)*10/(400/2.291)+'Soil results'!G159)&lt;26,"2 (M+)",
IF(((H156*Calc!BM154/2.291-(VLOOKUP(Calc!BI154,'Fertiliser recommendations'!$A$4:$I$63,9,FALSE))/2.291)*10/(400/2.291)+'Soil results'!G159)&lt;45,"3 (H)","&gt;3 (VH)"))))),
IF('Soil results'!G$7="modified Morgan (SAC)",
IF('Soil results'!G159&gt;=6,
IF(((H156*Calc!BM154/2.291-(VLOOKUP(Calc!BI154,'Fertiliser recommendations'!$A$4:$I$63,9,FALSE))/2.291)*5/(147/2.291)+'Soil results'!G159)&lt;9.5,"2 (M-)",
IF(((H156*Calc!BM154/2.291-(VLOOKUP(Calc!BI154,'Fertiliser recommendations'!$A$4:$I$63,9,FALSE))/2.291)*5/(147/2.291)+'Soil results'!G159)&lt;13.5,"2 (M+)",
IF(((H156*Calc!BM154/2.291-(VLOOKUP(Calc!BI154,'Fertiliser recommendations'!$A$4:$I$63,9,FALSE))/2.291)*5/(147/2.291)+'Soil results'!G159)&lt;30,"3 (H)","4 (VH)"))),
IF(((H156*Calc!BM154/2.291-(VLOOKUP(Calc!BI154,'Fertiliser recommendations'!$A$4:$I$63,9,FALSE))/2.291)*5/(346/2.291)+'Soil results'!G159)&lt;1.8,"0 (VL)",
IF(((H156*Calc!BM154/2.291-(VLOOKUP(Calc!BI154,'Fertiliser recommendations'!$A$4:$I$63,9,FALSE))/2.291)*5/(147/2.291)+'Soil results'!G159)&lt;4.5,"1 (L)","2 (M-)"))))))</f>
        <v/>
      </c>
      <c r="M156" s="9" t="str">
        <f ca="1">IF(B156="","",
IF(OR(H156="data missing",I156="data missing",J156="data missing"),"data missing",
IF(Calc!BF154=0,"n/a",
IF(OR(AND('Soil results'!G$7="Olsen (ADAS)",'Soil results'!G159&gt;45),AND('Soil results'!G$7="modified Morgan (SAC)",'Soil results'!G159&gt;30)),
IF(H156&gt;2,"too high, not acceptable","no requirement"),IF(OR(AND('Soil results'!G$7="Olsen (ADAS)",'Soil results'!G159&gt;25),AND('Soil results'!G$7="modified Morgan (SAC)",'Soil results'!G159&gt;13.4)),
IF(H156*(I156/100)&lt;0.1*J156,"no benefit",
IF(H156*(I156/100)&lt;0.3*J156,"limited benefit",
IF(H156*(I156/100)&lt;1.1*J156,"benefit",
IF(H156*(I156/100)&lt;0.7*VLOOKUP(Calc!BI154,'Fertiliser recommendations'!$A$4:$I$63,9,FALSE),"excessive","too high, not acceptable")))),
IF(OR(AND('Soil results'!G$7="Olsen (ADAS)",'Soil results'!G159&gt;20),AND('Soil results'!G$7="modified Morgan (SAC)",'Soil results'!G159&gt;9.4)),
IF(H156*Calc!BM154*(I156/100)&lt;0.1*J156,"no benefit",
IF(H156*Calc!BM154*(I156/100)&lt;0.3*J156,"limited benefit",
IF(H156*Calc!BM154*(I156/100)&lt;1.1*J156,"benefit",
IF(L156="3 (H)","too high, not acceptable","excessive")))),
IF(OR(AND('Soil results'!G$7="Olsen (ADAS)",'Soil results'!G159&gt;15),AND('Soil results'!G$7="modified Morgan (SAC)",'Soil results'!G159&gt;4.4)),
IF(H156*Calc!BM154*(I156/100)&lt;0.1*VLOOKUP(Calc!BI154,'Fertiliser recommendations'!$A$4:$I$63,9,FALSE),"no benefit",
IF(H156*Calc!BM154*(I156/100)&lt;0.3*VLOOKUP(Calc!BI154,'Fertiliser recommendations'!$A$4:$I$63,9,FALSE),"limited benefit",
IF(H156*Calc!BM154*(I156/100)&lt;1.1*VLOOKUP(Calc!BI154,'Fertiliser recommendations'!$A$4:$I$63,9,FALSE),"benefit",
IF(L156="3 (H)", "too high, not acceptable", "excessive")))),
IF(OR(AND('Soil results'!G$7="Olsen (ADAS)",'Soil results'!G159&lt;=15),AND('Soil results'!G$7="modified Morgan (SAC)",'Soil results'!G159&lt;=4.4)),
IF(H156*Calc!BM154*(I156/100)&lt;0.1*VLOOKUP(Calc!BI154,'Fertiliser recommendations'!$A$4:$I$63,9,FALSE),"no benefit",
IF(H156*Calc!BM154*(I156/100)&lt;0.3*VLOOKUP(Calc!BI154,'Fertiliser recommendations'!$A$4:$I$63,9,FALSE),"limited benefit",
IF(H156*Calc!BM154*(I156/100)&lt;1.1*J156,"benefit","excessive")))))))))))</f>
        <v/>
      </c>
      <c r="N156" s="9"/>
      <c r="O156" s="91" t="str">
        <f ca="1">IF(B156="","",
IF(AND('Field information 2'!$O$5="", 'Field information 2'!$Q$5=""),
   IF('Waste results'!$S$19&lt;&gt;"data missing", Calc!BC154*'Waste results'!$S$19, "data missing"),
IF('Field information 2'!$Q$5="",
   IF(Calc!BD154=0,
     IF('Waste results'!$S$19&lt;&gt;"data missing", Calc!BC154*'Waste results'!$S$19, "data missing"),
   IF(Calc!BC154=0,
     IF('Waste results'!$S$55&lt;&gt;"data missing", Calc!BD154*'Waste results'!$S$55, "data missing"),
   IF(OR('Waste results'!$S$19&lt;&gt;"data missing", 'Waste results'!$S$55&lt;&gt;"data missing"), Calc!BC154*'Waste results'!$S$19+ Calc!BD154*'Waste results'!$S$55, "data missing"))),
IF(AND('Field information 2'!$M$5&lt;&gt;"", 'Field information 2'!$O$5&lt;&gt;"", 'Field information 2'!$Q$5&lt;&gt;""),
   IF(AND(Calc!BD154=0,Calc!BE154=0),
     IF('Waste results'!$S$19&lt;&gt;"data missing", Calc!BC154*'Waste results'!$S$19, "data missing"),
   IF(AND(Calc!BC154=0,Calc!BE154=0),
     IF('Waste results'!$S$55&lt;&gt;"data missing", Calc!BD154*'Waste results'!$S$55, "data missing"),
   IF(AND(Calc!BC154=0,Calc!BD154=0),
     IF('Waste results'!$S$91&lt;&gt;"data missing", Calc!BE154*'Waste results'!$S$91, "data missing"),
   IF(Calc!BE154=0,
     IF(OR('Waste results'!$S$19&lt;&gt;"data missing", 'Waste results'!$S$55&lt;&gt;"data missing"), Calc!BC154*'Waste results'!$S$19+ Calc!BD154*'Waste results'!$S$55, "data missing"),
   IF(Calc!BD154=0,
     IF(OR('Waste results'!$S$19&lt;&gt;"data missing", 'Waste results'!$S$91&lt;&gt;"data missing"), Calc!BC154*'Waste results'!$S$19+ Calc!BE154*'Waste results'!$S$91, "data missing"),
   IF(Calc!BC154=0,
     IF(OR('Waste results'!$S$55&lt;&gt;"data missing", 'Waste results'!$S$91&lt;&gt;"data missing"), Calc!BD154*'Waste results'!$S$55+Calc!BE154*'Waste results'!$S$91, "data missing"),
   IF(OR('Waste results'!$S$19&lt;&gt;"data missing", 'Waste results'!$S$55&lt;&gt;"data missing", 'Waste results'!$S$91&lt;&gt;"data missing"), Calc!BC154*'Waste results'!$S$19+Calc!BD154*'Waste results'!$S$55+ Calc!BE154*'Waste results'!$S$91, "data missing")))))))))))</f>
        <v/>
      </c>
      <c r="P156" s="91" t="str">
        <f ca="1">IF(B156="","",
IF(OR(ISBLANK('Soil results'!H$7),ISBLANK('Soil results'!H159)),"data missing",
IF(OR(AND('Soil results'!H$7="ammonium nitrate (ADAS)",'Soil results'!H159&gt;400),AND('Soil results'!H$7="modified Morgan (SAC)",'Soil results'!H159&gt;400)),0,
IF(OR(AND('Soil results'!H$7="ammonium nitrate (ADAS)",'Soil results'!H159&gt;=121,'Soil results'!H159&lt;=180),AND('Soil results'!H$7="modified Morgan (SAC)",'Soil results'!H159&gt;=76,'Soil results'!H159&lt;=140)),VLOOKUP(Calc!BI154,'Fertiliser recommendations'!$A$4:$Z$63,26,FALSE),
IF(OR(AND('Soil results'!H$7="ammonium nitrate (ADAS)",'Soil results'!H159&lt;61),AND('Soil results'!H$7="modified Morgan (SAC)",'Soil results'!H159&lt;40)),VLOOKUP(Calc!BI154,'Fertiliser recommendations'!$A$4:$Z$63,26,FALSE)+VLOOKUP(Calc!BI154,'Fertiliser recommendations'!$A$4:$AA$63,27,FALSE),
IF(OR(AND('Soil results'!H$7="ammonium nitrate (ADAS)",'Soil results'!H159&lt;121),AND('Soil results'!H$7="modified Morgan (SAC)",'Soil results'!H159&lt;76)),VLOOKUP(Calc!BI154,'Fertiliser recommendations'!$A$4:$Z$63,26,FALSE)+VLOOKUP(Calc!BI154,'Fertiliser recommendations'!$A$4:$AB$63,28,FALSE),
IF(OR(AND('Soil results'!H$7="ammonium nitrate (ADAS)",'Soil results'!H159&lt;241),AND('Soil results'!H$7="modified Morgan (SAC)",'Soil results'!H159&lt;201)),VLOOKUP(Calc!BI154,'Fertiliser recommendations'!$A$4:$Z$63,26,FALSE)+VLOOKUP(Calc!BI154,'Fertiliser recommendations'!$A$4:$AC$63,29,FALSE),
IF(OR(AND('Soil results'!H$7="ammonium nitrate (ADAS)",'Soil results'!H159&lt;=400),AND('Soil results'!H$7="modified Morgan (SAC)",'Soil results'!H159&lt;=400)),VLOOKUP(Calc!BI154,'Fertiliser recommendations'!$A$4:$Z$63,26,FALSE)+VLOOKUP(Calc!BI154,'Fertiliser recommendations'!$A$4:$AD$63,30,FALSE),
"??"))))))))</f>
        <v/>
      </c>
      <c r="Q156" s="91" t="str">
        <f t="shared" ca="1" si="36"/>
        <v/>
      </c>
      <c r="R156" s="9" t="str">
        <f ca="1">IF(B156="","",
IF(OR(O156="data missing",P156="data missing"),"data missing",
IF(Calc!BF154=0,"n/a",
IF(P156=0, "no requirement",
IF(O156&lt;0.1*P156,"no benefit",
IF(O156&lt;0.3*P156,"limited benefit",
IF(O156&gt;1.25*P156,"excessive",
"benefit")))))))</f>
        <v/>
      </c>
      <c r="S156" s="9"/>
      <c r="T156" s="91" t="str">
        <f ca="1">IF(B156="","",
IF(AND('Field information 2'!$O$5="", 'Field information 2'!$Q$5=""),
   IF('Waste results'!$S$21&lt;&gt;"data missing", Calc!BC154*'Waste results'!$S$21, "data missing"),
IF('Field information 2'!$Q$5="",
   IF(Calc!BD154=0,
     IF('Waste results'!$S$21&lt;&gt;"data missing", Calc!BC154*'Waste results'!$S$21, "data missing"),
   IF(Calc!BC154=0,
     IF('Waste results'!$S$57&lt;&gt;"data missing", Calc!BD154*'Waste results'!$S$57, "data missing"),
   IF(OR('Waste results'!$S$21&lt;&gt;"data missing", 'Waste results'!$S$57&lt;&gt;"data missing"), Calc!BC154*'Waste results'!$S$21+ Calc!BD154*'Waste results'!$S$57, "data missing"))),
IF(AND('Field information 2'!$M$5&lt;&gt;"", 'Field information 2'!$O$5&lt;&gt;"", 'Field information 2'!$Q$5&lt;&gt;""),
   IF(AND(Calc!BD154=0,Calc!BE154=0),
     IF('Waste results'!$S$21&lt;&gt;"data missing", Calc!BC154*'Waste results'!$S$21, "data missing"),
   IF(AND(Calc!BC154=0,Calc!BE154=0),
     IF('Waste results'!$S$57&lt;&gt;"data missing", Calc!BD154*'Waste results'!$S$57, "data missing"),
   IF(AND(Calc!BC154=0,Calc!BD154=0),
     IF('Waste results'!$S$93&lt;&gt;"data missing", Calc!BE154*'Waste results'!$S$93, "data missing"),
   IF(Calc!BE154=0,
     IF(OR('Waste results'!$S$21&lt;&gt;"data missing", 'Waste results'!$S$57&lt;&gt;"data missing"), Calc!BC154*'Waste results'!$S$21+ Calc!BD154*'Waste results'!$S$57, "data missing"),
   IF(Calc!BD154=0,
     IF(OR('Waste results'!$S$21&lt;&gt;"data missing", 'Waste results'!$S$93&lt;&gt;"data missing"), Calc!BC154*'Waste results'!$S$21+ Calc!BE154*'Waste results'!$S$93, "data missing"),
   IF(Calc!BC154=0,
     IF(OR('Waste results'!$S$57&lt;&gt;"data missing", 'Waste results'!$S$93&lt;&gt;"data missing"), Calc!BD154*'Waste results'!$S$57+Calc!BE154*'Waste results'!$S$93, "data missing"),
   IF(OR('Waste results'!$S$21&lt;&gt;"data missing", 'Waste results'!$S$57&lt;&gt;"data missing", 'Waste results'!$S$93&lt;&gt;"data missing"), Calc!BC154*'Waste results'!$S$21+Calc!BD154*'Waste results'!$S$57+ Calc!BE154*'Waste results'!$S$93, "data missing")))))))))))</f>
        <v/>
      </c>
      <c r="U156" s="7" t="str">
        <f ca="1">IF(B156="","",
IF(OR(ISBLANK('Soil results'!I$7),ISBLANK('Soil results'!I159)),"data missing",
IF(OR(AND('Soil results'!I$7="ammonium nitrate (ADAS)",'Soil results'!I159&gt;51),AND('Soil results'!I$7="modified Morgan (SAC)",'Soil results'!I159&gt;61)),0,
IF(OR(AND('Soil results'!I$7="ammonium nitrate (ADAS)",'Soil results'!I159&lt;25),AND('Soil results'!I$7="modified Morgan (SAC)",'Soil results'!I159&lt;19)),VLOOKUP(Calc!BI154,'Fertiliser recommendations'!$A$4:$AH$63,34,FALSE),
IF(OR(AND('Soil results'!I$7="ammonium nitrate (ADAS)",'Soil results'!I159&lt;=51),AND('Soil results'!I$7="modified Morgan (SAC)",'Soil results'!I159&lt;=61)),VLOOKUP(Calc!BI154,'Fertiliser recommendations'!$A$4:$AI$63,35,FALSE),
"")))))</f>
        <v/>
      </c>
      <c r="V156" s="91" t="str">
        <f t="shared" ca="1" si="37"/>
        <v/>
      </c>
      <c r="W156" s="9" t="str">
        <f ca="1">IF(B156="","",
IF(OR(T156="data missing",U156="data missing"),"data missing",
IF(Calc!BF154=0,"n/a",
IF(U156=0,"no requirement",
IF(T156&lt;0.1*U156,"no benefit",
IF(T156&lt;0.3*U156,"limited benefit",
IF(OR(T156&gt;1.5*U156,AND(Calc!BJ154="g",T156&gt;100)),"excessive",
"benefit")))))))</f>
        <v/>
      </c>
      <c r="X156" s="9"/>
      <c r="Y156" s="91" t="str">
        <f ca="1">IF(B156="","",
IF(AND('Field information 2'!$O$5="", 'Field information 2'!$Q$5=""),
   IF('Waste results'!$P$23&lt;&gt;"", Calc!BC154*'Waste results'!$P$23, "no data"),
IF('Field information 2'!$Q$5="",
   IF(Calc!BD154=0,
     IF('Waste results'!$P$23&lt;&gt;"", Calc!BC154*'Waste results'!$P$23, "no data"),
   IF(Calc!BC154=0,
     IF('Waste results'!$P$59&lt;&gt;"", Calc!BD154*'Waste results'!$P$59, "no data"),
   IF(OR('Waste results'!$P$23&lt;&gt;"", 'Waste results'!$P$59&lt;&gt;""), Calc!BC154*'Waste results'!$P$23+ Calc!BD154*'Waste results'!$P$59, "no data"))),
IF(AND('Field information 2'!$M$5&lt;&gt;"", 'Field information 2'!$O$5&lt;&gt;"", 'Field information 2'!$Q$5&lt;&gt;""),
   IF(AND(Calc!BD154=0,Calc!BE154=0),
     IF('Waste results'!$P$23&lt;&gt;"", Calc!BC154*'Waste results'!$P$23, "no data"),
   IF(AND(Calc!BC154=0,Calc!BE154=0),
     IF('Waste results'!$P$59&lt;&gt;"", Calc!BD154*'Waste results'!$P$59, "no data"),
   IF(AND(Calc!BC154=0,Calc!BD154=0),
     IF('Waste results'!$P$95&lt;&gt;"", Calc!BE154*'Waste results'!$P$95, "no data"),
   IF(Calc!BE154=0,
     IF(OR('Waste results'!$P$23&lt;&gt;"", 'Waste results'!$P$59&lt;&gt;""), Calc!BC154*'Waste results'!$P$23+ Calc!BD154*'Waste results'!$P$59, "no data"),
   IF(Calc!BD154=0,
     IF(OR('Waste results'!$P$23&lt;&gt;"", 'Waste results'!$P$95&lt;&gt;""), Calc!BC154*'Waste results'!$P$23+ Calc!BE154*'Waste results'!$P$95, "no data"),
   IF(Calc!BC154=0,
     IF(OR('Waste results'!$P$59&lt;&gt;"", 'Waste results'!$P$95&lt;&gt;""), Calc!BD154*'Waste results'!$P$59+Calc!BE154*'Waste results'!$P$95, "no data"),
   IF(OR('Waste results'!$P$23&lt;&gt;"", 'Waste results'!$P$59&lt;&gt;"", 'Waste results'!$P$95&lt;&gt;""), Calc!BC154*'Waste results'!$P$23+Calc!BD154*'Waste results'!$P$59+ Calc!BE154*'Waste results'!$P$95, "no data")))))))))))</f>
        <v/>
      </c>
      <c r="Z156" s="7" t="str">
        <f ca="1">IF(OR(ISBLANK('Soil results'!I$7),ISBLANK('Soil results'!I159),'Soil results'!B159=""),"",
VLOOKUP(Calc!BI154,'Fertiliser recommendations'!$A$4:$AM$63,39,FALSE))</f>
        <v/>
      </c>
      <c r="AA156" s="91" t="str">
        <f t="shared" ca="1" si="38"/>
        <v/>
      </c>
      <c r="AB156" s="9" t="str">
        <f t="shared" ca="1" si="39"/>
        <v/>
      </c>
      <c r="AC156" s="9"/>
      <c r="AD156" s="48" t="str">
        <f>IF(ISBLANK('Soil results'!F159),"",'Soil results'!F159)</f>
        <v/>
      </c>
      <c r="AE156" s="49" t="str">
        <f ca="1">IF(B156="","",
IF(AND(Calc!BJ154="g", VLOOKUP(LEFT($B156,LEN($B156)-2),'Field information 2'!$B$12:$P$111,9,FALSE)&lt;&gt;"yes"),
 IF(Calc!BG154="10-25% OM", 5.9, IF(Calc!BG154="&gt;25% OM", 5.5, 6.2)),
IF(OR(Calc!BJ154="a", VLOOKUP(LEFT($B156,LEN($B156)-2),'Field information 2'!$B$12:$P$111,9,FALSE)="yes"),
 IF(Calc!BG154="10-25% OM", 6.4, IF(Calc!BG154="&gt;25% OM", 6, 6.7)), "")))</f>
        <v/>
      </c>
      <c r="AF156" s="91" t="str">
        <f ca="1">IF(B156="","",
IF('Waste results'!$Q$33="","no (significant) liming properties",
IF('Waste results'!Q$33&gt;100,"no (significant) liming properties",
IF(AD156="","",
IF(AD156&gt;=AE156,0,ROUNDDOWN((AE156-AD156)*Calc!BK154*'Waste results'!$Q$33+0.2,0))))))</f>
        <v/>
      </c>
      <c r="AG156" s="9" t="str">
        <f ca="1">IF(B156="","",
IF(T156=0,"n/a",
IF(AD156="","data missing",
IF(AND(AD156&lt;5,AF156="no (significant) liming properties"),"no waste application - pH too low",
IF(AND(AD156&gt;5.1,AF156="no (significant) liming properties",Calc!BH154&gt;25, LEFT(Calc!BI154,4)="graz"),"ok",
IF(AND(AD156&lt;=5.2,AF156="no (significant) liming properties"),"liming highly recommended",
IF(AF156=0,"no waste application - liming not required",
IF(AF156&lt;Calc!BC154,"application rate too high - exceeds liming requirement",
"ok"))))))))</f>
        <v/>
      </c>
      <c r="AH156" s="9"/>
      <c r="AI156" s="91" t="str">
        <f ca="1">IF(B156="","",
IF(AND('Field information 2'!$O$5="", 'Field information 2'!$Q$5=""),
   IF('Waste results'!$P$10&lt;&gt;"data missing", Calc!BC154*'Waste results'!$P$10, "data missing"),
IF('Field information 2'!$Q$5="",
   IF(Calc!BD154=0,
     IF('Waste results'!$P$10&lt;&gt;"data missing", Calc!BC154*'Waste results'!$P$10, "data missing"),
   IF(Calc!BC154=0,
     IF('Waste results'!$P$45&lt;&gt;"data missing", Calc!BD154*'Waste results'!$P$45, "data missing"),
   IF(OR('Waste results'!$P$10&lt;&gt;"data missing", 'Waste results'!$P$45&lt;&gt;"data missing"), Calc!BC154*'Waste results'!$P$10+ Calc!BD154*'Waste results'!$P$45, "data missing"))),
IF(AND('Field information 2'!$M$5&lt;&gt;"", 'Field information 2'!$O$5&lt;&gt;"", 'Field information 2'!$Q$5&lt;&gt;""),
   IF(AND(Calc!BD154=0,Calc!BE154=0),
     IF('Waste results'!$P$10&lt;&gt;"data missing", Calc!BC154*'Waste results'!$P$10, "data missing"),
   IF(AND(Calc!BC154=0,Calc!BE154=0),
     IF('Waste results'!$P$45&lt;&gt;"data missing", Calc!BD154*'Waste results'!$P$45, "data missing"),
   IF(AND(Calc!BC154=0,Calc!BD154=0),
     IF('Waste results'!$P$82&lt;&gt;"data missing", Calc!BE154*'Waste results'!$P$82, "data missing"),
   IF(Calc!BE154=0,
     IF(OR('Waste results'!$P$10&lt;&gt;"data missing", 'Waste results'!$P$45&lt;&gt;"data missing"), Calc!BC154*'Waste results'!$P$10+ Calc!BD154*'Waste results'!$P$45, "data missing"),
   IF(Calc!BD154=0,
     IF(OR('Waste results'!$P$10&lt;&gt;"data missing", 'Waste results'!$P$82&lt;&gt;"data missing"), Calc!BC154*'Waste results'!$P$10+ Calc!BE154*'Waste results'!$P$82, "data missing"),
   IF(Calc!BC154=0,
     IF(OR('Waste results'!$P$45&lt;&gt;"data missing", 'Waste results'!$P$82&lt;&gt;"data missing"), Calc!BD154*'Waste results'!$P$45+Calc!BE154*'Waste results'!$P$82, "data missing"),
   IF(OR('Waste results'!$P$10&lt;&gt;"data missing", 'Waste results'!$P$45&lt;&gt;"data missing", 'Waste results'!$P$82&lt;&gt;"data missing"), Calc!BC154*'Waste results'!$P$10+Calc!BD154*'Waste results'!$P$45+ Calc!BE154*'Waste results'!$P$82, "data missing")))))))))))</f>
        <v/>
      </c>
      <c r="AJ156" s="237" t="str">
        <f ca="1">IF(B156="","",
IF(AI156="data missing","data missing",
IF(Calc!BF154=0,"n/a",
IF(AND(Calc!BH154&gt;=8,AI156&lt;500),"no benefit",
IF(OR(AND(Calc!BH154&lt;=4,AI156&gt;=500),AND(Calc!BH154&lt;8,AI156&gt;5000)),"benefit",
"limited benefit")))))</f>
        <v/>
      </c>
      <c r="AK156" s="9"/>
      <c r="AL156" s="238" t="str">
        <f ca="1">IF(B156="","",
IF(AND('Field information 2'!$O$5="", 'Field information 2'!$Q$5=""),
   IF('Waste results'!$S$25&lt;&gt;"data missing", Calc!BC154*'Waste results'!$S$25, "data missing"),
IF('Field information 2'!$Q$5="",
   IF(Calc!BD154=0,
     IF('Waste results'!$S$25&lt;&gt;"data missing", Calc!BC154*'Waste results'!$S$25, "data missing"),
   IF(Calc!BC154=0,
     IF('Waste results'!$S$61&lt;&gt;"data missing", Calc!BD154*'Waste results'!$S$61, "data missing"),
   IF(OR('Waste results'!$S$25&lt;&gt;"data missing", 'Waste results'!$S$61&lt;&gt;"data missing"), Calc!BC154*'Waste results'!$S$25+ Calc!BD154*'Waste results'!$S$61, "data missing"))),
IF(AND('Field information 2'!$M$5&lt;&gt;"", 'Field information 2'!$O$5&lt;&gt;"", 'Field information 2'!$Q$5&lt;&gt;""),
   IF(AND(Calc!BD154=0,Calc!BE154=0),
     IF('Waste results'!$S$25&lt;&gt;"data missing", Calc!BC154*'Waste results'!$S$25, "data missing"),
   IF(AND(Calc!BC154=0,Calc!BE154=0),
     IF('Waste results'!$S$61&lt;&gt;"data missing", Calc!BD154*'Waste results'!$S$61, "data missing"),
   IF(AND(Calc!BC154=0,Calc!BD154=0),
     IF('Waste results'!$S$97&lt;&gt;"data missing", Calc!BE154*'Waste results'!$S$97, "data missing"),
   IF(Calc!BE154=0,
     IF(OR('Waste results'!$S$25&lt;&gt;"data missing", 'Waste results'!$S$61&lt;&gt;"data missing"), Calc!BC154*'Waste results'!$S$25+ Calc!BD154*'Waste results'!$S$61, "data missing"),
   IF(Calc!BD154=0,
     IF(OR('Waste results'!$S$25&lt;&gt;"data missing", 'Waste results'!$S$97&lt;&gt;"data missing"), Calc!BC154*'Waste results'!$S$25+ Calc!BE154*'Waste results'!$S$97, "data missing"),
   IF(Calc!BC154=0,
     IF(OR('Waste results'!$S$61&lt;&gt;"data missing", 'Waste results'!$S$97&lt;&gt;"data missing"), Calc!BD154*'Waste results'!$S$61+Calc!BE154*'Waste results'!$S$97, "data missing"),
   IF(OR('Waste results'!$S$25&lt;&gt;"data missing", 'Waste results'!$S$61&lt;&gt;"data missing", 'Waste results'!$S$97&lt;&gt;"data missing"), Calc!BC154*'Waste results'!$S$25+Calc!BD154*'Waste results'!$S$61+ Calc!BE154*'Waste results'!$S$97, "data missing")))))))))))</f>
        <v/>
      </c>
      <c r="AM156" s="239" t="str">
        <f ca="1">IF($B156="","",
IF(ISBLANK('Soil results'!K159),"data missing",'Soil results'!K159))</f>
        <v/>
      </c>
      <c r="AN156" s="239" t="str">
        <f t="shared" ca="1" si="40"/>
        <v/>
      </c>
      <c r="AO156" s="9" t="str">
        <f t="shared" ca="1" si="41"/>
        <v/>
      </c>
      <c r="AP156" s="9"/>
      <c r="AQ156" s="240" t="str">
        <f ca="1">IF(B156="","",
IF(AND('Field information 2'!$O$5="", 'Field information 2'!$Q$5=""),
   IF('Waste results'!$S$26&lt;&gt;"data missing", Calc!BC154*'Waste results'!$S$26, "data missing"),
IF('Field information 2'!$Q$5="",
   IF(Calc!BD154=0,
     IF('Waste results'!$S$26&lt;&gt;"data missing", Calc!BC154*'Waste results'!$S$26, "data missing"),
   IF(Calc!BC154=0,
     IF('Waste results'!$S$62&lt;&gt;"data missing", Calc!BD154*'Waste results'!$S$62, "data missing"),
   IF(OR('Waste results'!$S$26&lt;&gt;"data missing", 'Waste results'!$S$62&lt;&gt;"data missing"), Calc!BC154*'Waste results'!$S$26+ Calc!BD154*'Waste results'!$S$62, "data missing"))),
IF(AND('Field information 2'!$M$5&lt;&gt;"", 'Field information 2'!$O$5&lt;&gt;"", 'Field information 2'!$Q$5&lt;&gt;""),
   IF(AND(Calc!BD154=0,Calc!BE154=0),
     IF('Waste results'!$S$26&lt;&gt;"data missing", Calc!BC154*'Waste results'!$S$26, "data missing"),
   IF(AND(Calc!BC154=0,Calc!BE154=0),
     IF('Waste results'!$S$62&lt;&gt;"data missing", Calc!BD154*'Waste results'!$S$62, "data missing"),
   IF(AND(Calc!BC154=0,Calc!BD154=0),
     IF('Waste results'!$S$98&lt;&gt;"data missing", Calc!BE154*'Waste results'!$S$98, "data missing"),
   IF(Calc!BE154=0,
     IF(OR('Waste results'!$S$26&lt;&gt;"data missing", 'Waste results'!$S$62&lt;&gt;"data missing"), Calc!BC154*'Waste results'!$S$26+ Calc!BD154*'Waste results'!$S$62, "data missing"),
   IF(Calc!BD154=0,
     IF(OR('Waste results'!$S$26&lt;&gt;"data missing", 'Waste results'!$S$98&lt;&gt;"data missing"), Calc!BC154*'Waste results'!$S$26+ Calc!BE154*'Waste results'!$S$98, "data missing"),
   IF(Calc!BC154=0,
     IF(OR('Waste results'!$S$62&lt;&gt;"data missing", 'Waste results'!$S$98&lt;&gt;"data missing"), Calc!BD154*'Waste results'!$S$62+Calc!BE154*'Waste results'!$S$98, "data missing"),
   IF(OR('Waste results'!$S$26&lt;&gt;"data missing", 'Waste results'!$S$62&lt;&gt;"data missing", 'Waste results'!$S$98&lt;&gt;"data missing"), Calc!BC154*'Waste results'!$S$26+Calc!BD154*'Waste results'!$S$62+ Calc!BE154*'Waste results'!$S$98, "data missing")))))))))))</f>
        <v/>
      </c>
      <c r="AR156" s="241" t="str">
        <f ca="1">IF($B156="","",
IF(ISBLANK('Soil results'!L159),"data missing",'Soil results'!L159))</f>
        <v/>
      </c>
      <c r="AS156" s="241" t="str">
        <f t="shared" ca="1" si="42"/>
        <v/>
      </c>
      <c r="AT156" s="66" t="str">
        <f t="shared" ca="1" si="43"/>
        <v/>
      </c>
      <c r="AU156" s="9"/>
      <c r="AV156" s="238" t="str">
        <f ca="1">IF(B156="","",
IF(AND('Field information 2'!$O$5="", 'Field information 2'!$Q$5=""),
   IF('Waste results'!$S$27&lt;&gt;"data missing", Calc!BC154*'Waste results'!$S$27, "data missing"),
IF('Field information 2'!$Q$5="",
   IF(Calc!BD154=0,
     IF('Waste results'!$S$27&lt;&gt;"data missing", Calc!BC154*'Waste results'!$S$27, "data missing"),
   IF(Calc!BC154=0,
     IF('Waste results'!$S$63&lt;&gt;"data missing", Calc!BD154*'Waste results'!$S$63, "data missing"),
   IF(OR('Waste results'!$S$27&lt;&gt;"data missing", 'Waste results'!$S$63&lt;&gt;"data missing"), Calc!BC154*'Waste results'!$S$27+ Calc!BD154*'Waste results'!$S$63, "data missing"))),
IF(AND('Field information 2'!$M$5&lt;&gt;"", 'Field information 2'!$O$5&lt;&gt;"", 'Field information 2'!$Q$5&lt;&gt;""),
   IF(AND(Calc!BD154=0,Calc!BE154=0),
     IF('Waste results'!$S$27&lt;&gt;"data missing", Calc!BC154*'Waste results'!$S$27, "data missing"),
   IF(AND(Calc!BC154=0,Calc!BE154=0),
     IF('Waste results'!$S$63&lt;&gt;"data missing", Calc!BD154*'Waste results'!$S$63, "data missing"),
   IF(AND(Calc!BC154=0,Calc!BD154=0),
     IF('Waste results'!$S$99&lt;&gt;"data missing", Calc!BE154*'Waste results'!$S$99, "data missing"),
   IF(Calc!BE154=0,
     IF(OR('Waste results'!$S$27&lt;&gt;"data missing", 'Waste results'!$S$63&lt;&gt;"data missing"), Calc!BC154*'Waste results'!$S$27+ Calc!BD154*'Waste results'!$S$63, "data missing"),
   IF(Calc!BD154=0,
     IF(OR('Waste results'!$S$27&lt;&gt;"data missing", 'Waste results'!$S$99&lt;&gt;"data missing"), Calc!BC154*'Waste results'!$S$27+ Calc!BE154*'Waste results'!$S$99, "data missing"),
   IF(Calc!BC154=0,
     IF(OR('Waste results'!$S$63&lt;&gt;"data missing", 'Waste results'!$S$99&lt;&gt;"data missing"), Calc!BD154*'Waste results'!$S$63+Calc!BE154*'Waste results'!$S$99, "data missing"),
   IF(OR('Waste results'!$S$27&lt;&gt;"data missing", 'Waste results'!$S$63&lt;&gt;"data missing", 'Waste results'!$S$99&lt;&gt;"data missing"), Calc!BC154*'Waste results'!$S$27+Calc!BD154*'Waste results'!$S$63+ Calc!BE154*'Waste results'!$S$99, "data missing")))))))))))</f>
        <v/>
      </c>
      <c r="AW156" s="239" t="str">
        <f ca="1">IF($B156="","",
IF(ISBLANK('Soil results'!M159),"data missing",'Soil results'!M159))</f>
        <v/>
      </c>
      <c r="AX156" s="239" t="str">
        <f t="shared" ca="1" si="44"/>
        <v/>
      </c>
      <c r="AY156" s="9" t="str">
        <f ca="1">IF(B156="","",
IF(AV156=0,"n/a",
IF(OR(AV156="data missing",AW156="data missing"),"data missing",
IF(AV156&gt;7.5,"application rate too high - permissible rate exceeds limit",
IF('Soil results'!$F159&lt;=5.5,
  IF(AW156&gt;80,"no application - soil conc. already above limit",
  IF(AX156&gt;80,"application rate too high - soil conc. will exceed limit",
  IF(AW156&gt;80*0.9,"soil conc. is at or above 90% of the limit",
  IF(10*AV156*1000/3000+AW156&gt;80,"soil limit likely to be exceeded in 10yrs",
  IF(50*AV156*1000/3000+AW156&gt;80,"soil limit likely to be exceeded in 50yrs","ok"))))),
IF('Soil results'!$F159&lt;=6,
  IF(AW156&gt;100,"no application - soil conc. already above limit",
  IF(AX156&gt;100,"application rate too high - soil conc. will exceed limit",
  IF(AW156&gt;100*0.9,"soil conc. is at or above 90% of the limit",
  IF(10*AV156*1000/3000+AW156&gt;100,"soil limit likely to be exceeded in 10yrs",
  IF(50*AV156*1000/3000+AW156&gt;100,"soil limit likely to be exceeded in 50yrs","ok"))))),
IF('Soil results'!$F159&lt;=7,
  IF(AW156&gt;135,"no application - soil conc. already above limit",
  IF(AX156&gt;135,"application rate too high - soil conc. will exceed limit",
  IF(AW156&gt;135*0.9,"soil conc. is at or above 90% of the limit",
  IF(10*AV156*1000/3000+AW156&gt;135,"soil limit likely to be exceeded in 10yrs",
  IF(50*AV156*1000/3000+AW156&gt;135,"soil limit likely to be exceeded in 50yrs","ok"))))),
IF('Soil results'!$F159&gt;7,
  IF(AW156&gt;200,"no application - soil conc. already above limit",
  IF(AX156&gt;200,"application too high - soil conc. will exceed limit",
  IF(AW156&gt;200*0.9,"soil conc. is at or above 90% of the limit",
  IF(10*AV156*1000/3000+AW156&gt;200,"soil limit likely to be exceeded in 10yrs",
  IF(50*AV156*1000/3000+AW156&gt;200,"soil limit likely to be exceeded in 50yrs","ok")))))
))))))))</f>
        <v/>
      </c>
      <c r="AZ156" s="9"/>
      <c r="BA156" s="238" t="str">
        <f ca="1">IF(B156="","",
IF(AND('Field information 2'!$O$5="", 'Field information 2'!$Q$5=""),
   IF('Waste results'!$S$28&lt;&gt;"data missing", Calc!BC154*'Waste results'!$S$28, "data missing"),
IF('Field information 2'!$Q$5="",
   IF(Calc!BD154=0,
     IF('Waste results'!$S$28&lt;&gt;"data missing", Calc!BC154*'Waste results'!$S$28, "data missing"),
   IF(Calc!BC154=0,
     IF('Waste results'!$S$64&lt;&gt;"data missing", Calc!BD154*'Waste results'!$S$64, "data missing"),
   IF(OR('Waste results'!$S$28&lt;&gt;"data missing", 'Waste results'!$S$64&lt;&gt;"data missing"), Calc!BC154*'Waste results'!$S$28+ Calc!BD154*'Waste results'!$S$64, "data missing"))),
IF(AND('Field information 2'!$M$5&lt;&gt;"", 'Field information 2'!$O$5&lt;&gt;"", 'Field information 2'!$Q$5&lt;&gt;""),
   IF(AND(Calc!BD154=0,Calc!BE154=0),
     IF('Waste results'!$S$28&lt;&gt;"data missing", Calc!BC154*'Waste results'!$S$28, "data missing"),
   IF(AND(Calc!BC154=0,Calc!BE154=0),
     IF('Waste results'!$S$64&lt;&gt;"data missing", Calc!BD154*'Waste results'!$S$64, "data missing"),
   IF(AND(Calc!BC154=0,Calc!BD154=0),
     IF('Waste results'!$S$100&lt;&gt;"data missing", Calc!BE154*'Waste results'!$S$100, "data missing"),
   IF(Calc!BE154=0,
     IF(OR('Waste results'!$S$28&lt;&gt;"data missing", 'Waste results'!$S$64&lt;&gt;"data missing"), Calc!BC154*'Waste results'!$S$28+ Calc!BD154*'Waste results'!$S$64, "data missing"),
   IF(Calc!BD154=0,
     IF(OR('Waste results'!$S$28&lt;&gt;"data missing", 'Waste results'!$S$100&lt;&gt;"data missing"), Calc!BC154*'Waste results'!$S$28+ Calc!BE154*'Waste results'!$S$100, "data missing"),
   IF(Calc!BC154=0,
     IF(OR('Waste results'!$S$64&lt;&gt;"data missing", 'Waste results'!$S$100&lt;&gt;"data missing"), Calc!BD154*'Waste results'!$S$64+Calc!BE154*'Waste results'!$S$100, "data missing"),
   IF(OR('Waste results'!$S$28&lt;&gt;"data missing", 'Waste results'!$S$64&lt;&gt;"data missing", 'Waste results'!$S$100&lt;&gt;"data missing"), Calc!BC154*'Waste results'!$S$28+Calc!BD154*'Waste results'!$S$64+ Calc!BE154*'Waste results'!$S$100, "data missing")))))))))))</f>
        <v/>
      </c>
      <c r="BB156" s="239" t="str">
        <f ca="1">IF($B156="","",
IF(ISBLANK('Soil results'!N159),"data missing",'Soil results'!N159))</f>
        <v/>
      </c>
      <c r="BC156" s="239" t="str">
        <f t="shared" ca="1" si="45"/>
        <v/>
      </c>
      <c r="BD156" s="9" t="str">
        <f t="shared" ca="1" si="46"/>
        <v/>
      </c>
      <c r="BE156" s="9"/>
      <c r="BF156" s="238" t="str">
        <f ca="1">IF(B156="","",
IF(AND('Field information 2'!$O$5="", 'Field information 2'!$Q$5=""),
   IF('Waste results'!$S$29&lt;&gt;"data missing", Calc!BC154*'Waste results'!$S$29, "data missing"),
IF('Field information 2'!$Q$5="",
   IF(Calc!BD154=0,
     IF('Waste results'!$S$29&lt;&gt;"data missing", Calc!BC154*'Waste results'!$S$29, "data missing"),
   IF(Calc!BC154=0,
     IF('Waste results'!$S$65&lt;&gt;"data missing", Calc!BD154*'Waste results'!$S$65, "data missing"),
   IF(OR('Waste results'!$S$29&lt;&gt;"data missing", 'Waste results'!$S$65&lt;&gt;"data missing"), Calc!BC154*'Waste results'!$S$29+ Calc!BD154*'Waste results'!$S$65, "data missing"))),
IF(AND('Field information 2'!$M$5&lt;&gt;"", 'Field information 2'!$O$5&lt;&gt;"", 'Field information 2'!$Q$5&lt;&gt;""),
   IF(AND(Calc!BD154=0,Calc!BE154=0),
     IF('Waste results'!$S$29&lt;&gt;"data missing", Calc!BC154*'Waste results'!$S$29, "data missing"),
   IF(AND(Calc!BC154=0,Calc!BE154=0),
     IF('Waste results'!$S$65&lt;&gt;"data missing", Calc!BD154*'Waste results'!$S$65, "data missing"),
   IF(AND(Calc!BC154=0,Calc!BD154=0),
     IF('Waste results'!$S$101&lt;&gt;"data missing", Calc!BE154*'Waste results'!$S$101, "data missing"),
   IF(Calc!BE154=0,
     IF(OR('Waste results'!$S$29&lt;&gt;"data missing", 'Waste results'!$S$65&lt;&gt;"data missing"), Calc!BC154*'Waste results'!$S$29+ Calc!BD154*'Waste results'!$S$65, "data missing"),
   IF(Calc!BD154=0,
     IF(OR('Waste results'!$S$29&lt;&gt;"data missing", 'Waste results'!$S$101&lt;&gt;"data missing"), Calc!BC154*'Waste results'!$S$29+ Calc!BE154*'Waste results'!$S$101, "data missing"),
   IF(Calc!BC154=0,
     IF(OR('Waste results'!$S$65&lt;&gt;"data missing", 'Waste results'!$S$101&lt;&gt;"data missing"), Calc!BD154*'Waste results'!$S$65+Calc!BE154*'Waste results'!$S$101, "data missing"),
   IF(OR('Waste results'!$S$29&lt;&gt;"data missing", 'Waste results'!$S$65&lt;&gt;"data missing", 'Waste results'!$S$101&lt;&gt;"data missing"), Calc!BC154*'Waste results'!$S$29+Calc!BD154*'Waste results'!$S$65+ Calc!BE154*'Waste results'!$S$101, "data missing")))))))))))</f>
        <v/>
      </c>
      <c r="BG156" s="239" t="str">
        <f ca="1">IF($B156="","",
IF(ISBLANK('Soil results'!O159),"data missing",'Soil results'!O159))</f>
        <v/>
      </c>
      <c r="BH156" s="239" t="str">
        <f t="shared" ca="1" si="47"/>
        <v/>
      </c>
      <c r="BI156" s="9" t="str">
        <f ca="1">IF(B156="","",
IF(BF156=0,"n/a",
IF(OR(BF156="data missing",BG156="data missing"),"data missing",
IF(BF156&gt;3,"application rate too high - permissible rate exceeds limit",
IF('Soil results'!F159&lt;=5.5,
  IF(BG156&gt;50,"no application - soil conc. already above limit",
  IF(BH156&gt;50,"application rate too high - soil conc. will exceed limit",
  IF(BG156&gt;50*0.9,"soil conc. is at or above 90% of the limit",
  IF(10*BF156*1000/3000+BG156&gt;50,"soil limit likely to be exceeded in 10yrs",
  IF(50*BF156*1000/3000+BG156&gt;50,"soil limit likely to be exceeded in 50yrs","ok"))))),
IF('Soil results'!F159&lt;=6,
  IF(BG156&gt;60,"no application - soil conc. already above limit",
  IF(BH156&gt;60,"application rate too high - soil conc. will exceed limit",
  IF(BG156&gt;60*0.9,"soil conc. is at or above 90% of the limit",
  IF(10*BF156*1000/3000+BG156&gt;60,"soil limit likely to be exceeded in 10yrs",
  IF(50*BF156*1000/3000+BG156&gt;60,"soil limit likely to be exceeded in 50yrs","ok"))))),
IF('Soil results'!F159&lt;=7,
  IF(BG156&gt;75,"no application - soil conc. already above limit",
  IF(BH156&gt;75,"application rate too high - soil conc. will exceed limit",
  IF(BG156&gt;75*0.9,"soil conc. is at or above 90% of the limit",
  IF(10*BF156*1000/3000+BG156&gt;75,"soil limit likely to be exceeded in 10yrs",
  IF(50*BF156*1000/3000+BG156&gt;75,"soil limit likely to be exceeded in 50yrs","ok"))))),
IF('Soil results'!F159&gt;7,
  IF(BG156&gt;100,"no application - soil conc. already above limit",
  IF(BH156&gt;100,"application rate too high - soil conc. will exceed limit",
  IF(BG156&gt;100*0.9,"soil conc. is at or above 90% of the limit",
  IF(10*BF156*1000/3000+BG156&gt;100,"soil limit likely to be exceeded in 10yrs",
  IF(50*BF156*1000/3000+BG156&gt;100,"soil limit likely to beexceeded in 50yrs","ok")))))
))))))))</f>
        <v/>
      </c>
      <c r="BJ156" s="9"/>
      <c r="BK156" s="240" t="str">
        <f ca="1">IF(B156="","",
IF(AND('Field information 2'!$O$5="", 'Field information 2'!$Q$5=""),
   IF('Waste results'!$S$30&lt;&gt;"data missing", Calc!BC154*'Waste results'!$S$30, "data missing"),
IF('Field information 2'!$Q$5="",
   IF(Calc!BD154=0,
     IF('Waste results'!$S$30&lt;&gt;"data missing", Calc!BC154*'Waste results'!$S$30, "data missing"),
   IF(Calc!BC154=0,
     IF('Waste results'!$S$66&lt;&gt;"data missing", Calc!BD154*'Waste results'!$S$66, "data missing"),
   IF(OR('Waste results'!$S$30&lt;&gt;"data missing", 'Waste results'!$S$66&lt;&gt;"data missing"), Calc!BC154*'Waste results'!$S$30+ Calc!BD154*'Waste results'!$S$66, "data missing"))),
IF(AND('Field information 2'!$M$5&lt;&gt;"", 'Field information 2'!$O$5&lt;&gt;"", 'Field information 2'!$Q$5&lt;&gt;""),
   IF(AND(Calc!BD154=0,Calc!BE154=0),
     IF('Waste results'!$S$30&lt;&gt;"data missing", Calc!BC154*'Waste results'!$S$30, "data missing"),
   IF(AND(Calc!BC154=0,Calc!BE154=0),
     IF('Waste results'!$S$66&lt;&gt;"data missing", Calc!BD154*'Waste results'!$S$66, "data missing"),
   IF(AND(Calc!BC154=0,Calc!BD154=0),
     IF('Waste results'!$S$102&lt;&gt;"data missing", Calc!BE154*'Waste results'!$S$102, "data missing"),
   IF(Calc!BE154=0,
     IF(OR('Waste results'!$S$30&lt;&gt;"data missing", 'Waste results'!$S$66&lt;&gt;"data missing"), Calc!BC154*'Waste results'!$S$30+ Calc!BD154*'Waste results'!$S$66, "data missing"),
   IF(Calc!BD154=0,
     IF(OR('Waste results'!$S$30&lt;&gt;"data missing", 'Waste results'!$S$102&lt;&gt;"data missing"), Calc!BC154*'Waste results'!$S$30+ Calc!BE154*'Waste results'!$S$102, "data missing"),
   IF(Calc!BC154=0,
     IF(OR('Waste results'!$S$66&lt;&gt;"data missing", 'Waste results'!$S$102&lt;&gt;"data missing"), Calc!BD154*'Waste results'!$S$66+Calc!BE154*'Waste results'!$S$102, "data missing"),
   IF(OR('Waste results'!$S$30&lt;&gt;"data missing", 'Waste results'!$S$66&lt;&gt;"data missing", 'Waste results'!$S$102&lt;&gt;"data missing"), Calc!BC154*'Waste results'!$S$30+Calc!BD154*'Waste results'!$S$66+ Calc!BE154*'Waste results'!$S$102, "data missing")))))))))))</f>
        <v/>
      </c>
      <c r="BL156" s="241" t="str">
        <f ca="1">IF($B156="","",
IF(ISBLANK('Soil results'!P159),"data missing",'Soil results'!P159))</f>
        <v/>
      </c>
      <c r="BM156" s="241" t="str">
        <f t="shared" ca="1" si="48"/>
        <v/>
      </c>
      <c r="BN156" s="66" t="str">
        <f t="shared" ca="1" si="49"/>
        <v/>
      </c>
      <c r="BO156" s="9"/>
      <c r="BP156" s="238" t="str">
        <f ca="1">IF(B156="","",
IF(AND('Field information 2'!$O$5="", 'Field information 2'!$Q$5=""),
   IF('Waste results'!$S$31&lt;&gt;"data missing", Calc!BC154*'Waste results'!$S$31, "data missing"),
IF('Field information 2'!$Q$5="",
   IF(Calc!BD154=0,
     IF('Waste results'!$S$31&lt;&gt;"data missing", Calc!BC154*'Waste results'!$S$31, "data missing"),
   IF(Calc!BC154=0,
     IF('Waste results'!$S$67&lt;&gt;"data missing", Calc!BD154*'Waste results'!$S$67, "data missing"),
   IF(OR('Waste results'!$S$31&lt;&gt;"data missing", 'Waste results'!$S$67&lt;&gt;"data missing"), Calc!BC154*'Waste results'!$S$31+ Calc!BD154*'Waste results'!$S$67, "data missing"))),
IF(AND('Field information 2'!$M$5&lt;&gt;"", 'Field information 2'!$O$5&lt;&gt;"", 'Field information 2'!$Q$5&lt;&gt;""),
   IF(AND(Calc!BD154=0,Calc!BE154=0),
     IF('Waste results'!$S$31&lt;&gt;"data missing", Calc!BC154*'Waste results'!$S$31, "data missing"),
   IF(AND(Calc!BC154=0,Calc!BE154=0),
     IF('Waste results'!$S$67&lt;&gt;"data missing", Calc!BD154*'Waste results'!$S$67, "data missing"),
   IF(AND(Calc!BC154=0,Calc!BD154=0),
     IF('Waste results'!$S$103&lt;&gt;"data missing", Calc!BE154*'Waste results'!$S$103, "data missing"),
   IF(Calc!BE154=0,
     IF(OR('Waste results'!$S$31&lt;&gt;"data missing", 'Waste results'!$S$67&lt;&gt;"data missing"), Calc!BC154*'Waste results'!$S$31+ Calc!BD154*'Waste results'!$S$67, "data missing"),
   IF(Calc!BD154=0,
     IF(OR('Waste results'!$S$31&lt;&gt;"data missing", 'Waste results'!$S$103&lt;&gt;"data missing"), Calc!BC154*'Waste results'!$S$31+ Calc!BE154*'Waste results'!$S$103, "data missing"),
   IF(Calc!BC154=0,
     IF(OR('Waste results'!$S$67&lt;&gt;"data missing", 'Waste results'!$S$103&lt;&gt;"data missing"), Calc!BD154*'Waste results'!$S$67+Calc!BE154*'Waste results'!$S$103, "data missing"),
   IF(OR('Waste results'!$S$31&lt;&gt;"data missing", 'Waste results'!$S$67&lt;&gt;"data missing", 'Waste results'!$S$103&lt;&gt;"data missing"), Calc!BC154*'Waste results'!$S$31+Calc!BD154*'Waste results'!$S$67+ Calc!BE154*'Waste results'!$S$103, "data missing")))))))))))</f>
        <v/>
      </c>
      <c r="BQ156" s="239" t="str">
        <f ca="1">IF($B156="","",
IF(ISBLANK('Soil results'!Q159),"data missing",'Soil results'!Q159))</f>
        <v/>
      </c>
      <c r="BR156" s="239" t="str">
        <f t="shared" ca="1" si="50"/>
        <v/>
      </c>
      <c r="BS156" s="9" t="str">
        <f ca="1">IF(B156="","",
IF(BP156=0,"n/a",
IF(OR(BP156="data missing",BQ156=""),"data missing",
IF(BP156&gt;15,"application rate too high - permissible rate exceeds limit",
IF('Soil results'!F159&lt;=5.5,
  IF(BQ156&gt;200,"no application - soil conc. already above limit",
  IF(BR156&gt;200,"application rate too high - soil conc. will exceed limit",
  IF(BQ156&gt;200*0.9,"soil conc. is at or above 90% of the limit",
  IF(10*BP156*1000/3000+BQ156&gt;200,"soil limit likely to be exceeded in 10yrs",
  IF(50*BP156*1000/3000+BQ156&gt;200,"soil limit likely to be exceeded in 50yrs","ok"))))),
IF('Soil results'!F159&lt;=6,
  IF(BQ156&gt;250,"no application - soil conc. already above limit",
  IF(BR156&gt;250,"application rate too high - soil conc. will exceed limit",
  IF(BQ156&gt;250*0.9,"soil conc. is at or above 90% of the limit",
  IF(10*BP156*1000/3000+BQ156&gt;250,"soil limit likely to be exceeded in 10yrs",
  IF(50*BP156*1000/3000+BQ156&gt;250,"soil limit likely to be exceeded in 50yrs","ok"))))),
IF('Soil results'!F159&lt;=7,
  IF(BQ156&gt;300,"no application - soil conc. already above limit",
  IF(BR156&gt;300,"application rate too high - soil conc. will exceed limit",
  IF(BQ156&gt;300*0.9,"soil conc. is at or above 90% of the limit",
  IF(10*BP156*1000/3000+BQ156&gt;300,"soil limit likey to be exceeded in 10yrs",
  IF(50*BP156*1000/3000+BQ156&gt;300,"soil limit likely to be exceeded in 50yrs","ok"))))),
IF('Soil results'!F159&gt;7,
  IF(BQ156&gt;450,"no application - soil conc. already above limit",
  IF(BR156&gt;450,"application rate too high - soil conc. will exceed limit",
  IF(AW156&gt;450*0.9,"soil conc. is at or above 90% of the limit",
  IF(10*BP156*1000/3000+BQ156&gt;450,"soil limit likely to be exceeded in 10yrs",
  IF(50*BP156*1000/3000+BQ156&gt;450,"soil limit likely to be exceeded in 50yrs","ok")))))
))))))))</f>
        <v/>
      </c>
    </row>
    <row r="157" spans="2:71" ht="15" x14ac:dyDescent="0.25">
      <c r="B157" s="9"/>
      <c r="C157" s="91"/>
      <c r="D157" s="161"/>
      <c r="E157" s="91"/>
      <c r="F157" s="9"/>
      <c r="G157" s="9"/>
      <c r="H157" s="91"/>
      <c r="I157" s="195"/>
      <c r="J157" s="49"/>
      <c r="K157" s="161"/>
      <c r="L157" s="47"/>
      <c r="M157" s="9"/>
      <c r="N157" s="9"/>
      <c r="O157" s="91"/>
      <c r="P157" s="91"/>
      <c r="Q157" s="91"/>
      <c r="R157" s="9"/>
      <c r="S157" s="9"/>
      <c r="T157" s="91"/>
      <c r="U157" s="7"/>
      <c r="V157" s="91"/>
      <c r="W157" s="9"/>
      <c r="X157" s="9"/>
      <c r="Y157" s="91"/>
      <c r="Z157" s="7"/>
      <c r="AA157" s="91"/>
      <c r="AB157" s="9"/>
      <c r="AC157" s="9"/>
      <c r="AD157" s="48"/>
      <c r="AE157" s="49"/>
      <c r="AF157" s="91"/>
      <c r="AG157" s="9"/>
      <c r="AH157" s="9"/>
      <c r="AI157" s="91"/>
      <c r="AJ157" s="237"/>
      <c r="AK157" s="9"/>
      <c r="AL157" s="238"/>
      <c r="AM157" s="239"/>
      <c r="AN157" s="239"/>
      <c r="AO157" s="9"/>
      <c r="AP157" s="9"/>
      <c r="AQ157" s="240"/>
      <c r="AR157" s="241"/>
      <c r="AS157" s="241"/>
      <c r="AT157" s="66"/>
      <c r="AU157" s="9"/>
      <c r="AV157" s="238"/>
      <c r="AW157" s="239"/>
      <c r="AX157" s="239"/>
      <c r="AY157" s="9"/>
      <c r="AZ157" s="9"/>
      <c r="BA157" s="238"/>
      <c r="BB157" s="239"/>
      <c r="BC157" s="239"/>
      <c r="BD157" s="9"/>
      <c r="BE157" s="9"/>
      <c r="BF157" s="238"/>
      <c r="BG157" s="239"/>
      <c r="BH157" s="239"/>
      <c r="BI157" s="9"/>
      <c r="BJ157" s="9"/>
      <c r="BK157" s="240"/>
      <c r="BL157" s="241"/>
      <c r="BM157" s="241"/>
      <c r="BN157" s="66"/>
      <c r="BO157" s="9"/>
      <c r="BP157" s="238"/>
      <c r="BQ157" s="239"/>
      <c r="BR157" s="239"/>
      <c r="BS157" s="9"/>
    </row>
    <row r="158" spans="2:71" ht="15" x14ac:dyDescent="0.25">
      <c r="B158" s="9"/>
      <c r="C158" s="91"/>
      <c r="D158" s="161"/>
      <c r="E158" s="91"/>
      <c r="F158" s="9"/>
      <c r="G158" s="9"/>
      <c r="H158" s="91"/>
      <c r="I158" s="195"/>
      <c r="J158" s="49"/>
      <c r="K158" s="161"/>
      <c r="L158" s="47"/>
      <c r="M158" s="9"/>
      <c r="N158" s="9"/>
      <c r="O158" s="91"/>
      <c r="P158" s="91"/>
      <c r="Q158" s="91"/>
      <c r="R158" s="9"/>
      <c r="S158" s="9"/>
      <c r="T158" s="91"/>
      <c r="U158" s="7"/>
      <c r="V158" s="91"/>
      <c r="W158" s="9"/>
      <c r="X158" s="9"/>
      <c r="Y158" s="91"/>
      <c r="Z158" s="7"/>
      <c r="AA158" s="91"/>
      <c r="AB158" s="9"/>
      <c r="AC158" s="9"/>
      <c r="AD158" s="48"/>
      <c r="AE158" s="49"/>
      <c r="AF158" s="91"/>
      <c r="AG158" s="9"/>
      <c r="AH158" s="9"/>
      <c r="AI158" s="91"/>
      <c r="AJ158" s="237"/>
      <c r="AK158" s="9"/>
      <c r="AL158" s="238"/>
      <c r="AM158" s="239"/>
      <c r="AN158" s="239"/>
      <c r="AO158" s="9"/>
      <c r="AP158" s="9"/>
      <c r="AQ158" s="240"/>
      <c r="AR158" s="241"/>
      <c r="AS158" s="241"/>
      <c r="AT158" s="66"/>
      <c r="AU158" s="9"/>
      <c r="AV158" s="238"/>
      <c r="AW158" s="239"/>
      <c r="AX158" s="239"/>
      <c r="AY158" s="9"/>
      <c r="AZ158" s="9"/>
      <c r="BA158" s="238"/>
      <c r="BB158" s="239"/>
      <c r="BC158" s="239"/>
      <c r="BD158" s="9"/>
      <c r="BE158" s="9"/>
      <c r="BF158" s="238"/>
      <c r="BG158" s="239"/>
      <c r="BH158" s="239"/>
      <c r="BI158" s="9"/>
      <c r="BJ158" s="9"/>
      <c r="BK158" s="240"/>
      <c r="BL158" s="241"/>
      <c r="BM158" s="241"/>
      <c r="BN158" s="66"/>
      <c r="BO158" s="9"/>
      <c r="BP158" s="238"/>
      <c r="BQ158" s="239"/>
      <c r="BR158" s="239"/>
      <c r="BS158" s="9"/>
    </row>
    <row r="159" spans="2:71" ht="15" x14ac:dyDescent="0.25">
      <c r="B159" s="9"/>
      <c r="C159" s="91"/>
      <c r="D159" s="161"/>
      <c r="E159" s="91"/>
      <c r="F159" s="9"/>
      <c r="G159" s="9"/>
      <c r="H159" s="91"/>
      <c r="I159" s="195"/>
      <c r="J159" s="49"/>
      <c r="K159" s="161"/>
      <c r="L159" s="47"/>
      <c r="M159" s="9"/>
      <c r="N159" s="9"/>
      <c r="O159" s="91"/>
      <c r="P159" s="91"/>
      <c r="Q159" s="91"/>
      <c r="R159" s="9"/>
      <c r="S159" s="9"/>
      <c r="T159" s="91"/>
      <c r="U159" s="7"/>
      <c r="V159" s="91"/>
      <c r="W159" s="9"/>
      <c r="X159" s="9"/>
      <c r="Y159" s="91"/>
      <c r="Z159" s="7"/>
      <c r="AA159" s="91"/>
      <c r="AB159" s="9"/>
      <c r="AC159" s="9"/>
      <c r="AD159" s="48"/>
      <c r="AE159" s="49"/>
      <c r="AF159" s="91"/>
      <c r="AG159" s="9"/>
      <c r="AH159" s="9"/>
      <c r="AI159" s="91"/>
      <c r="AJ159" s="237"/>
      <c r="AK159" s="9"/>
      <c r="AL159" s="238"/>
      <c r="AM159" s="239"/>
      <c r="AN159" s="239"/>
      <c r="AO159" s="9"/>
      <c r="AP159" s="9"/>
      <c r="AQ159" s="240"/>
      <c r="AR159" s="241"/>
      <c r="AS159" s="241"/>
      <c r="AT159" s="66"/>
      <c r="AU159" s="9"/>
      <c r="AV159" s="238"/>
      <c r="AW159" s="239"/>
      <c r="AX159" s="239"/>
      <c r="AY159" s="9"/>
      <c r="AZ159" s="9"/>
      <c r="BA159" s="238"/>
      <c r="BB159" s="239"/>
      <c r="BC159" s="239"/>
      <c r="BD159" s="9"/>
      <c r="BE159" s="9"/>
      <c r="BF159" s="238"/>
      <c r="BG159" s="239"/>
      <c r="BH159" s="239"/>
      <c r="BI159" s="9"/>
      <c r="BJ159" s="9"/>
      <c r="BK159" s="240"/>
      <c r="BL159" s="241"/>
      <c r="BM159" s="241"/>
      <c r="BN159" s="66"/>
      <c r="BO159" s="9"/>
      <c r="BP159" s="238"/>
      <c r="BQ159" s="239"/>
      <c r="BR159" s="239"/>
      <c r="BS159" s="9"/>
    </row>
    <row r="160" spans="2:71" ht="15" x14ac:dyDescent="0.25">
      <c r="B160" s="9"/>
      <c r="C160" s="91"/>
      <c r="D160" s="161"/>
      <c r="E160" s="91"/>
      <c r="F160" s="9"/>
      <c r="G160" s="9"/>
      <c r="H160" s="91"/>
      <c r="I160" s="195"/>
      <c r="J160" s="49"/>
      <c r="K160" s="161"/>
      <c r="L160" s="47"/>
      <c r="M160" s="9"/>
      <c r="N160" s="9"/>
      <c r="O160" s="91"/>
      <c r="P160" s="91"/>
      <c r="Q160" s="91"/>
      <c r="R160" s="9"/>
      <c r="S160" s="9"/>
      <c r="T160" s="91"/>
      <c r="U160" s="7"/>
      <c r="V160" s="91"/>
      <c r="W160" s="9"/>
      <c r="X160" s="9"/>
      <c r="Y160" s="91"/>
      <c r="Z160" s="7"/>
      <c r="AA160" s="91"/>
      <c r="AB160" s="9"/>
      <c r="AC160" s="9"/>
      <c r="AD160" s="48"/>
      <c r="AE160" s="49"/>
      <c r="AF160" s="91"/>
      <c r="AG160" s="9"/>
      <c r="AH160" s="9"/>
      <c r="AI160" s="91"/>
      <c r="AJ160" s="237"/>
      <c r="AK160" s="9"/>
      <c r="AL160" s="238"/>
      <c r="AM160" s="239"/>
      <c r="AN160" s="239"/>
      <c r="AO160" s="9"/>
      <c r="AP160" s="9"/>
      <c r="AQ160" s="240"/>
      <c r="AR160" s="241"/>
      <c r="AS160" s="241"/>
      <c r="AT160" s="66"/>
      <c r="AU160" s="9"/>
      <c r="AV160" s="238"/>
      <c r="AW160" s="239"/>
      <c r="AX160" s="239"/>
      <c r="AY160" s="9"/>
      <c r="AZ160" s="9"/>
      <c r="BA160" s="238"/>
      <c r="BB160" s="239"/>
      <c r="BC160" s="239"/>
      <c r="BD160" s="9"/>
      <c r="BE160" s="9"/>
      <c r="BF160" s="238"/>
      <c r="BG160" s="239"/>
      <c r="BH160" s="239"/>
      <c r="BI160" s="9"/>
      <c r="BJ160" s="9"/>
      <c r="BK160" s="240"/>
      <c r="BL160" s="241"/>
      <c r="BM160" s="241"/>
      <c r="BN160" s="66"/>
      <c r="BO160" s="9"/>
      <c r="BP160" s="238"/>
      <c r="BQ160" s="239"/>
      <c r="BR160" s="239"/>
      <c r="BS160" s="9"/>
    </row>
    <row r="161" spans="2:71" ht="15" x14ac:dyDescent="0.25">
      <c r="B161" s="9"/>
      <c r="C161" s="91"/>
      <c r="D161" s="161"/>
      <c r="E161" s="91"/>
      <c r="F161" s="9"/>
      <c r="G161" s="9"/>
      <c r="H161" s="91"/>
      <c r="I161" s="195"/>
      <c r="J161" s="49"/>
      <c r="K161" s="161"/>
      <c r="L161" s="47"/>
      <c r="M161" s="9"/>
      <c r="N161" s="9"/>
      <c r="O161" s="91"/>
      <c r="P161" s="91"/>
      <c r="Q161" s="91"/>
      <c r="R161" s="9"/>
      <c r="S161" s="9"/>
      <c r="T161" s="91"/>
      <c r="U161" s="7"/>
      <c r="V161" s="91"/>
      <c r="W161" s="9"/>
      <c r="X161" s="9"/>
      <c r="Y161" s="91"/>
      <c r="Z161" s="7"/>
      <c r="AA161" s="91"/>
      <c r="AB161" s="9"/>
      <c r="AC161" s="9"/>
      <c r="AD161" s="48"/>
      <c r="AE161" s="49"/>
      <c r="AF161" s="91"/>
      <c r="AG161" s="9"/>
      <c r="AH161" s="9"/>
      <c r="AI161" s="91"/>
      <c r="AJ161" s="237"/>
      <c r="AK161" s="9"/>
      <c r="AL161" s="238"/>
      <c r="AM161" s="239"/>
      <c r="AN161" s="239"/>
      <c r="AO161" s="9"/>
      <c r="AP161" s="9"/>
      <c r="AQ161" s="240"/>
      <c r="AR161" s="241"/>
      <c r="AS161" s="241"/>
      <c r="AT161" s="66"/>
      <c r="AU161" s="9"/>
      <c r="AV161" s="238"/>
      <c r="AW161" s="239"/>
      <c r="AX161" s="239"/>
      <c r="AY161" s="9"/>
      <c r="AZ161" s="9"/>
      <c r="BA161" s="238"/>
      <c r="BB161" s="239"/>
      <c r="BC161" s="239"/>
      <c r="BD161" s="9"/>
      <c r="BE161" s="9"/>
      <c r="BF161" s="238"/>
      <c r="BG161" s="239"/>
      <c r="BH161" s="239"/>
      <c r="BI161" s="9"/>
      <c r="BJ161" s="9"/>
      <c r="BK161" s="240"/>
      <c r="BL161" s="241"/>
      <c r="BM161" s="241"/>
      <c r="BN161" s="66"/>
      <c r="BO161" s="9"/>
      <c r="BP161" s="238"/>
      <c r="BQ161" s="239"/>
      <c r="BR161" s="239"/>
      <c r="BS161" s="9"/>
    </row>
    <row r="162" spans="2:71" ht="15" x14ac:dyDescent="0.25">
      <c r="B162" s="9"/>
      <c r="C162" s="91"/>
      <c r="D162" s="161"/>
      <c r="E162" s="91"/>
      <c r="F162" s="9"/>
      <c r="G162" s="9"/>
      <c r="H162" s="91"/>
      <c r="I162" s="195"/>
      <c r="J162" s="49"/>
      <c r="K162" s="161"/>
      <c r="L162" s="47"/>
      <c r="M162" s="9"/>
      <c r="N162" s="9"/>
      <c r="O162" s="91"/>
      <c r="P162" s="91"/>
      <c r="Q162" s="91"/>
      <c r="R162" s="9"/>
      <c r="S162" s="9"/>
      <c r="T162" s="91"/>
      <c r="U162" s="7"/>
      <c r="V162" s="91"/>
      <c r="W162" s="9"/>
      <c r="X162" s="9"/>
      <c r="Y162" s="91"/>
      <c r="Z162" s="7"/>
      <c r="AA162" s="91"/>
      <c r="AB162" s="9"/>
      <c r="AC162" s="9"/>
      <c r="AD162" s="48"/>
      <c r="AE162" s="49"/>
      <c r="AF162" s="91"/>
      <c r="AG162" s="9"/>
      <c r="AH162" s="9"/>
      <c r="AI162" s="91"/>
      <c r="AJ162" s="237"/>
      <c r="AK162" s="9"/>
      <c r="AL162" s="238"/>
      <c r="AM162" s="239"/>
      <c r="AN162" s="239"/>
      <c r="AO162" s="9"/>
      <c r="AP162" s="9"/>
      <c r="AQ162" s="240"/>
      <c r="AR162" s="241"/>
      <c r="AS162" s="241"/>
      <c r="AT162" s="66"/>
      <c r="AU162" s="9"/>
      <c r="AV162" s="238"/>
      <c r="AW162" s="239"/>
      <c r="AX162" s="239"/>
      <c r="AY162" s="9"/>
      <c r="AZ162" s="9"/>
      <c r="BA162" s="238"/>
      <c r="BB162" s="239"/>
      <c r="BC162" s="239"/>
      <c r="BD162" s="9"/>
      <c r="BE162" s="9"/>
      <c r="BF162" s="238"/>
      <c r="BG162" s="239"/>
      <c r="BH162" s="239"/>
      <c r="BI162" s="9"/>
      <c r="BJ162" s="9"/>
      <c r="BK162" s="240"/>
      <c r="BL162" s="241"/>
      <c r="BM162" s="241"/>
      <c r="BN162" s="66"/>
      <c r="BO162" s="9"/>
      <c r="BP162" s="238"/>
      <c r="BQ162" s="239"/>
      <c r="BR162" s="239"/>
      <c r="BS162" s="9"/>
    </row>
    <row r="163" spans="2:71" ht="15" x14ac:dyDescent="0.25">
      <c r="B163" s="9"/>
      <c r="C163" s="91"/>
      <c r="D163" s="161"/>
      <c r="E163" s="91"/>
      <c r="F163" s="9"/>
      <c r="G163" s="9"/>
      <c r="H163" s="91"/>
      <c r="I163" s="195"/>
      <c r="J163" s="49"/>
      <c r="K163" s="161"/>
      <c r="L163" s="47"/>
      <c r="M163" s="9"/>
      <c r="N163" s="9"/>
      <c r="O163" s="91"/>
      <c r="P163" s="91"/>
      <c r="Q163" s="91"/>
      <c r="R163" s="9"/>
      <c r="S163" s="9"/>
      <c r="T163" s="91"/>
      <c r="U163" s="7"/>
      <c r="V163" s="91"/>
      <c r="W163" s="9"/>
      <c r="X163" s="9"/>
      <c r="Y163" s="91"/>
      <c r="Z163" s="7"/>
      <c r="AA163" s="91"/>
      <c r="AB163" s="9"/>
      <c r="AC163" s="9"/>
      <c r="AD163" s="48"/>
      <c r="AE163" s="49"/>
      <c r="AF163" s="91"/>
      <c r="AG163" s="9"/>
      <c r="AH163" s="9"/>
      <c r="AI163" s="91"/>
      <c r="AJ163" s="237"/>
      <c r="AK163" s="9"/>
      <c r="AL163" s="238"/>
      <c r="AM163" s="239"/>
      <c r="AN163" s="239"/>
      <c r="AO163" s="9"/>
      <c r="AP163" s="9"/>
      <c r="AQ163" s="240"/>
      <c r="AR163" s="241"/>
      <c r="AS163" s="241"/>
      <c r="AT163" s="66"/>
      <c r="AU163" s="9"/>
      <c r="AV163" s="238"/>
      <c r="AW163" s="239"/>
      <c r="AX163" s="239"/>
      <c r="AY163" s="9"/>
      <c r="AZ163" s="9"/>
      <c r="BA163" s="238"/>
      <c r="BB163" s="239"/>
      <c r="BC163" s="239"/>
      <c r="BD163" s="9"/>
      <c r="BE163" s="9"/>
      <c r="BF163" s="238"/>
      <c r="BG163" s="239"/>
      <c r="BH163" s="239"/>
      <c r="BI163" s="9"/>
      <c r="BJ163" s="9"/>
      <c r="BK163" s="240"/>
      <c r="BL163" s="241"/>
      <c r="BM163" s="241"/>
      <c r="BN163" s="66"/>
      <c r="BO163" s="9"/>
      <c r="BP163" s="238"/>
      <c r="BQ163" s="239"/>
      <c r="BR163" s="239"/>
      <c r="BS163" s="9"/>
    </row>
    <row r="164" spans="2:71" ht="15" x14ac:dyDescent="0.25">
      <c r="B164" s="9"/>
      <c r="C164" s="91"/>
      <c r="D164" s="161"/>
      <c r="E164" s="91"/>
      <c r="F164" s="9"/>
      <c r="G164" s="9"/>
      <c r="H164" s="91"/>
      <c r="I164" s="195"/>
      <c r="J164" s="49"/>
      <c r="K164" s="161"/>
      <c r="L164" s="47"/>
      <c r="M164" s="9"/>
      <c r="N164" s="9"/>
      <c r="O164" s="91"/>
      <c r="P164" s="91"/>
      <c r="Q164" s="91"/>
      <c r="R164" s="9"/>
      <c r="S164" s="9"/>
      <c r="T164" s="91"/>
      <c r="U164" s="7"/>
      <c r="V164" s="91"/>
      <c r="W164" s="9"/>
      <c r="X164" s="9"/>
      <c r="Y164" s="91"/>
      <c r="Z164" s="7"/>
      <c r="AA164" s="91"/>
      <c r="AB164" s="9"/>
      <c r="AC164" s="9"/>
      <c r="AD164" s="48"/>
      <c r="AE164" s="49"/>
      <c r="AF164" s="91"/>
      <c r="AG164" s="9"/>
      <c r="AH164" s="9"/>
      <c r="AI164" s="91"/>
      <c r="AJ164" s="237"/>
      <c r="AK164" s="9"/>
      <c r="AL164" s="238"/>
      <c r="AM164" s="239"/>
      <c r="AN164" s="239"/>
      <c r="AO164" s="9"/>
      <c r="AP164" s="9"/>
      <c r="AQ164" s="240"/>
      <c r="AR164" s="241"/>
      <c r="AS164" s="241"/>
      <c r="AT164" s="66"/>
      <c r="AU164" s="9"/>
      <c r="AV164" s="238"/>
      <c r="AW164" s="239"/>
      <c r="AX164" s="239"/>
      <c r="AY164" s="9"/>
      <c r="AZ164" s="9"/>
      <c r="BA164" s="238"/>
      <c r="BB164" s="239"/>
      <c r="BC164" s="239"/>
      <c r="BD164" s="9"/>
      <c r="BE164" s="9"/>
      <c r="BF164" s="238"/>
      <c r="BG164" s="239"/>
      <c r="BH164" s="239"/>
      <c r="BI164" s="9"/>
      <c r="BJ164" s="9"/>
      <c r="BK164" s="240"/>
      <c r="BL164" s="241"/>
      <c r="BM164" s="241"/>
      <c r="BN164" s="66"/>
      <c r="BO164" s="9"/>
      <c r="BP164" s="238"/>
      <c r="BQ164" s="239"/>
      <c r="BR164" s="239"/>
      <c r="BS164" s="9"/>
    </row>
    <row r="165" spans="2:71" ht="15" x14ac:dyDescent="0.25">
      <c r="B165" s="9"/>
      <c r="C165" s="91"/>
      <c r="D165" s="161"/>
      <c r="E165" s="91"/>
      <c r="F165" s="9"/>
      <c r="G165" s="9"/>
      <c r="H165" s="91"/>
      <c r="I165" s="195"/>
      <c r="J165" s="49"/>
      <c r="K165" s="161"/>
      <c r="L165" s="47"/>
      <c r="M165" s="9"/>
      <c r="N165" s="9"/>
      <c r="O165" s="91"/>
      <c r="P165" s="91"/>
      <c r="Q165" s="91"/>
      <c r="R165" s="9"/>
      <c r="S165" s="9"/>
      <c r="T165" s="91"/>
      <c r="U165" s="7"/>
      <c r="V165" s="91"/>
      <c r="W165" s="9"/>
      <c r="X165" s="9"/>
      <c r="Y165" s="91"/>
      <c r="Z165" s="7"/>
      <c r="AA165" s="91"/>
      <c r="AB165" s="9"/>
      <c r="AC165" s="9"/>
      <c r="AD165" s="48"/>
      <c r="AE165" s="49"/>
      <c r="AF165" s="91"/>
      <c r="AG165" s="9"/>
      <c r="AH165" s="9"/>
      <c r="AI165" s="91"/>
      <c r="AJ165" s="237"/>
      <c r="AK165" s="9"/>
      <c r="AL165" s="238"/>
      <c r="AM165" s="239"/>
      <c r="AN165" s="239"/>
      <c r="AO165" s="9"/>
      <c r="AP165" s="9"/>
      <c r="AQ165" s="240"/>
      <c r="AR165" s="241"/>
      <c r="AS165" s="241"/>
      <c r="AT165" s="66"/>
      <c r="AU165" s="9"/>
      <c r="AV165" s="238"/>
      <c r="AW165" s="239"/>
      <c r="AX165" s="239"/>
      <c r="AY165" s="9"/>
      <c r="AZ165" s="9"/>
      <c r="BA165" s="238"/>
      <c r="BB165" s="239"/>
      <c r="BC165" s="239"/>
      <c r="BD165" s="9"/>
      <c r="BE165" s="9"/>
      <c r="BF165" s="238"/>
      <c r="BG165" s="239"/>
      <c r="BH165" s="239"/>
      <c r="BI165" s="9"/>
      <c r="BJ165" s="9"/>
      <c r="BK165" s="240"/>
      <c r="BL165" s="241"/>
      <c r="BM165" s="241"/>
      <c r="BN165" s="66"/>
      <c r="BO165" s="9"/>
      <c r="BP165" s="238"/>
      <c r="BQ165" s="239"/>
      <c r="BR165" s="239"/>
      <c r="BS165" s="9"/>
    </row>
    <row r="166" spans="2:71" ht="15" x14ac:dyDescent="0.25">
      <c r="B166" s="9"/>
      <c r="C166" s="91"/>
      <c r="D166" s="161"/>
      <c r="E166" s="91"/>
      <c r="F166" s="9"/>
      <c r="G166" s="9"/>
      <c r="H166" s="91"/>
      <c r="I166" s="195"/>
      <c r="J166" s="49"/>
      <c r="K166" s="161"/>
      <c r="L166" s="47"/>
      <c r="M166" s="9"/>
      <c r="N166" s="9"/>
      <c r="O166" s="91"/>
      <c r="P166" s="91"/>
      <c r="Q166" s="91"/>
      <c r="R166" s="9"/>
      <c r="S166" s="9"/>
      <c r="T166" s="91"/>
      <c r="U166" s="7"/>
      <c r="V166" s="91"/>
      <c r="W166" s="9"/>
      <c r="X166" s="9"/>
      <c r="Y166" s="91"/>
      <c r="Z166" s="7"/>
      <c r="AA166" s="91"/>
      <c r="AB166" s="9"/>
      <c r="AC166" s="9"/>
      <c r="AD166" s="48"/>
      <c r="AE166" s="49"/>
      <c r="AF166" s="91"/>
      <c r="AG166" s="9"/>
      <c r="AH166" s="9"/>
      <c r="AI166" s="91"/>
      <c r="AJ166" s="237"/>
      <c r="AK166" s="9"/>
      <c r="AL166" s="238"/>
      <c r="AM166" s="239"/>
      <c r="AN166" s="239"/>
      <c r="AO166" s="9"/>
      <c r="AP166" s="9"/>
      <c r="AQ166" s="240"/>
      <c r="AR166" s="241"/>
      <c r="AS166" s="241"/>
      <c r="AT166" s="66"/>
      <c r="AU166" s="9"/>
      <c r="AV166" s="238"/>
      <c r="AW166" s="239"/>
      <c r="AX166" s="239"/>
      <c r="AY166" s="9"/>
      <c r="AZ166" s="9"/>
      <c r="BA166" s="238"/>
      <c r="BB166" s="239"/>
      <c r="BC166" s="239"/>
      <c r="BD166" s="9"/>
      <c r="BE166" s="9"/>
      <c r="BF166" s="238"/>
      <c r="BG166" s="239"/>
      <c r="BH166" s="239"/>
      <c r="BI166" s="9"/>
      <c r="BJ166" s="9"/>
      <c r="BK166" s="240"/>
      <c r="BL166" s="241"/>
      <c r="BM166" s="241"/>
      <c r="BN166" s="66"/>
      <c r="BO166" s="9"/>
      <c r="BP166" s="238"/>
      <c r="BQ166" s="239"/>
      <c r="BR166" s="239"/>
      <c r="BS166" s="9"/>
    </row>
    <row r="167" spans="2:71" ht="15" x14ac:dyDescent="0.25">
      <c r="B167" s="9"/>
      <c r="C167" s="91"/>
      <c r="D167" s="161"/>
      <c r="E167" s="91"/>
      <c r="F167" s="9"/>
      <c r="G167" s="9"/>
      <c r="H167" s="91"/>
      <c r="I167" s="195"/>
      <c r="J167" s="49"/>
      <c r="K167" s="161"/>
      <c r="L167" s="47"/>
      <c r="M167" s="9"/>
      <c r="N167" s="9"/>
      <c r="O167" s="91"/>
      <c r="P167" s="91"/>
      <c r="Q167" s="91"/>
      <c r="R167" s="9"/>
      <c r="S167" s="9"/>
      <c r="T167" s="91"/>
      <c r="U167" s="7"/>
      <c r="V167" s="91"/>
      <c r="W167" s="9"/>
      <c r="X167" s="9"/>
      <c r="Y167" s="91"/>
      <c r="Z167" s="7"/>
      <c r="AA167" s="91"/>
      <c r="AB167" s="9"/>
      <c r="AC167" s="9"/>
      <c r="AD167" s="48"/>
      <c r="AE167" s="49"/>
      <c r="AF167" s="91"/>
      <c r="AG167" s="9"/>
      <c r="AH167" s="9"/>
      <c r="AI167" s="91"/>
      <c r="AJ167" s="237"/>
      <c r="AK167" s="9"/>
      <c r="AL167" s="238"/>
      <c r="AM167" s="239"/>
      <c r="AN167" s="239"/>
      <c r="AO167" s="9"/>
      <c r="AP167" s="9"/>
      <c r="AQ167" s="240"/>
      <c r="AR167" s="241"/>
      <c r="AS167" s="241"/>
      <c r="AT167" s="66"/>
      <c r="AU167" s="9"/>
      <c r="AV167" s="238"/>
      <c r="AW167" s="239"/>
      <c r="AX167" s="239"/>
      <c r="AY167" s="9"/>
      <c r="AZ167" s="9"/>
      <c r="BA167" s="238"/>
      <c r="BB167" s="239"/>
      <c r="BC167" s="239"/>
      <c r="BD167" s="9"/>
      <c r="BE167" s="9"/>
      <c r="BF167" s="238"/>
      <c r="BG167" s="239"/>
      <c r="BH167" s="239"/>
      <c r="BI167" s="9"/>
      <c r="BJ167" s="9"/>
      <c r="BK167" s="240"/>
      <c r="BL167" s="241"/>
      <c r="BM167" s="241"/>
      <c r="BN167" s="66"/>
      <c r="BO167" s="9"/>
      <c r="BP167" s="238"/>
      <c r="BQ167" s="239"/>
      <c r="BR167" s="239"/>
      <c r="BS167" s="9"/>
    </row>
    <row r="168" spans="2:71" ht="15" x14ac:dyDescent="0.25">
      <c r="B168" s="9"/>
      <c r="C168" s="91"/>
      <c r="D168" s="161"/>
      <c r="E168" s="91"/>
      <c r="F168" s="9"/>
      <c r="G168" s="9"/>
      <c r="H168" s="91"/>
      <c r="I168" s="195"/>
      <c r="J168" s="49"/>
      <c r="K168" s="161"/>
      <c r="L168" s="47"/>
      <c r="M168" s="9"/>
      <c r="N168" s="9"/>
      <c r="O168" s="91"/>
      <c r="P168" s="91"/>
      <c r="Q168" s="91"/>
      <c r="R168" s="9"/>
      <c r="S168" s="9"/>
      <c r="T168" s="91"/>
      <c r="U168" s="7"/>
      <c r="V168" s="91"/>
      <c r="W168" s="9"/>
      <c r="X168" s="9"/>
      <c r="Y168" s="91"/>
      <c r="Z168" s="7"/>
      <c r="AA168" s="91"/>
      <c r="AB168" s="9"/>
      <c r="AC168" s="9"/>
      <c r="AD168" s="48"/>
      <c r="AE168" s="49"/>
      <c r="AF168" s="91"/>
      <c r="AG168" s="9"/>
      <c r="AH168" s="9"/>
      <c r="AI168" s="91"/>
      <c r="AJ168" s="237"/>
      <c r="AK168" s="9"/>
      <c r="AL168" s="238"/>
      <c r="AM168" s="239"/>
      <c r="AN168" s="239"/>
      <c r="AO168" s="9"/>
      <c r="AP168" s="9"/>
      <c r="AQ168" s="240"/>
      <c r="AR168" s="241"/>
      <c r="AS168" s="241"/>
      <c r="AT168" s="66"/>
      <c r="AU168" s="9"/>
      <c r="AV168" s="238"/>
      <c r="AW168" s="239"/>
      <c r="AX168" s="239"/>
      <c r="AY168" s="9"/>
      <c r="AZ168" s="9"/>
      <c r="BA168" s="238"/>
      <c r="BB168" s="239"/>
      <c r="BC168" s="239"/>
      <c r="BD168" s="9"/>
      <c r="BE168" s="9"/>
      <c r="BF168" s="238"/>
      <c r="BG168" s="239"/>
      <c r="BH168" s="239"/>
      <c r="BI168" s="9"/>
      <c r="BJ168" s="9"/>
      <c r="BK168" s="240"/>
      <c r="BL168" s="241"/>
      <c r="BM168" s="241"/>
      <c r="BN168" s="66"/>
      <c r="BO168" s="9"/>
      <c r="BP168" s="238"/>
      <c r="BQ168" s="239"/>
      <c r="BR168" s="239"/>
      <c r="BS168" s="9"/>
    </row>
    <row r="169" spans="2:71" ht="15" x14ac:dyDescent="0.25">
      <c r="B169" s="9"/>
      <c r="C169" s="91"/>
      <c r="D169" s="161"/>
      <c r="E169" s="91"/>
      <c r="F169" s="9"/>
      <c r="G169" s="9"/>
      <c r="H169" s="91"/>
      <c r="I169" s="195"/>
      <c r="J169" s="49"/>
      <c r="K169" s="161"/>
      <c r="L169" s="47"/>
      <c r="M169" s="9"/>
      <c r="N169" s="9"/>
      <c r="O169" s="91"/>
      <c r="P169" s="91"/>
      <c r="Q169" s="91"/>
      <c r="R169" s="9"/>
      <c r="S169" s="9"/>
      <c r="T169" s="91"/>
      <c r="U169" s="7"/>
      <c r="V169" s="91"/>
      <c r="W169" s="9"/>
      <c r="X169" s="9"/>
      <c r="Y169" s="91"/>
      <c r="Z169" s="7"/>
      <c r="AA169" s="91"/>
      <c r="AB169" s="9"/>
      <c r="AC169" s="9"/>
      <c r="AD169" s="48"/>
      <c r="AE169" s="49"/>
      <c r="AF169" s="91"/>
      <c r="AG169" s="9"/>
      <c r="AH169" s="9"/>
      <c r="AI169" s="91"/>
      <c r="AJ169" s="237"/>
      <c r="AK169" s="9"/>
      <c r="AL169" s="238"/>
      <c r="AM169" s="239"/>
      <c r="AN169" s="239"/>
      <c r="AO169" s="9"/>
      <c r="AP169" s="9"/>
      <c r="AQ169" s="240"/>
      <c r="AR169" s="241"/>
      <c r="AS169" s="241"/>
      <c r="AT169" s="66"/>
      <c r="AU169" s="9"/>
      <c r="AV169" s="238"/>
      <c r="AW169" s="239"/>
      <c r="AX169" s="239"/>
      <c r="AY169" s="9"/>
      <c r="AZ169" s="9"/>
      <c r="BA169" s="238"/>
      <c r="BB169" s="239"/>
      <c r="BC169" s="239"/>
      <c r="BD169" s="9"/>
      <c r="BE169" s="9"/>
      <c r="BF169" s="238"/>
      <c r="BG169" s="239"/>
      <c r="BH169" s="239"/>
      <c r="BI169" s="9"/>
      <c r="BJ169" s="9"/>
      <c r="BK169" s="240"/>
      <c r="BL169" s="241"/>
      <c r="BM169" s="241"/>
      <c r="BN169" s="66"/>
      <c r="BO169" s="9"/>
      <c r="BP169" s="238"/>
      <c r="BQ169" s="239"/>
      <c r="BR169" s="239"/>
      <c r="BS169" s="9"/>
    </row>
    <row r="170" spans="2:71" ht="15" x14ac:dyDescent="0.25">
      <c r="B170" s="9"/>
      <c r="C170" s="91"/>
      <c r="D170" s="161"/>
      <c r="E170" s="91"/>
      <c r="F170" s="9"/>
      <c r="G170" s="9"/>
      <c r="H170" s="91"/>
      <c r="I170" s="195"/>
      <c r="J170" s="49"/>
      <c r="K170" s="161"/>
      <c r="L170" s="47"/>
      <c r="M170" s="9"/>
      <c r="N170" s="9"/>
      <c r="O170" s="91"/>
      <c r="P170" s="91"/>
      <c r="Q170" s="91"/>
      <c r="R170" s="9"/>
      <c r="S170" s="9"/>
      <c r="T170" s="91"/>
      <c r="U170" s="7"/>
      <c r="V170" s="91"/>
      <c r="W170" s="9"/>
      <c r="X170" s="9"/>
      <c r="Y170" s="91"/>
      <c r="Z170" s="7"/>
      <c r="AA170" s="91"/>
      <c r="AB170" s="9"/>
      <c r="AC170" s="9"/>
      <c r="AD170" s="48"/>
      <c r="AE170" s="49"/>
      <c r="AF170" s="91"/>
      <c r="AG170" s="9"/>
      <c r="AH170" s="9"/>
      <c r="AI170" s="91"/>
      <c r="AJ170" s="237"/>
      <c r="AK170" s="9"/>
      <c r="AL170" s="238"/>
      <c r="AM170" s="239"/>
      <c r="AN170" s="239"/>
      <c r="AO170" s="9"/>
      <c r="AP170" s="9"/>
      <c r="AQ170" s="240"/>
      <c r="AR170" s="241"/>
      <c r="AS170" s="241"/>
      <c r="AT170" s="66"/>
      <c r="AU170" s="9"/>
      <c r="AV170" s="238"/>
      <c r="AW170" s="239"/>
      <c r="AX170" s="239"/>
      <c r="AY170" s="9"/>
      <c r="AZ170" s="9"/>
      <c r="BA170" s="238"/>
      <c r="BB170" s="239"/>
      <c r="BC170" s="239"/>
      <c r="BD170" s="9"/>
      <c r="BE170" s="9"/>
      <c r="BF170" s="238"/>
      <c r="BG170" s="239"/>
      <c r="BH170" s="239"/>
      <c r="BI170" s="9"/>
      <c r="BJ170" s="9"/>
      <c r="BK170" s="240"/>
      <c r="BL170" s="241"/>
      <c r="BM170" s="241"/>
      <c r="BN170" s="66"/>
      <c r="BO170" s="9"/>
      <c r="BP170" s="238"/>
      <c r="BQ170" s="239"/>
      <c r="BR170" s="239"/>
      <c r="BS170" s="9"/>
    </row>
    <row r="171" spans="2:71" ht="15" x14ac:dyDescent="0.25">
      <c r="B171" s="9"/>
      <c r="C171" s="91"/>
      <c r="D171" s="161"/>
      <c r="E171" s="91"/>
      <c r="F171" s="9"/>
      <c r="G171" s="9"/>
      <c r="H171" s="91"/>
      <c r="I171" s="195"/>
      <c r="J171" s="49"/>
      <c r="K171" s="161"/>
      <c r="L171" s="47"/>
      <c r="M171" s="9"/>
      <c r="N171" s="9"/>
      <c r="O171" s="91"/>
      <c r="P171" s="91"/>
      <c r="Q171" s="91"/>
      <c r="R171" s="9"/>
      <c r="S171" s="9"/>
      <c r="T171" s="91"/>
      <c r="U171" s="7"/>
      <c r="V171" s="91"/>
      <c r="W171" s="9"/>
      <c r="X171" s="9"/>
      <c r="Y171" s="91"/>
      <c r="Z171" s="7"/>
      <c r="AA171" s="91"/>
      <c r="AB171" s="9"/>
      <c r="AC171" s="9"/>
      <c r="AD171" s="48"/>
      <c r="AE171" s="49"/>
      <c r="AF171" s="91"/>
      <c r="AG171" s="9"/>
      <c r="AH171" s="9"/>
      <c r="AI171" s="91"/>
      <c r="AJ171" s="237"/>
      <c r="AK171" s="9"/>
      <c r="AL171" s="238"/>
      <c r="AM171" s="239"/>
      <c r="AN171" s="239"/>
      <c r="AO171" s="9"/>
      <c r="AP171" s="9"/>
      <c r="AQ171" s="240"/>
      <c r="AR171" s="241"/>
      <c r="AS171" s="241"/>
      <c r="AT171" s="66"/>
      <c r="AU171" s="9"/>
      <c r="AV171" s="238"/>
      <c r="AW171" s="239"/>
      <c r="AX171" s="239"/>
      <c r="AY171" s="9"/>
      <c r="AZ171" s="9"/>
      <c r="BA171" s="238"/>
      <c r="BB171" s="239"/>
      <c r="BC171" s="239"/>
      <c r="BD171" s="9"/>
      <c r="BE171" s="9"/>
      <c r="BF171" s="238"/>
      <c r="BG171" s="239"/>
      <c r="BH171" s="239"/>
      <c r="BI171" s="9"/>
      <c r="BJ171" s="9"/>
      <c r="BK171" s="240"/>
      <c r="BL171" s="241"/>
      <c r="BM171" s="241"/>
      <c r="BN171" s="66"/>
      <c r="BO171" s="9"/>
      <c r="BP171" s="238"/>
      <c r="BQ171" s="239"/>
      <c r="BR171" s="239"/>
      <c r="BS171" s="9"/>
    </row>
    <row r="172" spans="2:71" ht="15" x14ac:dyDescent="0.25">
      <c r="B172" s="9"/>
      <c r="C172" s="91"/>
      <c r="D172" s="161"/>
      <c r="E172" s="91"/>
      <c r="F172" s="9"/>
      <c r="G172" s="9"/>
      <c r="H172" s="91"/>
      <c r="I172" s="195"/>
      <c r="J172" s="49"/>
      <c r="K172" s="161"/>
      <c r="L172" s="47"/>
      <c r="M172" s="9"/>
      <c r="N172" s="9"/>
      <c r="O172" s="91"/>
      <c r="P172" s="91"/>
      <c r="Q172" s="91"/>
      <c r="R172" s="9"/>
      <c r="S172" s="9"/>
      <c r="T172" s="91"/>
      <c r="U172" s="7"/>
      <c r="V172" s="91"/>
      <c r="W172" s="9"/>
      <c r="X172" s="9"/>
      <c r="Y172" s="91"/>
      <c r="Z172" s="7"/>
      <c r="AA172" s="91"/>
      <c r="AB172" s="9"/>
      <c r="AC172" s="9"/>
      <c r="AD172" s="48"/>
      <c r="AE172" s="49"/>
      <c r="AF172" s="91"/>
      <c r="AG172" s="9"/>
      <c r="AH172" s="9"/>
      <c r="AI172" s="91"/>
      <c r="AJ172" s="237"/>
      <c r="AK172" s="9"/>
      <c r="AL172" s="238"/>
      <c r="AM172" s="239"/>
      <c r="AN172" s="239"/>
      <c r="AO172" s="9"/>
      <c r="AP172" s="9"/>
      <c r="AQ172" s="240"/>
      <c r="AR172" s="241"/>
      <c r="AS172" s="241"/>
      <c r="AT172" s="66"/>
      <c r="AU172" s="9"/>
      <c r="AV172" s="238"/>
      <c r="AW172" s="239"/>
      <c r="AX172" s="239"/>
      <c r="AY172" s="9"/>
      <c r="AZ172" s="9"/>
      <c r="BA172" s="238"/>
      <c r="BB172" s="239"/>
      <c r="BC172" s="239"/>
      <c r="BD172" s="9"/>
      <c r="BE172" s="9"/>
      <c r="BF172" s="238"/>
      <c r="BG172" s="239"/>
      <c r="BH172" s="239"/>
      <c r="BI172" s="9"/>
      <c r="BJ172" s="9"/>
      <c r="BK172" s="240"/>
      <c r="BL172" s="241"/>
      <c r="BM172" s="241"/>
      <c r="BN172" s="66"/>
      <c r="BO172" s="9"/>
      <c r="BP172" s="238"/>
      <c r="BQ172" s="239"/>
      <c r="BR172" s="239"/>
      <c r="BS172" s="9"/>
    </row>
    <row r="173" spans="2:71" ht="15" x14ac:dyDescent="0.25">
      <c r="B173" s="9"/>
      <c r="C173" s="91"/>
      <c r="D173" s="161"/>
      <c r="E173" s="91"/>
      <c r="F173" s="9"/>
      <c r="G173" s="9"/>
      <c r="H173" s="91"/>
      <c r="I173" s="195"/>
      <c r="J173" s="49"/>
      <c r="K173" s="161"/>
      <c r="L173" s="47"/>
      <c r="M173" s="9"/>
      <c r="N173" s="9"/>
      <c r="O173" s="91"/>
      <c r="P173" s="91"/>
      <c r="Q173" s="91"/>
      <c r="R173" s="9"/>
      <c r="S173" s="9"/>
      <c r="T173" s="91"/>
      <c r="U173" s="7"/>
      <c r="V173" s="91"/>
      <c r="W173" s="9"/>
      <c r="X173" s="9"/>
      <c r="Y173" s="91"/>
      <c r="Z173" s="7"/>
      <c r="AA173" s="91"/>
      <c r="AB173" s="9"/>
      <c r="AC173" s="9"/>
      <c r="AD173" s="48"/>
      <c r="AE173" s="49"/>
      <c r="AF173" s="91"/>
      <c r="AG173" s="9"/>
      <c r="AH173" s="9"/>
      <c r="AI173" s="91"/>
      <c r="AJ173" s="237"/>
      <c r="AK173" s="9"/>
      <c r="AL173" s="238"/>
      <c r="AM173" s="239"/>
      <c r="AN173" s="239"/>
      <c r="AO173" s="9"/>
      <c r="AP173" s="9"/>
      <c r="AQ173" s="240"/>
      <c r="AR173" s="241"/>
      <c r="AS173" s="241"/>
      <c r="AT173" s="66"/>
      <c r="AU173" s="9"/>
      <c r="AV173" s="238"/>
      <c r="AW173" s="239"/>
      <c r="AX173" s="239"/>
      <c r="AY173" s="9"/>
      <c r="AZ173" s="9"/>
      <c r="BA173" s="238"/>
      <c r="BB173" s="239"/>
      <c r="BC173" s="239"/>
      <c r="BD173" s="9"/>
      <c r="BE173" s="9"/>
      <c r="BF173" s="238"/>
      <c r="BG173" s="239"/>
      <c r="BH173" s="239"/>
      <c r="BI173" s="9"/>
      <c r="BJ173" s="9"/>
      <c r="BK173" s="240"/>
      <c r="BL173" s="241"/>
      <c r="BM173" s="241"/>
      <c r="BN173" s="66"/>
      <c r="BO173" s="9"/>
      <c r="BP173" s="238"/>
      <c r="BQ173" s="239"/>
      <c r="BR173" s="239"/>
      <c r="BS173" s="9"/>
    </row>
    <row r="174" spans="2:71" ht="15" x14ac:dyDescent="0.25">
      <c r="B174" s="9"/>
      <c r="C174" s="91"/>
      <c r="D174" s="161"/>
      <c r="E174" s="91"/>
      <c r="F174" s="9"/>
      <c r="G174" s="9"/>
      <c r="H174" s="91"/>
      <c r="I174" s="195"/>
      <c r="J174" s="49"/>
      <c r="K174" s="161"/>
      <c r="L174" s="47"/>
      <c r="M174" s="9"/>
      <c r="N174" s="9"/>
      <c r="O174" s="91"/>
      <c r="P174" s="91"/>
      <c r="Q174" s="91"/>
      <c r="R174" s="9"/>
      <c r="S174" s="9"/>
      <c r="T174" s="91"/>
      <c r="U174" s="7"/>
      <c r="V174" s="91"/>
      <c r="W174" s="9"/>
      <c r="X174" s="9"/>
      <c r="Y174" s="91"/>
      <c r="Z174" s="7"/>
      <c r="AA174" s="91"/>
      <c r="AB174" s="9"/>
      <c r="AC174" s="9"/>
      <c r="AD174" s="48"/>
      <c r="AE174" s="49"/>
      <c r="AF174" s="91"/>
      <c r="AG174" s="9"/>
      <c r="AH174" s="9"/>
      <c r="AI174" s="91"/>
      <c r="AJ174" s="237"/>
      <c r="AK174" s="9"/>
      <c r="AL174" s="238"/>
      <c r="AM174" s="239"/>
      <c r="AN174" s="239"/>
      <c r="AO174" s="9"/>
      <c r="AP174" s="9"/>
      <c r="AQ174" s="240"/>
      <c r="AR174" s="241"/>
      <c r="AS174" s="241"/>
      <c r="AT174" s="66"/>
      <c r="AU174" s="9"/>
      <c r="AV174" s="238"/>
      <c r="AW174" s="239"/>
      <c r="AX174" s="239"/>
      <c r="AY174" s="9"/>
      <c r="AZ174" s="9"/>
      <c r="BA174" s="238"/>
      <c r="BB174" s="239"/>
      <c r="BC174" s="239"/>
      <c r="BD174" s="9"/>
      <c r="BE174" s="9"/>
      <c r="BF174" s="238"/>
      <c r="BG174" s="239"/>
      <c r="BH174" s="239"/>
      <c r="BI174" s="9"/>
      <c r="BJ174" s="9"/>
      <c r="BK174" s="240"/>
      <c r="BL174" s="241"/>
      <c r="BM174" s="241"/>
      <c r="BN174" s="66"/>
      <c r="BO174" s="9"/>
      <c r="BP174" s="238"/>
      <c r="BQ174" s="239"/>
      <c r="BR174" s="239"/>
      <c r="BS174" s="9"/>
    </row>
    <row r="175" spans="2:71" ht="15" x14ac:dyDescent="0.25">
      <c r="B175" s="9"/>
      <c r="C175" s="91"/>
      <c r="D175" s="161"/>
      <c r="E175" s="91"/>
      <c r="F175" s="9"/>
      <c r="G175" s="9"/>
      <c r="H175" s="91"/>
      <c r="I175" s="195"/>
      <c r="J175" s="49"/>
      <c r="K175" s="161"/>
      <c r="L175" s="47"/>
      <c r="M175" s="9"/>
      <c r="N175" s="9"/>
      <c r="O175" s="91"/>
      <c r="P175" s="91"/>
      <c r="Q175" s="91"/>
      <c r="R175" s="9"/>
      <c r="S175" s="9"/>
      <c r="T175" s="91"/>
      <c r="U175" s="7"/>
      <c r="V175" s="91"/>
      <c r="W175" s="9"/>
      <c r="X175" s="9"/>
      <c r="Y175" s="91"/>
      <c r="Z175" s="7"/>
      <c r="AA175" s="91"/>
      <c r="AB175" s="9"/>
      <c r="AC175" s="9"/>
      <c r="AD175" s="48"/>
      <c r="AE175" s="49"/>
      <c r="AF175" s="91"/>
      <c r="AG175" s="9"/>
      <c r="AH175" s="9"/>
      <c r="AI175" s="91"/>
      <c r="AJ175" s="237"/>
      <c r="AK175" s="9"/>
      <c r="AL175" s="238"/>
      <c r="AM175" s="239"/>
      <c r="AN175" s="239"/>
      <c r="AO175" s="9"/>
      <c r="AP175" s="9"/>
      <c r="AQ175" s="240"/>
      <c r="AR175" s="241"/>
      <c r="AS175" s="241"/>
      <c r="AT175" s="66"/>
      <c r="AU175" s="9"/>
      <c r="AV175" s="238"/>
      <c r="AW175" s="239"/>
      <c r="AX175" s="239"/>
      <c r="AY175" s="9"/>
      <c r="AZ175" s="9"/>
      <c r="BA175" s="238"/>
      <c r="BB175" s="239"/>
      <c r="BC175" s="239"/>
      <c r="BD175" s="9"/>
      <c r="BE175" s="9"/>
      <c r="BF175" s="238"/>
      <c r="BG175" s="239"/>
      <c r="BH175" s="239"/>
      <c r="BI175" s="9"/>
      <c r="BJ175" s="9"/>
      <c r="BK175" s="240"/>
      <c r="BL175" s="241"/>
      <c r="BM175" s="241"/>
      <c r="BN175" s="66"/>
      <c r="BO175" s="9"/>
      <c r="BP175" s="238"/>
      <c r="BQ175" s="239"/>
      <c r="BR175" s="239"/>
      <c r="BS175" s="9"/>
    </row>
    <row r="176" spans="2:71" ht="15" x14ac:dyDescent="0.25">
      <c r="B176" s="9"/>
      <c r="C176" s="91"/>
      <c r="D176" s="161"/>
      <c r="E176" s="91"/>
      <c r="F176" s="9"/>
      <c r="G176" s="9"/>
      <c r="H176" s="91"/>
      <c r="I176" s="195"/>
      <c r="J176" s="49"/>
      <c r="K176" s="161"/>
      <c r="L176" s="47"/>
      <c r="M176" s="9"/>
      <c r="N176" s="9"/>
      <c r="O176" s="91"/>
      <c r="P176" s="91"/>
      <c r="Q176" s="91"/>
      <c r="R176" s="9"/>
      <c r="S176" s="9"/>
      <c r="T176" s="91"/>
      <c r="U176" s="7"/>
      <c r="V176" s="91"/>
      <c r="W176" s="9"/>
      <c r="X176" s="9"/>
      <c r="Y176" s="91"/>
      <c r="Z176" s="7"/>
      <c r="AA176" s="91"/>
      <c r="AB176" s="9"/>
      <c r="AC176" s="9"/>
      <c r="AD176" s="48"/>
      <c r="AE176" s="49"/>
      <c r="AF176" s="91"/>
      <c r="AG176" s="9"/>
      <c r="AH176" s="9"/>
      <c r="AI176" s="91"/>
      <c r="AJ176" s="237"/>
      <c r="AK176" s="9"/>
      <c r="AL176" s="238"/>
      <c r="AM176" s="239"/>
      <c r="AN176" s="239"/>
      <c r="AO176" s="9"/>
      <c r="AP176" s="9"/>
      <c r="AQ176" s="240"/>
      <c r="AR176" s="241"/>
      <c r="AS176" s="241"/>
      <c r="AT176" s="66"/>
      <c r="AU176" s="9"/>
      <c r="AV176" s="238"/>
      <c r="AW176" s="239"/>
      <c r="AX176" s="239"/>
      <c r="AY176" s="9"/>
      <c r="AZ176" s="9"/>
      <c r="BA176" s="238"/>
      <c r="BB176" s="239"/>
      <c r="BC176" s="239"/>
      <c r="BD176" s="9"/>
      <c r="BE176" s="9"/>
      <c r="BF176" s="238"/>
      <c r="BG176" s="239"/>
      <c r="BH176" s="239"/>
      <c r="BI176" s="9"/>
      <c r="BJ176" s="9"/>
      <c r="BK176" s="240"/>
      <c r="BL176" s="241"/>
      <c r="BM176" s="241"/>
      <c r="BN176" s="66"/>
      <c r="BO176" s="9"/>
      <c r="BP176" s="238"/>
      <c r="BQ176" s="239"/>
      <c r="BR176" s="239"/>
      <c r="BS176" s="9"/>
    </row>
    <row r="177" spans="2:71" ht="15" x14ac:dyDescent="0.25">
      <c r="B177" s="9"/>
      <c r="C177" s="91"/>
      <c r="D177" s="161"/>
      <c r="E177" s="91"/>
      <c r="F177" s="9"/>
      <c r="G177" s="9"/>
      <c r="H177" s="91"/>
      <c r="I177" s="195"/>
      <c r="J177" s="49"/>
      <c r="K177" s="161"/>
      <c r="L177" s="47"/>
      <c r="M177" s="9"/>
      <c r="N177" s="9"/>
      <c r="O177" s="91"/>
      <c r="P177" s="91"/>
      <c r="Q177" s="91"/>
      <c r="R177" s="9"/>
      <c r="S177" s="9"/>
      <c r="T177" s="91"/>
      <c r="U177" s="7"/>
      <c r="V177" s="91"/>
      <c r="W177" s="9"/>
      <c r="X177" s="9"/>
      <c r="Y177" s="91"/>
      <c r="Z177" s="7"/>
      <c r="AA177" s="91"/>
      <c r="AB177" s="9"/>
      <c r="AC177" s="9"/>
      <c r="AD177" s="48"/>
      <c r="AE177" s="49"/>
      <c r="AF177" s="91"/>
      <c r="AG177" s="9"/>
      <c r="AH177" s="9"/>
      <c r="AI177" s="91"/>
      <c r="AJ177" s="237"/>
      <c r="AK177" s="9"/>
      <c r="AL177" s="238"/>
      <c r="AM177" s="239"/>
      <c r="AN177" s="239"/>
      <c r="AO177" s="9"/>
      <c r="AP177" s="9"/>
      <c r="AQ177" s="240"/>
      <c r="AR177" s="241"/>
      <c r="AS177" s="241"/>
      <c r="AT177" s="66"/>
      <c r="AU177" s="9"/>
      <c r="AV177" s="238"/>
      <c r="AW177" s="239"/>
      <c r="AX177" s="239"/>
      <c r="AY177" s="9"/>
      <c r="AZ177" s="9"/>
      <c r="BA177" s="238"/>
      <c r="BB177" s="239"/>
      <c r="BC177" s="239"/>
      <c r="BD177" s="9"/>
      <c r="BE177" s="9"/>
      <c r="BF177" s="238"/>
      <c r="BG177" s="239"/>
      <c r="BH177" s="239"/>
      <c r="BI177" s="9"/>
      <c r="BJ177" s="9"/>
      <c r="BK177" s="240"/>
      <c r="BL177" s="241"/>
      <c r="BM177" s="241"/>
      <c r="BN177" s="66"/>
      <c r="BO177" s="9"/>
      <c r="BP177" s="238"/>
      <c r="BQ177" s="239"/>
      <c r="BR177" s="239"/>
      <c r="BS177" s="9"/>
    </row>
    <row r="178" spans="2:71" ht="15" x14ac:dyDescent="0.25">
      <c r="B178" s="9"/>
      <c r="C178" s="91"/>
      <c r="D178" s="161"/>
      <c r="E178" s="91"/>
      <c r="F178" s="9"/>
      <c r="G178" s="9"/>
      <c r="H178" s="91"/>
      <c r="I178" s="195"/>
      <c r="J178" s="49"/>
      <c r="K178" s="161"/>
      <c r="L178" s="47"/>
      <c r="M178" s="9"/>
      <c r="N178" s="9"/>
      <c r="O178" s="91"/>
      <c r="P178" s="91"/>
      <c r="Q178" s="91"/>
      <c r="R178" s="9"/>
      <c r="S178" s="9"/>
      <c r="T178" s="91"/>
      <c r="U178" s="7"/>
      <c r="V178" s="91"/>
      <c r="W178" s="9"/>
      <c r="X178" s="9"/>
      <c r="Y178" s="91"/>
      <c r="Z178" s="7"/>
      <c r="AA178" s="91"/>
      <c r="AB178" s="9"/>
      <c r="AC178" s="9"/>
      <c r="AD178" s="48"/>
      <c r="AE178" s="49"/>
      <c r="AF178" s="91"/>
      <c r="AG178" s="9"/>
      <c r="AH178" s="9"/>
      <c r="AI178" s="91"/>
      <c r="AJ178" s="237"/>
      <c r="AK178" s="9"/>
      <c r="AL178" s="238"/>
      <c r="AM178" s="239"/>
      <c r="AN178" s="239"/>
      <c r="AO178" s="9"/>
      <c r="AP178" s="9"/>
      <c r="AQ178" s="240"/>
      <c r="AR178" s="241"/>
      <c r="AS178" s="241"/>
      <c r="AT178" s="66"/>
      <c r="AU178" s="9"/>
      <c r="AV178" s="238"/>
      <c r="AW178" s="239"/>
      <c r="AX178" s="239"/>
      <c r="AY178" s="9"/>
      <c r="AZ178" s="9"/>
      <c r="BA178" s="238"/>
      <c r="BB178" s="239"/>
      <c r="BC178" s="239"/>
      <c r="BD178" s="9"/>
      <c r="BE178" s="9"/>
      <c r="BF178" s="238"/>
      <c r="BG178" s="239"/>
      <c r="BH178" s="239"/>
      <c r="BI178" s="9"/>
      <c r="BJ178" s="9"/>
      <c r="BK178" s="240"/>
      <c r="BL178" s="241"/>
      <c r="BM178" s="241"/>
      <c r="BN178" s="66"/>
      <c r="BO178" s="9"/>
      <c r="BP178" s="238"/>
      <c r="BQ178" s="239"/>
      <c r="BR178" s="239"/>
      <c r="BS178" s="9"/>
    </row>
    <row r="179" spans="2:71" ht="15" x14ac:dyDescent="0.25">
      <c r="B179" s="9"/>
      <c r="C179" s="91"/>
      <c r="D179" s="161"/>
      <c r="E179" s="91"/>
      <c r="F179" s="9"/>
      <c r="G179" s="9"/>
      <c r="H179" s="91"/>
      <c r="I179" s="195"/>
      <c r="J179" s="49"/>
      <c r="K179" s="161"/>
      <c r="L179" s="47"/>
      <c r="M179" s="9"/>
      <c r="N179" s="9"/>
      <c r="O179" s="91"/>
      <c r="P179" s="91"/>
      <c r="Q179" s="91"/>
      <c r="R179" s="9"/>
      <c r="S179" s="9"/>
      <c r="T179" s="91"/>
      <c r="U179" s="7"/>
      <c r="V179" s="91"/>
      <c r="W179" s="9"/>
      <c r="X179" s="9"/>
      <c r="Y179" s="91"/>
      <c r="Z179" s="7"/>
      <c r="AA179" s="91"/>
      <c r="AB179" s="9"/>
      <c r="AC179" s="9"/>
      <c r="AD179" s="48"/>
      <c r="AE179" s="49"/>
      <c r="AF179" s="91"/>
      <c r="AG179" s="9"/>
      <c r="AH179" s="9"/>
      <c r="AI179" s="91"/>
      <c r="AJ179" s="237"/>
      <c r="AK179" s="9"/>
      <c r="AL179" s="238"/>
      <c r="AM179" s="239"/>
      <c r="AN179" s="239"/>
      <c r="AO179" s="9"/>
      <c r="AP179" s="9"/>
      <c r="AQ179" s="240"/>
      <c r="AR179" s="241"/>
      <c r="AS179" s="241"/>
      <c r="AT179" s="66"/>
      <c r="AU179" s="9"/>
      <c r="AV179" s="238"/>
      <c r="AW179" s="239"/>
      <c r="AX179" s="239"/>
      <c r="AY179" s="9"/>
      <c r="AZ179" s="9"/>
      <c r="BA179" s="238"/>
      <c r="BB179" s="239"/>
      <c r="BC179" s="239"/>
      <c r="BD179" s="9"/>
      <c r="BE179" s="9"/>
      <c r="BF179" s="238"/>
      <c r="BG179" s="239"/>
      <c r="BH179" s="239"/>
      <c r="BI179" s="9"/>
      <c r="BJ179" s="9"/>
      <c r="BK179" s="240"/>
      <c r="BL179" s="241"/>
      <c r="BM179" s="241"/>
      <c r="BN179" s="66"/>
      <c r="BO179" s="9"/>
      <c r="BP179" s="238"/>
      <c r="BQ179" s="239"/>
      <c r="BR179" s="239"/>
      <c r="BS179" s="9"/>
    </row>
    <row r="180" spans="2:71" ht="15" x14ac:dyDescent="0.25">
      <c r="B180" s="9"/>
      <c r="C180" s="91"/>
      <c r="D180" s="161"/>
      <c r="E180" s="91"/>
      <c r="F180" s="9"/>
      <c r="G180" s="9"/>
      <c r="H180" s="91"/>
      <c r="I180" s="195"/>
      <c r="J180" s="49"/>
      <c r="K180" s="161"/>
      <c r="L180" s="47"/>
      <c r="M180" s="9"/>
      <c r="N180" s="9"/>
      <c r="O180" s="91"/>
      <c r="P180" s="91"/>
      <c r="Q180" s="91"/>
      <c r="R180" s="9"/>
      <c r="S180" s="9"/>
      <c r="T180" s="91"/>
      <c r="U180" s="7"/>
      <c r="V180" s="91"/>
      <c r="W180" s="9"/>
      <c r="X180" s="9"/>
      <c r="Y180" s="91"/>
      <c r="Z180" s="7"/>
      <c r="AA180" s="91"/>
      <c r="AB180" s="9"/>
      <c r="AC180" s="9"/>
      <c r="AD180" s="48"/>
      <c r="AE180" s="49"/>
      <c r="AF180" s="91"/>
      <c r="AG180" s="9"/>
      <c r="AH180" s="9"/>
      <c r="AI180" s="91"/>
      <c r="AJ180" s="237"/>
      <c r="AK180" s="9"/>
      <c r="AL180" s="238"/>
      <c r="AM180" s="239"/>
      <c r="AN180" s="239"/>
      <c r="AO180" s="9"/>
      <c r="AP180" s="9"/>
      <c r="AQ180" s="240"/>
      <c r="AR180" s="241"/>
      <c r="AS180" s="241"/>
      <c r="AT180" s="66"/>
      <c r="AU180" s="9"/>
      <c r="AV180" s="238"/>
      <c r="AW180" s="239"/>
      <c r="AX180" s="239"/>
      <c r="AY180" s="9"/>
      <c r="AZ180" s="9"/>
      <c r="BA180" s="238"/>
      <c r="BB180" s="239"/>
      <c r="BC180" s="239"/>
      <c r="BD180" s="9"/>
      <c r="BE180" s="9"/>
      <c r="BF180" s="238"/>
      <c r="BG180" s="239"/>
      <c r="BH180" s="239"/>
      <c r="BI180" s="9"/>
      <c r="BJ180" s="9"/>
      <c r="BK180" s="240"/>
      <c r="BL180" s="241"/>
      <c r="BM180" s="241"/>
      <c r="BN180" s="66"/>
      <c r="BO180" s="9"/>
      <c r="BP180" s="238"/>
      <c r="BQ180" s="239"/>
      <c r="BR180" s="239"/>
      <c r="BS180" s="9"/>
    </row>
    <row r="181" spans="2:71" ht="15" x14ac:dyDescent="0.25">
      <c r="B181" s="9"/>
      <c r="C181" s="91"/>
      <c r="D181" s="161"/>
      <c r="E181" s="91"/>
      <c r="F181" s="9"/>
      <c r="G181" s="9"/>
      <c r="H181" s="91"/>
      <c r="I181" s="195"/>
      <c r="J181" s="49"/>
      <c r="K181" s="161"/>
      <c r="L181" s="47"/>
      <c r="M181" s="9"/>
      <c r="N181" s="9"/>
      <c r="O181" s="91"/>
      <c r="P181" s="91"/>
      <c r="Q181" s="91"/>
      <c r="R181" s="9"/>
      <c r="S181" s="9"/>
      <c r="T181" s="91"/>
      <c r="U181" s="7"/>
      <c r="V181" s="91"/>
      <c r="W181" s="9"/>
      <c r="X181" s="9"/>
      <c r="Y181" s="91"/>
      <c r="Z181" s="7"/>
      <c r="AA181" s="91"/>
      <c r="AB181" s="9"/>
      <c r="AC181" s="9"/>
      <c r="AD181" s="48"/>
      <c r="AE181" s="49"/>
      <c r="AF181" s="91"/>
      <c r="AG181" s="9"/>
      <c r="AH181" s="9"/>
      <c r="AI181" s="91"/>
      <c r="AJ181" s="237"/>
      <c r="AK181" s="9"/>
      <c r="AL181" s="238"/>
      <c r="AM181" s="239"/>
      <c r="AN181" s="239"/>
      <c r="AO181" s="9"/>
      <c r="AP181" s="9"/>
      <c r="AQ181" s="240"/>
      <c r="AR181" s="241"/>
      <c r="AS181" s="241"/>
      <c r="AT181" s="66"/>
      <c r="AU181" s="9"/>
      <c r="AV181" s="238"/>
      <c r="AW181" s="239"/>
      <c r="AX181" s="239"/>
      <c r="AY181" s="9"/>
      <c r="AZ181" s="9"/>
      <c r="BA181" s="238"/>
      <c r="BB181" s="239"/>
      <c r="BC181" s="239"/>
      <c r="BD181" s="9"/>
      <c r="BE181" s="9"/>
      <c r="BF181" s="238"/>
      <c r="BG181" s="239"/>
      <c r="BH181" s="239"/>
      <c r="BI181" s="9"/>
      <c r="BJ181" s="9"/>
      <c r="BK181" s="240"/>
      <c r="BL181" s="241"/>
      <c r="BM181" s="241"/>
      <c r="BN181" s="66"/>
      <c r="BO181" s="9"/>
      <c r="BP181" s="238"/>
      <c r="BQ181" s="239"/>
      <c r="BR181" s="239"/>
      <c r="BS181" s="9"/>
    </row>
    <row r="182" spans="2:71" ht="15" x14ac:dyDescent="0.25">
      <c r="B182" s="9"/>
      <c r="C182" s="91"/>
      <c r="D182" s="161"/>
      <c r="E182" s="91"/>
      <c r="F182" s="9"/>
      <c r="G182" s="9"/>
      <c r="H182" s="91"/>
      <c r="I182" s="195"/>
      <c r="J182" s="49"/>
      <c r="K182" s="161"/>
      <c r="L182" s="47"/>
      <c r="M182" s="9"/>
      <c r="N182" s="9"/>
      <c r="O182" s="91"/>
      <c r="P182" s="91"/>
      <c r="Q182" s="91"/>
      <c r="R182" s="9"/>
      <c r="S182" s="9"/>
      <c r="T182" s="91"/>
      <c r="U182" s="7"/>
      <c r="V182" s="91"/>
      <c r="W182" s="9"/>
      <c r="X182" s="9"/>
      <c r="Y182" s="91"/>
      <c r="Z182" s="7"/>
      <c r="AA182" s="91"/>
      <c r="AB182" s="9"/>
      <c r="AC182" s="9"/>
      <c r="AD182" s="48"/>
      <c r="AE182" s="49"/>
      <c r="AF182" s="91"/>
      <c r="AG182" s="9"/>
      <c r="AH182" s="9"/>
      <c r="AI182" s="91"/>
      <c r="AJ182" s="237"/>
      <c r="AK182" s="9"/>
      <c r="AL182" s="238"/>
      <c r="AM182" s="239"/>
      <c r="AN182" s="239"/>
      <c r="AO182" s="9"/>
      <c r="AP182" s="9"/>
      <c r="AQ182" s="240"/>
      <c r="AR182" s="241"/>
      <c r="AS182" s="241"/>
      <c r="AT182" s="66"/>
      <c r="AU182" s="9"/>
      <c r="AV182" s="238"/>
      <c r="AW182" s="239"/>
      <c r="AX182" s="239"/>
      <c r="AY182" s="9"/>
      <c r="AZ182" s="9"/>
      <c r="BA182" s="238"/>
      <c r="BB182" s="239"/>
      <c r="BC182" s="239"/>
      <c r="BD182" s="9"/>
      <c r="BE182" s="9"/>
      <c r="BF182" s="238"/>
      <c r="BG182" s="239"/>
      <c r="BH182" s="239"/>
      <c r="BI182" s="9"/>
      <c r="BJ182" s="9"/>
      <c r="BK182" s="240"/>
      <c r="BL182" s="241"/>
      <c r="BM182" s="241"/>
      <c r="BN182" s="66"/>
      <c r="BO182" s="9"/>
      <c r="BP182" s="238"/>
      <c r="BQ182" s="239"/>
      <c r="BR182" s="239"/>
      <c r="BS182" s="9"/>
    </row>
    <row r="183" spans="2:71" ht="15" x14ac:dyDescent="0.25">
      <c r="B183" s="9"/>
      <c r="C183" s="91"/>
      <c r="D183" s="161"/>
      <c r="E183" s="91"/>
      <c r="F183" s="9"/>
      <c r="G183" s="9"/>
      <c r="H183" s="91"/>
      <c r="I183" s="195"/>
      <c r="J183" s="49"/>
      <c r="K183" s="161"/>
      <c r="L183" s="47"/>
      <c r="M183" s="9"/>
      <c r="N183" s="9"/>
      <c r="O183" s="91"/>
      <c r="P183" s="91"/>
      <c r="Q183" s="91"/>
      <c r="R183" s="9"/>
      <c r="S183" s="9"/>
      <c r="T183" s="91"/>
      <c r="U183" s="7"/>
      <c r="V183" s="91"/>
      <c r="W183" s="9"/>
      <c r="X183" s="9"/>
      <c r="Y183" s="91"/>
      <c r="Z183" s="7"/>
      <c r="AA183" s="91"/>
      <c r="AB183" s="9"/>
      <c r="AC183" s="9"/>
      <c r="AD183" s="48"/>
      <c r="AE183" s="49"/>
      <c r="AF183" s="91"/>
      <c r="AG183" s="9"/>
      <c r="AH183" s="9"/>
      <c r="AI183" s="91"/>
      <c r="AJ183" s="237"/>
      <c r="AK183" s="9"/>
      <c r="AL183" s="238"/>
      <c r="AM183" s="239"/>
      <c r="AN183" s="239"/>
      <c r="AO183" s="9"/>
      <c r="AP183" s="9"/>
      <c r="AQ183" s="240"/>
      <c r="AR183" s="241"/>
      <c r="AS183" s="241"/>
      <c r="AT183" s="66"/>
      <c r="AU183" s="9"/>
      <c r="AV183" s="238"/>
      <c r="AW183" s="239"/>
      <c r="AX183" s="239"/>
      <c r="AY183" s="9"/>
      <c r="AZ183" s="9"/>
      <c r="BA183" s="238"/>
      <c r="BB183" s="239"/>
      <c r="BC183" s="239"/>
      <c r="BD183" s="9"/>
      <c r="BE183" s="9"/>
      <c r="BF183" s="238"/>
      <c r="BG183" s="239"/>
      <c r="BH183" s="239"/>
      <c r="BI183" s="9"/>
      <c r="BJ183" s="9"/>
      <c r="BK183" s="240"/>
      <c r="BL183" s="241"/>
      <c r="BM183" s="241"/>
      <c r="BN183" s="66"/>
      <c r="BO183" s="9"/>
      <c r="BP183" s="238"/>
      <c r="BQ183" s="239"/>
      <c r="BR183" s="239"/>
      <c r="BS183" s="9"/>
    </row>
    <row r="184" spans="2:71" ht="15" x14ac:dyDescent="0.25">
      <c r="B184" s="9"/>
      <c r="C184" s="91"/>
      <c r="D184" s="161"/>
      <c r="E184" s="91"/>
      <c r="F184" s="9"/>
      <c r="G184" s="9"/>
      <c r="H184" s="91"/>
      <c r="I184" s="195"/>
      <c r="J184" s="49"/>
      <c r="K184" s="161"/>
      <c r="L184" s="47"/>
      <c r="M184" s="9"/>
      <c r="N184" s="9"/>
      <c r="O184" s="91"/>
      <c r="P184" s="91"/>
      <c r="Q184" s="91"/>
      <c r="R184" s="9"/>
      <c r="S184" s="9"/>
      <c r="T184" s="91"/>
      <c r="U184" s="7"/>
      <c r="V184" s="91"/>
      <c r="W184" s="9"/>
      <c r="X184" s="9"/>
      <c r="Y184" s="91"/>
      <c r="Z184" s="7"/>
      <c r="AA184" s="91"/>
      <c r="AB184" s="9"/>
      <c r="AC184" s="9"/>
      <c r="AD184" s="48"/>
      <c r="AE184" s="49"/>
      <c r="AF184" s="91"/>
      <c r="AG184" s="9"/>
      <c r="AH184" s="9"/>
      <c r="AI184" s="91"/>
      <c r="AJ184" s="237"/>
      <c r="AK184" s="9"/>
      <c r="AL184" s="238"/>
      <c r="AM184" s="239"/>
      <c r="AN184" s="239"/>
      <c r="AO184" s="9"/>
      <c r="AP184" s="9"/>
      <c r="AQ184" s="240"/>
      <c r="AR184" s="241"/>
      <c r="AS184" s="241"/>
      <c r="AT184" s="66"/>
      <c r="AU184" s="9"/>
      <c r="AV184" s="238"/>
      <c r="AW184" s="239"/>
      <c r="AX184" s="239"/>
      <c r="AY184" s="9"/>
      <c r="AZ184" s="9"/>
      <c r="BA184" s="238"/>
      <c r="BB184" s="239"/>
      <c r="BC184" s="239"/>
      <c r="BD184" s="9"/>
      <c r="BE184" s="9"/>
      <c r="BF184" s="238"/>
      <c r="BG184" s="239"/>
      <c r="BH184" s="239"/>
      <c r="BI184" s="9"/>
      <c r="BJ184" s="9"/>
      <c r="BK184" s="240"/>
      <c r="BL184" s="241"/>
      <c r="BM184" s="241"/>
      <c r="BN184" s="66"/>
      <c r="BO184" s="9"/>
      <c r="BP184" s="238"/>
      <c r="BQ184" s="239"/>
      <c r="BR184" s="239"/>
      <c r="BS184" s="9"/>
    </row>
    <row r="185" spans="2:71" ht="15" x14ac:dyDescent="0.25">
      <c r="B185" s="9"/>
      <c r="C185" s="91"/>
      <c r="D185" s="161"/>
      <c r="E185" s="91"/>
      <c r="F185" s="9"/>
      <c r="G185" s="9"/>
      <c r="H185" s="91"/>
      <c r="I185" s="195"/>
      <c r="J185" s="49"/>
      <c r="K185" s="161"/>
      <c r="L185" s="47"/>
      <c r="M185" s="9"/>
      <c r="N185" s="9"/>
      <c r="O185" s="91"/>
      <c r="P185" s="91"/>
      <c r="Q185" s="91"/>
      <c r="R185" s="9"/>
      <c r="S185" s="9"/>
      <c r="T185" s="91"/>
      <c r="U185" s="7"/>
      <c r="V185" s="91"/>
      <c r="W185" s="9"/>
      <c r="X185" s="9"/>
      <c r="Y185" s="91"/>
      <c r="Z185" s="7"/>
      <c r="AA185" s="91"/>
      <c r="AB185" s="9"/>
      <c r="AC185" s="9"/>
      <c r="AD185" s="48"/>
      <c r="AE185" s="49"/>
      <c r="AF185" s="91"/>
      <c r="AG185" s="9"/>
      <c r="AH185" s="9"/>
      <c r="AI185" s="91"/>
      <c r="AJ185" s="237"/>
      <c r="AK185" s="9"/>
      <c r="AL185" s="238"/>
      <c r="AM185" s="239"/>
      <c r="AN185" s="239"/>
      <c r="AO185" s="9"/>
      <c r="AP185" s="9"/>
      <c r="AQ185" s="240"/>
      <c r="AR185" s="241"/>
      <c r="AS185" s="241"/>
      <c r="AT185" s="66"/>
      <c r="AU185" s="9"/>
      <c r="AV185" s="238"/>
      <c r="AW185" s="239"/>
      <c r="AX185" s="239"/>
      <c r="AY185" s="9"/>
      <c r="AZ185" s="9"/>
      <c r="BA185" s="238"/>
      <c r="BB185" s="239"/>
      <c r="BC185" s="239"/>
      <c r="BD185" s="9"/>
      <c r="BE185" s="9"/>
      <c r="BF185" s="238"/>
      <c r="BG185" s="239"/>
      <c r="BH185" s="239"/>
      <c r="BI185" s="9"/>
      <c r="BJ185" s="9"/>
      <c r="BK185" s="240"/>
      <c r="BL185" s="241"/>
      <c r="BM185" s="241"/>
      <c r="BN185" s="66"/>
      <c r="BO185" s="9"/>
      <c r="BP185" s="238"/>
      <c r="BQ185" s="239"/>
      <c r="BR185" s="239"/>
      <c r="BS185" s="9"/>
    </row>
    <row r="186" spans="2:71" ht="15" x14ac:dyDescent="0.25">
      <c r="B186" s="9"/>
      <c r="C186" s="91"/>
      <c r="D186" s="161"/>
      <c r="E186" s="91"/>
      <c r="F186" s="9"/>
      <c r="G186" s="9"/>
      <c r="H186" s="91"/>
      <c r="I186" s="195"/>
      <c r="J186" s="49"/>
      <c r="K186" s="161"/>
      <c r="L186" s="47"/>
      <c r="M186" s="9"/>
      <c r="N186" s="9"/>
      <c r="O186" s="91"/>
      <c r="P186" s="91"/>
      <c r="Q186" s="91"/>
      <c r="R186" s="9"/>
      <c r="S186" s="9"/>
      <c r="T186" s="91"/>
      <c r="U186" s="7"/>
      <c r="V186" s="91"/>
      <c r="W186" s="9"/>
      <c r="X186" s="9"/>
      <c r="Y186" s="91"/>
      <c r="Z186" s="7"/>
      <c r="AA186" s="91"/>
      <c r="AB186" s="9"/>
      <c r="AC186" s="9"/>
      <c r="AD186" s="48"/>
      <c r="AE186" s="49"/>
      <c r="AF186" s="91"/>
      <c r="AG186" s="9"/>
      <c r="AH186" s="9"/>
      <c r="AI186" s="91"/>
      <c r="AJ186" s="237"/>
      <c r="AK186" s="9"/>
      <c r="AL186" s="238"/>
      <c r="AM186" s="239"/>
      <c r="AN186" s="239"/>
      <c r="AO186" s="9"/>
      <c r="AP186" s="9"/>
      <c r="AQ186" s="240"/>
      <c r="AR186" s="241"/>
      <c r="AS186" s="241"/>
      <c r="AT186" s="66"/>
      <c r="AU186" s="9"/>
      <c r="AV186" s="238"/>
      <c r="AW186" s="239"/>
      <c r="AX186" s="239"/>
      <c r="AY186" s="9"/>
      <c r="AZ186" s="9"/>
      <c r="BA186" s="238"/>
      <c r="BB186" s="239"/>
      <c r="BC186" s="239"/>
      <c r="BD186" s="9"/>
      <c r="BE186" s="9"/>
      <c r="BF186" s="238"/>
      <c r="BG186" s="239"/>
      <c r="BH186" s="239"/>
      <c r="BI186" s="9"/>
      <c r="BJ186" s="9"/>
      <c r="BK186" s="240"/>
      <c r="BL186" s="241"/>
      <c r="BM186" s="241"/>
      <c r="BN186" s="66"/>
      <c r="BO186" s="9"/>
      <c r="BP186" s="238"/>
      <c r="BQ186" s="239"/>
      <c r="BR186" s="239"/>
      <c r="BS186" s="9"/>
    </row>
    <row r="187" spans="2:71" ht="15" x14ac:dyDescent="0.25">
      <c r="B187" s="9"/>
      <c r="C187" s="91"/>
      <c r="D187" s="161"/>
      <c r="E187" s="91"/>
      <c r="F187" s="9"/>
      <c r="G187" s="9"/>
      <c r="H187" s="91"/>
      <c r="I187" s="195"/>
      <c r="J187" s="49"/>
      <c r="K187" s="161"/>
      <c r="L187" s="47"/>
      <c r="M187" s="9"/>
      <c r="N187" s="9"/>
      <c r="O187" s="91"/>
      <c r="P187" s="91"/>
      <c r="Q187" s="91"/>
      <c r="R187" s="9"/>
      <c r="S187" s="9"/>
      <c r="T187" s="91"/>
      <c r="U187" s="7"/>
      <c r="V187" s="91"/>
      <c r="W187" s="9"/>
      <c r="X187" s="9"/>
      <c r="Y187" s="91"/>
      <c r="Z187" s="7"/>
      <c r="AA187" s="91"/>
      <c r="AB187" s="9"/>
      <c r="AC187" s="9"/>
      <c r="AD187" s="48"/>
      <c r="AE187" s="49"/>
      <c r="AF187" s="91"/>
      <c r="AG187" s="9"/>
      <c r="AH187" s="9"/>
      <c r="AI187" s="91"/>
      <c r="AJ187" s="237"/>
      <c r="AK187" s="9"/>
      <c r="AL187" s="238"/>
      <c r="AM187" s="239"/>
      <c r="AN187" s="239"/>
      <c r="AO187" s="9"/>
      <c r="AP187" s="9"/>
      <c r="AQ187" s="240"/>
      <c r="AR187" s="241"/>
      <c r="AS187" s="241"/>
      <c r="AT187" s="66"/>
      <c r="AU187" s="9"/>
      <c r="AV187" s="238"/>
      <c r="AW187" s="239"/>
      <c r="AX187" s="239"/>
      <c r="AY187" s="9"/>
      <c r="AZ187" s="9"/>
      <c r="BA187" s="238"/>
      <c r="BB187" s="239"/>
      <c r="BC187" s="239"/>
      <c r="BD187" s="9"/>
      <c r="BE187" s="9"/>
      <c r="BF187" s="238"/>
      <c r="BG187" s="239"/>
      <c r="BH187" s="239"/>
      <c r="BI187" s="9"/>
      <c r="BJ187" s="9"/>
      <c r="BK187" s="240"/>
      <c r="BL187" s="241"/>
      <c r="BM187" s="241"/>
      <c r="BN187" s="66"/>
      <c r="BO187" s="9"/>
      <c r="BP187" s="238"/>
      <c r="BQ187" s="239"/>
      <c r="BR187" s="239"/>
      <c r="BS187" s="9"/>
    </row>
    <row r="188" spans="2:71" ht="15" x14ac:dyDescent="0.25">
      <c r="B188" s="9"/>
      <c r="C188" s="91"/>
      <c r="D188" s="161"/>
      <c r="E188" s="91"/>
      <c r="F188" s="9"/>
      <c r="G188" s="9"/>
      <c r="H188" s="91"/>
      <c r="I188" s="195"/>
      <c r="J188" s="49"/>
      <c r="K188" s="161"/>
      <c r="L188" s="47"/>
      <c r="M188" s="9"/>
      <c r="N188" s="9"/>
      <c r="O188" s="91"/>
      <c r="P188" s="91"/>
      <c r="Q188" s="91"/>
      <c r="R188" s="9"/>
      <c r="S188" s="9"/>
      <c r="T188" s="91"/>
      <c r="U188" s="7"/>
      <c r="V188" s="91"/>
      <c r="W188" s="9"/>
      <c r="X188" s="9"/>
      <c r="Y188" s="91"/>
      <c r="Z188" s="7"/>
      <c r="AA188" s="91"/>
      <c r="AB188" s="9"/>
      <c r="AC188" s="9"/>
      <c r="AD188" s="48"/>
      <c r="AE188" s="49"/>
      <c r="AF188" s="91"/>
      <c r="AG188" s="9"/>
      <c r="AH188" s="9"/>
      <c r="AI188" s="91"/>
      <c r="AJ188" s="237"/>
      <c r="AK188" s="9"/>
      <c r="AL188" s="238"/>
      <c r="AM188" s="239"/>
      <c r="AN188" s="239"/>
      <c r="AO188" s="9"/>
      <c r="AP188" s="9"/>
      <c r="AQ188" s="240"/>
      <c r="AR188" s="241"/>
      <c r="AS188" s="241"/>
      <c r="AT188" s="66"/>
      <c r="AU188" s="9"/>
      <c r="AV188" s="238"/>
      <c r="AW188" s="239"/>
      <c r="AX188" s="239"/>
      <c r="AY188" s="9"/>
      <c r="AZ188" s="9"/>
      <c r="BA188" s="238"/>
      <c r="BB188" s="239"/>
      <c r="BC188" s="239"/>
      <c r="BD188" s="9"/>
      <c r="BE188" s="9"/>
      <c r="BF188" s="238"/>
      <c r="BG188" s="239"/>
      <c r="BH188" s="239"/>
      <c r="BI188" s="9"/>
      <c r="BJ188" s="9"/>
      <c r="BK188" s="240"/>
      <c r="BL188" s="241"/>
      <c r="BM188" s="241"/>
      <c r="BN188" s="66"/>
      <c r="BO188" s="9"/>
      <c r="BP188" s="238"/>
      <c r="BQ188" s="239"/>
      <c r="BR188" s="239"/>
      <c r="BS188" s="9"/>
    </row>
    <row r="189" spans="2:71" ht="15" x14ac:dyDescent="0.25">
      <c r="B189" s="9"/>
      <c r="C189" s="91"/>
      <c r="D189" s="161"/>
      <c r="E189" s="91"/>
      <c r="F189" s="9"/>
      <c r="G189" s="9"/>
      <c r="H189" s="91"/>
      <c r="I189" s="195"/>
      <c r="J189" s="49"/>
      <c r="K189" s="161"/>
      <c r="L189" s="47"/>
      <c r="M189" s="9"/>
      <c r="N189" s="9"/>
      <c r="O189" s="91"/>
      <c r="P189" s="91"/>
      <c r="Q189" s="91"/>
      <c r="R189" s="9"/>
      <c r="S189" s="9"/>
      <c r="T189" s="91"/>
      <c r="U189" s="7"/>
      <c r="V189" s="91"/>
      <c r="W189" s="9"/>
      <c r="X189" s="9"/>
      <c r="Y189" s="91"/>
      <c r="Z189" s="7"/>
      <c r="AA189" s="91"/>
      <c r="AB189" s="9"/>
      <c r="AC189" s="9"/>
      <c r="AD189" s="48"/>
      <c r="AE189" s="49"/>
      <c r="AF189" s="91"/>
      <c r="AG189" s="9"/>
      <c r="AH189" s="9"/>
      <c r="AI189" s="91"/>
      <c r="AJ189" s="237"/>
      <c r="AK189" s="9"/>
      <c r="AL189" s="238"/>
      <c r="AM189" s="239"/>
      <c r="AN189" s="239"/>
      <c r="AO189" s="9"/>
      <c r="AP189" s="9"/>
      <c r="AQ189" s="240"/>
      <c r="AR189" s="241"/>
      <c r="AS189" s="241"/>
      <c r="AT189" s="66"/>
      <c r="AU189" s="9"/>
      <c r="AV189" s="238"/>
      <c r="AW189" s="239"/>
      <c r="AX189" s="239"/>
      <c r="AY189" s="9"/>
      <c r="AZ189" s="9"/>
      <c r="BA189" s="238"/>
      <c r="BB189" s="239"/>
      <c r="BC189" s="239"/>
      <c r="BD189" s="9"/>
      <c r="BE189" s="9"/>
      <c r="BF189" s="238"/>
      <c r="BG189" s="239"/>
      <c r="BH189" s="239"/>
      <c r="BI189" s="9"/>
      <c r="BJ189" s="9"/>
      <c r="BK189" s="240"/>
      <c r="BL189" s="241"/>
      <c r="BM189" s="241"/>
      <c r="BN189" s="66"/>
      <c r="BO189" s="9"/>
      <c r="BP189" s="238"/>
      <c r="BQ189" s="239"/>
      <c r="BR189" s="239"/>
      <c r="BS189" s="9"/>
    </row>
    <row r="190" spans="2:71" ht="15" x14ac:dyDescent="0.25">
      <c r="B190" s="9"/>
      <c r="C190" s="91"/>
      <c r="D190" s="161"/>
      <c r="E190" s="91"/>
      <c r="F190" s="9"/>
      <c r="G190" s="9"/>
      <c r="H190" s="91"/>
      <c r="I190" s="195"/>
      <c r="J190" s="49"/>
      <c r="K190" s="161"/>
      <c r="L190" s="47"/>
      <c r="M190" s="9"/>
      <c r="N190" s="9"/>
      <c r="O190" s="91"/>
      <c r="P190" s="91"/>
      <c r="Q190" s="91"/>
      <c r="R190" s="9"/>
      <c r="S190" s="9"/>
      <c r="T190" s="91"/>
      <c r="U190" s="7"/>
      <c r="V190" s="91"/>
      <c r="W190" s="9"/>
      <c r="X190" s="9"/>
      <c r="Y190" s="91"/>
      <c r="Z190" s="7"/>
      <c r="AA190" s="91"/>
      <c r="AB190" s="9"/>
      <c r="AC190" s="9"/>
      <c r="AD190" s="48"/>
      <c r="AE190" s="49"/>
      <c r="AF190" s="91"/>
      <c r="AG190" s="9"/>
      <c r="AH190" s="9"/>
      <c r="AI190" s="91"/>
      <c r="AJ190" s="237"/>
      <c r="AK190" s="9"/>
      <c r="AL190" s="238"/>
      <c r="AM190" s="239"/>
      <c r="AN190" s="239"/>
      <c r="AO190" s="9"/>
      <c r="AP190" s="9"/>
      <c r="AQ190" s="240"/>
      <c r="AR190" s="241"/>
      <c r="AS190" s="241"/>
      <c r="AT190" s="66"/>
      <c r="AU190" s="9"/>
      <c r="AV190" s="238"/>
      <c r="AW190" s="239"/>
      <c r="AX190" s="239"/>
      <c r="AY190" s="9"/>
      <c r="AZ190" s="9"/>
      <c r="BA190" s="238"/>
      <c r="BB190" s="239"/>
      <c r="BC190" s="239"/>
      <c r="BD190" s="9"/>
      <c r="BE190" s="9"/>
      <c r="BF190" s="238"/>
      <c r="BG190" s="239"/>
      <c r="BH190" s="239"/>
      <c r="BI190" s="9"/>
      <c r="BJ190" s="9"/>
      <c r="BK190" s="240"/>
      <c r="BL190" s="241"/>
      <c r="BM190" s="241"/>
      <c r="BN190" s="66"/>
      <c r="BO190" s="9"/>
      <c r="BP190" s="238"/>
      <c r="BQ190" s="239"/>
      <c r="BR190" s="239"/>
      <c r="BS190" s="9"/>
    </row>
    <row r="191" spans="2:71" ht="15" x14ac:dyDescent="0.25">
      <c r="B191" s="9"/>
      <c r="C191" s="91"/>
      <c r="D191" s="161"/>
      <c r="E191" s="91"/>
      <c r="F191" s="9"/>
      <c r="G191" s="9"/>
      <c r="H191" s="91"/>
      <c r="I191" s="195"/>
      <c r="J191" s="49"/>
      <c r="K191" s="161"/>
      <c r="L191" s="47"/>
      <c r="M191" s="9"/>
      <c r="N191" s="9"/>
      <c r="O191" s="91"/>
      <c r="P191" s="91"/>
      <c r="Q191" s="91"/>
      <c r="R191" s="9"/>
      <c r="S191" s="9"/>
      <c r="T191" s="91"/>
      <c r="U191" s="7"/>
      <c r="V191" s="91"/>
      <c r="W191" s="9"/>
      <c r="X191" s="9"/>
      <c r="Y191" s="91"/>
      <c r="Z191" s="7"/>
      <c r="AA191" s="91"/>
      <c r="AB191" s="9"/>
      <c r="AC191" s="9"/>
      <c r="AD191" s="48"/>
      <c r="AE191" s="49"/>
      <c r="AF191" s="91"/>
      <c r="AG191" s="9"/>
      <c r="AH191" s="9"/>
      <c r="AI191" s="91"/>
      <c r="AJ191" s="237"/>
      <c r="AK191" s="9"/>
      <c r="AL191" s="238"/>
      <c r="AM191" s="239"/>
      <c r="AN191" s="239"/>
      <c r="AO191" s="9"/>
      <c r="AP191" s="9"/>
      <c r="AQ191" s="240"/>
      <c r="AR191" s="241"/>
      <c r="AS191" s="241"/>
      <c r="AT191" s="66"/>
      <c r="AU191" s="9"/>
      <c r="AV191" s="238"/>
      <c r="AW191" s="239"/>
      <c r="AX191" s="239"/>
      <c r="AY191" s="9"/>
      <c r="AZ191" s="9"/>
      <c r="BA191" s="238"/>
      <c r="BB191" s="239"/>
      <c r="BC191" s="239"/>
      <c r="BD191" s="9"/>
      <c r="BE191" s="9"/>
      <c r="BF191" s="238"/>
      <c r="BG191" s="239"/>
      <c r="BH191" s="239"/>
      <c r="BI191" s="9"/>
      <c r="BJ191" s="9"/>
      <c r="BK191" s="240"/>
      <c r="BL191" s="241"/>
      <c r="BM191" s="241"/>
      <c r="BN191" s="66"/>
      <c r="BO191" s="9"/>
      <c r="BP191" s="238"/>
      <c r="BQ191" s="239"/>
      <c r="BR191" s="239"/>
      <c r="BS191" s="9"/>
    </row>
    <row r="192" spans="2:71" ht="15" x14ac:dyDescent="0.25">
      <c r="B192" s="9"/>
      <c r="C192" s="91"/>
      <c r="D192" s="161"/>
      <c r="E192" s="91"/>
      <c r="F192" s="9"/>
      <c r="G192" s="9"/>
      <c r="H192" s="91"/>
      <c r="I192" s="195"/>
      <c r="J192" s="49"/>
      <c r="K192" s="161"/>
      <c r="L192" s="47"/>
      <c r="M192" s="9"/>
      <c r="N192" s="9"/>
      <c r="O192" s="91"/>
      <c r="P192" s="91"/>
      <c r="Q192" s="91"/>
      <c r="R192" s="9"/>
      <c r="S192" s="9"/>
      <c r="T192" s="91"/>
      <c r="U192" s="7"/>
      <c r="V192" s="91"/>
      <c r="W192" s="9"/>
      <c r="X192" s="9"/>
      <c r="Y192" s="91"/>
      <c r="Z192" s="7"/>
      <c r="AA192" s="91"/>
      <c r="AB192" s="9"/>
      <c r="AC192" s="9"/>
      <c r="AD192" s="48"/>
      <c r="AE192" s="49"/>
      <c r="AF192" s="91"/>
      <c r="AG192" s="9"/>
      <c r="AH192" s="9"/>
      <c r="AI192" s="91"/>
      <c r="AJ192" s="237"/>
      <c r="AK192" s="9"/>
      <c r="AL192" s="238"/>
      <c r="AM192" s="239"/>
      <c r="AN192" s="239"/>
      <c r="AO192" s="9"/>
      <c r="AP192" s="9"/>
      <c r="AQ192" s="240"/>
      <c r="AR192" s="241"/>
      <c r="AS192" s="241"/>
      <c r="AT192" s="66"/>
      <c r="AU192" s="9"/>
      <c r="AV192" s="238"/>
      <c r="AW192" s="239"/>
      <c r="AX192" s="239"/>
      <c r="AY192" s="9"/>
      <c r="AZ192" s="9"/>
      <c r="BA192" s="238"/>
      <c r="BB192" s="239"/>
      <c r="BC192" s="239"/>
      <c r="BD192" s="9"/>
      <c r="BE192" s="9"/>
      <c r="BF192" s="238"/>
      <c r="BG192" s="239"/>
      <c r="BH192" s="239"/>
      <c r="BI192" s="9"/>
      <c r="BJ192" s="9"/>
      <c r="BK192" s="240"/>
      <c r="BL192" s="241"/>
      <c r="BM192" s="241"/>
      <c r="BN192" s="66"/>
      <c r="BO192" s="9"/>
      <c r="BP192" s="238"/>
      <c r="BQ192" s="239"/>
      <c r="BR192" s="239"/>
      <c r="BS192" s="9"/>
    </row>
    <row r="193" spans="2:71" ht="15" x14ac:dyDescent="0.25">
      <c r="B193" s="9"/>
      <c r="C193" s="91"/>
      <c r="D193" s="161"/>
      <c r="E193" s="91"/>
      <c r="F193" s="9"/>
      <c r="G193" s="9"/>
      <c r="H193" s="91"/>
      <c r="I193" s="195"/>
      <c r="J193" s="49"/>
      <c r="K193" s="161"/>
      <c r="L193" s="47"/>
      <c r="M193" s="9"/>
      <c r="N193" s="9"/>
      <c r="O193" s="91"/>
      <c r="P193" s="91"/>
      <c r="Q193" s="91"/>
      <c r="R193" s="9"/>
      <c r="S193" s="9"/>
      <c r="T193" s="91"/>
      <c r="U193" s="7"/>
      <c r="V193" s="91"/>
      <c r="W193" s="9"/>
      <c r="X193" s="9"/>
      <c r="Y193" s="91"/>
      <c r="Z193" s="7"/>
      <c r="AA193" s="91"/>
      <c r="AB193" s="9"/>
      <c r="AC193" s="9"/>
      <c r="AD193" s="48"/>
      <c r="AE193" s="49"/>
      <c r="AF193" s="91"/>
      <c r="AG193" s="9"/>
      <c r="AH193" s="9"/>
      <c r="AI193" s="91"/>
      <c r="AJ193" s="237"/>
      <c r="AK193" s="9"/>
      <c r="AL193" s="238"/>
      <c r="AM193" s="239"/>
      <c r="AN193" s="239"/>
      <c r="AO193" s="9"/>
      <c r="AP193" s="9"/>
      <c r="AQ193" s="240"/>
      <c r="AR193" s="241"/>
      <c r="AS193" s="241"/>
      <c r="AT193" s="66"/>
      <c r="AU193" s="9"/>
      <c r="AV193" s="238"/>
      <c r="AW193" s="239"/>
      <c r="AX193" s="239"/>
      <c r="AY193" s="9"/>
      <c r="AZ193" s="9"/>
      <c r="BA193" s="238"/>
      <c r="BB193" s="239"/>
      <c r="BC193" s="239"/>
      <c r="BD193" s="9"/>
      <c r="BE193" s="9"/>
      <c r="BF193" s="238"/>
      <c r="BG193" s="239"/>
      <c r="BH193" s="239"/>
      <c r="BI193" s="9"/>
      <c r="BJ193" s="9"/>
      <c r="BK193" s="240"/>
      <c r="BL193" s="241"/>
      <c r="BM193" s="241"/>
      <c r="BN193" s="66"/>
      <c r="BO193" s="9"/>
      <c r="BP193" s="238"/>
      <c r="BQ193" s="239"/>
      <c r="BR193" s="239"/>
      <c r="BS193" s="9"/>
    </row>
    <row r="194" spans="2:71" ht="15" x14ac:dyDescent="0.25">
      <c r="B194" s="9"/>
      <c r="C194" s="91"/>
      <c r="D194" s="161"/>
      <c r="E194" s="91"/>
      <c r="F194" s="9"/>
      <c r="G194" s="9"/>
      <c r="H194" s="91"/>
      <c r="I194" s="195"/>
      <c r="J194" s="49"/>
      <c r="K194" s="161"/>
      <c r="L194" s="47"/>
      <c r="M194" s="9"/>
      <c r="N194" s="9"/>
      <c r="O194" s="91"/>
      <c r="P194" s="91"/>
      <c r="Q194" s="91"/>
      <c r="R194" s="9"/>
      <c r="S194" s="9"/>
      <c r="T194" s="91"/>
      <c r="U194" s="7"/>
      <c r="V194" s="91"/>
      <c r="W194" s="9"/>
      <c r="X194" s="9"/>
      <c r="Y194" s="91"/>
      <c r="Z194" s="7"/>
      <c r="AA194" s="91"/>
      <c r="AB194" s="9"/>
      <c r="AC194" s="9"/>
      <c r="AD194" s="48"/>
      <c r="AE194" s="49"/>
      <c r="AF194" s="91"/>
      <c r="AG194" s="9"/>
      <c r="AH194" s="9"/>
      <c r="AI194" s="91"/>
      <c r="AJ194" s="237"/>
      <c r="AK194" s="9"/>
      <c r="AL194" s="238"/>
      <c r="AM194" s="239"/>
      <c r="AN194" s="239"/>
      <c r="AO194" s="9"/>
      <c r="AP194" s="9"/>
      <c r="AQ194" s="240"/>
      <c r="AR194" s="241"/>
      <c r="AS194" s="241"/>
      <c r="AT194" s="66"/>
      <c r="AU194" s="9"/>
      <c r="AV194" s="238"/>
      <c r="AW194" s="239"/>
      <c r="AX194" s="239"/>
      <c r="AY194" s="9"/>
      <c r="AZ194" s="9"/>
      <c r="BA194" s="238"/>
      <c r="BB194" s="239"/>
      <c r="BC194" s="239"/>
      <c r="BD194" s="9"/>
      <c r="BE194" s="9"/>
      <c r="BF194" s="238"/>
      <c r="BG194" s="239"/>
      <c r="BH194" s="239"/>
      <c r="BI194" s="9"/>
      <c r="BJ194" s="9"/>
      <c r="BK194" s="240"/>
      <c r="BL194" s="241"/>
      <c r="BM194" s="241"/>
      <c r="BN194" s="66"/>
      <c r="BO194" s="9"/>
      <c r="BP194" s="238"/>
      <c r="BQ194" s="239"/>
      <c r="BR194" s="239"/>
      <c r="BS194" s="9"/>
    </row>
    <row r="195" spans="2:71" ht="15" x14ac:dyDescent="0.25">
      <c r="B195" s="9"/>
      <c r="C195" s="91"/>
      <c r="D195" s="161"/>
      <c r="E195" s="91"/>
      <c r="F195" s="9"/>
      <c r="G195" s="9"/>
      <c r="H195" s="91"/>
      <c r="I195" s="195"/>
      <c r="J195" s="49"/>
      <c r="K195" s="161"/>
      <c r="L195" s="47"/>
      <c r="M195" s="9"/>
      <c r="N195" s="9"/>
      <c r="O195" s="91"/>
      <c r="P195" s="91"/>
      <c r="Q195" s="91"/>
      <c r="R195" s="9"/>
      <c r="S195" s="9"/>
      <c r="T195" s="91"/>
      <c r="U195" s="7"/>
      <c r="V195" s="91"/>
      <c r="W195" s="9"/>
      <c r="X195" s="9"/>
      <c r="Y195" s="91"/>
      <c r="Z195" s="7"/>
      <c r="AA195" s="91"/>
      <c r="AB195" s="9"/>
      <c r="AC195" s="9"/>
      <c r="AD195" s="48"/>
      <c r="AE195" s="49"/>
      <c r="AF195" s="91"/>
      <c r="AG195" s="9"/>
      <c r="AH195" s="9"/>
      <c r="AI195" s="91"/>
      <c r="AJ195" s="237"/>
      <c r="AK195" s="9"/>
      <c r="AL195" s="238"/>
      <c r="AM195" s="239"/>
      <c r="AN195" s="239"/>
      <c r="AO195" s="9"/>
      <c r="AP195" s="9"/>
      <c r="AQ195" s="240"/>
      <c r="AR195" s="241"/>
      <c r="AS195" s="241"/>
      <c r="AT195" s="66"/>
      <c r="AU195" s="9"/>
      <c r="AV195" s="238"/>
      <c r="AW195" s="239"/>
      <c r="AX195" s="239"/>
      <c r="AY195" s="9"/>
      <c r="AZ195" s="9"/>
      <c r="BA195" s="238"/>
      <c r="BB195" s="239"/>
      <c r="BC195" s="239"/>
      <c r="BD195" s="9"/>
      <c r="BE195" s="9"/>
      <c r="BF195" s="238"/>
      <c r="BG195" s="239"/>
      <c r="BH195" s="239"/>
      <c r="BI195" s="9"/>
      <c r="BJ195" s="9"/>
      <c r="BK195" s="240"/>
      <c r="BL195" s="241"/>
      <c r="BM195" s="241"/>
      <c r="BN195" s="66"/>
      <c r="BO195" s="9"/>
      <c r="BP195" s="238"/>
      <c r="BQ195" s="239"/>
      <c r="BR195" s="239"/>
      <c r="BS195" s="9"/>
    </row>
    <row r="196" spans="2:71" ht="15" x14ac:dyDescent="0.25">
      <c r="B196" s="9"/>
      <c r="C196" s="91"/>
      <c r="D196" s="161"/>
      <c r="E196" s="91"/>
      <c r="F196" s="9"/>
      <c r="G196" s="9"/>
      <c r="H196" s="91"/>
      <c r="I196" s="195"/>
      <c r="J196" s="49"/>
      <c r="K196" s="161"/>
      <c r="L196" s="47"/>
      <c r="M196" s="9"/>
      <c r="N196" s="9"/>
      <c r="O196" s="91"/>
      <c r="P196" s="91"/>
      <c r="Q196" s="91"/>
      <c r="R196" s="9"/>
      <c r="S196" s="9"/>
      <c r="T196" s="91"/>
      <c r="U196" s="7"/>
      <c r="V196" s="91"/>
      <c r="W196" s="9"/>
      <c r="X196" s="9"/>
      <c r="Y196" s="91"/>
      <c r="Z196" s="7"/>
      <c r="AA196" s="91"/>
      <c r="AB196" s="9"/>
      <c r="AC196" s="9"/>
      <c r="AD196" s="48"/>
      <c r="AE196" s="49"/>
      <c r="AF196" s="91"/>
      <c r="AG196" s="9"/>
      <c r="AH196" s="9"/>
      <c r="AI196" s="91"/>
      <c r="AJ196" s="237"/>
      <c r="AK196" s="9"/>
      <c r="AL196" s="238"/>
      <c r="AM196" s="239"/>
      <c r="AN196" s="239"/>
      <c r="AO196" s="9"/>
      <c r="AP196" s="9"/>
      <c r="AQ196" s="240"/>
      <c r="AR196" s="241"/>
      <c r="AS196" s="241"/>
      <c r="AT196" s="66"/>
      <c r="AU196" s="9"/>
      <c r="AV196" s="238"/>
      <c r="AW196" s="239"/>
      <c r="AX196" s="239"/>
      <c r="AY196" s="9"/>
      <c r="AZ196" s="9"/>
      <c r="BA196" s="238"/>
      <c r="BB196" s="239"/>
      <c r="BC196" s="239"/>
      <c r="BD196" s="9"/>
      <c r="BE196" s="9"/>
      <c r="BF196" s="238"/>
      <c r="BG196" s="239"/>
      <c r="BH196" s="239"/>
      <c r="BI196" s="9"/>
      <c r="BJ196" s="9"/>
      <c r="BK196" s="240"/>
      <c r="BL196" s="241"/>
      <c r="BM196" s="241"/>
      <c r="BN196" s="66"/>
      <c r="BO196" s="9"/>
      <c r="BP196" s="238"/>
      <c r="BQ196" s="239"/>
      <c r="BR196" s="239"/>
      <c r="BS196" s="9"/>
    </row>
    <row r="197" spans="2:71" ht="15" x14ac:dyDescent="0.25">
      <c r="B197" s="9"/>
      <c r="C197" s="91"/>
      <c r="D197" s="161"/>
      <c r="E197" s="91"/>
      <c r="F197" s="9"/>
      <c r="G197" s="9"/>
      <c r="H197" s="91"/>
      <c r="I197" s="195"/>
      <c r="J197" s="49"/>
      <c r="K197" s="161"/>
      <c r="L197" s="47"/>
      <c r="M197" s="9"/>
      <c r="N197" s="9"/>
      <c r="O197" s="91"/>
      <c r="P197" s="91"/>
      <c r="Q197" s="91"/>
      <c r="R197" s="9"/>
      <c r="S197" s="9"/>
      <c r="T197" s="91"/>
      <c r="U197" s="7"/>
      <c r="V197" s="91"/>
      <c r="W197" s="9"/>
      <c r="X197" s="9"/>
      <c r="Y197" s="91"/>
      <c r="Z197" s="7"/>
      <c r="AA197" s="91"/>
      <c r="AB197" s="9"/>
      <c r="AC197" s="9"/>
      <c r="AD197" s="48"/>
      <c r="AE197" s="49"/>
      <c r="AF197" s="91"/>
      <c r="AG197" s="9"/>
      <c r="AH197" s="9"/>
      <c r="AI197" s="91"/>
      <c r="AJ197" s="237"/>
      <c r="AK197" s="9"/>
      <c r="AL197" s="238"/>
      <c r="AM197" s="239"/>
      <c r="AN197" s="239"/>
      <c r="AO197" s="9"/>
      <c r="AP197" s="9"/>
      <c r="AQ197" s="240"/>
      <c r="AR197" s="241"/>
      <c r="AS197" s="241"/>
      <c r="AT197" s="66"/>
      <c r="AU197" s="9"/>
      <c r="AV197" s="238"/>
      <c r="AW197" s="239"/>
      <c r="AX197" s="239"/>
      <c r="AY197" s="9"/>
      <c r="AZ197" s="9"/>
      <c r="BA197" s="238"/>
      <c r="BB197" s="239"/>
      <c r="BC197" s="239"/>
      <c r="BD197" s="9"/>
      <c r="BE197" s="9"/>
      <c r="BF197" s="238"/>
      <c r="BG197" s="239"/>
      <c r="BH197" s="239"/>
      <c r="BI197" s="9"/>
      <c r="BJ197" s="9"/>
      <c r="BK197" s="240"/>
      <c r="BL197" s="241"/>
      <c r="BM197" s="241"/>
      <c r="BN197" s="66"/>
      <c r="BO197" s="9"/>
      <c r="BP197" s="238"/>
      <c r="BQ197" s="239"/>
      <c r="BR197" s="239"/>
      <c r="BS197" s="9"/>
    </row>
    <row r="198" spans="2:71" ht="15" x14ac:dyDescent="0.25">
      <c r="B198" s="9"/>
      <c r="C198" s="91"/>
      <c r="D198" s="161"/>
      <c r="E198" s="91"/>
      <c r="F198" s="9"/>
      <c r="G198" s="9"/>
      <c r="H198" s="91"/>
      <c r="I198" s="195"/>
      <c r="J198" s="49"/>
      <c r="K198" s="161"/>
      <c r="L198" s="47"/>
      <c r="M198" s="9"/>
      <c r="N198" s="9"/>
      <c r="O198" s="91"/>
      <c r="P198" s="91"/>
      <c r="Q198" s="91"/>
      <c r="R198" s="9"/>
      <c r="S198" s="9"/>
      <c r="T198" s="91"/>
      <c r="U198" s="7"/>
      <c r="V198" s="91"/>
      <c r="W198" s="9"/>
      <c r="X198" s="9"/>
      <c r="Y198" s="91"/>
      <c r="Z198" s="7"/>
      <c r="AA198" s="91"/>
      <c r="AB198" s="9"/>
      <c r="AC198" s="9"/>
      <c r="AD198" s="48"/>
      <c r="AE198" s="49"/>
      <c r="AF198" s="91"/>
      <c r="AG198" s="9"/>
      <c r="AH198" s="9"/>
      <c r="AI198" s="91"/>
      <c r="AJ198" s="237"/>
      <c r="AK198" s="9"/>
      <c r="AL198" s="238"/>
      <c r="AM198" s="239"/>
      <c r="AN198" s="239"/>
      <c r="AO198" s="9"/>
      <c r="AP198" s="9"/>
      <c r="AQ198" s="240"/>
      <c r="AR198" s="241"/>
      <c r="AS198" s="241"/>
      <c r="AT198" s="66"/>
      <c r="AU198" s="9"/>
      <c r="AV198" s="238"/>
      <c r="AW198" s="239"/>
      <c r="AX198" s="239"/>
      <c r="AY198" s="9"/>
      <c r="AZ198" s="9"/>
      <c r="BA198" s="238"/>
      <c r="BB198" s="239"/>
      <c r="BC198" s="239"/>
      <c r="BD198" s="9"/>
      <c r="BE198" s="9"/>
      <c r="BF198" s="238"/>
      <c r="BG198" s="239"/>
      <c r="BH198" s="239"/>
      <c r="BI198" s="9"/>
      <c r="BJ198" s="9"/>
      <c r="BK198" s="240"/>
      <c r="BL198" s="241"/>
      <c r="BM198" s="241"/>
      <c r="BN198" s="66"/>
      <c r="BO198" s="9"/>
      <c r="BP198" s="238"/>
      <c r="BQ198" s="239"/>
      <c r="BR198" s="239"/>
      <c r="BS198" s="9"/>
    </row>
    <row r="199" spans="2:71" ht="15" x14ac:dyDescent="0.25">
      <c r="B199" s="9"/>
      <c r="C199" s="91"/>
      <c r="D199" s="161"/>
      <c r="E199" s="91"/>
      <c r="F199" s="9"/>
      <c r="G199" s="9"/>
      <c r="H199" s="91"/>
      <c r="I199" s="195"/>
      <c r="J199" s="49"/>
      <c r="K199" s="161"/>
      <c r="L199" s="47"/>
      <c r="M199" s="9"/>
      <c r="N199" s="9"/>
      <c r="O199" s="91"/>
      <c r="P199" s="91"/>
      <c r="Q199" s="91"/>
      <c r="R199" s="9"/>
      <c r="S199" s="9"/>
      <c r="T199" s="91"/>
      <c r="U199" s="7"/>
      <c r="V199" s="91"/>
      <c r="W199" s="9"/>
      <c r="X199" s="9"/>
      <c r="Y199" s="91"/>
      <c r="Z199" s="7"/>
      <c r="AA199" s="91"/>
      <c r="AB199" s="9"/>
      <c r="AC199" s="9"/>
      <c r="AD199" s="48"/>
      <c r="AE199" s="49"/>
      <c r="AF199" s="91"/>
      <c r="AG199" s="9"/>
      <c r="AH199" s="9"/>
      <c r="AI199" s="91"/>
      <c r="AJ199" s="237"/>
      <c r="AK199" s="9"/>
      <c r="AL199" s="238"/>
      <c r="AM199" s="239"/>
      <c r="AN199" s="239"/>
      <c r="AO199" s="9"/>
      <c r="AP199" s="9"/>
      <c r="AQ199" s="240"/>
      <c r="AR199" s="241"/>
      <c r="AS199" s="241"/>
      <c r="AT199" s="66"/>
      <c r="AU199" s="9"/>
      <c r="AV199" s="238"/>
      <c r="AW199" s="239"/>
      <c r="AX199" s="239"/>
      <c r="AY199" s="9"/>
      <c r="AZ199" s="9"/>
      <c r="BA199" s="238"/>
      <c r="BB199" s="239"/>
      <c r="BC199" s="239"/>
      <c r="BD199" s="9"/>
      <c r="BE199" s="9"/>
      <c r="BF199" s="238"/>
      <c r="BG199" s="239"/>
      <c r="BH199" s="239"/>
      <c r="BI199" s="9"/>
      <c r="BJ199" s="9"/>
      <c r="BK199" s="240"/>
      <c r="BL199" s="241"/>
      <c r="BM199" s="241"/>
      <c r="BN199" s="66"/>
      <c r="BO199" s="9"/>
      <c r="BP199" s="238"/>
      <c r="BQ199" s="239"/>
      <c r="BR199" s="239"/>
      <c r="BS199" s="9"/>
    </row>
    <row r="200" spans="2:71" ht="15" x14ac:dyDescent="0.25">
      <c r="B200" s="9"/>
      <c r="C200" s="91"/>
      <c r="D200" s="161"/>
      <c r="E200" s="91"/>
      <c r="F200" s="9"/>
      <c r="G200" s="9"/>
      <c r="H200" s="91"/>
      <c r="I200" s="195"/>
      <c r="J200" s="49"/>
      <c r="K200" s="161"/>
      <c r="L200" s="47"/>
      <c r="M200" s="9"/>
      <c r="N200" s="9"/>
      <c r="O200" s="91"/>
      <c r="P200" s="91"/>
      <c r="Q200" s="91"/>
      <c r="R200" s="9"/>
      <c r="S200" s="9"/>
      <c r="T200" s="91"/>
      <c r="U200" s="7"/>
      <c r="V200" s="91"/>
      <c r="W200" s="9"/>
      <c r="X200" s="9"/>
      <c r="Y200" s="91"/>
      <c r="Z200" s="7"/>
      <c r="AA200" s="91"/>
      <c r="AB200" s="9"/>
      <c r="AC200" s="9"/>
      <c r="AD200" s="48"/>
      <c r="AE200" s="49"/>
      <c r="AF200" s="91"/>
      <c r="AG200" s="9"/>
      <c r="AH200" s="9"/>
      <c r="AI200" s="91"/>
      <c r="AJ200" s="237"/>
      <c r="AK200" s="9"/>
      <c r="AL200" s="238"/>
      <c r="AM200" s="239"/>
      <c r="AN200" s="239"/>
      <c r="AO200" s="9"/>
      <c r="AP200" s="9"/>
      <c r="AQ200" s="240"/>
      <c r="AR200" s="241"/>
      <c r="AS200" s="241"/>
      <c r="AT200" s="66"/>
      <c r="AU200" s="9"/>
      <c r="AV200" s="238"/>
      <c r="AW200" s="239"/>
      <c r="AX200" s="239"/>
      <c r="AY200" s="9"/>
      <c r="AZ200" s="9"/>
      <c r="BA200" s="238"/>
      <c r="BB200" s="239"/>
      <c r="BC200" s="239"/>
      <c r="BD200" s="9"/>
      <c r="BE200" s="9"/>
      <c r="BF200" s="238"/>
      <c r="BG200" s="239"/>
      <c r="BH200" s="239"/>
      <c r="BI200" s="9"/>
      <c r="BJ200" s="9"/>
      <c r="BK200" s="240"/>
      <c r="BL200" s="241"/>
      <c r="BM200" s="241"/>
      <c r="BN200" s="66"/>
      <c r="BO200" s="9"/>
      <c r="BP200" s="238"/>
      <c r="BQ200" s="239"/>
      <c r="BR200" s="239"/>
      <c r="BS200" s="9"/>
    </row>
    <row r="201" spans="2:71" ht="15" x14ac:dyDescent="0.25">
      <c r="B201" s="9"/>
      <c r="C201" s="91"/>
      <c r="D201" s="161"/>
      <c r="E201" s="91"/>
      <c r="F201" s="9"/>
      <c r="G201" s="9"/>
      <c r="H201" s="91"/>
      <c r="I201" s="195"/>
      <c r="J201" s="49"/>
      <c r="K201" s="161"/>
      <c r="L201" s="47"/>
      <c r="M201" s="9"/>
      <c r="N201" s="9"/>
      <c r="O201" s="91"/>
      <c r="P201" s="91"/>
      <c r="Q201" s="91"/>
      <c r="R201" s="9"/>
      <c r="S201" s="9"/>
      <c r="T201" s="91"/>
      <c r="U201" s="7"/>
      <c r="V201" s="91"/>
      <c r="W201" s="9"/>
      <c r="X201" s="9"/>
      <c r="Y201" s="91"/>
      <c r="Z201" s="7"/>
      <c r="AA201" s="91"/>
      <c r="AB201" s="9"/>
      <c r="AC201" s="9"/>
      <c r="AD201" s="48"/>
      <c r="AE201" s="49"/>
      <c r="AF201" s="91"/>
      <c r="AG201" s="9"/>
      <c r="AH201" s="9"/>
      <c r="AI201" s="91"/>
      <c r="AJ201" s="237"/>
      <c r="AK201" s="9"/>
      <c r="AL201" s="238"/>
      <c r="AM201" s="239"/>
      <c r="AN201" s="239"/>
      <c r="AO201" s="9"/>
      <c r="AP201" s="9"/>
      <c r="AQ201" s="240"/>
      <c r="AR201" s="241"/>
      <c r="AS201" s="241"/>
      <c r="AT201" s="66"/>
      <c r="AU201" s="9"/>
      <c r="AV201" s="238"/>
      <c r="AW201" s="239"/>
      <c r="AX201" s="239"/>
      <c r="AY201" s="9"/>
      <c r="AZ201" s="9"/>
      <c r="BA201" s="238"/>
      <c r="BB201" s="239"/>
      <c r="BC201" s="239"/>
      <c r="BD201" s="9"/>
      <c r="BE201" s="9"/>
      <c r="BF201" s="238"/>
      <c r="BG201" s="239"/>
      <c r="BH201" s="239"/>
      <c r="BI201" s="9"/>
      <c r="BJ201" s="9"/>
      <c r="BK201" s="240"/>
      <c r="BL201" s="241"/>
      <c r="BM201" s="241"/>
      <c r="BN201" s="66"/>
      <c r="BO201" s="9"/>
      <c r="BP201" s="238"/>
      <c r="BQ201" s="239"/>
      <c r="BR201" s="239"/>
      <c r="BS201" s="9"/>
    </row>
    <row r="202" spans="2:71" ht="15" x14ac:dyDescent="0.25">
      <c r="B202" s="9"/>
      <c r="C202" s="91"/>
      <c r="D202" s="161"/>
      <c r="E202" s="91"/>
      <c r="F202" s="9"/>
      <c r="G202" s="9"/>
      <c r="H202" s="91"/>
      <c r="I202" s="195"/>
      <c r="J202" s="49"/>
      <c r="K202" s="161"/>
      <c r="L202" s="47"/>
      <c r="M202" s="9"/>
      <c r="N202" s="9"/>
      <c r="O202" s="91"/>
      <c r="P202" s="91"/>
      <c r="Q202" s="91"/>
      <c r="R202" s="9"/>
      <c r="S202" s="9"/>
      <c r="T202" s="91"/>
      <c r="U202" s="7"/>
      <c r="V202" s="91"/>
      <c r="W202" s="9"/>
      <c r="X202" s="9"/>
      <c r="Y202" s="91"/>
      <c r="Z202" s="7"/>
      <c r="AA202" s="91"/>
      <c r="AB202" s="9"/>
      <c r="AC202" s="9"/>
      <c r="AD202" s="48"/>
      <c r="AE202" s="49"/>
      <c r="AF202" s="91"/>
      <c r="AG202" s="9"/>
      <c r="AH202" s="9"/>
      <c r="AI202" s="91"/>
      <c r="AJ202" s="237"/>
      <c r="AK202" s="9"/>
      <c r="AL202" s="238"/>
      <c r="AM202" s="239"/>
      <c r="AN202" s="239"/>
      <c r="AO202" s="9"/>
      <c r="AP202" s="9"/>
      <c r="AQ202" s="240"/>
      <c r="AR202" s="241"/>
      <c r="AS202" s="241"/>
      <c r="AT202" s="66"/>
      <c r="AU202" s="9"/>
      <c r="AV202" s="238"/>
      <c r="AW202" s="239"/>
      <c r="AX202" s="239"/>
      <c r="AY202" s="9"/>
      <c r="AZ202" s="9"/>
      <c r="BA202" s="238"/>
      <c r="BB202" s="239"/>
      <c r="BC202" s="239"/>
      <c r="BD202" s="9"/>
      <c r="BE202" s="9"/>
      <c r="BF202" s="238"/>
      <c r="BG202" s="239"/>
      <c r="BH202" s="239"/>
      <c r="BI202" s="9"/>
      <c r="BJ202" s="9"/>
      <c r="BK202" s="240"/>
      <c r="BL202" s="241"/>
      <c r="BM202" s="241"/>
      <c r="BN202" s="66"/>
      <c r="BO202" s="9"/>
      <c r="BP202" s="238"/>
      <c r="BQ202" s="239"/>
      <c r="BR202" s="239"/>
      <c r="BS202" s="9"/>
    </row>
    <row r="203" spans="2:71" ht="15" x14ac:dyDescent="0.25">
      <c r="B203" s="9"/>
      <c r="C203" s="91"/>
      <c r="D203" s="161"/>
      <c r="E203" s="91"/>
      <c r="F203" s="9"/>
      <c r="G203" s="9"/>
      <c r="H203" s="91"/>
      <c r="I203" s="195"/>
      <c r="J203" s="49"/>
      <c r="K203" s="161"/>
      <c r="L203" s="47"/>
      <c r="M203" s="9"/>
      <c r="N203" s="9"/>
      <c r="O203" s="91"/>
      <c r="P203" s="91"/>
      <c r="Q203" s="91"/>
      <c r="R203" s="9"/>
      <c r="S203" s="9"/>
      <c r="T203" s="91"/>
      <c r="U203" s="7"/>
      <c r="V203" s="91"/>
      <c r="W203" s="9"/>
      <c r="X203" s="9"/>
      <c r="Y203" s="91"/>
      <c r="Z203" s="7"/>
      <c r="AA203" s="91"/>
      <c r="AB203" s="9"/>
      <c r="AC203" s="9"/>
      <c r="AD203" s="48"/>
      <c r="AE203" s="49"/>
      <c r="AF203" s="91"/>
      <c r="AG203" s="9"/>
      <c r="AH203" s="9"/>
      <c r="AI203" s="91"/>
      <c r="AJ203" s="237"/>
      <c r="AK203" s="9"/>
      <c r="AL203" s="238"/>
      <c r="AM203" s="239"/>
      <c r="AN203" s="239"/>
      <c r="AO203" s="9"/>
      <c r="AP203" s="9"/>
      <c r="AQ203" s="240"/>
      <c r="AR203" s="241"/>
      <c r="AS203" s="241"/>
      <c r="AT203" s="66"/>
      <c r="AU203" s="9"/>
      <c r="AV203" s="238"/>
      <c r="AW203" s="239"/>
      <c r="AX203" s="239"/>
      <c r="AY203" s="9"/>
      <c r="AZ203" s="9"/>
      <c r="BA203" s="238"/>
      <c r="BB203" s="239"/>
      <c r="BC203" s="239"/>
      <c r="BD203" s="9"/>
      <c r="BE203" s="9"/>
      <c r="BF203" s="238"/>
      <c r="BG203" s="239"/>
      <c r="BH203" s="239"/>
      <c r="BI203" s="9"/>
      <c r="BJ203" s="9"/>
      <c r="BK203" s="240"/>
      <c r="BL203" s="241"/>
      <c r="BM203" s="241"/>
      <c r="BN203" s="66"/>
      <c r="BO203" s="9"/>
      <c r="BP203" s="238"/>
      <c r="BQ203" s="239"/>
      <c r="BR203" s="239"/>
      <c r="BS203" s="9"/>
    </row>
    <row r="204" spans="2:71" ht="15" x14ac:dyDescent="0.25">
      <c r="B204" s="9"/>
      <c r="C204" s="91"/>
      <c r="D204" s="161"/>
      <c r="E204" s="91"/>
      <c r="F204" s="9"/>
      <c r="G204" s="9"/>
      <c r="H204" s="91"/>
      <c r="I204" s="195"/>
      <c r="J204" s="49"/>
      <c r="K204" s="161"/>
      <c r="L204" s="47"/>
      <c r="M204" s="9"/>
      <c r="N204" s="9"/>
      <c r="O204" s="91"/>
      <c r="P204" s="91"/>
      <c r="Q204" s="91"/>
      <c r="R204" s="9"/>
      <c r="S204" s="9"/>
      <c r="T204" s="91"/>
      <c r="U204" s="7"/>
      <c r="V204" s="91"/>
      <c r="W204" s="9"/>
      <c r="X204" s="9"/>
      <c r="Y204" s="91"/>
      <c r="Z204" s="7"/>
      <c r="AA204" s="91"/>
      <c r="AB204" s="9"/>
      <c r="AC204" s="9"/>
      <c r="AD204" s="48"/>
      <c r="AE204" s="49"/>
      <c r="AF204" s="91"/>
      <c r="AG204" s="9"/>
      <c r="AH204" s="9"/>
      <c r="AI204" s="91"/>
      <c r="AJ204" s="237"/>
      <c r="AK204" s="9"/>
      <c r="AL204" s="238"/>
      <c r="AM204" s="239"/>
      <c r="AN204" s="239"/>
      <c r="AO204" s="9"/>
      <c r="AP204" s="9"/>
      <c r="AQ204" s="240"/>
      <c r="AR204" s="241"/>
      <c r="AS204" s="241"/>
      <c r="AT204" s="66"/>
      <c r="AU204" s="9"/>
      <c r="AV204" s="238"/>
      <c r="AW204" s="239"/>
      <c r="AX204" s="239"/>
      <c r="AY204" s="9"/>
      <c r="AZ204" s="9"/>
      <c r="BA204" s="238"/>
      <c r="BB204" s="239"/>
      <c r="BC204" s="239"/>
      <c r="BD204" s="9"/>
      <c r="BE204" s="9"/>
      <c r="BF204" s="238"/>
      <c r="BG204" s="239"/>
      <c r="BH204" s="239"/>
      <c r="BI204" s="9"/>
      <c r="BJ204" s="9"/>
      <c r="BK204" s="240"/>
      <c r="BL204" s="241"/>
      <c r="BM204" s="241"/>
      <c r="BN204" s="66"/>
      <c r="BO204" s="9"/>
      <c r="BP204" s="238"/>
      <c r="BQ204" s="239"/>
      <c r="BR204" s="239"/>
      <c r="BS204" s="9"/>
    </row>
    <row r="205" spans="2:71" ht="15" x14ac:dyDescent="0.25">
      <c r="B205" s="9"/>
      <c r="C205" s="91"/>
      <c r="D205" s="161"/>
      <c r="E205" s="91"/>
      <c r="F205" s="9"/>
      <c r="G205" s="9"/>
      <c r="H205" s="91"/>
      <c r="I205" s="195"/>
      <c r="J205" s="49"/>
      <c r="K205" s="161"/>
      <c r="L205" s="47"/>
      <c r="M205" s="9"/>
      <c r="N205" s="9"/>
      <c r="O205" s="91"/>
      <c r="P205" s="91"/>
      <c r="Q205" s="91"/>
      <c r="R205" s="9"/>
      <c r="S205" s="9"/>
      <c r="T205" s="91"/>
      <c r="U205" s="7"/>
      <c r="V205" s="91"/>
      <c r="W205" s="9"/>
      <c r="X205" s="9"/>
      <c r="Y205" s="91"/>
      <c r="Z205" s="7"/>
      <c r="AA205" s="91"/>
      <c r="AB205" s="9"/>
      <c r="AC205" s="9"/>
      <c r="AD205" s="48"/>
      <c r="AE205" s="49"/>
      <c r="AF205" s="91"/>
      <c r="AG205" s="9"/>
      <c r="AH205" s="9"/>
      <c r="AI205" s="91"/>
      <c r="AJ205" s="237"/>
      <c r="AK205" s="9"/>
      <c r="AL205" s="238"/>
      <c r="AM205" s="239"/>
      <c r="AN205" s="239"/>
      <c r="AO205" s="9"/>
      <c r="AP205" s="9"/>
      <c r="AQ205" s="240"/>
      <c r="AR205" s="241"/>
      <c r="AS205" s="241"/>
      <c r="AT205" s="66"/>
      <c r="AU205" s="9"/>
      <c r="AV205" s="238"/>
      <c r="AW205" s="239"/>
      <c r="AX205" s="239"/>
      <c r="AY205" s="9"/>
      <c r="AZ205" s="9"/>
      <c r="BA205" s="238"/>
      <c r="BB205" s="239"/>
      <c r="BC205" s="239"/>
      <c r="BD205" s="9"/>
      <c r="BE205" s="9"/>
      <c r="BF205" s="238"/>
      <c r="BG205" s="239"/>
      <c r="BH205" s="239"/>
      <c r="BI205" s="9"/>
      <c r="BJ205" s="9"/>
      <c r="BK205" s="240"/>
      <c r="BL205" s="241"/>
      <c r="BM205" s="241"/>
      <c r="BN205" s="66"/>
      <c r="BO205" s="9"/>
      <c r="BP205" s="238"/>
      <c r="BQ205" s="239"/>
      <c r="BR205" s="239"/>
      <c r="BS205" s="9"/>
    </row>
    <row r="206" spans="2:71" ht="15" x14ac:dyDescent="0.25">
      <c r="B206" s="9"/>
      <c r="C206" s="91"/>
      <c r="D206" s="161"/>
      <c r="E206" s="91"/>
      <c r="F206" s="9"/>
      <c r="G206" s="9"/>
      <c r="H206" s="91"/>
      <c r="I206" s="195"/>
      <c r="J206" s="49"/>
      <c r="K206" s="161"/>
      <c r="L206" s="47"/>
      <c r="M206" s="9"/>
      <c r="N206" s="9"/>
      <c r="O206" s="91"/>
      <c r="P206" s="91"/>
      <c r="Q206" s="91"/>
      <c r="R206" s="9"/>
      <c r="S206" s="9"/>
      <c r="T206" s="91"/>
      <c r="U206" s="7"/>
      <c r="V206" s="91"/>
      <c r="W206" s="9"/>
      <c r="X206" s="9"/>
      <c r="Y206" s="91"/>
      <c r="Z206" s="7"/>
      <c r="AA206" s="91"/>
      <c r="AB206" s="9"/>
      <c r="AC206" s="9"/>
      <c r="AD206" s="48"/>
      <c r="AE206" s="49"/>
      <c r="AF206" s="91"/>
      <c r="AG206" s="9"/>
      <c r="AH206" s="9"/>
      <c r="AI206" s="91"/>
      <c r="AJ206" s="237"/>
      <c r="AK206" s="9"/>
      <c r="AL206" s="238"/>
      <c r="AM206" s="239"/>
      <c r="AN206" s="239"/>
      <c r="AO206" s="9"/>
      <c r="AP206" s="9"/>
      <c r="AQ206" s="240"/>
      <c r="AR206" s="241"/>
      <c r="AS206" s="241"/>
      <c r="AT206" s="66"/>
      <c r="AU206" s="9"/>
      <c r="AV206" s="238"/>
      <c r="AW206" s="239"/>
      <c r="AX206" s="239"/>
      <c r="AY206" s="9"/>
      <c r="AZ206" s="9"/>
      <c r="BA206" s="238"/>
      <c r="BB206" s="239"/>
      <c r="BC206" s="239"/>
      <c r="BD206" s="9"/>
      <c r="BE206" s="9"/>
      <c r="BF206" s="238"/>
      <c r="BG206" s="239"/>
      <c r="BH206" s="239"/>
      <c r="BI206" s="9"/>
      <c r="BJ206" s="9"/>
      <c r="BK206" s="240"/>
      <c r="BL206" s="241"/>
      <c r="BM206" s="241"/>
      <c r="BN206" s="66"/>
      <c r="BO206" s="9"/>
      <c r="BP206" s="238"/>
      <c r="BQ206" s="239"/>
      <c r="BR206" s="239"/>
      <c r="BS206" s="9"/>
    </row>
    <row r="207" spans="2:71" ht="15" x14ac:dyDescent="0.25">
      <c r="B207" s="9"/>
      <c r="C207" s="91"/>
      <c r="D207" s="161"/>
      <c r="E207" s="91"/>
      <c r="F207" s="9"/>
      <c r="G207" s="9"/>
      <c r="H207" s="91"/>
      <c r="I207" s="195"/>
      <c r="J207" s="49"/>
      <c r="K207" s="161"/>
      <c r="L207" s="47"/>
      <c r="M207" s="9"/>
      <c r="N207" s="9"/>
      <c r="O207" s="91"/>
      <c r="P207" s="91"/>
      <c r="Q207" s="91"/>
      <c r="R207" s="9"/>
      <c r="S207" s="9"/>
      <c r="T207" s="91"/>
      <c r="U207" s="7"/>
      <c r="V207" s="91"/>
      <c r="W207" s="9"/>
      <c r="X207" s="9"/>
      <c r="Y207" s="91"/>
      <c r="Z207" s="7"/>
      <c r="AA207" s="91"/>
      <c r="AB207" s="9"/>
      <c r="AC207" s="9"/>
      <c r="AD207" s="48"/>
      <c r="AE207" s="49"/>
      <c r="AF207" s="91"/>
      <c r="AG207" s="9"/>
      <c r="AH207" s="9"/>
      <c r="AI207" s="91"/>
      <c r="AJ207" s="237"/>
      <c r="AK207" s="9"/>
      <c r="AL207" s="238"/>
      <c r="AM207" s="239"/>
      <c r="AN207" s="239"/>
      <c r="AO207" s="9"/>
      <c r="AP207" s="9"/>
      <c r="AQ207" s="240"/>
      <c r="AR207" s="241"/>
      <c r="AS207" s="241"/>
      <c r="AT207" s="66"/>
      <c r="AU207" s="9"/>
      <c r="AV207" s="238"/>
      <c r="AW207" s="239"/>
      <c r="AX207" s="239"/>
      <c r="AY207" s="9"/>
      <c r="AZ207" s="9"/>
      <c r="BA207" s="238"/>
      <c r="BB207" s="239"/>
      <c r="BC207" s="239"/>
      <c r="BD207" s="9"/>
      <c r="BE207" s="9"/>
      <c r="BF207" s="238"/>
      <c r="BG207" s="239"/>
      <c r="BH207" s="239"/>
      <c r="BI207" s="9"/>
      <c r="BJ207" s="9"/>
      <c r="BK207" s="240"/>
      <c r="BL207" s="241"/>
      <c r="BM207" s="241"/>
      <c r="BN207" s="66"/>
      <c r="BO207" s="9"/>
      <c r="BP207" s="238"/>
      <c r="BQ207" s="239"/>
      <c r="BR207" s="239"/>
      <c r="BS207" s="9"/>
    </row>
    <row r="208" spans="2:71" ht="15" x14ac:dyDescent="0.25">
      <c r="B208" s="9"/>
      <c r="C208" s="91"/>
      <c r="D208" s="161"/>
      <c r="E208" s="91"/>
      <c r="F208" s="9"/>
      <c r="G208" s="9"/>
      <c r="H208" s="91"/>
      <c r="I208" s="195"/>
      <c r="J208" s="49"/>
      <c r="K208" s="161"/>
      <c r="L208" s="47"/>
      <c r="M208" s="9"/>
      <c r="N208" s="9"/>
      <c r="O208" s="91"/>
      <c r="P208" s="91"/>
      <c r="Q208" s="91"/>
      <c r="R208" s="9"/>
      <c r="S208" s="9"/>
      <c r="T208" s="91"/>
      <c r="U208" s="7"/>
      <c r="V208" s="91"/>
      <c r="W208" s="9"/>
      <c r="X208" s="9"/>
      <c r="Y208" s="91"/>
      <c r="Z208" s="7"/>
      <c r="AA208" s="91"/>
      <c r="AB208" s="9"/>
      <c r="AC208" s="9"/>
      <c r="AD208" s="48"/>
      <c r="AE208" s="49"/>
      <c r="AF208" s="91"/>
      <c r="AG208" s="9"/>
      <c r="AH208" s="9"/>
      <c r="AI208" s="91"/>
      <c r="AJ208" s="237"/>
      <c r="AK208" s="9"/>
      <c r="AL208" s="238"/>
      <c r="AM208" s="239"/>
      <c r="AN208" s="239"/>
      <c r="AO208" s="9"/>
      <c r="AP208" s="9"/>
      <c r="AQ208" s="240"/>
      <c r="AR208" s="241"/>
      <c r="AS208" s="241"/>
      <c r="AT208" s="66"/>
      <c r="AU208" s="9"/>
      <c r="AV208" s="238"/>
      <c r="AW208" s="239"/>
      <c r="AX208" s="239"/>
      <c r="AY208" s="9"/>
      <c r="AZ208" s="9"/>
      <c r="BA208" s="238"/>
      <c r="BB208" s="239"/>
      <c r="BC208" s="239"/>
      <c r="BD208" s="9"/>
      <c r="BE208" s="9"/>
      <c r="BF208" s="238"/>
      <c r="BG208" s="239"/>
      <c r="BH208" s="239"/>
      <c r="BI208" s="9"/>
      <c r="BJ208" s="9"/>
      <c r="BK208" s="240"/>
      <c r="BL208" s="241"/>
      <c r="BM208" s="241"/>
      <c r="BN208" s="66"/>
      <c r="BO208" s="9"/>
      <c r="BP208" s="238"/>
      <c r="BQ208" s="239"/>
      <c r="BR208" s="239"/>
      <c r="BS208" s="9"/>
    </row>
    <row r="209" spans="2:71" ht="15" x14ac:dyDescent="0.25">
      <c r="B209" s="9"/>
      <c r="C209" s="91"/>
      <c r="D209" s="161"/>
      <c r="E209" s="91"/>
      <c r="F209" s="9"/>
      <c r="G209" s="9"/>
      <c r="H209" s="91"/>
      <c r="I209" s="195"/>
      <c r="J209" s="49"/>
      <c r="K209" s="161"/>
      <c r="L209" s="47"/>
      <c r="M209" s="9"/>
      <c r="N209" s="9"/>
      <c r="O209" s="91"/>
      <c r="P209" s="91"/>
      <c r="Q209" s="91"/>
      <c r="R209" s="9"/>
      <c r="S209" s="9"/>
      <c r="T209" s="91"/>
      <c r="U209" s="7"/>
      <c r="V209" s="91"/>
      <c r="W209" s="9"/>
      <c r="X209" s="9"/>
      <c r="Y209" s="91"/>
      <c r="Z209" s="7"/>
      <c r="AA209" s="91"/>
      <c r="AB209" s="9"/>
      <c r="AC209" s="9"/>
      <c r="AD209" s="48"/>
      <c r="AE209" s="49"/>
      <c r="AF209" s="91"/>
      <c r="AG209" s="9"/>
      <c r="AH209" s="9"/>
      <c r="AI209" s="91"/>
      <c r="AJ209" s="237"/>
      <c r="AK209" s="9"/>
      <c r="AL209" s="238"/>
      <c r="AM209" s="239"/>
      <c r="AN209" s="239"/>
      <c r="AO209" s="9"/>
      <c r="AP209" s="9"/>
      <c r="AQ209" s="240"/>
      <c r="AR209" s="241"/>
      <c r="AS209" s="241"/>
      <c r="AT209" s="66"/>
      <c r="AU209" s="9"/>
      <c r="AV209" s="238"/>
      <c r="AW209" s="239"/>
      <c r="AX209" s="239"/>
      <c r="AY209" s="9"/>
      <c r="AZ209" s="9"/>
      <c r="BA209" s="238"/>
      <c r="BB209" s="239"/>
      <c r="BC209" s="239"/>
      <c r="BD209" s="9"/>
      <c r="BE209" s="9"/>
      <c r="BF209" s="238"/>
      <c r="BG209" s="239"/>
      <c r="BH209" s="239"/>
      <c r="BI209" s="9"/>
      <c r="BJ209" s="9"/>
      <c r="BK209" s="240"/>
      <c r="BL209" s="241"/>
      <c r="BM209" s="241"/>
      <c r="BN209" s="66"/>
      <c r="BO209" s="9"/>
      <c r="BP209" s="238"/>
      <c r="BQ209" s="239"/>
      <c r="BR209" s="239"/>
      <c r="BS209" s="9"/>
    </row>
    <row r="210" spans="2:71" ht="15" x14ac:dyDescent="0.25">
      <c r="B210" s="9"/>
      <c r="C210" s="91"/>
      <c r="D210" s="161"/>
      <c r="E210" s="91"/>
      <c r="F210" s="9"/>
      <c r="G210" s="9"/>
      <c r="H210" s="91"/>
      <c r="I210" s="195"/>
      <c r="J210" s="49"/>
      <c r="K210" s="161"/>
      <c r="L210" s="47"/>
      <c r="M210" s="9"/>
      <c r="N210" s="9"/>
      <c r="O210" s="91"/>
      <c r="P210" s="91"/>
      <c r="Q210" s="91"/>
      <c r="R210" s="9"/>
      <c r="S210" s="9"/>
      <c r="T210" s="91"/>
      <c r="U210" s="7"/>
      <c r="V210" s="91"/>
      <c r="W210" s="9"/>
      <c r="X210" s="9"/>
      <c r="Y210" s="91"/>
      <c r="Z210" s="7"/>
      <c r="AA210" s="91"/>
      <c r="AB210" s="9"/>
      <c r="AC210" s="9"/>
      <c r="AD210" s="48"/>
      <c r="AE210" s="49"/>
      <c r="AF210" s="91"/>
      <c r="AG210" s="9"/>
      <c r="AH210" s="9"/>
      <c r="AI210" s="91"/>
      <c r="AJ210" s="237"/>
      <c r="AK210" s="9"/>
      <c r="AL210" s="238"/>
      <c r="AM210" s="239"/>
      <c r="AN210" s="239"/>
      <c r="AO210" s="9"/>
      <c r="AP210" s="9"/>
      <c r="AQ210" s="240"/>
      <c r="AR210" s="241"/>
      <c r="AS210" s="241"/>
      <c r="AT210" s="66"/>
      <c r="AU210" s="9"/>
      <c r="AV210" s="238"/>
      <c r="AW210" s="239"/>
      <c r="AX210" s="239"/>
      <c r="AY210" s="9"/>
      <c r="AZ210" s="9"/>
      <c r="BA210" s="238"/>
      <c r="BB210" s="239"/>
      <c r="BC210" s="239"/>
      <c r="BD210" s="9"/>
      <c r="BE210" s="9"/>
      <c r="BF210" s="238"/>
      <c r="BG210" s="239"/>
      <c r="BH210" s="239"/>
      <c r="BI210" s="9"/>
      <c r="BJ210" s="9"/>
      <c r="BK210" s="240"/>
      <c r="BL210" s="241"/>
      <c r="BM210" s="241"/>
      <c r="BN210" s="66"/>
      <c r="BO210" s="9"/>
      <c r="BP210" s="238"/>
      <c r="BQ210" s="239"/>
      <c r="BR210" s="239"/>
      <c r="BS210" s="9"/>
    </row>
    <row r="211" spans="2:71" ht="15" x14ac:dyDescent="0.25">
      <c r="B211" s="9"/>
      <c r="C211" s="91"/>
      <c r="D211" s="161"/>
      <c r="E211" s="91"/>
      <c r="F211" s="9"/>
      <c r="G211" s="9"/>
      <c r="H211" s="91"/>
      <c r="I211" s="195"/>
      <c r="J211" s="49"/>
      <c r="K211" s="161"/>
      <c r="L211" s="47"/>
      <c r="M211" s="9"/>
      <c r="N211" s="9"/>
      <c r="O211" s="91"/>
      <c r="P211" s="91"/>
      <c r="Q211" s="91"/>
      <c r="R211" s="9"/>
      <c r="S211" s="9"/>
      <c r="T211" s="91"/>
      <c r="U211" s="7"/>
      <c r="V211" s="91"/>
      <c r="W211" s="9"/>
      <c r="X211" s="9"/>
      <c r="Y211" s="91"/>
      <c r="Z211" s="7"/>
      <c r="AA211" s="91"/>
      <c r="AB211" s="9"/>
      <c r="AC211" s="9"/>
      <c r="AD211" s="48"/>
      <c r="AE211" s="49"/>
      <c r="AF211" s="91"/>
      <c r="AG211" s="9"/>
      <c r="AH211" s="9"/>
      <c r="AI211" s="91"/>
      <c r="AJ211" s="237"/>
      <c r="AK211" s="9"/>
      <c r="AL211" s="238"/>
      <c r="AM211" s="239"/>
      <c r="AN211" s="239"/>
      <c r="AO211" s="9"/>
      <c r="AP211" s="9"/>
      <c r="AQ211" s="240"/>
      <c r="AR211" s="241"/>
      <c r="AS211" s="241"/>
      <c r="AT211" s="66"/>
      <c r="AU211" s="9"/>
      <c r="AV211" s="238"/>
      <c r="AW211" s="239"/>
      <c r="AX211" s="239"/>
      <c r="AY211" s="9"/>
      <c r="AZ211" s="9"/>
      <c r="BA211" s="238"/>
      <c r="BB211" s="239"/>
      <c r="BC211" s="239"/>
      <c r="BD211" s="9"/>
      <c r="BE211" s="9"/>
      <c r="BF211" s="238"/>
      <c r="BG211" s="239"/>
      <c r="BH211" s="239"/>
      <c r="BI211" s="9"/>
      <c r="BJ211" s="9"/>
      <c r="BK211" s="240"/>
      <c r="BL211" s="241"/>
      <c r="BM211" s="241"/>
      <c r="BN211" s="66"/>
      <c r="BO211" s="9"/>
      <c r="BP211" s="238"/>
      <c r="BQ211" s="239"/>
      <c r="BR211" s="239"/>
      <c r="BS211" s="9"/>
    </row>
    <row r="212" spans="2:71" ht="15" x14ac:dyDescent="0.25">
      <c r="B212" s="9"/>
      <c r="C212" s="91"/>
      <c r="D212" s="161"/>
      <c r="E212" s="91"/>
      <c r="F212" s="9"/>
      <c r="G212" s="9"/>
      <c r="H212" s="91"/>
      <c r="I212" s="195"/>
      <c r="J212" s="49"/>
      <c r="K212" s="161"/>
      <c r="L212" s="47"/>
      <c r="M212" s="9"/>
      <c r="N212" s="9"/>
      <c r="O212" s="91"/>
      <c r="P212" s="91"/>
      <c r="Q212" s="91"/>
      <c r="R212" s="9"/>
      <c r="S212" s="9"/>
      <c r="T212" s="91"/>
      <c r="U212" s="7"/>
      <c r="V212" s="91"/>
      <c r="W212" s="9"/>
      <c r="X212" s="9"/>
      <c r="Y212" s="91"/>
      <c r="Z212" s="7"/>
      <c r="AA212" s="91"/>
      <c r="AB212" s="9"/>
      <c r="AC212" s="9"/>
      <c r="AD212" s="48"/>
      <c r="AE212" s="49"/>
      <c r="AF212" s="91"/>
      <c r="AG212" s="9"/>
      <c r="AH212" s="9"/>
      <c r="AI212" s="91"/>
      <c r="AJ212" s="237"/>
      <c r="AK212" s="9"/>
      <c r="AL212" s="238"/>
      <c r="AM212" s="239"/>
      <c r="AN212" s="239"/>
      <c r="AO212" s="9"/>
      <c r="AP212" s="9"/>
      <c r="AQ212" s="240"/>
      <c r="AR212" s="241"/>
      <c r="AS212" s="241"/>
      <c r="AT212" s="66"/>
      <c r="AU212" s="9"/>
      <c r="AV212" s="238"/>
      <c r="AW212" s="239"/>
      <c r="AX212" s="239"/>
      <c r="AY212" s="9"/>
      <c r="AZ212" s="9"/>
      <c r="BA212" s="238"/>
      <c r="BB212" s="239"/>
      <c r="BC212" s="239"/>
      <c r="BD212" s="9"/>
      <c r="BE212" s="9"/>
      <c r="BF212" s="238"/>
      <c r="BG212" s="239"/>
      <c r="BH212" s="239"/>
      <c r="BI212" s="9"/>
      <c r="BJ212" s="9"/>
      <c r="BK212" s="240"/>
      <c r="BL212" s="241"/>
      <c r="BM212" s="241"/>
      <c r="BN212" s="66"/>
      <c r="BO212" s="9"/>
      <c r="BP212" s="238"/>
      <c r="BQ212" s="239"/>
      <c r="BR212" s="239"/>
      <c r="BS212" s="9"/>
    </row>
    <row r="213" spans="2:71" ht="15" x14ac:dyDescent="0.25">
      <c r="B213" s="9"/>
      <c r="C213" s="91"/>
      <c r="D213" s="161"/>
      <c r="E213" s="91"/>
      <c r="F213" s="9"/>
      <c r="G213" s="9"/>
      <c r="H213" s="91"/>
      <c r="I213" s="195"/>
      <c r="J213" s="49"/>
      <c r="K213" s="161"/>
      <c r="L213" s="47"/>
      <c r="M213" s="9"/>
      <c r="N213" s="9"/>
      <c r="O213" s="91"/>
      <c r="P213" s="91"/>
      <c r="Q213" s="91"/>
      <c r="R213" s="9"/>
      <c r="S213" s="9"/>
      <c r="T213" s="91"/>
      <c r="U213" s="7"/>
      <c r="V213" s="91"/>
      <c r="W213" s="9"/>
      <c r="X213" s="9"/>
      <c r="Y213" s="91"/>
      <c r="Z213" s="7"/>
      <c r="AA213" s="91"/>
      <c r="AB213" s="9"/>
      <c r="AC213" s="9"/>
      <c r="AD213" s="48"/>
      <c r="AE213" s="49"/>
      <c r="AF213" s="91"/>
      <c r="AG213" s="9"/>
      <c r="AH213" s="9"/>
      <c r="AI213" s="91"/>
      <c r="AJ213" s="237"/>
      <c r="AK213" s="9"/>
      <c r="AL213" s="238"/>
      <c r="AM213" s="239"/>
      <c r="AN213" s="239"/>
      <c r="AO213" s="9"/>
      <c r="AP213" s="9"/>
      <c r="AQ213" s="240"/>
      <c r="AR213" s="241"/>
      <c r="AS213" s="241"/>
      <c r="AT213" s="66"/>
      <c r="AU213" s="9"/>
      <c r="AV213" s="238"/>
      <c r="AW213" s="239"/>
      <c r="AX213" s="239"/>
      <c r="AY213" s="9"/>
      <c r="AZ213" s="9"/>
      <c r="BA213" s="238"/>
      <c r="BB213" s="239"/>
      <c r="BC213" s="239"/>
      <c r="BD213" s="9"/>
      <c r="BE213" s="9"/>
      <c r="BF213" s="238"/>
      <c r="BG213" s="239"/>
      <c r="BH213" s="239"/>
      <c r="BI213" s="9"/>
      <c r="BJ213" s="9"/>
      <c r="BK213" s="240"/>
      <c r="BL213" s="241"/>
      <c r="BM213" s="241"/>
      <c r="BN213" s="66"/>
      <c r="BO213" s="9"/>
      <c r="BP213" s="238"/>
      <c r="BQ213" s="239"/>
      <c r="BR213" s="239"/>
      <c r="BS213" s="9"/>
    </row>
    <row r="214" spans="2:71" ht="15" x14ac:dyDescent="0.25">
      <c r="B214" s="9"/>
      <c r="C214" s="91"/>
      <c r="D214" s="161"/>
      <c r="E214" s="91"/>
      <c r="F214" s="9"/>
      <c r="G214" s="9"/>
      <c r="H214" s="91"/>
      <c r="I214" s="195"/>
      <c r="J214" s="49"/>
      <c r="K214" s="161"/>
      <c r="L214" s="47"/>
      <c r="M214" s="9"/>
      <c r="N214" s="9"/>
      <c r="O214" s="91"/>
      <c r="P214" s="91"/>
      <c r="Q214" s="91"/>
      <c r="R214" s="9"/>
      <c r="S214" s="9"/>
      <c r="T214" s="91"/>
      <c r="U214" s="7"/>
      <c r="V214" s="91"/>
      <c r="W214" s="9"/>
      <c r="X214" s="9"/>
      <c r="Y214" s="91"/>
      <c r="Z214" s="7"/>
      <c r="AA214" s="91"/>
      <c r="AB214" s="9"/>
      <c r="AC214" s="9"/>
      <c r="AD214" s="48"/>
      <c r="AE214" s="49"/>
      <c r="AF214" s="91"/>
      <c r="AG214" s="9"/>
      <c r="AH214" s="9"/>
      <c r="AI214" s="91"/>
      <c r="AJ214" s="237"/>
      <c r="AK214" s="9"/>
      <c r="AL214" s="238"/>
      <c r="AM214" s="239"/>
      <c r="AN214" s="239"/>
      <c r="AO214" s="9"/>
      <c r="AP214" s="9"/>
      <c r="AQ214" s="240"/>
      <c r="AR214" s="241"/>
      <c r="AS214" s="241"/>
      <c r="AT214" s="66"/>
      <c r="AU214" s="9"/>
      <c r="AV214" s="238"/>
      <c r="AW214" s="239"/>
      <c r="AX214" s="239"/>
      <c r="AY214" s="9"/>
      <c r="AZ214" s="9"/>
      <c r="BA214" s="238"/>
      <c r="BB214" s="239"/>
      <c r="BC214" s="239"/>
      <c r="BD214" s="9"/>
      <c r="BE214" s="9"/>
      <c r="BF214" s="238"/>
      <c r="BG214" s="239"/>
      <c r="BH214" s="239"/>
      <c r="BI214" s="9"/>
      <c r="BJ214" s="9"/>
      <c r="BK214" s="240"/>
      <c r="BL214" s="241"/>
      <c r="BM214" s="241"/>
      <c r="BN214" s="66"/>
      <c r="BO214" s="9"/>
      <c r="BP214" s="238"/>
      <c r="BQ214" s="239"/>
      <c r="BR214" s="239"/>
      <c r="BS214" s="9"/>
    </row>
    <row r="215" spans="2:71" ht="15" x14ac:dyDescent="0.25">
      <c r="B215" s="9"/>
      <c r="C215" s="91"/>
      <c r="D215" s="161"/>
      <c r="E215" s="91"/>
      <c r="F215" s="9"/>
      <c r="G215" s="9"/>
      <c r="H215" s="91"/>
      <c r="I215" s="195"/>
      <c r="J215" s="49"/>
      <c r="K215" s="161"/>
      <c r="L215" s="47"/>
      <c r="M215" s="9"/>
      <c r="N215" s="9"/>
      <c r="O215" s="91"/>
      <c r="P215" s="91"/>
      <c r="Q215" s="91"/>
      <c r="R215" s="9"/>
      <c r="S215" s="9"/>
      <c r="T215" s="91"/>
      <c r="U215" s="7"/>
      <c r="V215" s="91"/>
      <c r="W215" s="9"/>
      <c r="X215" s="9"/>
      <c r="Y215" s="91"/>
      <c r="Z215" s="7"/>
      <c r="AA215" s="91"/>
      <c r="AB215" s="9"/>
      <c r="AC215" s="9"/>
      <c r="AD215" s="48"/>
      <c r="AE215" s="49"/>
      <c r="AF215" s="91"/>
      <c r="AG215" s="9"/>
      <c r="AH215" s="9"/>
      <c r="AI215" s="91"/>
      <c r="AJ215" s="237"/>
      <c r="AK215" s="9"/>
      <c r="AL215" s="238"/>
      <c r="AM215" s="239"/>
      <c r="AN215" s="239"/>
      <c r="AO215" s="9"/>
      <c r="AP215" s="9"/>
      <c r="AQ215" s="240"/>
      <c r="AR215" s="241"/>
      <c r="AS215" s="241"/>
      <c r="AT215" s="66"/>
      <c r="AU215" s="9"/>
      <c r="AV215" s="238"/>
      <c r="AW215" s="239"/>
      <c r="AX215" s="239"/>
      <c r="AY215" s="9"/>
      <c r="AZ215" s="9"/>
      <c r="BA215" s="238"/>
      <c r="BB215" s="239"/>
      <c r="BC215" s="239"/>
      <c r="BD215" s="9"/>
      <c r="BE215" s="9"/>
      <c r="BF215" s="238"/>
      <c r="BG215" s="239"/>
      <c r="BH215" s="239"/>
      <c r="BI215" s="9"/>
      <c r="BJ215" s="9"/>
      <c r="BK215" s="240"/>
      <c r="BL215" s="241"/>
      <c r="BM215" s="241"/>
      <c r="BN215" s="66"/>
      <c r="BO215" s="9"/>
      <c r="BP215" s="238"/>
      <c r="BQ215" s="239"/>
      <c r="BR215" s="239"/>
      <c r="BS215" s="9"/>
    </row>
    <row r="216" spans="2:71" ht="15" x14ac:dyDescent="0.25">
      <c r="B216" s="9"/>
      <c r="C216" s="91"/>
      <c r="D216" s="161"/>
      <c r="E216" s="91"/>
      <c r="F216" s="9"/>
      <c r="G216" s="9"/>
      <c r="H216" s="91"/>
      <c r="I216" s="195"/>
      <c r="J216" s="49"/>
      <c r="K216" s="161"/>
      <c r="L216" s="47"/>
      <c r="M216" s="9"/>
      <c r="N216" s="9"/>
      <c r="O216" s="91"/>
      <c r="P216" s="91"/>
      <c r="Q216" s="91"/>
      <c r="R216" s="9"/>
      <c r="S216" s="9"/>
      <c r="T216" s="91"/>
      <c r="U216" s="7"/>
      <c r="V216" s="91"/>
      <c r="W216" s="9"/>
      <c r="X216" s="9"/>
      <c r="Y216" s="91"/>
      <c r="Z216" s="7"/>
      <c r="AA216" s="91"/>
      <c r="AB216" s="9"/>
      <c r="AC216" s="9"/>
      <c r="AD216" s="48"/>
      <c r="AE216" s="49"/>
      <c r="AF216" s="91"/>
      <c r="AG216" s="9"/>
      <c r="AH216" s="9"/>
      <c r="AI216" s="91"/>
      <c r="AJ216" s="237"/>
      <c r="AK216" s="9"/>
      <c r="AL216" s="238"/>
      <c r="AM216" s="239"/>
      <c r="AN216" s="239"/>
      <c r="AO216" s="9"/>
      <c r="AP216" s="9"/>
      <c r="AQ216" s="240"/>
      <c r="AR216" s="241"/>
      <c r="AS216" s="241"/>
      <c r="AT216" s="66"/>
      <c r="AU216" s="9"/>
      <c r="AV216" s="238"/>
      <c r="AW216" s="239"/>
      <c r="AX216" s="239"/>
      <c r="AY216" s="9"/>
      <c r="AZ216" s="9"/>
      <c r="BA216" s="238"/>
      <c r="BB216" s="239"/>
      <c r="BC216" s="239"/>
      <c r="BD216" s="9"/>
      <c r="BE216" s="9"/>
      <c r="BF216" s="238"/>
      <c r="BG216" s="239"/>
      <c r="BH216" s="239"/>
      <c r="BI216" s="9"/>
      <c r="BJ216" s="9"/>
      <c r="BK216" s="240"/>
      <c r="BL216" s="241"/>
      <c r="BM216" s="241"/>
      <c r="BN216" s="66"/>
      <c r="BO216" s="9"/>
      <c r="BP216" s="238"/>
      <c r="BQ216" s="239"/>
      <c r="BR216" s="239"/>
      <c r="BS216" s="9"/>
    </row>
    <row r="217" spans="2:71" ht="15" x14ac:dyDescent="0.25">
      <c r="B217" s="9"/>
      <c r="C217" s="91"/>
      <c r="D217" s="161"/>
      <c r="E217" s="91"/>
      <c r="F217" s="9"/>
      <c r="G217" s="9"/>
      <c r="H217" s="91"/>
      <c r="I217" s="195"/>
      <c r="J217" s="49"/>
      <c r="K217" s="161"/>
      <c r="L217" s="47"/>
      <c r="M217" s="9"/>
      <c r="N217" s="9"/>
      <c r="O217" s="91"/>
      <c r="P217" s="91"/>
      <c r="Q217" s="91"/>
      <c r="R217" s="9"/>
      <c r="S217" s="9"/>
      <c r="T217" s="91"/>
      <c r="U217" s="7"/>
      <c r="V217" s="91"/>
      <c r="W217" s="9"/>
      <c r="X217" s="9"/>
      <c r="Y217" s="91"/>
      <c r="Z217" s="7"/>
      <c r="AA217" s="91"/>
      <c r="AB217" s="9"/>
      <c r="AC217" s="9"/>
      <c r="AD217" s="48"/>
      <c r="AE217" s="49"/>
      <c r="AF217" s="91"/>
      <c r="AG217" s="9"/>
      <c r="AH217" s="9"/>
      <c r="AI217" s="91"/>
      <c r="AJ217" s="237"/>
      <c r="AK217" s="9"/>
      <c r="AL217" s="238"/>
      <c r="AM217" s="239"/>
      <c r="AN217" s="239"/>
      <c r="AO217" s="9"/>
      <c r="AP217" s="9"/>
      <c r="AQ217" s="240"/>
      <c r="AR217" s="241"/>
      <c r="AS217" s="241"/>
      <c r="AT217" s="66"/>
      <c r="AU217" s="9"/>
      <c r="AV217" s="238"/>
      <c r="AW217" s="239"/>
      <c r="AX217" s="239"/>
      <c r="AY217" s="9"/>
      <c r="AZ217" s="9"/>
      <c r="BA217" s="238"/>
      <c r="BB217" s="239"/>
      <c r="BC217" s="239"/>
      <c r="BD217" s="9"/>
      <c r="BE217" s="9"/>
      <c r="BF217" s="238"/>
      <c r="BG217" s="239"/>
      <c r="BH217" s="239"/>
      <c r="BI217" s="9"/>
      <c r="BJ217" s="9"/>
      <c r="BK217" s="240"/>
      <c r="BL217" s="241"/>
      <c r="BM217" s="241"/>
      <c r="BN217" s="66"/>
      <c r="BO217" s="9"/>
      <c r="BP217" s="238"/>
      <c r="BQ217" s="239"/>
      <c r="BR217" s="239"/>
      <c r="BS217" s="9"/>
    </row>
    <row r="218" spans="2:71" ht="15" x14ac:dyDescent="0.25">
      <c r="B218" s="9"/>
      <c r="C218" s="91"/>
      <c r="D218" s="161"/>
      <c r="E218" s="91"/>
      <c r="F218" s="9"/>
      <c r="G218" s="9"/>
      <c r="H218" s="91"/>
      <c r="I218" s="195"/>
      <c r="J218" s="49"/>
      <c r="K218" s="161"/>
      <c r="L218" s="47"/>
      <c r="M218" s="9"/>
      <c r="N218" s="9"/>
      <c r="O218" s="91"/>
      <c r="P218" s="91"/>
      <c r="Q218" s="91"/>
      <c r="R218" s="9"/>
      <c r="S218" s="9"/>
      <c r="T218" s="91"/>
      <c r="U218" s="7"/>
      <c r="V218" s="91"/>
      <c r="W218" s="9"/>
      <c r="X218" s="9"/>
      <c r="Y218" s="91"/>
      <c r="Z218" s="7"/>
      <c r="AA218" s="91"/>
      <c r="AB218" s="9"/>
      <c r="AC218" s="9"/>
      <c r="AD218" s="48"/>
      <c r="AE218" s="49"/>
      <c r="AF218" s="91"/>
      <c r="AG218" s="9"/>
      <c r="AH218" s="9"/>
      <c r="AI218" s="91"/>
      <c r="AJ218" s="237"/>
      <c r="AK218" s="9"/>
      <c r="AL218" s="238"/>
      <c r="AM218" s="239"/>
      <c r="AN218" s="239"/>
      <c r="AO218" s="9"/>
      <c r="AP218" s="9"/>
      <c r="AQ218" s="240"/>
      <c r="AR218" s="241"/>
      <c r="AS218" s="241"/>
      <c r="AT218" s="66"/>
      <c r="AU218" s="9"/>
      <c r="AV218" s="238"/>
      <c r="AW218" s="239"/>
      <c r="AX218" s="239"/>
      <c r="AY218" s="9"/>
      <c r="AZ218" s="9"/>
      <c r="BA218" s="238"/>
      <c r="BB218" s="239"/>
      <c r="BC218" s="239"/>
      <c r="BD218" s="9"/>
      <c r="BE218" s="9"/>
      <c r="BF218" s="238"/>
      <c r="BG218" s="239"/>
      <c r="BH218" s="239"/>
      <c r="BI218" s="9"/>
      <c r="BJ218" s="9"/>
      <c r="BK218" s="240"/>
      <c r="BL218" s="241"/>
      <c r="BM218" s="241"/>
      <c r="BN218" s="66"/>
      <c r="BO218" s="9"/>
      <c r="BP218" s="238"/>
      <c r="BQ218" s="239"/>
      <c r="BR218" s="239"/>
      <c r="BS218" s="9"/>
    </row>
    <row r="219" spans="2:71" ht="15" x14ac:dyDescent="0.25">
      <c r="B219" s="9"/>
      <c r="C219" s="91"/>
      <c r="D219" s="161"/>
      <c r="E219" s="91"/>
      <c r="F219" s="9"/>
      <c r="G219" s="9"/>
      <c r="H219" s="91"/>
      <c r="I219" s="195"/>
      <c r="J219" s="49"/>
      <c r="K219" s="161"/>
      <c r="L219" s="47"/>
      <c r="M219" s="9"/>
      <c r="N219" s="9"/>
      <c r="O219" s="91"/>
      <c r="P219" s="91"/>
      <c r="Q219" s="91"/>
      <c r="R219" s="9"/>
      <c r="S219" s="9"/>
      <c r="T219" s="91"/>
      <c r="U219" s="7"/>
      <c r="V219" s="91"/>
      <c r="W219" s="9"/>
      <c r="X219" s="9"/>
      <c r="Y219" s="91"/>
      <c r="Z219" s="7"/>
      <c r="AA219" s="91"/>
      <c r="AB219" s="9"/>
      <c r="AC219" s="9"/>
      <c r="AD219" s="48"/>
      <c r="AE219" s="49"/>
      <c r="AF219" s="91"/>
      <c r="AG219" s="9"/>
      <c r="AH219" s="9"/>
      <c r="AI219" s="91"/>
      <c r="AJ219" s="237"/>
      <c r="AK219" s="9"/>
      <c r="AL219" s="238"/>
      <c r="AM219" s="239"/>
      <c r="AN219" s="239"/>
      <c r="AO219" s="9"/>
      <c r="AP219" s="9"/>
      <c r="AQ219" s="240"/>
      <c r="AR219" s="241"/>
      <c r="AS219" s="241"/>
      <c r="AT219" s="66"/>
      <c r="AU219" s="9"/>
      <c r="AV219" s="238"/>
      <c r="AW219" s="239"/>
      <c r="AX219" s="239"/>
      <c r="AY219" s="9"/>
      <c r="AZ219" s="9"/>
      <c r="BA219" s="238"/>
      <c r="BB219" s="239"/>
      <c r="BC219" s="239"/>
      <c r="BD219" s="9"/>
      <c r="BE219" s="9"/>
      <c r="BF219" s="238"/>
      <c r="BG219" s="239"/>
      <c r="BH219" s="239"/>
      <c r="BI219" s="9"/>
      <c r="BJ219" s="9"/>
      <c r="BK219" s="240"/>
      <c r="BL219" s="241"/>
      <c r="BM219" s="241"/>
      <c r="BN219" s="66"/>
      <c r="BO219" s="9"/>
      <c r="BP219" s="238"/>
      <c r="BQ219" s="239"/>
      <c r="BR219" s="239"/>
      <c r="BS219" s="9"/>
    </row>
    <row r="220" spans="2:71" ht="15" x14ac:dyDescent="0.25">
      <c r="B220" s="9"/>
      <c r="C220" s="91"/>
      <c r="D220" s="161"/>
      <c r="E220" s="91"/>
      <c r="F220" s="9"/>
      <c r="G220" s="9"/>
      <c r="H220" s="91"/>
      <c r="I220" s="195"/>
      <c r="J220" s="49"/>
      <c r="K220" s="161"/>
      <c r="L220" s="47"/>
      <c r="M220" s="9"/>
      <c r="N220" s="9"/>
      <c r="O220" s="91"/>
      <c r="P220" s="91"/>
      <c r="Q220" s="91"/>
      <c r="R220" s="9"/>
      <c r="S220" s="9"/>
      <c r="T220" s="91"/>
      <c r="U220" s="7"/>
      <c r="V220" s="91"/>
      <c r="W220" s="9"/>
      <c r="X220" s="9"/>
      <c r="Y220" s="91"/>
      <c r="Z220" s="7"/>
      <c r="AA220" s="91"/>
      <c r="AB220" s="9"/>
      <c r="AC220" s="9"/>
      <c r="AD220" s="48"/>
      <c r="AE220" s="49"/>
      <c r="AF220" s="91"/>
      <c r="AG220" s="9"/>
      <c r="AH220" s="9"/>
      <c r="AI220" s="91"/>
      <c r="AJ220" s="237"/>
      <c r="AK220" s="9"/>
      <c r="AL220" s="238"/>
      <c r="AM220" s="239"/>
      <c r="AN220" s="239"/>
      <c r="AO220" s="9"/>
      <c r="AP220" s="9"/>
      <c r="AQ220" s="240"/>
      <c r="AR220" s="241"/>
      <c r="AS220" s="241"/>
      <c r="AT220" s="66"/>
      <c r="AU220" s="9"/>
      <c r="AV220" s="238"/>
      <c r="AW220" s="239"/>
      <c r="AX220" s="239"/>
      <c r="AY220" s="9"/>
      <c r="AZ220" s="9"/>
      <c r="BA220" s="238"/>
      <c r="BB220" s="239"/>
      <c r="BC220" s="239"/>
      <c r="BD220" s="9"/>
      <c r="BE220" s="9"/>
      <c r="BF220" s="238"/>
      <c r="BG220" s="239"/>
      <c r="BH220" s="239"/>
      <c r="BI220" s="9"/>
      <c r="BJ220" s="9"/>
      <c r="BK220" s="240"/>
      <c r="BL220" s="241"/>
      <c r="BM220" s="241"/>
      <c r="BN220" s="66"/>
      <c r="BO220" s="9"/>
      <c r="BP220" s="238"/>
      <c r="BQ220" s="239"/>
      <c r="BR220" s="239"/>
      <c r="BS220" s="9"/>
    </row>
    <row r="221" spans="2:71" ht="15" x14ac:dyDescent="0.25">
      <c r="B221" s="9"/>
      <c r="C221" s="91"/>
      <c r="D221" s="161"/>
      <c r="E221" s="91"/>
      <c r="F221" s="9"/>
      <c r="G221" s="9"/>
      <c r="H221" s="91"/>
      <c r="I221" s="195"/>
      <c r="J221" s="49"/>
      <c r="K221" s="161"/>
      <c r="L221" s="47"/>
      <c r="M221" s="9"/>
      <c r="N221" s="9"/>
      <c r="O221" s="91"/>
      <c r="P221" s="91"/>
      <c r="Q221" s="91"/>
      <c r="R221" s="9"/>
      <c r="S221" s="9"/>
      <c r="T221" s="91"/>
      <c r="U221" s="7"/>
      <c r="V221" s="91"/>
      <c r="W221" s="9"/>
      <c r="X221" s="9"/>
      <c r="Y221" s="91"/>
      <c r="Z221" s="7"/>
      <c r="AA221" s="91"/>
      <c r="AB221" s="9"/>
      <c r="AC221" s="9"/>
      <c r="AD221" s="48"/>
      <c r="AE221" s="49"/>
      <c r="AF221" s="91"/>
      <c r="AG221" s="9"/>
      <c r="AH221" s="9"/>
      <c r="AI221" s="91"/>
      <c r="AJ221" s="237"/>
      <c r="AK221" s="9"/>
      <c r="AL221" s="238"/>
      <c r="AM221" s="239"/>
      <c r="AN221" s="239"/>
      <c r="AO221" s="9"/>
      <c r="AP221" s="9"/>
      <c r="AQ221" s="240"/>
      <c r="AR221" s="241"/>
      <c r="AS221" s="241"/>
      <c r="AT221" s="66"/>
      <c r="AU221" s="9"/>
      <c r="AV221" s="238"/>
      <c r="AW221" s="239"/>
      <c r="AX221" s="239"/>
      <c r="AY221" s="9"/>
      <c r="AZ221" s="9"/>
      <c r="BA221" s="238"/>
      <c r="BB221" s="239"/>
      <c r="BC221" s="239"/>
      <c r="BD221" s="9"/>
      <c r="BE221" s="9"/>
      <c r="BF221" s="238"/>
      <c r="BG221" s="239"/>
      <c r="BH221" s="239"/>
      <c r="BI221" s="9"/>
      <c r="BJ221" s="9"/>
      <c r="BK221" s="240"/>
      <c r="BL221" s="241"/>
      <c r="BM221" s="241"/>
      <c r="BN221" s="66"/>
      <c r="BO221" s="9"/>
      <c r="BP221" s="238"/>
      <c r="BQ221" s="239"/>
      <c r="BR221" s="239"/>
      <c r="BS221" s="9"/>
    </row>
    <row r="222" spans="2:71" ht="15" x14ac:dyDescent="0.25">
      <c r="B222" s="9"/>
      <c r="C222" s="91"/>
      <c r="D222" s="161"/>
      <c r="E222" s="91"/>
      <c r="F222" s="9"/>
      <c r="G222" s="9"/>
      <c r="H222" s="91"/>
      <c r="I222" s="195"/>
      <c r="J222" s="49"/>
      <c r="K222" s="161"/>
      <c r="L222" s="47"/>
      <c r="M222" s="9"/>
      <c r="N222" s="9"/>
      <c r="O222" s="91"/>
      <c r="P222" s="91"/>
      <c r="Q222" s="91"/>
      <c r="R222" s="9"/>
      <c r="S222" s="9"/>
      <c r="T222" s="91"/>
      <c r="U222" s="7"/>
      <c r="V222" s="91"/>
      <c r="W222" s="9"/>
      <c r="X222" s="9"/>
      <c r="Y222" s="91"/>
      <c r="Z222" s="7"/>
      <c r="AA222" s="91"/>
      <c r="AB222" s="9"/>
      <c r="AC222" s="9"/>
      <c r="AD222" s="48"/>
      <c r="AE222" s="49"/>
      <c r="AF222" s="91"/>
      <c r="AG222" s="9"/>
      <c r="AH222" s="9"/>
      <c r="AI222" s="91"/>
      <c r="AJ222" s="237"/>
      <c r="AK222" s="9"/>
      <c r="AL222" s="238"/>
      <c r="AM222" s="239"/>
      <c r="AN222" s="239"/>
      <c r="AO222" s="9"/>
      <c r="AP222" s="9"/>
      <c r="AQ222" s="240"/>
      <c r="AR222" s="241"/>
      <c r="AS222" s="241"/>
      <c r="AT222" s="66"/>
      <c r="AU222" s="9"/>
      <c r="AV222" s="238"/>
      <c r="AW222" s="239"/>
      <c r="AX222" s="239"/>
      <c r="AY222" s="9"/>
      <c r="AZ222" s="9"/>
      <c r="BA222" s="238"/>
      <c r="BB222" s="239"/>
      <c r="BC222" s="239"/>
      <c r="BD222" s="9"/>
      <c r="BE222" s="9"/>
      <c r="BF222" s="238"/>
      <c r="BG222" s="239"/>
      <c r="BH222" s="239"/>
      <c r="BI222" s="9"/>
      <c r="BJ222" s="9"/>
      <c r="BK222" s="240"/>
      <c r="BL222" s="241"/>
      <c r="BM222" s="241"/>
      <c r="BN222" s="66"/>
      <c r="BO222" s="9"/>
      <c r="BP222" s="238"/>
      <c r="BQ222" s="239"/>
      <c r="BR222" s="239"/>
      <c r="BS222" s="9"/>
    </row>
    <row r="223" spans="2:71" ht="15" x14ac:dyDescent="0.25">
      <c r="B223" s="9"/>
      <c r="C223" s="91"/>
      <c r="D223" s="161"/>
      <c r="E223" s="91"/>
      <c r="F223" s="9"/>
      <c r="G223" s="9"/>
      <c r="H223" s="91"/>
      <c r="I223" s="195"/>
      <c r="J223" s="49"/>
      <c r="K223" s="161"/>
      <c r="L223" s="47"/>
      <c r="M223" s="9"/>
      <c r="N223" s="9"/>
      <c r="O223" s="91"/>
      <c r="P223" s="91"/>
      <c r="Q223" s="91"/>
      <c r="R223" s="9"/>
      <c r="S223" s="9"/>
      <c r="T223" s="91"/>
      <c r="U223" s="7"/>
      <c r="V223" s="91"/>
      <c r="W223" s="9"/>
      <c r="X223" s="9"/>
      <c r="Y223" s="91"/>
      <c r="Z223" s="7"/>
      <c r="AA223" s="91"/>
      <c r="AB223" s="9"/>
      <c r="AC223" s="9"/>
      <c r="AD223" s="48"/>
      <c r="AE223" s="49"/>
      <c r="AF223" s="91"/>
      <c r="AG223" s="9"/>
      <c r="AH223" s="9"/>
      <c r="AI223" s="91"/>
      <c r="AJ223" s="237"/>
      <c r="AK223" s="9"/>
      <c r="AL223" s="238"/>
      <c r="AM223" s="239"/>
      <c r="AN223" s="239"/>
      <c r="AO223" s="9"/>
      <c r="AP223" s="9"/>
      <c r="AQ223" s="240"/>
      <c r="AR223" s="241"/>
      <c r="AS223" s="241"/>
      <c r="AT223" s="66"/>
      <c r="AU223" s="9"/>
      <c r="AV223" s="238"/>
      <c r="AW223" s="239"/>
      <c r="AX223" s="239"/>
      <c r="AY223" s="9"/>
      <c r="AZ223" s="9"/>
      <c r="BA223" s="238"/>
      <c r="BB223" s="239"/>
      <c r="BC223" s="239"/>
      <c r="BD223" s="9"/>
      <c r="BE223" s="9"/>
      <c r="BF223" s="238"/>
      <c r="BG223" s="239"/>
      <c r="BH223" s="239"/>
      <c r="BI223" s="9"/>
      <c r="BJ223" s="9"/>
      <c r="BK223" s="240"/>
      <c r="BL223" s="241"/>
      <c r="BM223" s="241"/>
      <c r="BN223" s="66"/>
      <c r="BO223" s="9"/>
      <c r="BP223" s="238"/>
      <c r="BQ223" s="239"/>
      <c r="BR223" s="239"/>
      <c r="BS223" s="9"/>
    </row>
    <row r="224" spans="2:71" ht="15" x14ac:dyDescent="0.25">
      <c r="B224" s="9"/>
      <c r="C224" s="91"/>
      <c r="D224" s="161"/>
      <c r="E224" s="91"/>
      <c r="F224" s="9"/>
      <c r="G224" s="9"/>
      <c r="H224" s="91"/>
      <c r="I224" s="195"/>
      <c r="J224" s="49"/>
      <c r="K224" s="161"/>
      <c r="L224" s="47"/>
      <c r="M224" s="9"/>
      <c r="N224" s="9"/>
      <c r="O224" s="91"/>
      <c r="P224" s="91"/>
      <c r="Q224" s="91"/>
      <c r="R224" s="9"/>
      <c r="S224" s="9"/>
      <c r="T224" s="91"/>
      <c r="U224" s="7"/>
      <c r="V224" s="91"/>
      <c r="W224" s="9"/>
      <c r="X224" s="9"/>
      <c r="Y224" s="91"/>
      <c r="Z224" s="7"/>
      <c r="AA224" s="91"/>
      <c r="AB224" s="9"/>
      <c r="AC224" s="9"/>
      <c r="AD224" s="48"/>
      <c r="AE224" s="49"/>
      <c r="AF224" s="91"/>
      <c r="AG224" s="9"/>
      <c r="AH224" s="9"/>
      <c r="AI224" s="91"/>
      <c r="AJ224" s="237"/>
      <c r="AK224" s="9"/>
      <c r="AL224" s="238"/>
      <c r="AM224" s="239"/>
      <c r="AN224" s="239"/>
      <c r="AO224" s="9"/>
      <c r="AP224" s="9"/>
      <c r="AQ224" s="240"/>
      <c r="AR224" s="241"/>
      <c r="AS224" s="241"/>
      <c r="AT224" s="66"/>
      <c r="AU224" s="9"/>
      <c r="AV224" s="238"/>
      <c r="AW224" s="239"/>
      <c r="AX224" s="239"/>
      <c r="AY224" s="9"/>
      <c r="AZ224" s="9"/>
      <c r="BA224" s="238"/>
      <c r="BB224" s="239"/>
      <c r="BC224" s="239"/>
      <c r="BD224" s="9"/>
      <c r="BE224" s="9"/>
      <c r="BF224" s="238"/>
      <c r="BG224" s="239"/>
      <c r="BH224" s="239"/>
      <c r="BI224" s="9"/>
      <c r="BJ224" s="9"/>
      <c r="BK224" s="240"/>
      <c r="BL224" s="241"/>
      <c r="BM224" s="241"/>
      <c r="BN224" s="66"/>
      <c r="BO224" s="9"/>
      <c r="BP224" s="238"/>
      <c r="BQ224" s="239"/>
      <c r="BR224" s="239"/>
      <c r="BS224" s="9"/>
    </row>
    <row r="225" spans="2:71" ht="15" x14ac:dyDescent="0.25">
      <c r="B225" s="9"/>
      <c r="C225" s="91"/>
      <c r="D225" s="161"/>
      <c r="E225" s="91"/>
      <c r="F225" s="9"/>
      <c r="G225" s="9"/>
      <c r="H225" s="91"/>
      <c r="I225" s="195"/>
      <c r="J225" s="49"/>
      <c r="K225" s="161"/>
      <c r="L225" s="47"/>
      <c r="M225" s="9"/>
      <c r="N225" s="9"/>
      <c r="O225" s="91"/>
      <c r="P225" s="91"/>
      <c r="Q225" s="91"/>
      <c r="R225" s="9"/>
      <c r="S225" s="9"/>
      <c r="T225" s="91"/>
      <c r="U225" s="7"/>
      <c r="V225" s="91"/>
      <c r="W225" s="9"/>
      <c r="X225" s="9"/>
      <c r="Y225" s="91"/>
      <c r="Z225" s="7"/>
      <c r="AA225" s="91"/>
      <c r="AB225" s="9"/>
      <c r="AC225" s="9"/>
      <c r="AD225" s="48"/>
      <c r="AE225" s="49"/>
      <c r="AF225" s="91"/>
      <c r="AG225" s="9"/>
      <c r="AH225" s="9"/>
      <c r="AI225" s="91"/>
      <c r="AJ225" s="237"/>
      <c r="AK225" s="9"/>
      <c r="AL225" s="238"/>
      <c r="AM225" s="239"/>
      <c r="AN225" s="239"/>
      <c r="AO225" s="9"/>
      <c r="AP225" s="9"/>
      <c r="AQ225" s="240"/>
      <c r="AR225" s="241"/>
      <c r="AS225" s="241"/>
      <c r="AT225" s="66"/>
      <c r="AU225" s="9"/>
      <c r="AV225" s="238"/>
      <c r="AW225" s="239"/>
      <c r="AX225" s="239"/>
      <c r="AY225" s="9"/>
      <c r="AZ225" s="9"/>
      <c r="BA225" s="238"/>
      <c r="BB225" s="239"/>
      <c r="BC225" s="239"/>
      <c r="BD225" s="9"/>
      <c r="BE225" s="9"/>
      <c r="BF225" s="238"/>
      <c r="BG225" s="239"/>
      <c r="BH225" s="239"/>
      <c r="BI225" s="9"/>
      <c r="BJ225" s="9"/>
      <c r="BK225" s="240"/>
      <c r="BL225" s="241"/>
      <c r="BM225" s="241"/>
      <c r="BN225" s="66"/>
      <c r="BO225" s="9"/>
      <c r="BP225" s="238"/>
      <c r="BQ225" s="239"/>
      <c r="BR225" s="239"/>
      <c r="BS225" s="9"/>
    </row>
    <row r="226" spans="2:71" ht="15" x14ac:dyDescent="0.25">
      <c r="B226" s="9"/>
      <c r="C226" s="91"/>
      <c r="D226" s="161"/>
      <c r="E226" s="91"/>
      <c r="F226" s="9"/>
      <c r="G226" s="9"/>
      <c r="H226" s="91"/>
      <c r="I226" s="195"/>
      <c r="J226" s="49"/>
      <c r="K226" s="161"/>
      <c r="L226" s="47"/>
      <c r="M226" s="9"/>
      <c r="N226" s="9"/>
      <c r="O226" s="91"/>
      <c r="P226" s="91"/>
      <c r="Q226" s="91"/>
      <c r="R226" s="9"/>
      <c r="S226" s="9"/>
      <c r="T226" s="91"/>
      <c r="U226" s="7"/>
      <c r="V226" s="91"/>
      <c r="W226" s="9"/>
      <c r="X226" s="9"/>
      <c r="Y226" s="91"/>
      <c r="Z226" s="7"/>
      <c r="AA226" s="91"/>
      <c r="AB226" s="9"/>
      <c r="AC226" s="9"/>
      <c r="AD226" s="48"/>
      <c r="AE226" s="49"/>
      <c r="AF226" s="91"/>
      <c r="AG226" s="9"/>
      <c r="AH226" s="9"/>
      <c r="AI226" s="91"/>
      <c r="AJ226" s="237"/>
      <c r="AK226" s="9"/>
      <c r="AL226" s="238"/>
      <c r="AM226" s="239"/>
      <c r="AN226" s="239"/>
      <c r="AO226" s="9"/>
      <c r="AP226" s="9"/>
      <c r="AQ226" s="240"/>
      <c r="AR226" s="241"/>
      <c r="AS226" s="241"/>
      <c r="AT226" s="66"/>
      <c r="AU226" s="9"/>
      <c r="AV226" s="238"/>
      <c r="AW226" s="239"/>
      <c r="AX226" s="239"/>
      <c r="AY226" s="9"/>
      <c r="AZ226" s="9"/>
      <c r="BA226" s="238"/>
      <c r="BB226" s="239"/>
      <c r="BC226" s="239"/>
      <c r="BD226" s="9"/>
      <c r="BE226" s="9"/>
      <c r="BF226" s="238"/>
      <c r="BG226" s="239"/>
      <c r="BH226" s="239"/>
      <c r="BI226" s="9"/>
      <c r="BJ226" s="9"/>
      <c r="BK226" s="240"/>
      <c r="BL226" s="241"/>
      <c r="BM226" s="241"/>
      <c r="BN226" s="66"/>
      <c r="BO226" s="9"/>
      <c r="BP226" s="238"/>
      <c r="BQ226" s="239"/>
      <c r="BR226" s="239"/>
      <c r="BS226" s="9"/>
    </row>
    <row r="227" spans="2:71" ht="15" x14ac:dyDescent="0.25">
      <c r="B227" s="9"/>
      <c r="C227" s="91"/>
      <c r="D227" s="161"/>
      <c r="E227" s="91"/>
      <c r="F227" s="9"/>
      <c r="G227" s="9"/>
      <c r="H227" s="91"/>
      <c r="I227" s="195"/>
      <c r="J227" s="49"/>
      <c r="K227" s="161"/>
      <c r="L227" s="47"/>
      <c r="M227" s="9"/>
      <c r="N227" s="9"/>
      <c r="O227" s="91"/>
      <c r="P227" s="91"/>
      <c r="Q227" s="91"/>
      <c r="R227" s="9"/>
      <c r="S227" s="9"/>
      <c r="T227" s="91"/>
      <c r="U227" s="7"/>
      <c r="V227" s="91"/>
      <c r="W227" s="9"/>
      <c r="X227" s="9"/>
      <c r="Y227" s="91"/>
      <c r="Z227" s="7"/>
      <c r="AA227" s="91"/>
      <c r="AB227" s="9"/>
      <c r="AC227" s="9"/>
      <c r="AD227" s="48"/>
      <c r="AE227" s="49"/>
      <c r="AF227" s="91"/>
      <c r="AG227" s="9"/>
      <c r="AH227" s="9"/>
      <c r="AI227" s="91"/>
      <c r="AJ227" s="237"/>
      <c r="AK227" s="9"/>
      <c r="AL227" s="238"/>
      <c r="AM227" s="239"/>
      <c r="AN227" s="239"/>
      <c r="AO227" s="9"/>
      <c r="AP227" s="9"/>
      <c r="AQ227" s="240"/>
      <c r="AR227" s="241"/>
      <c r="AS227" s="241"/>
      <c r="AT227" s="66"/>
      <c r="AU227" s="9"/>
      <c r="AV227" s="238"/>
      <c r="AW227" s="239"/>
      <c r="AX227" s="239"/>
      <c r="AY227" s="9"/>
      <c r="AZ227" s="9"/>
      <c r="BA227" s="238"/>
      <c r="BB227" s="239"/>
      <c r="BC227" s="239"/>
      <c r="BD227" s="9"/>
      <c r="BE227" s="9"/>
      <c r="BF227" s="238"/>
      <c r="BG227" s="239"/>
      <c r="BH227" s="239"/>
      <c r="BI227" s="9"/>
      <c r="BJ227" s="9"/>
      <c r="BK227" s="240"/>
      <c r="BL227" s="241"/>
      <c r="BM227" s="241"/>
      <c r="BN227" s="66"/>
      <c r="BO227" s="9"/>
      <c r="BP227" s="238"/>
      <c r="BQ227" s="239"/>
      <c r="BR227" s="239"/>
      <c r="BS227" s="9"/>
    </row>
    <row r="228" spans="2:71" ht="15" x14ac:dyDescent="0.25">
      <c r="B228" s="9"/>
      <c r="C228" s="91"/>
      <c r="D228" s="161"/>
      <c r="E228" s="91"/>
      <c r="F228" s="9"/>
      <c r="G228" s="9"/>
      <c r="H228" s="91"/>
      <c r="I228" s="195"/>
      <c r="J228" s="49"/>
      <c r="K228" s="161"/>
      <c r="L228" s="47"/>
      <c r="M228" s="9"/>
      <c r="N228" s="9"/>
      <c r="O228" s="91"/>
      <c r="P228" s="91"/>
      <c r="Q228" s="91"/>
      <c r="R228" s="9"/>
      <c r="S228" s="9"/>
      <c r="T228" s="91"/>
      <c r="U228" s="7"/>
      <c r="V228" s="91"/>
      <c r="W228" s="9"/>
      <c r="X228" s="9"/>
      <c r="Y228" s="91"/>
      <c r="Z228" s="7"/>
      <c r="AA228" s="91"/>
      <c r="AB228" s="9"/>
      <c r="AC228" s="9"/>
      <c r="AD228" s="48"/>
      <c r="AE228" s="49"/>
      <c r="AF228" s="91"/>
      <c r="AG228" s="9"/>
      <c r="AH228" s="9"/>
      <c r="AI228" s="91"/>
      <c r="AJ228" s="237"/>
      <c r="AK228" s="9"/>
      <c r="AL228" s="238"/>
      <c r="AM228" s="239"/>
      <c r="AN228" s="239"/>
      <c r="AO228" s="9"/>
      <c r="AP228" s="9"/>
      <c r="AQ228" s="240"/>
      <c r="AR228" s="241"/>
      <c r="AS228" s="241"/>
      <c r="AT228" s="66"/>
      <c r="AU228" s="9"/>
      <c r="AV228" s="238"/>
      <c r="AW228" s="239"/>
      <c r="AX228" s="239"/>
      <c r="AY228" s="9"/>
      <c r="AZ228" s="9"/>
      <c r="BA228" s="238"/>
      <c r="BB228" s="239"/>
      <c r="BC228" s="239"/>
      <c r="BD228" s="9"/>
      <c r="BE228" s="9"/>
      <c r="BF228" s="238"/>
      <c r="BG228" s="239"/>
      <c r="BH228" s="239"/>
      <c r="BI228" s="9"/>
      <c r="BJ228" s="9"/>
      <c r="BK228" s="240"/>
      <c r="BL228" s="241"/>
      <c r="BM228" s="241"/>
      <c r="BN228" s="66"/>
      <c r="BO228" s="9"/>
      <c r="BP228" s="238"/>
      <c r="BQ228" s="239"/>
      <c r="BR228" s="239"/>
      <c r="BS228" s="9"/>
    </row>
    <row r="229" spans="2:71" ht="15" x14ac:dyDescent="0.25">
      <c r="B229" s="9"/>
      <c r="C229" s="91"/>
      <c r="D229" s="161"/>
      <c r="E229" s="91"/>
      <c r="F229" s="9"/>
      <c r="G229" s="9"/>
      <c r="H229" s="91"/>
      <c r="I229" s="195"/>
      <c r="J229" s="49"/>
      <c r="K229" s="161"/>
      <c r="L229" s="47"/>
      <c r="M229" s="9"/>
      <c r="N229" s="9"/>
      <c r="O229" s="91"/>
      <c r="P229" s="91"/>
      <c r="Q229" s="91"/>
      <c r="R229" s="9"/>
      <c r="S229" s="9"/>
      <c r="T229" s="91"/>
      <c r="U229" s="7"/>
      <c r="V229" s="91"/>
      <c r="W229" s="9"/>
      <c r="X229" s="9"/>
      <c r="Y229" s="91"/>
      <c r="Z229" s="7"/>
      <c r="AA229" s="91"/>
      <c r="AB229" s="9"/>
      <c r="AC229" s="9"/>
      <c r="AD229" s="48"/>
      <c r="AE229" s="49"/>
      <c r="AF229" s="91"/>
      <c r="AG229" s="9"/>
      <c r="AH229" s="9"/>
      <c r="AI229" s="91"/>
      <c r="AJ229" s="237"/>
      <c r="AK229" s="9"/>
      <c r="AL229" s="238"/>
      <c r="AM229" s="239"/>
      <c r="AN229" s="239"/>
      <c r="AO229" s="9"/>
      <c r="AP229" s="9"/>
      <c r="AQ229" s="240"/>
      <c r="AR229" s="241"/>
      <c r="AS229" s="241"/>
      <c r="AT229" s="66"/>
      <c r="AU229" s="9"/>
      <c r="AV229" s="238"/>
      <c r="AW229" s="239"/>
      <c r="AX229" s="239"/>
      <c r="AY229" s="9"/>
      <c r="AZ229" s="9"/>
      <c r="BA229" s="238"/>
      <c r="BB229" s="239"/>
      <c r="BC229" s="239"/>
      <c r="BD229" s="9"/>
      <c r="BE229" s="9"/>
      <c r="BF229" s="238"/>
      <c r="BG229" s="239"/>
      <c r="BH229" s="239"/>
      <c r="BI229" s="9"/>
      <c r="BJ229" s="9"/>
      <c r="BK229" s="240"/>
      <c r="BL229" s="241"/>
      <c r="BM229" s="241"/>
      <c r="BN229" s="66"/>
      <c r="BO229" s="9"/>
      <c r="BP229" s="238"/>
      <c r="BQ229" s="239"/>
      <c r="BR229" s="239"/>
      <c r="BS229" s="9"/>
    </row>
    <row r="230" spans="2:71" ht="15" x14ac:dyDescent="0.25">
      <c r="B230" s="9"/>
      <c r="C230" s="91"/>
      <c r="D230" s="161"/>
      <c r="E230" s="91"/>
      <c r="F230" s="9"/>
      <c r="G230" s="9"/>
      <c r="H230" s="91"/>
      <c r="I230" s="195"/>
      <c r="J230" s="49"/>
      <c r="K230" s="161"/>
      <c r="L230" s="47"/>
      <c r="M230" s="9"/>
      <c r="N230" s="9"/>
      <c r="O230" s="91"/>
      <c r="P230" s="91"/>
      <c r="Q230" s="91"/>
      <c r="R230" s="9"/>
      <c r="S230" s="9"/>
      <c r="T230" s="91"/>
      <c r="U230" s="7"/>
      <c r="V230" s="91"/>
      <c r="W230" s="9"/>
      <c r="X230" s="9"/>
      <c r="Y230" s="91"/>
      <c r="Z230" s="7"/>
      <c r="AA230" s="91"/>
      <c r="AB230" s="9"/>
      <c r="AC230" s="9"/>
      <c r="AD230" s="48"/>
      <c r="AE230" s="49"/>
      <c r="AF230" s="91"/>
      <c r="AG230" s="9"/>
      <c r="AH230" s="9"/>
      <c r="AI230" s="91"/>
      <c r="AJ230" s="237"/>
      <c r="AK230" s="9"/>
      <c r="AL230" s="238"/>
      <c r="AM230" s="239"/>
      <c r="AN230" s="239"/>
      <c r="AO230" s="9"/>
      <c r="AP230" s="9"/>
      <c r="AQ230" s="240"/>
      <c r="AR230" s="241"/>
      <c r="AS230" s="241"/>
      <c r="AT230" s="66"/>
      <c r="AU230" s="9"/>
      <c r="AV230" s="238"/>
      <c r="AW230" s="239"/>
      <c r="AX230" s="239"/>
      <c r="AY230" s="9"/>
      <c r="AZ230" s="9"/>
      <c r="BA230" s="238"/>
      <c r="BB230" s="239"/>
      <c r="BC230" s="239"/>
      <c r="BD230" s="9"/>
      <c r="BE230" s="9"/>
      <c r="BF230" s="238"/>
      <c r="BG230" s="239"/>
      <c r="BH230" s="239"/>
      <c r="BI230" s="9"/>
      <c r="BJ230" s="9"/>
      <c r="BK230" s="240"/>
      <c r="BL230" s="241"/>
      <c r="BM230" s="241"/>
      <c r="BN230" s="66"/>
      <c r="BO230" s="9"/>
      <c r="BP230" s="238"/>
      <c r="BQ230" s="239"/>
      <c r="BR230" s="239"/>
      <c r="BS230" s="9"/>
    </row>
    <row r="231" spans="2:71" ht="15" x14ac:dyDescent="0.25">
      <c r="B231" s="9"/>
      <c r="C231" s="91"/>
      <c r="D231" s="161"/>
      <c r="E231" s="91"/>
      <c r="F231" s="9"/>
      <c r="G231" s="9"/>
      <c r="H231" s="91"/>
      <c r="I231" s="195"/>
      <c r="J231" s="49"/>
      <c r="K231" s="161"/>
      <c r="L231" s="47"/>
      <c r="M231" s="9"/>
      <c r="N231" s="9"/>
      <c r="O231" s="91"/>
      <c r="P231" s="91"/>
      <c r="Q231" s="91"/>
      <c r="R231" s="9"/>
      <c r="S231" s="9"/>
      <c r="T231" s="91"/>
      <c r="U231" s="7"/>
      <c r="V231" s="91"/>
      <c r="W231" s="9"/>
      <c r="X231" s="9"/>
      <c r="Y231" s="91"/>
      <c r="Z231" s="7"/>
      <c r="AA231" s="91"/>
      <c r="AB231" s="9"/>
      <c r="AC231" s="9"/>
      <c r="AD231" s="48"/>
      <c r="AE231" s="49"/>
      <c r="AF231" s="91"/>
      <c r="AG231" s="9"/>
      <c r="AH231" s="9"/>
      <c r="AI231" s="91"/>
      <c r="AJ231" s="237"/>
      <c r="AK231" s="9"/>
      <c r="AL231" s="238"/>
      <c r="AM231" s="239"/>
      <c r="AN231" s="239"/>
      <c r="AO231" s="9"/>
      <c r="AP231" s="9"/>
      <c r="AQ231" s="240"/>
      <c r="AR231" s="241"/>
      <c r="AS231" s="241"/>
      <c r="AT231" s="66"/>
      <c r="AU231" s="9"/>
      <c r="AV231" s="238"/>
      <c r="AW231" s="239"/>
      <c r="AX231" s="239"/>
      <c r="AY231" s="9"/>
      <c r="AZ231" s="9"/>
      <c r="BA231" s="238"/>
      <c r="BB231" s="239"/>
      <c r="BC231" s="239"/>
      <c r="BD231" s="9"/>
      <c r="BE231" s="9"/>
      <c r="BF231" s="238"/>
      <c r="BG231" s="239"/>
      <c r="BH231" s="239"/>
      <c r="BI231" s="9"/>
      <c r="BJ231" s="9"/>
      <c r="BK231" s="240"/>
      <c r="BL231" s="241"/>
      <c r="BM231" s="241"/>
      <c r="BN231" s="66"/>
      <c r="BO231" s="9"/>
      <c r="BP231" s="238"/>
      <c r="BQ231" s="239"/>
      <c r="BR231" s="239"/>
      <c r="BS231" s="9"/>
    </row>
    <row r="232" spans="2:71" ht="15" x14ac:dyDescent="0.25">
      <c r="B232" s="9"/>
      <c r="C232" s="91"/>
      <c r="D232" s="161"/>
      <c r="E232" s="91"/>
      <c r="F232" s="9"/>
      <c r="G232" s="9"/>
      <c r="H232" s="91"/>
      <c r="I232" s="195"/>
      <c r="J232" s="49"/>
      <c r="K232" s="161"/>
      <c r="L232" s="47"/>
      <c r="M232" s="9"/>
      <c r="N232" s="9"/>
      <c r="O232" s="91"/>
      <c r="P232" s="91"/>
      <c r="Q232" s="91"/>
      <c r="R232" s="9"/>
      <c r="S232" s="9"/>
      <c r="T232" s="91"/>
      <c r="U232" s="7"/>
      <c r="V232" s="91"/>
      <c r="W232" s="9"/>
      <c r="X232" s="9"/>
      <c r="Y232" s="91"/>
      <c r="Z232" s="7"/>
      <c r="AA232" s="91"/>
      <c r="AB232" s="9"/>
      <c r="AC232" s="9"/>
      <c r="AD232" s="48"/>
      <c r="AE232" s="49"/>
      <c r="AF232" s="91"/>
      <c r="AG232" s="9"/>
      <c r="AH232" s="9"/>
      <c r="AI232" s="91"/>
      <c r="AJ232" s="237"/>
      <c r="AK232" s="9"/>
      <c r="AL232" s="238"/>
      <c r="AM232" s="239"/>
      <c r="AN232" s="239"/>
      <c r="AO232" s="9"/>
      <c r="AP232" s="9"/>
      <c r="AQ232" s="240"/>
      <c r="AR232" s="241"/>
      <c r="AS232" s="241"/>
      <c r="AT232" s="66"/>
      <c r="AU232" s="9"/>
      <c r="AV232" s="238"/>
      <c r="AW232" s="239"/>
      <c r="AX232" s="239"/>
      <c r="AY232" s="9"/>
      <c r="AZ232" s="9"/>
      <c r="BA232" s="238"/>
      <c r="BB232" s="239"/>
      <c r="BC232" s="239"/>
      <c r="BD232" s="9"/>
      <c r="BE232" s="9"/>
      <c r="BF232" s="238"/>
      <c r="BG232" s="239"/>
      <c r="BH232" s="239"/>
      <c r="BI232" s="9"/>
      <c r="BJ232" s="9"/>
      <c r="BK232" s="240"/>
      <c r="BL232" s="241"/>
      <c r="BM232" s="241"/>
      <c r="BN232" s="66"/>
      <c r="BO232" s="9"/>
      <c r="BP232" s="238"/>
      <c r="BQ232" s="239"/>
      <c r="BR232" s="239"/>
      <c r="BS232" s="9"/>
    </row>
    <row r="233" spans="2:71" ht="15" x14ac:dyDescent="0.25">
      <c r="B233" s="9"/>
      <c r="C233" s="91"/>
      <c r="D233" s="161"/>
      <c r="E233" s="91"/>
      <c r="F233" s="9"/>
      <c r="G233" s="9"/>
      <c r="H233" s="91"/>
      <c r="I233" s="195"/>
      <c r="J233" s="49"/>
      <c r="K233" s="161"/>
      <c r="L233" s="47"/>
      <c r="M233" s="9"/>
      <c r="N233" s="9"/>
      <c r="O233" s="91"/>
      <c r="P233" s="91"/>
      <c r="Q233" s="91"/>
      <c r="R233" s="9"/>
      <c r="S233" s="9"/>
      <c r="T233" s="91"/>
      <c r="U233" s="7"/>
      <c r="V233" s="91"/>
      <c r="W233" s="9"/>
      <c r="X233" s="9"/>
      <c r="Y233" s="91"/>
      <c r="Z233" s="7"/>
      <c r="AA233" s="91"/>
      <c r="AB233" s="9"/>
      <c r="AC233" s="9"/>
      <c r="AD233" s="48"/>
      <c r="AE233" s="49"/>
      <c r="AF233" s="91"/>
      <c r="AG233" s="9"/>
      <c r="AH233" s="9"/>
      <c r="AI233" s="91"/>
      <c r="AJ233" s="237"/>
      <c r="AK233" s="9"/>
      <c r="AL233" s="238"/>
      <c r="AM233" s="239"/>
      <c r="AN233" s="239"/>
      <c r="AO233" s="9"/>
      <c r="AP233" s="9"/>
      <c r="AQ233" s="240"/>
      <c r="AR233" s="241"/>
      <c r="AS233" s="241"/>
      <c r="AT233" s="66"/>
      <c r="AU233" s="9"/>
      <c r="AV233" s="238"/>
      <c r="AW233" s="239"/>
      <c r="AX233" s="239"/>
      <c r="AY233" s="9"/>
      <c r="AZ233" s="9"/>
      <c r="BA233" s="238"/>
      <c r="BB233" s="239"/>
      <c r="BC233" s="239"/>
      <c r="BD233" s="9"/>
      <c r="BE233" s="9"/>
      <c r="BF233" s="238"/>
      <c r="BG233" s="239"/>
      <c r="BH233" s="239"/>
      <c r="BI233" s="9"/>
      <c r="BJ233" s="9"/>
      <c r="BK233" s="240"/>
      <c r="BL233" s="241"/>
      <c r="BM233" s="241"/>
      <c r="BN233" s="66"/>
      <c r="BO233" s="9"/>
      <c r="BP233" s="238"/>
      <c r="BQ233" s="239"/>
      <c r="BR233" s="239"/>
      <c r="BS233" s="9"/>
    </row>
    <row r="234" spans="2:71" ht="15" x14ac:dyDescent="0.25">
      <c r="B234" s="9"/>
      <c r="C234" s="91"/>
      <c r="D234" s="161"/>
      <c r="E234" s="91"/>
      <c r="F234" s="9"/>
      <c r="G234" s="9"/>
      <c r="H234" s="91"/>
      <c r="I234" s="195"/>
      <c r="J234" s="49"/>
      <c r="K234" s="161"/>
      <c r="L234" s="47"/>
      <c r="M234" s="9"/>
      <c r="N234" s="9"/>
      <c r="O234" s="91"/>
      <c r="P234" s="91"/>
      <c r="Q234" s="91"/>
      <c r="R234" s="9"/>
      <c r="S234" s="9"/>
      <c r="T234" s="91"/>
      <c r="U234" s="7"/>
      <c r="V234" s="91"/>
      <c r="W234" s="9"/>
      <c r="X234" s="9"/>
      <c r="Y234" s="91"/>
      <c r="Z234" s="7"/>
      <c r="AA234" s="91"/>
      <c r="AB234" s="9"/>
      <c r="AC234" s="9"/>
      <c r="AD234" s="48"/>
      <c r="AE234" s="49"/>
      <c r="AF234" s="91"/>
      <c r="AG234" s="9"/>
      <c r="AH234" s="9"/>
      <c r="AI234" s="91"/>
      <c r="AJ234" s="237"/>
      <c r="AK234" s="9"/>
      <c r="AL234" s="238"/>
      <c r="AM234" s="239"/>
      <c r="AN234" s="239"/>
      <c r="AO234" s="9"/>
      <c r="AP234" s="9"/>
      <c r="AQ234" s="240"/>
      <c r="AR234" s="241"/>
      <c r="AS234" s="241"/>
      <c r="AT234" s="66"/>
      <c r="AU234" s="9"/>
      <c r="AV234" s="238"/>
      <c r="AW234" s="239"/>
      <c r="AX234" s="239"/>
      <c r="AY234" s="9"/>
      <c r="AZ234" s="9"/>
      <c r="BA234" s="238"/>
      <c r="BB234" s="239"/>
      <c r="BC234" s="239"/>
      <c r="BD234" s="9"/>
      <c r="BE234" s="9"/>
      <c r="BF234" s="238"/>
      <c r="BG234" s="239"/>
      <c r="BH234" s="239"/>
      <c r="BI234" s="9"/>
      <c r="BJ234" s="9"/>
      <c r="BK234" s="240"/>
      <c r="BL234" s="241"/>
      <c r="BM234" s="241"/>
      <c r="BN234" s="66"/>
      <c r="BO234" s="9"/>
      <c r="BP234" s="238"/>
      <c r="BQ234" s="239"/>
      <c r="BR234" s="239"/>
      <c r="BS234" s="9"/>
    </row>
    <row r="235" spans="2:71" ht="15" x14ac:dyDescent="0.25">
      <c r="B235" s="9"/>
      <c r="C235" s="91"/>
      <c r="D235" s="161"/>
      <c r="E235" s="91"/>
      <c r="F235" s="9"/>
      <c r="G235" s="9"/>
      <c r="H235" s="91"/>
      <c r="I235" s="195"/>
      <c r="J235" s="49"/>
      <c r="K235" s="161"/>
      <c r="L235" s="47"/>
      <c r="M235" s="9"/>
      <c r="N235" s="9"/>
      <c r="O235" s="91"/>
      <c r="P235" s="91"/>
      <c r="Q235" s="91"/>
      <c r="R235" s="9"/>
      <c r="S235" s="9"/>
      <c r="T235" s="91"/>
      <c r="U235" s="7"/>
      <c r="V235" s="91"/>
      <c r="W235" s="9"/>
      <c r="X235" s="9"/>
      <c r="Y235" s="91"/>
      <c r="Z235" s="7"/>
      <c r="AA235" s="91"/>
      <c r="AB235" s="9"/>
      <c r="AC235" s="9"/>
      <c r="AD235" s="48"/>
      <c r="AE235" s="49"/>
      <c r="AF235" s="91"/>
      <c r="AG235" s="9"/>
      <c r="AH235" s="9"/>
      <c r="AI235" s="91"/>
      <c r="AJ235" s="237"/>
      <c r="AK235" s="9"/>
      <c r="AL235" s="238"/>
      <c r="AM235" s="239"/>
      <c r="AN235" s="239"/>
      <c r="AO235" s="9"/>
      <c r="AP235" s="9"/>
      <c r="AQ235" s="240"/>
      <c r="AR235" s="241"/>
      <c r="AS235" s="241"/>
      <c r="AT235" s="66"/>
      <c r="AU235" s="9"/>
      <c r="AV235" s="238"/>
      <c r="AW235" s="239"/>
      <c r="AX235" s="239"/>
      <c r="AY235" s="9"/>
      <c r="AZ235" s="9"/>
      <c r="BA235" s="238"/>
      <c r="BB235" s="239"/>
      <c r="BC235" s="239"/>
      <c r="BD235" s="9"/>
      <c r="BE235" s="9"/>
      <c r="BF235" s="238"/>
      <c r="BG235" s="239"/>
      <c r="BH235" s="239"/>
      <c r="BI235" s="9"/>
      <c r="BJ235" s="9"/>
      <c r="BK235" s="240"/>
      <c r="BL235" s="241"/>
      <c r="BM235" s="241"/>
      <c r="BN235" s="66"/>
      <c r="BO235" s="9"/>
      <c r="BP235" s="238"/>
      <c r="BQ235" s="239"/>
      <c r="BR235" s="239"/>
      <c r="BS235" s="9"/>
    </row>
    <row r="236" spans="2:71" ht="15" x14ac:dyDescent="0.25">
      <c r="B236" s="9"/>
      <c r="C236" s="91"/>
      <c r="D236" s="161"/>
      <c r="E236" s="91"/>
      <c r="F236" s="9"/>
      <c r="G236" s="9"/>
      <c r="H236" s="91"/>
      <c r="I236" s="195"/>
      <c r="J236" s="49"/>
      <c r="K236" s="161"/>
      <c r="L236" s="47"/>
      <c r="M236" s="9"/>
      <c r="N236" s="9"/>
      <c r="O236" s="91"/>
      <c r="P236" s="91"/>
      <c r="Q236" s="91"/>
      <c r="R236" s="9"/>
      <c r="S236" s="9"/>
      <c r="T236" s="91"/>
      <c r="U236" s="7"/>
      <c r="V236" s="91"/>
      <c r="W236" s="9"/>
      <c r="X236" s="9"/>
      <c r="Y236" s="91"/>
      <c r="Z236" s="7"/>
      <c r="AA236" s="91"/>
      <c r="AB236" s="9"/>
      <c r="AC236" s="9"/>
      <c r="AD236" s="48"/>
      <c r="AE236" s="49"/>
      <c r="AF236" s="91"/>
      <c r="AG236" s="9"/>
      <c r="AH236" s="9"/>
      <c r="AI236" s="91"/>
      <c r="AJ236" s="237"/>
      <c r="AK236" s="9"/>
      <c r="AL236" s="238"/>
      <c r="AM236" s="239"/>
      <c r="AN236" s="239"/>
      <c r="AO236" s="9"/>
      <c r="AP236" s="9"/>
      <c r="AQ236" s="240"/>
      <c r="AR236" s="241"/>
      <c r="AS236" s="241"/>
      <c r="AT236" s="66"/>
      <c r="AU236" s="9"/>
      <c r="AV236" s="238"/>
      <c r="AW236" s="239"/>
      <c r="AX236" s="239"/>
      <c r="AY236" s="9"/>
      <c r="AZ236" s="9"/>
      <c r="BA236" s="238"/>
      <c r="BB236" s="239"/>
      <c r="BC236" s="239"/>
      <c r="BD236" s="9"/>
      <c r="BE236" s="9"/>
      <c r="BF236" s="238"/>
      <c r="BG236" s="239"/>
      <c r="BH236" s="239"/>
      <c r="BI236" s="9"/>
      <c r="BJ236" s="9"/>
      <c r="BK236" s="240"/>
      <c r="BL236" s="241"/>
      <c r="BM236" s="241"/>
      <c r="BN236" s="66"/>
      <c r="BO236" s="9"/>
      <c r="BP236" s="238"/>
      <c r="BQ236" s="239"/>
      <c r="BR236" s="239"/>
      <c r="BS236" s="9"/>
    </row>
    <row r="237" spans="2:71" ht="15" x14ac:dyDescent="0.25">
      <c r="B237" s="9"/>
      <c r="C237" s="91"/>
      <c r="D237" s="161"/>
      <c r="E237" s="91"/>
      <c r="F237" s="9"/>
      <c r="G237" s="9"/>
      <c r="H237" s="91"/>
      <c r="I237" s="195"/>
      <c r="J237" s="49"/>
      <c r="K237" s="161"/>
      <c r="L237" s="47"/>
      <c r="M237" s="9"/>
      <c r="N237" s="9"/>
      <c r="O237" s="91"/>
      <c r="P237" s="91"/>
      <c r="Q237" s="91"/>
      <c r="R237" s="9"/>
      <c r="S237" s="9"/>
      <c r="T237" s="91"/>
      <c r="U237" s="7"/>
      <c r="V237" s="91"/>
      <c r="W237" s="9"/>
      <c r="X237" s="9"/>
      <c r="Y237" s="91"/>
      <c r="Z237" s="7"/>
      <c r="AA237" s="91"/>
      <c r="AB237" s="9"/>
      <c r="AC237" s="9"/>
      <c r="AD237" s="48"/>
      <c r="AE237" s="49"/>
      <c r="AF237" s="91"/>
      <c r="AG237" s="9"/>
      <c r="AH237" s="9"/>
      <c r="AI237" s="91"/>
      <c r="AJ237" s="237"/>
      <c r="AK237" s="9"/>
      <c r="AL237" s="238"/>
      <c r="AM237" s="239"/>
      <c r="AN237" s="239"/>
      <c r="AO237" s="9"/>
      <c r="AP237" s="9"/>
      <c r="AQ237" s="240"/>
      <c r="AR237" s="241"/>
      <c r="AS237" s="241"/>
      <c r="AT237" s="66"/>
      <c r="AU237" s="9"/>
      <c r="AV237" s="238"/>
      <c r="AW237" s="239"/>
      <c r="AX237" s="239"/>
      <c r="AY237" s="9"/>
      <c r="AZ237" s="9"/>
      <c r="BA237" s="238"/>
      <c r="BB237" s="239"/>
      <c r="BC237" s="239"/>
      <c r="BD237" s="9"/>
      <c r="BE237" s="9"/>
      <c r="BF237" s="238"/>
      <c r="BG237" s="239"/>
      <c r="BH237" s="239"/>
      <c r="BI237" s="9"/>
      <c r="BJ237" s="9"/>
      <c r="BK237" s="240"/>
      <c r="BL237" s="241"/>
      <c r="BM237" s="241"/>
      <c r="BN237" s="66"/>
      <c r="BO237" s="9"/>
      <c r="BP237" s="238"/>
      <c r="BQ237" s="239"/>
      <c r="BR237" s="239"/>
      <c r="BS237" s="9"/>
    </row>
    <row r="238" spans="2:71" ht="15" x14ac:dyDescent="0.25">
      <c r="B238" s="9"/>
      <c r="C238" s="91"/>
      <c r="D238" s="161"/>
      <c r="E238" s="91"/>
      <c r="F238" s="9"/>
      <c r="G238" s="9"/>
      <c r="H238" s="91"/>
      <c r="I238" s="195"/>
      <c r="J238" s="49"/>
      <c r="K238" s="161"/>
      <c r="L238" s="47"/>
      <c r="M238" s="9"/>
      <c r="N238" s="9"/>
      <c r="O238" s="91"/>
      <c r="P238" s="91"/>
      <c r="Q238" s="91"/>
      <c r="R238" s="9"/>
      <c r="S238" s="9"/>
      <c r="T238" s="91"/>
      <c r="U238" s="7"/>
      <c r="V238" s="91"/>
      <c r="W238" s="9"/>
      <c r="X238" s="9"/>
      <c r="Y238" s="91"/>
      <c r="Z238" s="7"/>
      <c r="AA238" s="91"/>
      <c r="AB238" s="9"/>
      <c r="AC238" s="9"/>
      <c r="AD238" s="48"/>
      <c r="AE238" s="49"/>
      <c r="AF238" s="91"/>
      <c r="AG238" s="9"/>
      <c r="AH238" s="9"/>
      <c r="AI238" s="91"/>
      <c r="AJ238" s="237"/>
      <c r="AK238" s="9"/>
      <c r="AL238" s="238"/>
      <c r="AM238" s="239"/>
      <c r="AN238" s="239"/>
      <c r="AO238" s="9"/>
      <c r="AP238" s="9"/>
      <c r="AQ238" s="240"/>
      <c r="AR238" s="241"/>
      <c r="AS238" s="241"/>
      <c r="AT238" s="66"/>
      <c r="AU238" s="9"/>
      <c r="AV238" s="238"/>
      <c r="AW238" s="239"/>
      <c r="AX238" s="239"/>
      <c r="AY238" s="9"/>
      <c r="AZ238" s="9"/>
      <c r="BA238" s="238"/>
      <c r="BB238" s="239"/>
      <c r="BC238" s="239"/>
      <c r="BD238" s="9"/>
      <c r="BE238" s="9"/>
      <c r="BF238" s="238"/>
      <c r="BG238" s="239"/>
      <c r="BH238" s="239"/>
      <c r="BI238" s="9"/>
      <c r="BJ238" s="9"/>
      <c r="BK238" s="240"/>
      <c r="BL238" s="241"/>
      <c r="BM238" s="241"/>
      <c r="BN238" s="66"/>
      <c r="BO238" s="9"/>
      <c r="BP238" s="238"/>
      <c r="BQ238" s="239"/>
      <c r="BR238" s="239"/>
      <c r="BS238" s="9"/>
    </row>
    <row r="239" spans="2:71" ht="15" x14ac:dyDescent="0.25">
      <c r="B239" s="9"/>
      <c r="C239" s="91"/>
      <c r="D239" s="161"/>
      <c r="E239" s="91"/>
      <c r="F239" s="9"/>
      <c r="G239" s="9"/>
      <c r="H239" s="91"/>
      <c r="I239" s="195"/>
      <c r="J239" s="49"/>
      <c r="K239" s="161"/>
      <c r="L239" s="47"/>
      <c r="M239" s="9"/>
      <c r="N239" s="9"/>
      <c r="O239" s="91"/>
      <c r="P239" s="91"/>
      <c r="Q239" s="91"/>
      <c r="R239" s="9"/>
      <c r="S239" s="9"/>
      <c r="T239" s="91"/>
      <c r="U239" s="7"/>
      <c r="V239" s="91"/>
      <c r="W239" s="9"/>
      <c r="X239" s="9"/>
      <c r="Y239" s="91"/>
      <c r="Z239" s="7"/>
      <c r="AA239" s="91"/>
      <c r="AB239" s="9"/>
      <c r="AC239" s="9"/>
      <c r="AD239" s="48"/>
      <c r="AE239" s="49"/>
      <c r="AF239" s="91"/>
      <c r="AG239" s="9"/>
      <c r="AH239" s="9"/>
      <c r="AI239" s="91"/>
      <c r="AJ239" s="237"/>
      <c r="AK239" s="9"/>
      <c r="AL239" s="238"/>
      <c r="AM239" s="239"/>
      <c r="AN239" s="239"/>
      <c r="AO239" s="9"/>
      <c r="AP239" s="9"/>
      <c r="AQ239" s="240"/>
      <c r="AR239" s="241"/>
      <c r="AS239" s="241"/>
      <c r="AT239" s="66"/>
      <c r="AU239" s="9"/>
      <c r="AV239" s="238"/>
      <c r="AW239" s="239"/>
      <c r="AX239" s="239"/>
      <c r="AY239" s="9"/>
      <c r="AZ239" s="9"/>
      <c r="BA239" s="238"/>
      <c r="BB239" s="239"/>
      <c r="BC239" s="239"/>
      <c r="BD239" s="9"/>
      <c r="BE239" s="9"/>
      <c r="BF239" s="238"/>
      <c r="BG239" s="239"/>
      <c r="BH239" s="239"/>
      <c r="BI239" s="9"/>
      <c r="BJ239" s="9"/>
      <c r="BK239" s="240"/>
      <c r="BL239" s="241"/>
      <c r="BM239" s="241"/>
      <c r="BN239" s="66"/>
      <c r="BO239" s="9"/>
      <c r="BP239" s="238"/>
      <c r="BQ239" s="239"/>
      <c r="BR239" s="239"/>
      <c r="BS239" s="9"/>
    </row>
    <row r="240" spans="2:71" ht="15" x14ac:dyDescent="0.25">
      <c r="B240" s="9"/>
      <c r="C240" s="91"/>
      <c r="D240" s="161"/>
      <c r="E240" s="91"/>
      <c r="F240" s="9"/>
      <c r="G240" s="9"/>
      <c r="H240" s="91"/>
      <c r="I240" s="195"/>
      <c r="J240" s="49"/>
      <c r="K240" s="161"/>
      <c r="L240" s="47"/>
      <c r="M240" s="9"/>
      <c r="N240" s="9"/>
      <c r="O240" s="91"/>
      <c r="P240" s="91"/>
      <c r="Q240" s="91"/>
      <c r="R240" s="9"/>
      <c r="S240" s="9"/>
      <c r="T240" s="91"/>
      <c r="U240" s="7"/>
      <c r="V240" s="91"/>
      <c r="W240" s="9"/>
      <c r="X240" s="9"/>
      <c r="Y240" s="91"/>
      <c r="Z240" s="7"/>
      <c r="AA240" s="91"/>
      <c r="AB240" s="9"/>
      <c r="AC240" s="9"/>
      <c r="AD240" s="48"/>
      <c r="AE240" s="49"/>
      <c r="AF240" s="91"/>
      <c r="AG240" s="9"/>
      <c r="AH240" s="9"/>
      <c r="AI240" s="91"/>
      <c r="AJ240" s="237"/>
      <c r="AK240" s="9"/>
      <c r="AL240" s="238"/>
      <c r="AM240" s="239"/>
      <c r="AN240" s="239"/>
      <c r="AO240" s="9"/>
      <c r="AP240" s="9"/>
      <c r="AQ240" s="240"/>
      <c r="AR240" s="241"/>
      <c r="AS240" s="241"/>
      <c r="AT240" s="66"/>
      <c r="AU240" s="9"/>
      <c r="AV240" s="238"/>
      <c r="AW240" s="239"/>
      <c r="AX240" s="239"/>
      <c r="AY240" s="9"/>
      <c r="AZ240" s="9"/>
      <c r="BA240" s="238"/>
      <c r="BB240" s="239"/>
      <c r="BC240" s="239"/>
      <c r="BD240" s="9"/>
      <c r="BE240" s="9"/>
      <c r="BF240" s="238"/>
      <c r="BG240" s="239"/>
      <c r="BH240" s="239"/>
      <c r="BI240" s="9"/>
      <c r="BJ240" s="9"/>
      <c r="BK240" s="240"/>
      <c r="BL240" s="241"/>
      <c r="BM240" s="241"/>
      <c r="BN240" s="66"/>
      <c r="BO240" s="9"/>
      <c r="BP240" s="238"/>
      <c r="BQ240" s="239"/>
      <c r="BR240" s="239"/>
      <c r="BS240" s="9"/>
    </row>
    <row r="241" spans="2:71" ht="15" x14ac:dyDescent="0.25">
      <c r="B241" s="9"/>
      <c r="C241" s="91"/>
      <c r="D241" s="161"/>
      <c r="E241" s="91"/>
      <c r="F241" s="9"/>
      <c r="G241" s="9"/>
      <c r="H241" s="91"/>
      <c r="I241" s="195"/>
      <c r="J241" s="49"/>
      <c r="K241" s="161"/>
      <c r="L241" s="47"/>
      <c r="M241" s="9"/>
      <c r="N241" s="9"/>
      <c r="O241" s="91"/>
      <c r="P241" s="91"/>
      <c r="Q241" s="91"/>
      <c r="R241" s="9"/>
      <c r="S241" s="9"/>
      <c r="T241" s="91"/>
      <c r="U241" s="7"/>
      <c r="V241" s="91"/>
      <c r="W241" s="9"/>
      <c r="X241" s="9"/>
      <c r="Y241" s="91"/>
      <c r="Z241" s="7"/>
      <c r="AA241" s="91"/>
      <c r="AB241" s="9"/>
      <c r="AC241" s="9"/>
      <c r="AD241" s="48"/>
      <c r="AE241" s="49"/>
      <c r="AF241" s="91"/>
      <c r="AG241" s="9"/>
      <c r="AH241" s="9"/>
      <c r="AI241" s="91"/>
      <c r="AJ241" s="237"/>
      <c r="AK241" s="9"/>
      <c r="AL241" s="238"/>
      <c r="AM241" s="239"/>
      <c r="AN241" s="239"/>
      <c r="AO241" s="9"/>
      <c r="AP241" s="9"/>
      <c r="AQ241" s="240"/>
      <c r="AR241" s="241"/>
      <c r="AS241" s="241"/>
      <c r="AT241" s="66"/>
      <c r="AU241" s="9"/>
      <c r="AV241" s="238"/>
      <c r="AW241" s="239"/>
      <c r="AX241" s="239"/>
      <c r="AY241" s="9"/>
      <c r="AZ241" s="9"/>
      <c r="BA241" s="238"/>
      <c r="BB241" s="239"/>
      <c r="BC241" s="239"/>
      <c r="BD241" s="9"/>
      <c r="BE241" s="9"/>
      <c r="BF241" s="238"/>
      <c r="BG241" s="239"/>
      <c r="BH241" s="239"/>
      <c r="BI241" s="9"/>
      <c r="BJ241" s="9"/>
      <c r="BK241" s="240"/>
      <c r="BL241" s="241"/>
      <c r="BM241" s="241"/>
      <c r="BN241" s="66"/>
      <c r="BO241" s="9"/>
      <c r="BP241" s="238"/>
      <c r="BQ241" s="239"/>
      <c r="BR241" s="239"/>
      <c r="BS241" s="9"/>
    </row>
    <row r="242" spans="2:71" ht="15" x14ac:dyDescent="0.25">
      <c r="B242" s="9"/>
      <c r="C242" s="91"/>
      <c r="D242" s="161"/>
      <c r="E242" s="91"/>
      <c r="F242" s="9"/>
      <c r="G242" s="9"/>
      <c r="H242" s="91"/>
      <c r="I242" s="195"/>
      <c r="J242" s="49"/>
      <c r="K242" s="161"/>
      <c r="L242" s="47"/>
      <c r="M242" s="9"/>
      <c r="N242" s="9"/>
      <c r="O242" s="91"/>
      <c r="P242" s="91"/>
      <c r="Q242" s="91"/>
      <c r="R242" s="9"/>
      <c r="S242" s="9"/>
      <c r="T242" s="91"/>
      <c r="U242" s="7"/>
      <c r="V242" s="91"/>
      <c r="W242" s="9"/>
      <c r="X242" s="9"/>
      <c r="Y242" s="91"/>
      <c r="Z242" s="7"/>
      <c r="AA242" s="91"/>
      <c r="AB242" s="9"/>
      <c r="AC242" s="9"/>
      <c r="AD242" s="48"/>
      <c r="AE242" s="49"/>
      <c r="AF242" s="91"/>
      <c r="AG242" s="9"/>
      <c r="AH242" s="9"/>
      <c r="AI242" s="91"/>
      <c r="AJ242" s="237"/>
      <c r="AK242" s="9"/>
      <c r="AL242" s="238"/>
      <c r="AM242" s="239"/>
      <c r="AN242" s="239"/>
      <c r="AO242" s="9"/>
      <c r="AP242" s="9"/>
      <c r="AQ242" s="240"/>
      <c r="AR242" s="241"/>
      <c r="AS242" s="241"/>
      <c r="AT242" s="66"/>
      <c r="AU242" s="9"/>
      <c r="AV242" s="238"/>
      <c r="AW242" s="239"/>
      <c r="AX242" s="239"/>
      <c r="AY242" s="9"/>
      <c r="AZ242" s="9"/>
      <c r="BA242" s="238"/>
      <c r="BB242" s="239"/>
      <c r="BC242" s="239"/>
      <c r="BD242" s="9"/>
      <c r="BE242" s="9"/>
      <c r="BF242" s="238"/>
      <c r="BG242" s="239"/>
      <c r="BH242" s="239"/>
      <c r="BI242" s="9"/>
      <c r="BJ242" s="9"/>
      <c r="BK242" s="240"/>
      <c r="BL242" s="241"/>
      <c r="BM242" s="241"/>
      <c r="BN242" s="66"/>
      <c r="BO242" s="9"/>
      <c r="BP242" s="238"/>
      <c r="BQ242" s="239"/>
      <c r="BR242" s="239"/>
      <c r="BS242" s="9"/>
    </row>
    <row r="243" spans="2:71" ht="15" x14ac:dyDescent="0.25">
      <c r="B243" s="9"/>
      <c r="C243" s="91"/>
      <c r="D243" s="161"/>
      <c r="E243" s="91"/>
      <c r="F243" s="9"/>
      <c r="G243" s="9"/>
      <c r="H243" s="91"/>
      <c r="I243" s="195"/>
      <c r="J243" s="49"/>
      <c r="K243" s="161"/>
      <c r="L243" s="47"/>
      <c r="M243" s="9"/>
      <c r="N243" s="9"/>
      <c r="O243" s="91"/>
      <c r="P243" s="91"/>
      <c r="Q243" s="91"/>
      <c r="R243" s="9"/>
      <c r="S243" s="9"/>
      <c r="T243" s="91"/>
      <c r="U243" s="7"/>
      <c r="V243" s="91"/>
      <c r="W243" s="9"/>
      <c r="X243" s="9"/>
      <c r="Y243" s="91"/>
      <c r="Z243" s="7"/>
      <c r="AA243" s="91"/>
      <c r="AB243" s="9"/>
      <c r="AC243" s="9"/>
      <c r="AD243" s="48"/>
      <c r="AE243" s="49"/>
      <c r="AF243" s="91"/>
      <c r="AG243" s="9"/>
      <c r="AH243" s="9"/>
      <c r="AI243" s="91"/>
      <c r="AJ243" s="237"/>
      <c r="AK243" s="9"/>
      <c r="AL243" s="238"/>
      <c r="AM243" s="239"/>
      <c r="AN243" s="239"/>
      <c r="AO243" s="9"/>
      <c r="AP243" s="9"/>
      <c r="AQ243" s="240"/>
      <c r="AR243" s="241"/>
      <c r="AS243" s="241"/>
      <c r="AT243" s="66"/>
      <c r="AU243" s="9"/>
      <c r="AV243" s="238"/>
      <c r="AW243" s="239"/>
      <c r="AX243" s="239"/>
      <c r="AY243" s="9"/>
      <c r="AZ243" s="9"/>
      <c r="BA243" s="238"/>
      <c r="BB243" s="239"/>
      <c r="BC243" s="239"/>
      <c r="BD243" s="9"/>
      <c r="BE243" s="9"/>
      <c r="BF243" s="238"/>
      <c r="BG243" s="239"/>
      <c r="BH243" s="239"/>
      <c r="BI243" s="9"/>
      <c r="BJ243" s="9"/>
      <c r="BK243" s="240"/>
      <c r="BL243" s="241"/>
      <c r="BM243" s="241"/>
      <c r="BN243" s="66"/>
      <c r="BO243" s="9"/>
      <c r="BP243" s="238"/>
      <c r="BQ243" s="239"/>
      <c r="BR243" s="239"/>
      <c r="BS243" s="9"/>
    </row>
    <row r="244" spans="2:71" ht="15" x14ac:dyDescent="0.25">
      <c r="B244" s="9"/>
      <c r="C244" s="91"/>
      <c r="D244" s="161"/>
      <c r="E244" s="91"/>
      <c r="F244" s="9"/>
      <c r="G244" s="9"/>
      <c r="H244" s="91"/>
      <c r="I244" s="195"/>
      <c r="J244" s="49"/>
      <c r="K244" s="161"/>
      <c r="L244" s="47"/>
      <c r="M244" s="9"/>
      <c r="N244" s="9"/>
      <c r="O244" s="91"/>
      <c r="P244" s="91"/>
      <c r="Q244" s="91"/>
      <c r="R244" s="9"/>
      <c r="S244" s="9"/>
      <c r="T244" s="91"/>
      <c r="U244" s="7"/>
      <c r="V244" s="91"/>
      <c r="W244" s="9"/>
      <c r="X244" s="9"/>
      <c r="Y244" s="91"/>
      <c r="Z244" s="7"/>
      <c r="AA244" s="91"/>
      <c r="AB244" s="9"/>
      <c r="AC244" s="9"/>
      <c r="AD244" s="48"/>
      <c r="AE244" s="49"/>
      <c r="AF244" s="91"/>
      <c r="AG244" s="9"/>
      <c r="AH244" s="9"/>
      <c r="AI244" s="91"/>
      <c r="AJ244" s="237"/>
      <c r="AK244" s="9"/>
      <c r="AL244" s="238"/>
      <c r="AM244" s="239"/>
      <c r="AN244" s="239"/>
      <c r="AO244" s="9"/>
      <c r="AP244" s="9"/>
      <c r="AQ244" s="240"/>
      <c r="AR244" s="241"/>
      <c r="AS244" s="241"/>
      <c r="AT244" s="66"/>
      <c r="AU244" s="9"/>
      <c r="AV244" s="238"/>
      <c r="AW244" s="239"/>
      <c r="AX244" s="239"/>
      <c r="AY244" s="9"/>
      <c r="AZ244" s="9"/>
      <c r="BA244" s="238"/>
      <c r="BB244" s="239"/>
      <c r="BC244" s="239"/>
      <c r="BD244" s="9"/>
      <c r="BE244" s="9"/>
      <c r="BF244" s="238"/>
      <c r="BG244" s="239"/>
      <c r="BH244" s="239"/>
      <c r="BI244" s="9"/>
      <c r="BJ244" s="9"/>
      <c r="BK244" s="240"/>
      <c r="BL244" s="241"/>
      <c r="BM244" s="241"/>
      <c r="BN244" s="66"/>
      <c r="BO244" s="9"/>
      <c r="BP244" s="238"/>
      <c r="BQ244" s="239"/>
      <c r="BR244" s="239"/>
      <c r="BS244" s="9"/>
    </row>
    <row r="245" spans="2:71" ht="15" x14ac:dyDescent="0.25">
      <c r="B245" s="9"/>
      <c r="C245" s="91"/>
      <c r="D245" s="161"/>
      <c r="E245" s="91"/>
      <c r="F245" s="9"/>
      <c r="G245" s="9"/>
      <c r="H245" s="91"/>
      <c r="I245" s="195"/>
      <c r="J245" s="49"/>
      <c r="K245" s="161"/>
      <c r="L245" s="47"/>
      <c r="M245" s="9"/>
      <c r="N245" s="9"/>
      <c r="O245" s="91"/>
      <c r="P245" s="91"/>
      <c r="Q245" s="91"/>
      <c r="R245" s="9"/>
      <c r="S245" s="9"/>
      <c r="T245" s="91"/>
      <c r="U245" s="7"/>
      <c r="V245" s="91"/>
      <c r="W245" s="9"/>
      <c r="X245" s="9"/>
      <c r="Y245" s="91"/>
      <c r="Z245" s="7"/>
      <c r="AA245" s="91"/>
      <c r="AB245" s="9"/>
      <c r="AC245" s="9"/>
      <c r="AD245" s="48"/>
      <c r="AE245" s="49"/>
      <c r="AF245" s="91"/>
      <c r="AG245" s="9"/>
      <c r="AH245" s="9"/>
      <c r="AI245" s="91"/>
      <c r="AJ245" s="237"/>
      <c r="AK245" s="9"/>
      <c r="AL245" s="238"/>
      <c r="AM245" s="239"/>
      <c r="AN245" s="239"/>
      <c r="AO245" s="9"/>
      <c r="AP245" s="9"/>
      <c r="AQ245" s="240"/>
      <c r="AR245" s="241"/>
      <c r="AS245" s="241"/>
      <c r="AT245" s="66"/>
      <c r="AU245" s="9"/>
      <c r="AV245" s="238"/>
      <c r="AW245" s="239"/>
      <c r="AX245" s="239"/>
      <c r="AY245" s="9"/>
      <c r="AZ245" s="9"/>
      <c r="BA245" s="238"/>
      <c r="BB245" s="239"/>
      <c r="BC245" s="239"/>
      <c r="BD245" s="9"/>
      <c r="BE245" s="9"/>
      <c r="BF245" s="238"/>
      <c r="BG245" s="239"/>
      <c r="BH245" s="239"/>
      <c r="BI245" s="9"/>
      <c r="BJ245" s="9"/>
      <c r="BK245" s="240"/>
      <c r="BL245" s="241"/>
      <c r="BM245" s="241"/>
      <c r="BN245" s="66"/>
      <c r="BO245" s="9"/>
      <c r="BP245" s="238"/>
      <c r="BQ245" s="239"/>
      <c r="BR245" s="239"/>
      <c r="BS245" s="9"/>
    </row>
    <row r="246" spans="2:71" ht="15" x14ac:dyDescent="0.25">
      <c r="B246" s="9"/>
      <c r="C246" s="91"/>
      <c r="D246" s="161"/>
      <c r="E246" s="91"/>
      <c r="F246" s="9"/>
      <c r="G246" s="9"/>
      <c r="H246" s="91"/>
      <c r="I246" s="195"/>
      <c r="J246" s="49"/>
      <c r="K246" s="161"/>
      <c r="L246" s="47"/>
      <c r="M246" s="9"/>
      <c r="N246" s="9"/>
      <c r="O246" s="91"/>
      <c r="P246" s="91"/>
      <c r="Q246" s="91"/>
      <c r="R246" s="9"/>
      <c r="S246" s="9"/>
      <c r="T246" s="91"/>
      <c r="U246" s="7"/>
      <c r="V246" s="91"/>
      <c r="W246" s="9"/>
      <c r="X246" s="9"/>
      <c r="Y246" s="91"/>
      <c r="Z246" s="7"/>
      <c r="AA246" s="91"/>
      <c r="AB246" s="9"/>
      <c r="AC246" s="9"/>
      <c r="AD246" s="48"/>
      <c r="AE246" s="49"/>
      <c r="AF246" s="91"/>
      <c r="AG246" s="9"/>
      <c r="AH246" s="9"/>
      <c r="AI246" s="91"/>
      <c r="AJ246" s="237"/>
      <c r="AK246" s="9"/>
      <c r="AL246" s="238"/>
      <c r="AM246" s="239"/>
      <c r="AN246" s="239"/>
      <c r="AO246" s="9"/>
      <c r="AP246" s="9"/>
      <c r="AQ246" s="240"/>
      <c r="AR246" s="241"/>
      <c r="AS246" s="241"/>
      <c r="AT246" s="66"/>
      <c r="AU246" s="9"/>
      <c r="AV246" s="238"/>
      <c r="AW246" s="239"/>
      <c r="AX246" s="239"/>
      <c r="AY246" s="9"/>
      <c r="AZ246" s="9"/>
      <c r="BA246" s="238"/>
      <c r="BB246" s="239"/>
      <c r="BC246" s="239"/>
      <c r="BD246" s="9"/>
      <c r="BE246" s="9"/>
      <c r="BF246" s="238"/>
      <c r="BG246" s="239"/>
      <c r="BH246" s="239"/>
      <c r="BI246" s="9"/>
      <c r="BJ246" s="9"/>
      <c r="BK246" s="240"/>
      <c r="BL246" s="241"/>
      <c r="BM246" s="241"/>
      <c r="BN246" s="66"/>
      <c r="BO246" s="9"/>
      <c r="BP246" s="238"/>
      <c r="BQ246" s="239"/>
      <c r="BR246" s="239"/>
      <c r="BS246" s="9"/>
    </row>
    <row r="247" spans="2:71" ht="15" x14ac:dyDescent="0.25">
      <c r="B247" s="9"/>
      <c r="C247" s="91"/>
      <c r="D247" s="161"/>
      <c r="E247" s="91"/>
      <c r="F247" s="9"/>
      <c r="G247" s="9"/>
      <c r="H247" s="91"/>
      <c r="I247" s="195"/>
      <c r="J247" s="49"/>
      <c r="K247" s="161"/>
      <c r="L247" s="47"/>
      <c r="M247" s="9"/>
      <c r="N247" s="9"/>
      <c r="O247" s="91"/>
      <c r="P247" s="91"/>
      <c r="Q247" s="91"/>
      <c r="R247" s="9"/>
      <c r="S247" s="9"/>
      <c r="T247" s="91"/>
      <c r="U247" s="7"/>
      <c r="V247" s="91"/>
      <c r="W247" s="9"/>
      <c r="X247" s="9"/>
      <c r="Y247" s="91"/>
      <c r="Z247" s="7"/>
      <c r="AA247" s="91"/>
      <c r="AB247" s="9"/>
      <c r="AC247" s="9"/>
      <c r="AD247" s="48"/>
      <c r="AE247" s="49"/>
      <c r="AF247" s="91"/>
      <c r="AG247" s="9"/>
      <c r="AH247" s="9"/>
      <c r="AI247" s="91"/>
      <c r="AJ247" s="237"/>
      <c r="AK247" s="9"/>
      <c r="AL247" s="238"/>
      <c r="AM247" s="239"/>
      <c r="AN247" s="239"/>
      <c r="AO247" s="9"/>
      <c r="AP247" s="9"/>
      <c r="AQ247" s="240"/>
      <c r="AR247" s="241"/>
      <c r="AS247" s="241"/>
      <c r="AT247" s="66"/>
      <c r="AU247" s="9"/>
      <c r="AV247" s="238"/>
      <c r="AW247" s="239"/>
      <c r="AX247" s="239"/>
      <c r="AY247" s="9"/>
      <c r="AZ247" s="9"/>
      <c r="BA247" s="238"/>
      <c r="BB247" s="239"/>
      <c r="BC247" s="239"/>
      <c r="BD247" s="9"/>
      <c r="BE247" s="9"/>
      <c r="BF247" s="238"/>
      <c r="BG247" s="239"/>
      <c r="BH247" s="239"/>
      <c r="BI247" s="9"/>
      <c r="BJ247" s="9"/>
      <c r="BK247" s="240"/>
      <c r="BL247" s="241"/>
      <c r="BM247" s="241"/>
      <c r="BN247" s="66"/>
      <c r="BO247" s="9"/>
      <c r="BP247" s="238"/>
      <c r="BQ247" s="239"/>
      <c r="BR247" s="239"/>
      <c r="BS247" s="9"/>
    </row>
    <row r="248" spans="2:71" ht="15" x14ac:dyDescent="0.25">
      <c r="B248" s="9"/>
      <c r="C248" s="91"/>
      <c r="D248" s="161"/>
      <c r="E248" s="91"/>
      <c r="F248" s="9"/>
      <c r="G248" s="9"/>
      <c r="H248" s="91"/>
      <c r="I248" s="195"/>
      <c r="J248" s="49"/>
      <c r="K248" s="161"/>
      <c r="L248" s="47"/>
      <c r="M248" s="9"/>
      <c r="N248" s="9"/>
      <c r="O248" s="91"/>
      <c r="P248" s="91"/>
      <c r="Q248" s="91"/>
      <c r="R248" s="9"/>
      <c r="S248" s="9"/>
      <c r="T248" s="91"/>
      <c r="U248" s="7"/>
      <c r="V248" s="91"/>
      <c r="W248" s="9"/>
      <c r="X248" s="9"/>
      <c r="Y248" s="91"/>
      <c r="Z248" s="7"/>
      <c r="AA248" s="91"/>
      <c r="AB248" s="9"/>
      <c r="AC248" s="9"/>
      <c r="AD248" s="48"/>
      <c r="AE248" s="49"/>
      <c r="AF248" s="91"/>
      <c r="AG248" s="9"/>
      <c r="AH248" s="9"/>
      <c r="AI248" s="91"/>
      <c r="AJ248" s="237"/>
      <c r="AK248" s="9"/>
      <c r="AL248" s="238"/>
      <c r="AM248" s="239"/>
      <c r="AN248" s="239"/>
      <c r="AO248" s="9"/>
      <c r="AP248" s="9"/>
      <c r="AQ248" s="240"/>
      <c r="AR248" s="241"/>
      <c r="AS248" s="241"/>
      <c r="AT248" s="66"/>
      <c r="AU248" s="9"/>
      <c r="AV248" s="238"/>
      <c r="AW248" s="239"/>
      <c r="AX248" s="239"/>
      <c r="AY248" s="9"/>
      <c r="AZ248" s="9"/>
      <c r="BA248" s="238"/>
      <c r="BB248" s="239"/>
      <c r="BC248" s="239"/>
      <c r="BD248" s="9"/>
      <c r="BE248" s="9"/>
      <c r="BF248" s="238"/>
      <c r="BG248" s="239"/>
      <c r="BH248" s="239"/>
      <c r="BI248" s="9"/>
      <c r="BJ248" s="9"/>
      <c r="BK248" s="240"/>
      <c r="BL248" s="241"/>
      <c r="BM248" s="241"/>
      <c r="BN248" s="66"/>
      <c r="BO248" s="9"/>
      <c r="BP248" s="238"/>
      <c r="BQ248" s="239"/>
      <c r="BR248" s="239"/>
      <c r="BS248" s="9"/>
    </row>
    <row r="249" spans="2:71" ht="15" x14ac:dyDescent="0.25">
      <c r="B249" s="9"/>
      <c r="C249" s="91"/>
      <c r="D249" s="161"/>
      <c r="E249" s="91"/>
      <c r="F249" s="9"/>
      <c r="G249" s="9"/>
      <c r="H249" s="91"/>
      <c r="I249" s="195"/>
      <c r="J249" s="49"/>
      <c r="K249" s="161"/>
      <c r="L249" s="47"/>
      <c r="M249" s="9"/>
      <c r="N249" s="9"/>
      <c r="O249" s="91"/>
      <c r="P249" s="91"/>
      <c r="Q249" s="91"/>
      <c r="R249" s="9"/>
      <c r="S249" s="9"/>
      <c r="T249" s="91"/>
      <c r="U249" s="7"/>
      <c r="V249" s="91"/>
      <c r="W249" s="9"/>
      <c r="X249" s="9"/>
      <c r="Y249" s="91"/>
      <c r="Z249" s="7"/>
      <c r="AA249" s="91"/>
      <c r="AB249" s="9"/>
      <c r="AC249" s="9"/>
      <c r="AD249" s="48"/>
      <c r="AE249" s="49"/>
      <c r="AF249" s="91"/>
      <c r="AG249" s="9"/>
      <c r="AH249" s="9"/>
      <c r="AI249" s="91"/>
      <c r="AJ249" s="237"/>
      <c r="AK249" s="9"/>
      <c r="AL249" s="238"/>
      <c r="AM249" s="239"/>
      <c r="AN249" s="239"/>
      <c r="AO249" s="9"/>
      <c r="AP249" s="9"/>
      <c r="AQ249" s="240"/>
      <c r="AR249" s="241"/>
      <c r="AS249" s="241"/>
      <c r="AT249" s="66"/>
      <c r="AU249" s="9"/>
      <c r="AV249" s="238"/>
      <c r="AW249" s="239"/>
      <c r="AX249" s="239"/>
      <c r="AY249" s="9"/>
      <c r="AZ249" s="9"/>
      <c r="BA249" s="238"/>
      <c r="BB249" s="239"/>
      <c r="BC249" s="239"/>
      <c r="BD249" s="9"/>
      <c r="BE249" s="9"/>
      <c r="BF249" s="238"/>
      <c r="BG249" s="239"/>
      <c r="BH249" s="239"/>
      <c r="BI249" s="9"/>
      <c r="BJ249" s="9"/>
      <c r="BK249" s="240"/>
      <c r="BL249" s="241"/>
      <c r="BM249" s="241"/>
      <c r="BN249" s="66"/>
      <c r="BO249" s="9"/>
      <c r="BP249" s="238"/>
      <c r="BQ249" s="239"/>
      <c r="BR249" s="239"/>
      <c r="BS249" s="9"/>
    </row>
    <row r="250" spans="2:71" ht="15" x14ac:dyDescent="0.25">
      <c r="B250" s="9"/>
      <c r="C250" s="91"/>
      <c r="D250" s="161"/>
      <c r="E250" s="91"/>
      <c r="F250" s="9"/>
      <c r="G250" s="9"/>
      <c r="H250" s="91"/>
      <c r="I250" s="195"/>
      <c r="J250" s="49"/>
      <c r="K250" s="161"/>
      <c r="L250" s="47"/>
      <c r="M250" s="9"/>
      <c r="N250" s="9"/>
      <c r="O250" s="91"/>
      <c r="P250" s="91"/>
      <c r="Q250" s="91"/>
      <c r="R250" s="9"/>
      <c r="S250" s="9"/>
      <c r="T250" s="91"/>
      <c r="U250" s="7"/>
      <c r="V250" s="91"/>
      <c r="W250" s="9"/>
      <c r="X250" s="9"/>
      <c r="Y250" s="91"/>
      <c r="Z250" s="7"/>
      <c r="AA250" s="91"/>
      <c r="AB250" s="9"/>
      <c r="AC250" s="9"/>
      <c r="AD250" s="48"/>
      <c r="AE250" s="49"/>
      <c r="AF250" s="91"/>
      <c r="AG250" s="9"/>
      <c r="AH250" s="9"/>
      <c r="AI250" s="91"/>
      <c r="AJ250" s="237"/>
      <c r="AK250" s="9"/>
      <c r="AL250" s="238"/>
      <c r="AM250" s="239"/>
      <c r="AN250" s="239"/>
      <c r="AO250" s="9"/>
      <c r="AP250" s="9"/>
      <c r="AQ250" s="240"/>
      <c r="AR250" s="241"/>
      <c r="AS250" s="241"/>
      <c r="AT250" s="66"/>
      <c r="AU250" s="9"/>
      <c r="AV250" s="238"/>
      <c r="AW250" s="239"/>
      <c r="AX250" s="239"/>
      <c r="AY250" s="9"/>
      <c r="AZ250" s="9"/>
      <c r="BA250" s="238"/>
      <c r="BB250" s="239"/>
      <c r="BC250" s="239"/>
      <c r="BD250" s="9"/>
      <c r="BE250" s="9"/>
      <c r="BF250" s="238"/>
      <c r="BG250" s="239"/>
      <c r="BH250" s="239"/>
      <c r="BI250" s="9"/>
      <c r="BJ250" s="9"/>
      <c r="BK250" s="240"/>
      <c r="BL250" s="241"/>
      <c r="BM250" s="241"/>
      <c r="BN250" s="66"/>
      <c r="BO250" s="9"/>
      <c r="BP250" s="238"/>
      <c r="BQ250" s="239"/>
      <c r="BR250" s="239"/>
      <c r="BS250" s="9"/>
    </row>
    <row r="251" spans="2:71" ht="15" x14ac:dyDescent="0.25">
      <c r="B251" s="9"/>
      <c r="C251" s="91"/>
      <c r="D251" s="161"/>
      <c r="E251" s="91"/>
      <c r="F251" s="9"/>
      <c r="G251" s="9"/>
      <c r="H251" s="91"/>
      <c r="I251" s="195"/>
      <c r="J251" s="49"/>
      <c r="K251" s="161"/>
      <c r="L251" s="47"/>
      <c r="M251" s="9"/>
      <c r="N251" s="9"/>
      <c r="O251" s="91"/>
      <c r="P251" s="91"/>
      <c r="Q251" s="91"/>
      <c r="R251" s="9"/>
      <c r="S251" s="9"/>
      <c r="T251" s="91"/>
      <c r="U251" s="7"/>
      <c r="V251" s="91"/>
      <c r="W251" s="9"/>
      <c r="X251" s="9"/>
      <c r="Y251" s="91"/>
      <c r="Z251" s="7"/>
      <c r="AA251" s="91"/>
      <c r="AB251" s="9"/>
      <c r="AC251" s="9"/>
      <c r="AD251" s="48"/>
      <c r="AE251" s="49"/>
      <c r="AF251" s="91"/>
      <c r="AG251" s="9"/>
      <c r="AH251" s="9"/>
      <c r="AI251" s="91"/>
      <c r="AJ251" s="237"/>
      <c r="AK251" s="9"/>
      <c r="AL251" s="238"/>
      <c r="AM251" s="239"/>
      <c r="AN251" s="239"/>
      <c r="AO251" s="9"/>
      <c r="AP251" s="9"/>
      <c r="AQ251" s="240"/>
      <c r="AR251" s="241"/>
      <c r="AS251" s="241"/>
      <c r="AT251" s="66"/>
      <c r="AU251" s="9"/>
      <c r="AV251" s="238"/>
      <c r="AW251" s="239"/>
      <c r="AX251" s="239"/>
      <c r="AY251" s="9"/>
      <c r="AZ251" s="9"/>
      <c r="BA251" s="238"/>
      <c r="BB251" s="239"/>
      <c r="BC251" s="239"/>
      <c r="BD251" s="9"/>
      <c r="BE251" s="9"/>
      <c r="BF251" s="238"/>
      <c r="BG251" s="239"/>
      <c r="BH251" s="239"/>
      <c r="BI251" s="9"/>
      <c r="BJ251" s="9"/>
      <c r="BK251" s="240"/>
      <c r="BL251" s="241"/>
      <c r="BM251" s="241"/>
      <c r="BN251" s="66"/>
      <c r="BO251" s="9"/>
      <c r="BP251" s="238"/>
      <c r="BQ251" s="239"/>
      <c r="BR251" s="239"/>
      <c r="BS251" s="9"/>
    </row>
    <row r="252" spans="2:71" ht="15" x14ac:dyDescent="0.25">
      <c r="B252" s="9"/>
      <c r="C252" s="91"/>
      <c r="D252" s="161"/>
      <c r="E252" s="91"/>
      <c r="F252" s="9"/>
      <c r="G252" s="9"/>
      <c r="H252" s="91"/>
      <c r="I252" s="195"/>
      <c r="J252" s="49"/>
      <c r="K252" s="161"/>
      <c r="L252" s="47"/>
      <c r="M252" s="9"/>
      <c r="N252" s="9"/>
      <c r="O252" s="91"/>
      <c r="P252" s="91"/>
      <c r="Q252" s="91"/>
      <c r="R252" s="9"/>
      <c r="S252" s="9"/>
      <c r="T252" s="91"/>
      <c r="U252" s="7"/>
      <c r="V252" s="91"/>
      <c r="W252" s="9"/>
      <c r="X252" s="9"/>
      <c r="Y252" s="91"/>
      <c r="Z252" s="7"/>
      <c r="AA252" s="91"/>
      <c r="AB252" s="9"/>
      <c r="AC252" s="9"/>
      <c r="AD252" s="48"/>
      <c r="AE252" s="49"/>
      <c r="AF252" s="91"/>
      <c r="AG252" s="9"/>
      <c r="AH252" s="9"/>
      <c r="AI252" s="91"/>
      <c r="AJ252" s="237"/>
      <c r="AK252" s="9"/>
      <c r="AL252" s="238"/>
      <c r="AM252" s="239"/>
      <c r="AN252" s="239"/>
      <c r="AO252" s="9"/>
      <c r="AP252" s="9"/>
      <c r="AQ252" s="240"/>
      <c r="AR252" s="241"/>
      <c r="AS252" s="241"/>
      <c r="AT252" s="66"/>
      <c r="AU252" s="9"/>
      <c r="AV252" s="238"/>
      <c r="AW252" s="239"/>
      <c r="AX252" s="239"/>
      <c r="AY252" s="9"/>
      <c r="AZ252" s="9"/>
      <c r="BA252" s="238"/>
      <c r="BB252" s="239"/>
      <c r="BC252" s="239"/>
      <c r="BD252" s="9"/>
      <c r="BE252" s="9"/>
      <c r="BF252" s="238"/>
      <c r="BG252" s="239"/>
      <c r="BH252" s="239"/>
      <c r="BI252" s="9"/>
      <c r="BJ252" s="9"/>
      <c r="BK252" s="240"/>
      <c r="BL252" s="241"/>
      <c r="BM252" s="241"/>
      <c r="BN252" s="66"/>
      <c r="BO252" s="9"/>
      <c r="BP252" s="238"/>
      <c r="BQ252" s="239"/>
      <c r="BR252" s="239"/>
      <c r="BS252" s="9"/>
    </row>
    <row r="253" spans="2:71" ht="15" x14ac:dyDescent="0.25">
      <c r="B253" s="9"/>
      <c r="C253" s="91"/>
      <c r="D253" s="161"/>
      <c r="E253" s="91"/>
      <c r="F253" s="9"/>
      <c r="G253" s="9"/>
      <c r="H253" s="91"/>
      <c r="I253" s="195"/>
      <c r="J253" s="49"/>
      <c r="K253" s="161"/>
      <c r="L253" s="47"/>
      <c r="M253" s="9"/>
      <c r="N253" s="9"/>
      <c r="O253" s="91"/>
      <c r="P253" s="91"/>
      <c r="Q253" s="91"/>
      <c r="R253" s="9"/>
      <c r="S253" s="9"/>
      <c r="T253" s="91"/>
      <c r="U253" s="7"/>
      <c r="V253" s="91"/>
      <c r="W253" s="9"/>
      <c r="X253" s="9"/>
      <c r="Y253" s="91"/>
      <c r="Z253" s="7"/>
      <c r="AA253" s="91"/>
      <c r="AB253" s="9"/>
      <c r="AC253" s="9"/>
      <c r="AD253" s="48"/>
      <c r="AE253" s="49"/>
      <c r="AF253" s="91"/>
      <c r="AG253" s="9"/>
      <c r="AH253" s="9"/>
      <c r="AI253" s="91"/>
      <c r="AJ253" s="237"/>
      <c r="AK253" s="9"/>
      <c r="AL253" s="238"/>
      <c r="AM253" s="239"/>
      <c r="AN253" s="239"/>
      <c r="AO253" s="9"/>
      <c r="AP253" s="9"/>
      <c r="AQ253" s="240"/>
      <c r="AR253" s="241"/>
      <c r="AS253" s="241"/>
      <c r="AT253" s="66"/>
      <c r="AU253" s="9"/>
      <c r="AV253" s="238"/>
      <c r="AW253" s="239"/>
      <c r="AX253" s="239"/>
      <c r="AY253" s="9"/>
      <c r="AZ253" s="9"/>
      <c r="BA253" s="238"/>
      <c r="BB253" s="239"/>
      <c r="BC253" s="239"/>
      <c r="BD253" s="9"/>
      <c r="BE253" s="9"/>
      <c r="BF253" s="238"/>
      <c r="BG253" s="239"/>
      <c r="BH253" s="239"/>
      <c r="BI253" s="9"/>
      <c r="BJ253" s="9"/>
      <c r="BK253" s="240"/>
      <c r="BL253" s="241"/>
      <c r="BM253" s="241"/>
      <c r="BN253" s="66"/>
      <c r="BO253" s="9"/>
      <c r="BP253" s="238"/>
      <c r="BQ253" s="239"/>
      <c r="BR253" s="239"/>
      <c r="BS253" s="9"/>
    </row>
    <row r="254" spans="2:71" ht="15" x14ac:dyDescent="0.25">
      <c r="B254" s="9"/>
      <c r="C254" s="91"/>
      <c r="D254" s="161"/>
      <c r="E254" s="91"/>
      <c r="F254" s="9"/>
      <c r="G254" s="9"/>
      <c r="H254" s="91"/>
      <c r="I254" s="195"/>
      <c r="J254" s="49"/>
      <c r="K254" s="161"/>
      <c r="L254" s="47"/>
      <c r="M254" s="9"/>
      <c r="N254" s="9"/>
      <c r="O254" s="91"/>
      <c r="P254" s="91"/>
      <c r="Q254" s="91"/>
      <c r="R254" s="9"/>
      <c r="S254" s="9"/>
      <c r="T254" s="91"/>
      <c r="U254" s="7"/>
      <c r="V254" s="91"/>
      <c r="W254" s="9"/>
      <c r="X254" s="9"/>
      <c r="Y254" s="91"/>
      <c r="Z254" s="7"/>
      <c r="AA254" s="91"/>
      <c r="AB254" s="9"/>
      <c r="AC254" s="9"/>
      <c r="AD254" s="48"/>
      <c r="AE254" s="49"/>
      <c r="AF254" s="91"/>
      <c r="AG254" s="9"/>
      <c r="AH254" s="9"/>
      <c r="AI254" s="91"/>
      <c r="AJ254" s="237"/>
      <c r="AK254" s="9"/>
      <c r="AL254" s="238"/>
      <c r="AM254" s="239"/>
      <c r="AN254" s="239"/>
      <c r="AO254" s="9"/>
      <c r="AP254" s="9"/>
      <c r="AQ254" s="240"/>
      <c r="AR254" s="241"/>
      <c r="AS254" s="241"/>
      <c r="AT254" s="66"/>
      <c r="AU254" s="9"/>
      <c r="AV254" s="238"/>
      <c r="AW254" s="239"/>
      <c r="AX254" s="239"/>
      <c r="AY254" s="9"/>
      <c r="AZ254" s="9"/>
      <c r="BA254" s="238"/>
      <c r="BB254" s="239"/>
      <c r="BC254" s="239"/>
      <c r="BD254" s="9"/>
      <c r="BE254" s="9"/>
      <c r="BF254" s="238"/>
      <c r="BG254" s="239"/>
      <c r="BH254" s="239"/>
      <c r="BI254" s="9"/>
      <c r="BJ254" s="9"/>
      <c r="BK254" s="240"/>
      <c r="BL254" s="241"/>
      <c r="BM254" s="241"/>
      <c r="BN254" s="66"/>
      <c r="BO254" s="9"/>
      <c r="BP254" s="238"/>
      <c r="BQ254" s="239"/>
      <c r="BR254" s="239"/>
      <c r="BS254" s="9"/>
    </row>
    <row r="255" spans="2:71" ht="15" x14ac:dyDescent="0.25">
      <c r="B255" s="9"/>
      <c r="C255" s="91"/>
      <c r="D255" s="161"/>
      <c r="E255" s="91"/>
      <c r="F255" s="9"/>
      <c r="G255" s="9"/>
      <c r="H255" s="91"/>
      <c r="I255" s="195"/>
      <c r="J255" s="49"/>
      <c r="K255" s="161"/>
      <c r="L255" s="47"/>
      <c r="M255" s="9"/>
      <c r="N255" s="9"/>
      <c r="O255" s="91"/>
      <c r="P255" s="91"/>
      <c r="Q255" s="91"/>
      <c r="R255" s="9"/>
      <c r="S255" s="9"/>
      <c r="T255" s="91"/>
      <c r="U255" s="7"/>
      <c r="V255" s="91"/>
      <c r="W255" s="9"/>
      <c r="X255" s="9"/>
      <c r="Y255" s="91"/>
      <c r="Z255" s="7"/>
      <c r="AA255" s="91"/>
      <c r="AB255" s="9"/>
      <c r="AC255" s="9"/>
      <c r="AD255" s="48"/>
      <c r="AE255" s="49"/>
      <c r="AF255" s="91"/>
      <c r="AG255" s="9"/>
      <c r="AH255" s="9"/>
      <c r="AI255" s="91"/>
      <c r="AJ255" s="237"/>
      <c r="AK255" s="9"/>
      <c r="AL255" s="238"/>
      <c r="AM255" s="239"/>
      <c r="AN255" s="239"/>
      <c r="AO255" s="9"/>
      <c r="AP255" s="9"/>
      <c r="AQ255" s="240"/>
      <c r="AR255" s="241"/>
      <c r="AS255" s="241"/>
      <c r="AT255" s="66"/>
      <c r="AU255" s="9"/>
      <c r="AV255" s="238"/>
      <c r="AW255" s="239"/>
      <c r="AX255" s="239"/>
      <c r="AY255" s="9"/>
      <c r="AZ255" s="9"/>
      <c r="BA255" s="238"/>
      <c r="BB255" s="239"/>
      <c r="BC255" s="239"/>
      <c r="BD255" s="9"/>
      <c r="BE255" s="9"/>
      <c r="BF255" s="238"/>
      <c r="BG255" s="239"/>
      <c r="BH255" s="239"/>
      <c r="BI255" s="9"/>
      <c r="BJ255" s="9"/>
      <c r="BK255" s="240"/>
      <c r="BL255" s="241"/>
      <c r="BM255" s="241"/>
      <c r="BN255" s="66"/>
      <c r="BO255" s="9"/>
      <c r="BP255" s="238"/>
      <c r="BQ255" s="239"/>
      <c r="BR255" s="239"/>
      <c r="BS255" s="9"/>
    </row>
    <row r="256" spans="2:71" ht="15" x14ac:dyDescent="0.25">
      <c r="B256" s="9"/>
      <c r="C256" s="91"/>
      <c r="D256" s="161"/>
      <c r="E256" s="91"/>
      <c r="F256" s="9"/>
      <c r="G256" s="9"/>
      <c r="H256" s="91"/>
      <c r="I256" s="195"/>
      <c r="J256" s="49"/>
      <c r="K256" s="161"/>
      <c r="L256" s="47"/>
      <c r="M256" s="9"/>
      <c r="N256" s="9"/>
      <c r="O256" s="91"/>
      <c r="P256" s="91"/>
      <c r="Q256" s="91"/>
      <c r="R256" s="9"/>
      <c r="S256" s="9"/>
      <c r="T256" s="91"/>
      <c r="U256" s="7"/>
      <c r="V256" s="91"/>
      <c r="W256" s="9"/>
      <c r="X256" s="9"/>
      <c r="Y256" s="91"/>
      <c r="Z256" s="7"/>
      <c r="AA256" s="91"/>
      <c r="AB256" s="9"/>
      <c r="AC256" s="9"/>
      <c r="AD256" s="48"/>
      <c r="AE256" s="49"/>
      <c r="AF256" s="91"/>
      <c r="AG256" s="9"/>
      <c r="AH256" s="9"/>
      <c r="AI256" s="91"/>
      <c r="AJ256" s="237"/>
      <c r="AK256" s="9"/>
      <c r="AL256" s="238"/>
      <c r="AM256" s="239"/>
      <c r="AN256" s="239"/>
      <c r="AO256" s="9"/>
      <c r="AP256" s="9"/>
      <c r="AQ256" s="240"/>
      <c r="AR256" s="241"/>
      <c r="AS256" s="241"/>
      <c r="AT256" s="66"/>
      <c r="AU256" s="9"/>
      <c r="AV256" s="238"/>
      <c r="AW256" s="239"/>
      <c r="AX256" s="239"/>
      <c r="AY256" s="9"/>
      <c r="AZ256" s="9"/>
      <c r="BA256" s="238"/>
      <c r="BB256" s="239"/>
      <c r="BC256" s="239"/>
      <c r="BD256" s="9"/>
      <c r="BE256" s="9"/>
      <c r="BF256" s="238"/>
      <c r="BG256" s="239"/>
      <c r="BH256" s="239"/>
      <c r="BI256" s="9"/>
      <c r="BJ256" s="9"/>
      <c r="BK256" s="240"/>
      <c r="BL256" s="241"/>
      <c r="BM256" s="241"/>
      <c r="BN256" s="66"/>
      <c r="BO256" s="9"/>
      <c r="BP256" s="238"/>
      <c r="BQ256" s="239"/>
      <c r="BR256" s="239"/>
      <c r="BS256" s="9"/>
    </row>
    <row r="257" spans="2:71" ht="15" x14ac:dyDescent="0.25">
      <c r="B257" s="9"/>
      <c r="C257" s="91"/>
      <c r="D257" s="161"/>
      <c r="E257" s="91"/>
      <c r="F257" s="9"/>
      <c r="G257" s="9"/>
      <c r="H257" s="91"/>
      <c r="I257" s="195"/>
      <c r="J257" s="49"/>
      <c r="K257" s="161"/>
      <c r="L257" s="47"/>
      <c r="M257" s="9"/>
      <c r="N257" s="9"/>
      <c r="O257" s="91"/>
      <c r="P257" s="91"/>
      <c r="Q257" s="91"/>
      <c r="R257" s="9"/>
      <c r="S257" s="9"/>
      <c r="T257" s="91"/>
      <c r="U257" s="7"/>
      <c r="V257" s="91"/>
      <c r="W257" s="9"/>
      <c r="X257" s="9"/>
      <c r="Y257" s="91"/>
      <c r="Z257" s="7"/>
      <c r="AA257" s="91"/>
      <c r="AB257" s="9"/>
      <c r="AC257" s="9"/>
      <c r="AD257" s="48"/>
      <c r="AE257" s="49"/>
      <c r="AF257" s="91"/>
      <c r="AG257" s="9"/>
      <c r="AH257" s="9"/>
      <c r="AI257" s="91"/>
      <c r="AJ257" s="237"/>
      <c r="AK257" s="9"/>
      <c r="AL257" s="238"/>
      <c r="AM257" s="239"/>
      <c r="AN257" s="239"/>
      <c r="AO257" s="9"/>
      <c r="AP257" s="9"/>
      <c r="AQ257" s="240"/>
      <c r="AR257" s="241"/>
      <c r="AS257" s="241"/>
      <c r="AT257" s="66"/>
      <c r="AU257" s="9"/>
      <c r="AV257" s="238"/>
      <c r="AW257" s="239"/>
      <c r="AX257" s="239"/>
      <c r="AY257" s="9"/>
      <c r="AZ257" s="9"/>
      <c r="BA257" s="238"/>
      <c r="BB257" s="239"/>
      <c r="BC257" s="239"/>
      <c r="BD257" s="9"/>
      <c r="BE257" s="9"/>
      <c r="BF257" s="238"/>
      <c r="BG257" s="239"/>
      <c r="BH257" s="239"/>
      <c r="BI257" s="9"/>
      <c r="BJ257" s="9"/>
      <c r="BK257" s="240"/>
      <c r="BL257" s="241"/>
      <c r="BM257" s="241"/>
      <c r="BN257" s="66"/>
      <c r="BO257" s="9"/>
      <c r="BP257" s="238"/>
      <c r="BQ257" s="239"/>
      <c r="BR257" s="239"/>
      <c r="BS257" s="9"/>
    </row>
    <row r="258" spans="2:71" ht="15" x14ac:dyDescent="0.25">
      <c r="B258" s="9"/>
      <c r="C258" s="91"/>
      <c r="D258" s="161"/>
      <c r="E258" s="91"/>
      <c r="F258" s="9"/>
      <c r="G258" s="9"/>
      <c r="H258" s="91"/>
      <c r="I258" s="195"/>
      <c r="J258" s="49"/>
      <c r="K258" s="161"/>
      <c r="L258" s="47"/>
      <c r="M258" s="9"/>
      <c r="N258" s="9"/>
      <c r="O258" s="91"/>
      <c r="P258" s="91"/>
      <c r="Q258" s="91"/>
      <c r="R258" s="9"/>
      <c r="S258" s="9"/>
      <c r="T258" s="91"/>
      <c r="U258" s="7"/>
      <c r="V258" s="91"/>
      <c r="W258" s="9"/>
      <c r="X258" s="9"/>
      <c r="Y258" s="91"/>
      <c r="Z258" s="7"/>
      <c r="AA258" s="91"/>
      <c r="AB258" s="9"/>
      <c r="AC258" s="9"/>
      <c r="AD258" s="48"/>
      <c r="AE258" s="49"/>
      <c r="AF258" s="91"/>
      <c r="AG258" s="9"/>
      <c r="AH258" s="9"/>
      <c r="AI258" s="91"/>
      <c r="AJ258" s="237"/>
      <c r="AK258" s="9"/>
      <c r="AL258" s="238"/>
      <c r="AM258" s="239"/>
      <c r="AN258" s="239"/>
      <c r="AO258" s="9"/>
      <c r="AP258" s="9"/>
      <c r="AQ258" s="240"/>
      <c r="AR258" s="241"/>
      <c r="AS258" s="241"/>
      <c r="AT258" s="66"/>
      <c r="AU258" s="9"/>
      <c r="AV258" s="238"/>
      <c r="AW258" s="239"/>
      <c r="AX258" s="239"/>
      <c r="AY258" s="9"/>
      <c r="AZ258" s="9"/>
      <c r="BA258" s="238"/>
      <c r="BB258" s="239"/>
      <c r="BC258" s="239"/>
      <c r="BD258" s="9"/>
      <c r="BE258" s="9"/>
      <c r="BF258" s="238"/>
      <c r="BG258" s="239"/>
      <c r="BH258" s="239"/>
      <c r="BI258" s="9"/>
      <c r="BJ258" s="9"/>
      <c r="BK258" s="240"/>
      <c r="BL258" s="241"/>
      <c r="BM258" s="241"/>
      <c r="BN258" s="66"/>
      <c r="BO258" s="9"/>
      <c r="BP258" s="238"/>
      <c r="BQ258" s="239"/>
      <c r="BR258" s="239"/>
      <c r="BS258" s="9"/>
    </row>
    <row r="259" spans="2:71" ht="15" x14ac:dyDescent="0.25">
      <c r="B259" s="9"/>
      <c r="C259" s="91"/>
      <c r="D259" s="161"/>
      <c r="E259" s="91"/>
      <c r="F259" s="9"/>
      <c r="G259" s="9"/>
      <c r="H259" s="91"/>
      <c r="I259" s="195"/>
      <c r="J259" s="49"/>
      <c r="K259" s="161"/>
      <c r="L259" s="47"/>
      <c r="M259" s="9"/>
      <c r="N259" s="9"/>
      <c r="O259" s="91"/>
      <c r="P259" s="91"/>
      <c r="Q259" s="91"/>
      <c r="R259" s="9"/>
      <c r="S259" s="9"/>
      <c r="T259" s="91"/>
      <c r="U259" s="7"/>
      <c r="V259" s="91"/>
      <c r="W259" s="9"/>
      <c r="X259" s="9"/>
      <c r="Y259" s="91"/>
      <c r="Z259" s="7"/>
      <c r="AA259" s="91"/>
      <c r="AB259" s="9"/>
      <c r="AC259" s="9"/>
      <c r="AD259" s="48"/>
      <c r="AE259" s="49"/>
      <c r="AF259" s="91"/>
      <c r="AG259" s="9"/>
      <c r="AH259" s="9"/>
      <c r="AI259" s="91"/>
      <c r="AJ259" s="237"/>
      <c r="AK259" s="9"/>
      <c r="AL259" s="238"/>
      <c r="AM259" s="239"/>
      <c r="AN259" s="239"/>
      <c r="AO259" s="9"/>
      <c r="AP259" s="9"/>
      <c r="AQ259" s="240"/>
      <c r="AR259" s="241"/>
      <c r="AS259" s="241"/>
      <c r="AT259" s="66"/>
      <c r="AU259" s="9"/>
      <c r="AV259" s="238"/>
      <c r="AW259" s="239"/>
      <c r="AX259" s="239"/>
      <c r="AY259" s="9"/>
      <c r="AZ259" s="9"/>
      <c r="BA259" s="238"/>
      <c r="BB259" s="239"/>
      <c r="BC259" s="239"/>
      <c r="BD259" s="9"/>
      <c r="BE259" s="9"/>
      <c r="BF259" s="238"/>
      <c r="BG259" s="239"/>
      <c r="BH259" s="239"/>
      <c r="BI259" s="9"/>
      <c r="BJ259" s="9"/>
      <c r="BK259" s="240"/>
      <c r="BL259" s="241"/>
      <c r="BM259" s="241"/>
      <c r="BN259" s="66"/>
      <c r="BO259" s="9"/>
      <c r="BP259" s="238"/>
      <c r="BQ259" s="239"/>
      <c r="BR259" s="239"/>
      <c r="BS259" s="9"/>
    </row>
    <row r="260" spans="2:71" ht="15" x14ac:dyDescent="0.25">
      <c r="B260" s="9"/>
      <c r="C260" s="91"/>
      <c r="D260" s="161"/>
      <c r="E260" s="91"/>
      <c r="F260" s="9"/>
      <c r="G260" s="9"/>
      <c r="H260" s="91"/>
      <c r="I260" s="195"/>
      <c r="J260" s="49"/>
      <c r="K260" s="161"/>
      <c r="L260" s="47"/>
      <c r="M260" s="9"/>
      <c r="N260" s="9"/>
      <c r="O260" s="91"/>
      <c r="P260" s="91"/>
      <c r="Q260" s="91"/>
      <c r="R260" s="9"/>
      <c r="S260" s="9"/>
      <c r="T260" s="91"/>
      <c r="U260" s="7"/>
      <c r="V260" s="91"/>
      <c r="W260" s="9"/>
      <c r="X260" s="9"/>
      <c r="Y260" s="91"/>
      <c r="Z260" s="7"/>
      <c r="AA260" s="91"/>
      <c r="AB260" s="9"/>
      <c r="AC260" s="9"/>
      <c r="AD260" s="48"/>
      <c r="AE260" s="49"/>
      <c r="AF260" s="91"/>
      <c r="AG260" s="9"/>
      <c r="AH260" s="9"/>
      <c r="AI260" s="91"/>
      <c r="AJ260" s="237"/>
      <c r="AK260" s="9"/>
      <c r="AL260" s="238"/>
      <c r="AM260" s="239"/>
      <c r="AN260" s="239"/>
      <c r="AO260" s="9"/>
      <c r="AP260" s="9"/>
      <c r="AQ260" s="240"/>
      <c r="AR260" s="241"/>
      <c r="AS260" s="241"/>
      <c r="AT260" s="66"/>
      <c r="AU260" s="9"/>
      <c r="AV260" s="238"/>
      <c r="AW260" s="239"/>
      <c r="AX260" s="239"/>
      <c r="AY260" s="9"/>
      <c r="AZ260" s="9"/>
      <c r="BA260" s="238"/>
      <c r="BB260" s="239"/>
      <c r="BC260" s="239"/>
      <c r="BD260" s="9"/>
      <c r="BE260" s="9"/>
      <c r="BF260" s="238"/>
      <c r="BG260" s="239"/>
      <c r="BH260" s="239"/>
      <c r="BI260" s="9"/>
      <c r="BJ260" s="9"/>
      <c r="BK260" s="240"/>
      <c r="BL260" s="241"/>
      <c r="BM260" s="241"/>
      <c r="BN260" s="66"/>
      <c r="BO260" s="9"/>
      <c r="BP260" s="238"/>
      <c r="BQ260" s="239"/>
      <c r="BR260" s="239"/>
      <c r="BS260" s="9"/>
    </row>
    <row r="261" spans="2:71" ht="15" x14ac:dyDescent="0.25">
      <c r="B261" s="9"/>
      <c r="C261" s="91"/>
      <c r="D261" s="161"/>
      <c r="E261" s="91"/>
      <c r="F261" s="9"/>
      <c r="G261" s="9"/>
      <c r="H261" s="91"/>
      <c r="I261" s="195"/>
      <c r="J261" s="49"/>
      <c r="K261" s="161"/>
      <c r="L261" s="47"/>
      <c r="M261" s="9"/>
      <c r="N261" s="9"/>
      <c r="O261" s="91"/>
      <c r="P261" s="91"/>
      <c r="Q261" s="91"/>
      <c r="R261" s="9"/>
      <c r="S261" s="9"/>
      <c r="T261" s="91"/>
      <c r="U261" s="7"/>
      <c r="V261" s="91"/>
      <c r="W261" s="9"/>
      <c r="X261" s="9"/>
      <c r="Y261" s="91"/>
      <c r="Z261" s="7"/>
      <c r="AA261" s="91"/>
      <c r="AB261" s="9"/>
      <c r="AC261" s="9"/>
      <c r="AD261" s="48"/>
      <c r="AE261" s="49"/>
      <c r="AF261" s="91"/>
      <c r="AG261" s="9"/>
      <c r="AH261" s="9"/>
      <c r="AI261" s="91"/>
      <c r="AJ261" s="237"/>
      <c r="AK261" s="9"/>
      <c r="AL261" s="238"/>
      <c r="AM261" s="239"/>
      <c r="AN261" s="239"/>
      <c r="AO261" s="9"/>
      <c r="AP261" s="9"/>
      <c r="AQ261" s="240"/>
      <c r="AR261" s="241"/>
      <c r="AS261" s="241"/>
      <c r="AT261" s="66"/>
      <c r="AU261" s="9"/>
      <c r="AV261" s="238"/>
      <c r="AW261" s="239"/>
      <c r="AX261" s="239"/>
      <c r="AY261" s="9"/>
      <c r="AZ261" s="9"/>
      <c r="BA261" s="238"/>
      <c r="BB261" s="239"/>
      <c r="BC261" s="239"/>
      <c r="BD261" s="9"/>
      <c r="BE261" s="9"/>
      <c r="BF261" s="238"/>
      <c r="BG261" s="239"/>
      <c r="BH261" s="239"/>
      <c r="BI261" s="9"/>
      <c r="BJ261" s="9"/>
      <c r="BK261" s="240"/>
      <c r="BL261" s="241"/>
      <c r="BM261" s="241"/>
      <c r="BN261" s="66"/>
      <c r="BO261" s="9"/>
      <c r="BP261" s="238"/>
      <c r="BQ261" s="239"/>
      <c r="BR261" s="239"/>
      <c r="BS261" s="9"/>
    </row>
    <row r="262" spans="2:71" ht="15" x14ac:dyDescent="0.25">
      <c r="B262" s="9"/>
      <c r="C262" s="91"/>
      <c r="D262" s="161"/>
      <c r="E262" s="91"/>
      <c r="F262" s="9"/>
      <c r="G262" s="9"/>
      <c r="H262" s="91"/>
      <c r="I262" s="195"/>
      <c r="J262" s="49"/>
      <c r="K262" s="161"/>
      <c r="L262" s="47"/>
      <c r="M262" s="9"/>
      <c r="N262" s="9"/>
      <c r="O262" s="91"/>
      <c r="P262" s="91"/>
      <c r="Q262" s="91"/>
      <c r="R262" s="9"/>
      <c r="S262" s="9"/>
      <c r="T262" s="91"/>
      <c r="U262" s="7"/>
      <c r="V262" s="91"/>
      <c r="W262" s="9"/>
      <c r="X262" s="9"/>
      <c r="Y262" s="91"/>
      <c r="Z262" s="7"/>
      <c r="AA262" s="91"/>
      <c r="AB262" s="9"/>
      <c r="AC262" s="9"/>
      <c r="AD262" s="48"/>
      <c r="AE262" s="49"/>
      <c r="AF262" s="91"/>
      <c r="AG262" s="9"/>
      <c r="AH262" s="9"/>
      <c r="AI262" s="91"/>
      <c r="AJ262" s="237"/>
      <c r="AK262" s="9"/>
      <c r="AL262" s="238"/>
      <c r="AM262" s="239"/>
      <c r="AN262" s="239"/>
      <c r="AO262" s="9"/>
      <c r="AP262" s="9"/>
      <c r="AQ262" s="240"/>
      <c r="AR262" s="241"/>
      <c r="AS262" s="241"/>
      <c r="AT262" s="66"/>
      <c r="AU262" s="9"/>
      <c r="AV262" s="238"/>
      <c r="AW262" s="239"/>
      <c r="AX262" s="239"/>
      <c r="AY262" s="9"/>
      <c r="AZ262" s="9"/>
      <c r="BA262" s="238"/>
      <c r="BB262" s="239"/>
      <c r="BC262" s="239"/>
      <c r="BD262" s="9"/>
      <c r="BE262" s="9"/>
      <c r="BF262" s="238"/>
      <c r="BG262" s="239"/>
      <c r="BH262" s="239"/>
      <c r="BI262" s="9"/>
      <c r="BJ262" s="9"/>
      <c r="BK262" s="240"/>
      <c r="BL262" s="241"/>
      <c r="BM262" s="241"/>
      <c r="BN262" s="66"/>
      <c r="BO262" s="9"/>
      <c r="BP262" s="238"/>
      <c r="BQ262" s="239"/>
      <c r="BR262" s="239"/>
      <c r="BS262" s="9"/>
    </row>
    <row r="263" spans="2:71" ht="15" x14ac:dyDescent="0.25">
      <c r="B263" s="9"/>
      <c r="C263" s="91"/>
      <c r="D263" s="161"/>
      <c r="E263" s="91"/>
      <c r="F263" s="9"/>
      <c r="G263" s="9"/>
      <c r="H263" s="91"/>
      <c r="I263" s="195"/>
      <c r="J263" s="49"/>
      <c r="K263" s="161"/>
      <c r="L263" s="47"/>
      <c r="M263" s="9"/>
      <c r="N263" s="9"/>
      <c r="O263" s="91"/>
      <c r="P263" s="91"/>
      <c r="Q263" s="91"/>
      <c r="R263" s="9"/>
      <c r="S263" s="9"/>
      <c r="T263" s="91"/>
      <c r="U263" s="7"/>
      <c r="V263" s="91"/>
      <c r="W263" s="9"/>
      <c r="X263" s="9"/>
      <c r="Y263" s="91"/>
      <c r="Z263" s="7"/>
      <c r="AA263" s="91"/>
      <c r="AB263" s="9"/>
      <c r="AC263" s="9"/>
      <c r="AD263" s="48"/>
      <c r="AE263" s="49"/>
      <c r="AF263" s="91"/>
      <c r="AG263" s="9"/>
      <c r="AH263" s="9"/>
      <c r="AI263" s="91"/>
      <c r="AJ263" s="237"/>
      <c r="AK263" s="9"/>
      <c r="AL263" s="238"/>
      <c r="AM263" s="239"/>
      <c r="AN263" s="239"/>
      <c r="AO263" s="9"/>
      <c r="AP263" s="9"/>
      <c r="AQ263" s="240"/>
      <c r="AR263" s="241"/>
      <c r="AS263" s="241"/>
      <c r="AT263" s="66"/>
      <c r="AU263" s="9"/>
      <c r="AV263" s="238"/>
      <c r="AW263" s="239"/>
      <c r="AX263" s="239"/>
      <c r="AY263" s="9"/>
      <c r="AZ263" s="9"/>
      <c r="BA263" s="238"/>
      <c r="BB263" s="239"/>
      <c r="BC263" s="239"/>
      <c r="BD263" s="9"/>
      <c r="BE263" s="9"/>
      <c r="BF263" s="238"/>
      <c r="BG263" s="239"/>
      <c r="BH263" s="239"/>
      <c r="BI263" s="9"/>
      <c r="BJ263" s="9"/>
      <c r="BK263" s="240"/>
      <c r="BL263" s="241"/>
      <c r="BM263" s="241"/>
      <c r="BN263" s="66"/>
      <c r="BO263" s="9"/>
      <c r="BP263" s="238"/>
      <c r="BQ263" s="239"/>
      <c r="BR263" s="239"/>
      <c r="BS263" s="9"/>
    </row>
    <row r="264" spans="2:71" ht="15" x14ac:dyDescent="0.25">
      <c r="B264" s="9"/>
      <c r="C264" s="91"/>
      <c r="D264" s="161"/>
      <c r="E264" s="91"/>
      <c r="F264" s="9"/>
      <c r="G264" s="9"/>
      <c r="H264" s="91"/>
      <c r="I264" s="195"/>
      <c r="J264" s="49"/>
      <c r="K264" s="161"/>
      <c r="L264" s="47"/>
      <c r="M264" s="9"/>
      <c r="N264" s="9"/>
      <c r="O264" s="91"/>
      <c r="P264" s="91"/>
      <c r="Q264" s="91"/>
      <c r="R264" s="9"/>
      <c r="S264" s="9"/>
      <c r="T264" s="91"/>
      <c r="U264" s="7"/>
      <c r="V264" s="91"/>
      <c r="W264" s="9"/>
      <c r="X264" s="9"/>
      <c r="Y264" s="91"/>
      <c r="Z264" s="7"/>
      <c r="AA264" s="91"/>
      <c r="AB264" s="9"/>
      <c r="AC264" s="9"/>
      <c r="AD264" s="48"/>
      <c r="AE264" s="49"/>
      <c r="AF264" s="91"/>
      <c r="AG264" s="9"/>
      <c r="AH264" s="9"/>
      <c r="AI264" s="91"/>
      <c r="AJ264" s="237"/>
      <c r="AK264" s="9"/>
      <c r="AL264" s="238"/>
      <c r="AM264" s="239"/>
      <c r="AN264" s="239"/>
      <c r="AO264" s="9"/>
      <c r="AP264" s="9"/>
      <c r="AQ264" s="240"/>
      <c r="AR264" s="241"/>
      <c r="AS264" s="241"/>
      <c r="AT264" s="66"/>
      <c r="AU264" s="9"/>
      <c r="AV264" s="238"/>
      <c r="AW264" s="239"/>
      <c r="AX264" s="239"/>
      <c r="AY264" s="9"/>
      <c r="AZ264" s="9"/>
      <c r="BA264" s="238"/>
      <c r="BB264" s="239"/>
      <c r="BC264" s="239"/>
      <c r="BD264" s="9"/>
      <c r="BE264" s="9"/>
      <c r="BF264" s="238"/>
      <c r="BG264" s="239"/>
      <c r="BH264" s="239"/>
      <c r="BI264" s="9"/>
      <c r="BJ264" s="9"/>
      <c r="BK264" s="240"/>
      <c r="BL264" s="241"/>
      <c r="BM264" s="241"/>
      <c r="BN264" s="66"/>
      <c r="BO264" s="9"/>
      <c r="BP264" s="238"/>
      <c r="BQ264" s="239"/>
      <c r="BR264" s="239"/>
      <c r="BS264" s="9"/>
    </row>
    <row r="265" spans="2:71" ht="15" x14ac:dyDescent="0.25">
      <c r="B265" s="9"/>
      <c r="C265" s="91"/>
      <c r="D265" s="161"/>
      <c r="E265" s="91"/>
      <c r="F265" s="9"/>
      <c r="G265" s="9"/>
      <c r="H265" s="91"/>
      <c r="I265" s="195"/>
      <c r="J265" s="49"/>
      <c r="K265" s="161"/>
      <c r="L265" s="47"/>
      <c r="M265" s="9"/>
      <c r="N265" s="9"/>
      <c r="O265" s="91"/>
      <c r="P265" s="91"/>
      <c r="Q265" s="91"/>
      <c r="R265" s="9"/>
      <c r="S265" s="9"/>
      <c r="T265" s="91"/>
      <c r="U265" s="7"/>
      <c r="V265" s="91"/>
      <c r="W265" s="9"/>
      <c r="X265" s="9"/>
      <c r="Y265" s="91"/>
      <c r="Z265" s="7"/>
      <c r="AA265" s="91"/>
      <c r="AB265" s="9"/>
      <c r="AC265" s="9"/>
      <c r="AD265" s="48"/>
      <c r="AE265" s="49"/>
      <c r="AF265" s="91"/>
      <c r="AG265" s="9"/>
      <c r="AH265" s="9"/>
      <c r="AI265" s="91"/>
      <c r="AJ265" s="237"/>
      <c r="AK265" s="9"/>
      <c r="AL265" s="238"/>
      <c r="AM265" s="239"/>
      <c r="AN265" s="239"/>
      <c r="AO265" s="9"/>
      <c r="AP265" s="9"/>
      <c r="AQ265" s="240"/>
      <c r="AR265" s="241"/>
      <c r="AS265" s="241"/>
      <c r="AT265" s="66"/>
      <c r="AU265" s="9"/>
      <c r="AV265" s="238"/>
      <c r="AW265" s="239"/>
      <c r="AX265" s="239"/>
      <c r="AY265" s="9"/>
      <c r="AZ265" s="9"/>
      <c r="BA265" s="238"/>
      <c r="BB265" s="239"/>
      <c r="BC265" s="239"/>
      <c r="BD265" s="9"/>
      <c r="BE265" s="9"/>
      <c r="BF265" s="238"/>
      <c r="BG265" s="239"/>
      <c r="BH265" s="239"/>
      <c r="BI265" s="9"/>
      <c r="BJ265" s="9"/>
      <c r="BK265" s="240"/>
      <c r="BL265" s="241"/>
      <c r="BM265" s="241"/>
      <c r="BN265" s="66"/>
      <c r="BO265" s="9"/>
      <c r="BP265" s="238"/>
      <c r="BQ265" s="239"/>
      <c r="BR265" s="239"/>
      <c r="BS265" s="9"/>
    </row>
    <row r="266" spans="2:71" ht="15" x14ac:dyDescent="0.25">
      <c r="B266" s="9"/>
      <c r="C266" s="91"/>
      <c r="D266" s="161"/>
      <c r="E266" s="91"/>
      <c r="F266" s="9"/>
      <c r="G266" s="9"/>
      <c r="H266" s="91"/>
      <c r="I266" s="195"/>
      <c r="J266" s="49"/>
      <c r="K266" s="161"/>
      <c r="L266" s="47"/>
      <c r="M266" s="9"/>
      <c r="N266" s="9"/>
      <c r="O266" s="91"/>
      <c r="P266" s="91"/>
      <c r="Q266" s="91"/>
      <c r="R266" s="9"/>
      <c r="S266" s="9"/>
      <c r="T266" s="91"/>
      <c r="U266" s="7"/>
      <c r="V266" s="91"/>
      <c r="W266" s="9"/>
      <c r="X266" s="9"/>
      <c r="Y266" s="91"/>
      <c r="Z266" s="7"/>
      <c r="AA266" s="91"/>
      <c r="AB266" s="9"/>
      <c r="AC266" s="9"/>
      <c r="AD266" s="48"/>
      <c r="AE266" s="49"/>
      <c r="AF266" s="91"/>
      <c r="AG266" s="9"/>
      <c r="AH266" s="9"/>
      <c r="AI266" s="91"/>
      <c r="AJ266" s="237"/>
      <c r="AK266" s="9"/>
      <c r="AL266" s="238"/>
      <c r="AM266" s="239"/>
      <c r="AN266" s="239"/>
      <c r="AO266" s="9"/>
      <c r="AP266" s="9"/>
      <c r="AQ266" s="240"/>
      <c r="AR266" s="241"/>
      <c r="AS266" s="241"/>
      <c r="AT266" s="66"/>
      <c r="AU266" s="9"/>
      <c r="AV266" s="238"/>
      <c r="AW266" s="239"/>
      <c r="AX266" s="239"/>
      <c r="AY266" s="9"/>
      <c r="AZ266" s="9"/>
      <c r="BA266" s="238"/>
      <c r="BB266" s="239"/>
      <c r="BC266" s="239"/>
      <c r="BD266" s="9"/>
      <c r="BE266" s="9"/>
      <c r="BF266" s="238"/>
      <c r="BG266" s="239"/>
      <c r="BH266" s="239"/>
      <c r="BI266" s="9"/>
      <c r="BJ266" s="9"/>
      <c r="BK266" s="240"/>
      <c r="BL266" s="241"/>
      <c r="BM266" s="241"/>
      <c r="BN266" s="66"/>
      <c r="BO266" s="9"/>
      <c r="BP266" s="238"/>
      <c r="BQ266" s="239"/>
      <c r="BR266" s="239"/>
      <c r="BS266" s="9"/>
    </row>
    <row r="267" spans="2:71" ht="15" x14ac:dyDescent="0.25">
      <c r="B267" s="9"/>
      <c r="C267" s="91"/>
      <c r="D267" s="161"/>
      <c r="E267" s="91"/>
      <c r="F267" s="9"/>
      <c r="G267" s="9"/>
      <c r="H267" s="91"/>
      <c r="I267" s="195"/>
      <c r="J267" s="49"/>
      <c r="K267" s="161"/>
      <c r="L267" s="47"/>
      <c r="M267" s="9"/>
      <c r="N267" s="9"/>
      <c r="O267" s="91"/>
      <c r="P267" s="91"/>
      <c r="Q267" s="91"/>
      <c r="R267" s="9"/>
      <c r="S267" s="9"/>
      <c r="T267" s="91"/>
      <c r="U267" s="7"/>
      <c r="V267" s="91"/>
      <c r="W267" s="9"/>
      <c r="X267" s="9"/>
      <c r="Y267" s="91"/>
      <c r="Z267" s="7"/>
      <c r="AA267" s="91"/>
      <c r="AB267" s="9"/>
      <c r="AC267" s="9"/>
      <c r="AD267" s="48"/>
      <c r="AE267" s="49"/>
      <c r="AF267" s="91"/>
      <c r="AG267" s="9"/>
      <c r="AH267" s="9"/>
      <c r="AI267" s="91"/>
      <c r="AJ267" s="237"/>
      <c r="AK267" s="9"/>
      <c r="AL267" s="238"/>
      <c r="AM267" s="239"/>
      <c r="AN267" s="239"/>
      <c r="AO267" s="9"/>
      <c r="AP267" s="9"/>
      <c r="AQ267" s="240"/>
      <c r="AR267" s="241"/>
      <c r="AS267" s="241"/>
      <c r="AT267" s="66"/>
      <c r="AU267" s="9"/>
      <c r="AV267" s="238"/>
      <c r="AW267" s="239"/>
      <c r="AX267" s="239"/>
      <c r="AY267" s="9"/>
      <c r="AZ267" s="9"/>
      <c r="BA267" s="238"/>
      <c r="BB267" s="239"/>
      <c r="BC267" s="239"/>
      <c r="BD267" s="9"/>
      <c r="BE267" s="9"/>
      <c r="BF267" s="238"/>
      <c r="BG267" s="239"/>
      <c r="BH267" s="239"/>
      <c r="BI267" s="9"/>
      <c r="BJ267" s="9"/>
      <c r="BK267" s="240"/>
      <c r="BL267" s="241"/>
      <c r="BM267" s="241"/>
      <c r="BN267" s="66"/>
      <c r="BO267" s="9"/>
      <c r="BP267" s="238"/>
      <c r="BQ267" s="239"/>
      <c r="BR267" s="239"/>
      <c r="BS267" s="9"/>
    </row>
    <row r="268" spans="2:71" ht="15" x14ac:dyDescent="0.25">
      <c r="B268" s="9"/>
      <c r="C268" s="91"/>
      <c r="D268" s="161"/>
      <c r="E268" s="91"/>
      <c r="F268" s="9"/>
      <c r="G268" s="9"/>
      <c r="H268" s="91"/>
      <c r="I268" s="195"/>
      <c r="J268" s="49"/>
      <c r="K268" s="161"/>
      <c r="L268" s="47"/>
      <c r="M268" s="9"/>
      <c r="N268" s="9"/>
      <c r="O268" s="91"/>
      <c r="P268" s="91"/>
      <c r="Q268" s="91"/>
      <c r="R268" s="9"/>
      <c r="S268" s="9"/>
      <c r="T268" s="91"/>
      <c r="U268" s="7"/>
      <c r="V268" s="91"/>
      <c r="W268" s="9"/>
      <c r="X268" s="9"/>
      <c r="Y268" s="91"/>
      <c r="Z268" s="7"/>
      <c r="AA268" s="91"/>
      <c r="AB268" s="9"/>
      <c r="AC268" s="9"/>
      <c r="AD268" s="48"/>
      <c r="AE268" s="49"/>
      <c r="AF268" s="91"/>
      <c r="AG268" s="9"/>
      <c r="AH268" s="9"/>
      <c r="AI268" s="91"/>
      <c r="AJ268" s="237"/>
      <c r="AK268" s="9"/>
      <c r="AL268" s="238"/>
      <c r="AM268" s="239"/>
      <c r="AN268" s="239"/>
      <c r="AO268" s="9"/>
      <c r="AP268" s="9"/>
      <c r="AQ268" s="240"/>
      <c r="AR268" s="241"/>
      <c r="AS268" s="241"/>
      <c r="AT268" s="66"/>
      <c r="AU268" s="9"/>
      <c r="AV268" s="238"/>
      <c r="AW268" s="239"/>
      <c r="AX268" s="239"/>
      <c r="AY268" s="9"/>
      <c r="AZ268" s="9"/>
      <c r="BA268" s="238"/>
      <c r="BB268" s="239"/>
      <c r="BC268" s="239"/>
      <c r="BD268" s="9"/>
      <c r="BE268" s="9"/>
      <c r="BF268" s="238"/>
      <c r="BG268" s="239"/>
      <c r="BH268" s="239"/>
      <c r="BI268" s="9"/>
      <c r="BJ268" s="9"/>
      <c r="BK268" s="240"/>
      <c r="BL268" s="241"/>
      <c r="BM268" s="241"/>
      <c r="BN268" s="66"/>
      <c r="BO268" s="9"/>
      <c r="BP268" s="238"/>
      <c r="BQ268" s="239"/>
      <c r="BR268" s="239"/>
      <c r="BS268" s="9"/>
    </row>
    <row r="269" spans="2:71" ht="15" x14ac:dyDescent="0.25">
      <c r="B269" s="9"/>
      <c r="C269" s="91"/>
      <c r="D269" s="161"/>
      <c r="E269" s="91"/>
      <c r="F269" s="9"/>
      <c r="G269" s="9"/>
      <c r="H269" s="91"/>
      <c r="I269" s="195"/>
      <c r="J269" s="49"/>
      <c r="K269" s="161"/>
      <c r="L269" s="47"/>
      <c r="M269" s="9"/>
      <c r="N269" s="9"/>
      <c r="O269" s="91"/>
      <c r="P269" s="91"/>
      <c r="Q269" s="91"/>
      <c r="R269" s="9"/>
      <c r="S269" s="9"/>
      <c r="T269" s="91"/>
      <c r="U269" s="7"/>
      <c r="V269" s="91"/>
      <c r="W269" s="9"/>
      <c r="X269" s="9"/>
      <c r="Y269" s="91"/>
      <c r="Z269" s="7"/>
      <c r="AA269" s="91"/>
      <c r="AB269" s="9"/>
      <c r="AC269" s="9"/>
      <c r="AD269" s="48"/>
      <c r="AE269" s="49"/>
      <c r="AF269" s="91"/>
      <c r="AG269" s="9"/>
      <c r="AH269" s="9"/>
      <c r="AI269" s="91"/>
      <c r="AJ269" s="237"/>
      <c r="AK269" s="9"/>
      <c r="AL269" s="238"/>
      <c r="AM269" s="239"/>
      <c r="AN269" s="239"/>
      <c r="AO269" s="9"/>
      <c r="AP269" s="9"/>
      <c r="AQ269" s="240"/>
      <c r="AR269" s="241"/>
      <c r="AS269" s="241"/>
      <c r="AT269" s="66"/>
      <c r="AU269" s="9"/>
      <c r="AV269" s="238"/>
      <c r="AW269" s="239"/>
      <c r="AX269" s="239"/>
      <c r="AY269" s="9"/>
      <c r="AZ269" s="9"/>
      <c r="BA269" s="238"/>
      <c r="BB269" s="239"/>
      <c r="BC269" s="239"/>
      <c r="BD269" s="9"/>
      <c r="BE269" s="9"/>
      <c r="BF269" s="238"/>
      <c r="BG269" s="239"/>
      <c r="BH269" s="239"/>
      <c r="BI269" s="9"/>
      <c r="BJ269" s="9"/>
      <c r="BK269" s="240"/>
      <c r="BL269" s="241"/>
      <c r="BM269" s="241"/>
      <c r="BN269" s="66"/>
      <c r="BO269" s="9"/>
      <c r="BP269" s="238"/>
      <c r="BQ269" s="239"/>
      <c r="BR269" s="239"/>
      <c r="BS269" s="9"/>
    </row>
    <row r="270" spans="2:71" ht="15" x14ac:dyDescent="0.25">
      <c r="B270" s="9"/>
      <c r="C270" s="91"/>
      <c r="D270" s="161"/>
      <c r="E270" s="91"/>
      <c r="F270" s="9"/>
      <c r="G270" s="9"/>
      <c r="H270" s="91"/>
      <c r="I270" s="195"/>
      <c r="J270" s="49"/>
      <c r="K270" s="161"/>
      <c r="L270" s="47"/>
      <c r="M270" s="9"/>
      <c r="N270" s="9"/>
      <c r="O270" s="91"/>
      <c r="P270" s="91"/>
      <c r="Q270" s="91"/>
      <c r="R270" s="9"/>
      <c r="S270" s="9"/>
      <c r="T270" s="91"/>
      <c r="U270" s="7"/>
      <c r="V270" s="91"/>
      <c r="W270" s="9"/>
      <c r="X270" s="9"/>
      <c r="Y270" s="91"/>
      <c r="Z270" s="7"/>
      <c r="AA270" s="91"/>
      <c r="AB270" s="9"/>
      <c r="AC270" s="9"/>
      <c r="AD270" s="48"/>
      <c r="AE270" s="49"/>
      <c r="AF270" s="91"/>
      <c r="AG270" s="9"/>
      <c r="AH270" s="9"/>
      <c r="AI270" s="91"/>
      <c r="AJ270" s="237"/>
      <c r="AK270" s="9"/>
      <c r="AL270" s="238"/>
      <c r="AM270" s="239"/>
      <c r="AN270" s="239"/>
      <c r="AO270" s="9"/>
      <c r="AP270" s="9"/>
      <c r="AQ270" s="240"/>
      <c r="AR270" s="241"/>
      <c r="AS270" s="241"/>
      <c r="AT270" s="66"/>
      <c r="AU270" s="9"/>
      <c r="AV270" s="238"/>
      <c r="AW270" s="239"/>
      <c r="AX270" s="239"/>
      <c r="AY270" s="9"/>
      <c r="AZ270" s="9"/>
      <c r="BA270" s="238"/>
      <c r="BB270" s="239"/>
      <c r="BC270" s="239"/>
      <c r="BD270" s="9"/>
      <c r="BE270" s="9"/>
      <c r="BF270" s="238"/>
      <c r="BG270" s="239"/>
      <c r="BH270" s="239"/>
      <c r="BI270" s="9"/>
      <c r="BJ270" s="9"/>
      <c r="BK270" s="240"/>
      <c r="BL270" s="241"/>
      <c r="BM270" s="241"/>
      <c r="BN270" s="66"/>
      <c r="BO270" s="9"/>
      <c r="BP270" s="238"/>
      <c r="BQ270" s="239"/>
      <c r="BR270" s="239"/>
      <c r="BS270" s="9"/>
    </row>
    <row r="271" spans="2:71" ht="15" x14ac:dyDescent="0.25">
      <c r="B271" s="9"/>
      <c r="C271" s="91"/>
      <c r="D271" s="161"/>
      <c r="E271" s="91"/>
      <c r="F271" s="9"/>
      <c r="G271" s="9"/>
      <c r="H271" s="91"/>
      <c r="I271" s="195"/>
      <c r="J271" s="49"/>
      <c r="K271" s="161"/>
      <c r="L271" s="47"/>
      <c r="M271" s="9"/>
      <c r="N271" s="9"/>
      <c r="O271" s="91"/>
      <c r="P271" s="91"/>
      <c r="Q271" s="91"/>
      <c r="R271" s="9"/>
      <c r="S271" s="9"/>
      <c r="T271" s="91"/>
      <c r="U271" s="7"/>
      <c r="V271" s="91"/>
      <c r="W271" s="9"/>
      <c r="X271" s="9"/>
      <c r="Y271" s="91"/>
      <c r="Z271" s="7"/>
      <c r="AA271" s="91"/>
      <c r="AB271" s="9"/>
      <c r="AC271" s="9"/>
      <c r="AD271" s="48"/>
      <c r="AE271" s="49"/>
      <c r="AF271" s="91"/>
      <c r="AG271" s="9"/>
      <c r="AH271" s="9"/>
      <c r="AI271" s="91"/>
      <c r="AJ271" s="237"/>
      <c r="AK271" s="9"/>
      <c r="AL271" s="238"/>
      <c r="AM271" s="239"/>
      <c r="AN271" s="239"/>
      <c r="AO271" s="9"/>
      <c r="AP271" s="9"/>
      <c r="AQ271" s="240"/>
      <c r="AR271" s="241"/>
      <c r="AS271" s="241"/>
      <c r="AT271" s="66"/>
      <c r="AU271" s="9"/>
      <c r="AV271" s="238"/>
      <c r="AW271" s="239"/>
      <c r="AX271" s="239"/>
      <c r="AY271" s="9"/>
      <c r="AZ271" s="9"/>
      <c r="BA271" s="238"/>
      <c r="BB271" s="239"/>
      <c r="BC271" s="239"/>
      <c r="BD271" s="9"/>
      <c r="BE271" s="9"/>
      <c r="BF271" s="238"/>
      <c r="BG271" s="239"/>
      <c r="BH271" s="239"/>
      <c r="BI271" s="9"/>
      <c r="BJ271" s="9"/>
      <c r="BK271" s="240"/>
      <c r="BL271" s="241"/>
      <c r="BM271" s="241"/>
      <c r="BN271" s="66"/>
      <c r="BO271" s="9"/>
      <c r="BP271" s="238"/>
      <c r="BQ271" s="239"/>
      <c r="BR271" s="239"/>
      <c r="BS271" s="9"/>
    </row>
    <row r="272" spans="2:71" ht="15" x14ac:dyDescent="0.25">
      <c r="B272" s="9"/>
      <c r="C272" s="91"/>
      <c r="D272" s="161"/>
      <c r="E272" s="91"/>
      <c r="F272" s="9"/>
      <c r="G272" s="9"/>
      <c r="H272" s="91"/>
      <c r="I272" s="195"/>
      <c r="J272" s="49"/>
      <c r="K272" s="161"/>
      <c r="L272" s="47"/>
      <c r="M272" s="9"/>
      <c r="N272" s="9"/>
      <c r="O272" s="91"/>
      <c r="P272" s="91"/>
      <c r="Q272" s="91"/>
      <c r="R272" s="9"/>
      <c r="S272" s="9"/>
      <c r="T272" s="91"/>
      <c r="U272" s="7"/>
      <c r="V272" s="91"/>
      <c r="W272" s="9"/>
      <c r="X272" s="9"/>
      <c r="Y272" s="91"/>
      <c r="Z272" s="7"/>
      <c r="AA272" s="91"/>
      <c r="AB272" s="9"/>
      <c r="AC272" s="9"/>
      <c r="AD272" s="48"/>
      <c r="AE272" s="49"/>
      <c r="AF272" s="91"/>
      <c r="AG272" s="9"/>
      <c r="AH272" s="9"/>
      <c r="AI272" s="91"/>
      <c r="AJ272" s="237"/>
      <c r="AK272" s="9"/>
      <c r="AL272" s="238"/>
      <c r="AM272" s="239"/>
      <c r="AN272" s="239"/>
      <c r="AO272" s="9"/>
      <c r="AP272" s="9"/>
      <c r="AQ272" s="240"/>
      <c r="AR272" s="241"/>
      <c r="AS272" s="241"/>
      <c r="AT272" s="66"/>
      <c r="AU272" s="9"/>
      <c r="AV272" s="238"/>
      <c r="AW272" s="239"/>
      <c r="AX272" s="239"/>
      <c r="AY272" s="9"/>
      <c r="AZ272" s="9"/>
      <c r="BA272" s="238"/>
      <c r="BB272" s="239"/>
      <c r="BC272" s="239"/>
      <c r="BD272" s="9"/>
      <c r="BE272" s="9"/>
      <c r="BF272" s="238"/>
      <c r="BG272" s="239"/>
      <c r="BH272" s="239"/>
      <c r="BI272" s="9"/>
      <c r="BJ272" s="9"/>
      <c r="BK272" s="240"/>
      <c r="BL272" s="241"/>
      <c r="BM272" s="241"/>
      <c r="BN272" s="66"/>
      <c r="BO272" s="9"/>
      <c r="BP272" s="238"/>
      <c r="BQ272" s="239"/>
      <c r="BR272" s="239"/>
      <c r="BS272" s="9"/>
    </row>
    <row r="273" spans="2:71" ht="15" x14ac:dyDescent="0.25">
      <c r="B273" s="9"/>
      <c r="C273" s="91"/>
      <c r="D273" s="161"/>
      <c r="E273" s="91"/>
      <c r="F273" s="9"/>
      <c r="G273" s="9"/>
      <c r="H273" s="91"/>
      <c r="I273" s="195"/>
      <c r="J273" s="49"/>
      <c r="K273" s="161"/>
      <c r="L273" s="47"/>
      <c r="M273" s="9"/>
      <c r="N273" s="9"/>
      <c r="O273" s="91"/>
      <c r="P273" s="91"/>
      <c r="Q273" s="91"/>
      <c r="R273" s="9"/>
      <c r="S273" s="9"/>
      <c r="T273" s="91"/>
      <c r="U273" s="7"/>
      <c r="V273" s="91"/>
      <c r="W273" s="9"/>
      <c r="X273" s="9"/>
      <c r="Y273" s="91"/>
      <c r="Z273" s="7"/>
      <c r="AA273" s="91"/>
      <c r="AB273" s="9"/>
      <c r="AC273" s="9"/>
      <c r="AD273" s="48"/>
      <c r="AE273" s="49"/>
      <c r="AF273" s="91"/>
      <c r="AG273" s="9"/>
      <c r="AH273" s="9"/>
      <c r="AI273" s="91"/>
      <c r="AJ273" s="237"/>
      <c r="AK273" s="9"/>
      <c r="AL273" s="238"/>
      <c r="AM273" s="239"/>
      <c r="AN273" s="239"/>
      <c r="AO273" s="9"/>
      <c r="AP273" s="9"/>
      <c r="AQ273" s="240"/>
      <c r="AR273" s="241"/>
      <c r="AS273" s="241"/>
      <c r="AT273" s="66"/>
      <c r="AU273" s="9"/>
      <c r="AV273" s="238"/>
      <c r="AW273" s="239"/>
      <c r="AX273" s="239"/>
      <c r="AY273" s="9"/>
      <c r="AZ273" s="9"/>
      <c r="BA273" s="238"/>
      <c r="BB273" s="239"/>
      <c r="BC273" s="239"/>
      <c r="BD273" s="9"/>
      <c r="BE273" s="9"/>
      <c r="BF273" s="238"/>
      <c r="BG273" s="239"/>
      <c r="BH273" s="239"/>
      <c r="BI273" s="9"/>
      <c r="BJ273" s="9"/>
      <c r="BK273" s="240"/>
      <c r="BL273" s="241"/>
      <c r="BM273" s="241"/>
      <c r="BN273" s="66"/>
      <c r="BO273" s="9"/>
      <c r="BP273" s="238"/>
      <c r="BQ273" s="239"/>
      <c r="BR273" s="239"/>
      <c r="BS273" s="9"/>
    </row>
    <row r="274" spans="2:71" ht="15" x14ac:dyDescent="0.25">
      <c r="B274" s="9"/>
      <c r="C274" s="91"/>
      <c r="D274" s="161"/>
      <c r="E274" s="91"/>
      <c r="F274" s="9"/>
      <c r="G274" s="9"/>
      <c r="H274" s="91"/>
      <c r="I274" s="195"/>
      <c r="J274" s="49"/>
      <c r="K274" s="161"/>
      <c r="L274" s="47"/>
      <c r="M274" s="9"/>
      <c r="N274" s="9"/>
      <c r="O274" s="91"/>
      <c r="P274" s="91"/>
      <c r="Q274" s="91"/>
      <c r="R274" s="9"/>
      <c r="S274" s="9"/>
      <c r="T274" s="91"/>
      <c r="U274" s="7"/>
      <c r="V274" s="91"/>
      <c r="W274" s="9"/>
      <c r="X274" s="9"/>
      <c r="Y274" s="91"/>
      <c r="Z274" s="7"/>
      <c r="AA274" s="91"/>
      <c r="AB274" s="9"/>
      <c r="AC274" s="9"/>
      <c r="AD274" s="48"/>
      <c r="AE274" s="49"/>
      <c r="AF274" s="91"/>
      <c r="AG274" s="9"/>
      <c r="AH274" s="9"/>
      <c r="AI274" s="91"/>
      <c r="AJ274" s="237"/>
      <c r="AK274" s="9"/>
      <c r="AL274" s="238"/>
      <c r="AM274" s="239"/>
      <c r="AN274" s="239"/>
      <c r="AO274" s="9"/>
      <c r="AP274" s="9"/>
      <c r="AQ274" s="240"/>
      <c r="AR274" s="241"/>
      <c r="AS274" s="241"/>
      <c r="AT274" s="66"/>
      <c r="AU274" s="9"/>
      <c r="AV274" s="238"/>
      <c r="AW274" s="239"/>
      <c r="AX274" s="239"/>
      <c r="AY274" s="9"/>
      <c r="AZ274" s="9"/>
      <c r="BA274" s="238"/>
      <c r="BB274" s="239"/>
      <c r="BC274" s="239"/>
      <c r="BD274" s="9"/>
      <c r="BE274" s="9"/>
      <c r="BF274" s="238"/>
      <c r="BG274" s="239"/>
      <c r="BH274" s="239"/>
      <c r="BI274" s="9"/>
      <c r="BJ274" s="9"/>
      <c r="BK274" s="240"/>
      <c r="BL274" s="241"/>
      <c r="BM274" s="241"/>
      <c r="BN274" s="66"/>
      <c r="BO274" s="9"/>
      <c r="BP274" s="238"/>
      <c r="BQ274" s="239"/>
      <c r="BR274" s="239"/>
      <c r="BS274" s="9"/>
    </row>
    <row r="275" spans="2:71" ht="15" x14ac:dyDescent="0.25">
      <c r="B275" s="9"/>
      <c r="C275" s="91"/>
      <c r="D275" s="161"/>
      <c r="E275" s="91"/>
      <c r="F275" s="9"/>
      <c r="G275" s="9"/>
      <c r="H275" s="91"/>
      <c r="I275" s="195"/>
      <c r="J275" s="49"/>
      <c r="K275" s="161"/>
      <c r="L275" s="47"/>
      <c r="M275" s="9"/>
      <c r="N275" s="9"/>
      <c r="O275" s="91"/>
      <c r="P275" s="91"/>
      <c r="Q275" s="91"/>
      <c r="R275" s="9"/>
      <c r="S275" s="9"/>
      <c r="T275" s="91"/>
      <c r="U275" s="7"/>
      <c r="V275" s="91"/>
      <c r="W275" s="9"/>
      <c r="X275" s="9"/>
      <c r="Y275" s="91"/>
      <c r="Z275" s="7"/>
      <c r="AA275" s="91"/>
      <c r="AB275" s="9"/>
      <c r="AC275" s="9"/>
      <c r="AD275" s="48"/>
      <c r="AE275" s="49"/>
      <c r="AF275" s="91"/>
      <c r="AG275" s="9"/>
      <c r="AH275" s="9"/>
      <c r="AI275" s="91"/>
      <c r="AJ275" s="237"/>
      <c r="AK275" s="9"/>
      <c r="AL275" s="238"/>
      <c r="AM275" s="239"/>
      <c r="AN275" s="239"/>
      <c r="AO275" s="9"/>
      <c r="AP275" s="9"/>
      <c r="AQ275" s="240"/>
      <c r="AR275" s="241"/>
      <c r="AS275" s="241"/>
      <c r="AT275" s="66"/>
      <c r="AU275" s="9"/>
      <c r="AV275" s="238"/>
      <c r="AW275" s="239"/>
      <c r="AX275" s="239"/>
      <c r="AY275" s="9"/>
      <c r="AZ275" s="9"/>
      <c r="BA275" s="238"/>
      <c r="BB275" s="239"/>
      <c r="BC275" s="239"/>
      <c r="BD275" s="9"/>
      <c r="BE275" s="9"/>
      <c r="BF275" s="238"/>
      <c r="BG275" s="239"/>
      <c r="BH275" s="239"/>
      <c r="BI275" s="9"/>
      <c r="BJ275" s="9"/>
      <c r="BK275" s="240"/>
      <c r="BL275" s="241"/>
      <c r="BM275" s="241"/>
      <c r="BN275" s="66"/>
      <c r="BO275" s="9"/>
      <c r="BP275" s="238"/>
      <c r="BQ275" s="239"/>
      <c r="BR275" s="239"/>
      <c r="BS275" s="9"/>
    </row>
    <row r="276" spans="2:71" ht="15" x14ac:dyDescent="0.25">
      <c r="B276" s="9"/>
      <c r="C276" s="91"/>
      <c r="D276" s="161"/>
      <c r="E276" s="91"/>
      <c r="F276" s="9"/>
      <c r="G276" s="9"/>
      <c r="H276" s="91"/>
      <c r="I276" s="195"/>
      <c r="J276" s="49"/>
      <c r="K276" s="161"/>
      <c r="L276" s="47"/>
      <c r="M276" s="9"/>
      <c r="N276" s="9"/>
      <c r="O276" s="91"/>
      <c r="P276" s="91"/>
      <c r="Q276" s="91"/>
      <c r="R276" s="9"/>
      <c r="S276" s="9"/>
      <c r="T276" s="91"/>
      <c r="U276" s="7"/>
      <c r="V276" s="91"/>
      <c r="W276" s="9"/>
      <c r="X276" s="9"/>
      <c r="Y276" s="91"/>
      <c r="Z276" s="7"/>
      <c r="AA276" s="91"/>
      <c r="AB276" s="9"/>
      <c r="AC276" s="9"/>
      <c r="AD276" s="48"/>
      <c r="AE276" s="49"/>
      <c r="AF276" s="91"/>
      <c r="AG276" s="9"/>
      <c r="AH276" s="9"/>
      <c r="AI276" s="91"/>
      <c r="AJ276" s="237"/>
      <c r="AK276" s="9"/>
      <c r="AL276" s="238"/>
      <c r="AM276" s="239"/>
      <c r="AN276" s="239"/>
      <c r="AO276" s="9"/>
      <c r="AP276" s="9"/>
      <c r="AQ276" s="240"/>
      <c r="AR276" s="241"/>
      <c r="AS276" s="241"/>
      <c r="AT276" s="66"/>
      <c r="AU276" s="9"/>
      <c r="AV276" s="238"/>
      <c r="AW276" s="239"/>
      <c r="AX276" s="239"/>
      <c r="AY276" s="9"/>
      <c r="AZ276" s="9"/>
      <c r="BA276" s="238"/>
      <c r="BB276" s="239"/>
      <c r="BC276" s="239"/>
      <c r="BD276" s="9"/>
      <c r="BE276" s="9"/>
      <c r="BF276" s="238"/>
      <c r="BG276" s="239"/>
      <c r="BH276" s="239"/>
      <c r="BI276" s="9"/>
      <c r="BJ276" s="9"/>
      <c r="BK276" s="240"/>
      <c r="BL276" s="241"/>
      <c r="BM276" s="241"/>
      <c r="BN276" s="66"/>
      <c r="BO276" s="9"/>
      <c r="BP276" s="238"/>
      <c r="BQ276" s="239"/>
      <c r="BR276" s="239"/>
      <c r="BS276" s="9"/>
    </row>
    <row r="277" spans="2:71" ht="15" x14ac:dyDescent="0.25">
      <c r="B277" s="9"/>
      <c r="C277" s="91"/>
      <c r="D277" s="161"/>
      <c r="E277" s="91"/>
      <c r="F277" s="9"/>
      <c r="G277" s="9"/>
      <c r="H277" s="91"/>
      <c r="I277" s="195"/>
      <c r="J277" s="49"/>
      <c r="K277" s="161"/>
      <c r="L277" s="47"/>
      <c r="M277" s="9"/>
      <c r="N277" s="9"/>
      <c r="O277" s="91"/>
      <c r="P277" s="91"/>
      <c r="Q277" s="91"/>
      <c r="R277" s="9"/>
      <c r="S277" s="9"/>
      <c r="T277" s="91"/>
      <c r="U277" s="7"/>
      <c r="V277" s="91"/>
      <c r="W277" s="9"/>
      <c r="X277" s="9"/>
      <c r="Y277" s="91"/>
      <c r="Z277" s="7"/>
      <c r="AA277" s="91"/>
      <c r="AB277" s="9"/>
      <c r="AC277" s="9"/>
      <c r="AD277" s="48"/>
      <c r="AE277" s="49"/>
      <c r="AF277" s="91"/>
      <c r="AG277" s="9"/>
      <c r="AH277" s="9"/>
      <c r="AI277" s="91"/>
      <c r="AJ277" s="237"/>
      <c r="AK277" s="9"/>
      <c r="AL277" s="238"/>
      <c r="AM277" s="239"/>
      <c r="AN277" s="239"/>
      <c r="AO277" s="9"/>
      <c r="AP277" s="9"/>
      <c r="AQ277" s="240"/>
      <c r="AR277" s="241"/>
      <c r="AS277" s="241"/>
      <c r="AT277" s="66"/>
      <c r="AU277" s="9"/>
      <c r="AV277" s="238"/>
      <c r="AW277" s="239"/>
      <c r="AX277" s="239"/>
      <c r="AY277" s="9"/>
      <c r="AZ277" s="9"/>
      <c r="BA277" s="238"/>
      <c r="BB277" s="239"/>
      <c r="BC277" s="239"/>
      <c r="BD277" s="9"/>
      <c r="BE277" s="9"/>
      <c r="BF277" s="238"/>
      <c r="BG277" s="239"/>
      <c r="BH277" s="239"/>
      <c r="BI277" s="9"/>
      <c r="BJ277" s="9"/>
      <c r="BK277" s="240"/>
      <c r="BL277" s="241"/>
      <c r="BM277" s="241"/>
      <c r="BN277" s="66"/>
      <c r="BO277" s="9"/>
      <c r="BP277" s="238"/>
      <c r="BQ277" s="239"/>
      <c r="BR277" s="239"/>
      <c r="BS277" s="9"/>
    </row>
    <row r="278" spans="2:71" ht="15" x14ac:dyDescent="0.25">
      <c r="B278" s="9"/>
      <c r="C278" s="91"/>
      <c r="D278" s="161"/>
      <c r="E278" s="91"/>
      <c r="F278" s="9"/>
      <c r="G278" s="9"/>
      <c r="H278" s="91"/>
      <c r="I278" s="195"/>
      <c r="J278" s="49"/>
      <c r="K278" s="161"/>
      <c r="L278" s="47"/>
      <c r="M278" s="9"/>
      <c r="N278" s="9"/>
      <c r="O278" s="91"/>
      <c r="P278" s="91"/>
      <c r="Q278" s="91"/>
      <c r="R278" s="9"/>
      <c r="S278" s="9"/>
      <c r="T278" s="91"/>
      <c r="U278" s="7"/>
      <c r="V278" s="91"/>
      <c r="W278" s="9"/>
      <c r="X278" s="9"/>
      <c r="Y278" s="91"/>
      <c r="Z278" s="7"/>
      <c r="AA278" s="91"/>
      <c r="AB278" s="9"/>
      <c r="AC278" s="9"/>
      <c r="AD278" s="48"/>
      <c r="AE278" s="49"/>
      <c r="AF278" s="91"/>
      <c r="AG278" s="9"/>
      <c r="AH278" s="9"/>
      <c r="AI278" s="91"/>
      <c r="AJ278" s="237"/>
      <c r="AK278" s="9"/>
      <c r="AL278" s="238"/>
      <c r="AM278" s="239"/>
      <c r="AN278" s="239"/>
      <c r="AO278" s="9"/>
      <c r="AP278" s="9"/>
      <c r="AQ278" s="240"/>
      <c r="AR278" s="241"/>
      <c r="AS278" s="241"/>
      <c r="AT278" s="66"/>
      <c r="AU278" s="9"/>
      <c r="AV278" s="238"/>
      <c r="AW278" s="239"/>
      <c r="AX278" s="239"/>
      <c r="AY278" s="9"/>
      <c r="AZ278" s="9"/>
      <c r="BA278" s="238"/>
      <c r="BB278" s="239"/>
      <c r="BC278" s="239"/>
      <c r="BD278" s="9"/>
      <c r="BE278" s="9"/>
      <c r="BF278" s="238"/>
      <c r="BG278" s="239"/>
      <c r="BH278" s="239"/>
      <c r="BI278" s="9"/>
      <c r="BJ278" s="9"/>
      <c r="BK278" s="240"/>
      <c r="BL278" s="241"/>
      <c r="BM278" s="241"/>
      <c r="BN278" s="66"/>
      <c r="BO278" s="9"/>
      <c r="BP278" s="238"/>
      <c r="BQ278" s="239"/>
      <c r="BR278" s="239"/>
      <c r="BS278" s="9"/>
    </row>
    <row r="279" spans="2:71" ht="15" x14ac:dyDescent="0.25">
      <c r="B279" s="9"/>
      <c r="C279" s="91"/>
      <c r="D279" s="161"/>
      <c r="E279" s="91"/>
      <c r="F279" s="9"/>
      <c r="G279" s="9"/>
      <c r="H279" s="91"/>
      <c r="I279" s="195"/>
      <c r="J279" s="49"/>
      <c r="K279" s="161"/>
      <c r="L279" s="47"/>
      <c r="M279" s="9"/>
      <c r="N279" s="9"/>
      <c r="O279" s="91"/>
      <c r="P279" s="91"/>
      <c r="Q279" s="91"/>
      <c r="R279" s="9"/>
      <c r="S279" s="9"/>
      <c r="T279" s="91"/>
      <c r="U279" s="7"/>
      <c r="V279" s="91"/>
      <c r="W279" s="9"/>
      <c r="X279" s="9"/>
      <c r="Y279" s="91"/>
      <c r="Z279" s="7"/>
      <c r="AA279" s="91"/>
      <c r="AB279" s="9"/>
      <c r="AC279" s="9"/>
      <c r="AD279" s="48"/>
      <c r="AE279" s="49"/>
      <c r="AF279" s="91"/>
      <c r="AG279" s="9"/>
      <c r="AH279" s="9"/>
      <c r="AI279" s="91"/>
      <c r="AJ279" s="237"/>
      <c r="AK279" s="9"/>
      <c r="AL279" s="238"/>
      <c r="AM279" s="239"/>
      <c r="AN279" s="239"/>
      <c r="AO279" s="9"/>
      <c r="AP279" s="9"/>
      <c r="AQ279" s="240"/>
      <c r="AR279" s="241"/>
      <c r="AS279" s="241"/>
      <c r="AT279" s="66"/>
      <c r="AU279" s="9"/>
      <c r="AV279" s="238"/>
      <c r="AW279" s="239"/>
      <c r="AX279" s="239"/>
      <c r="AY279" s="9"/>
      <c r="AZ279" s="9"/>
      <c r="BA279" s="238"/>
      <c r="BB279" s="239"/>
      <c r="BC279" s="239"/>
      <c r="BD279" s="9"/>
      <c r="BE279" s="9"/>
      <c r="BF279" s="238"/>
      <c r="BG279" s="239"/>
      <c r="BH279" s="239"/>
      <c r="BI279" s="9"/>
      <c r="BJ279" s="9"/>
      <c r="BK279" s="240"/>
      <c r="BL279" s="241"/>
      <c r="BM279" s="241"/>
      <c r="BN279" s="66"/>
      <c r="BO279" s="9"/>
      <c r="BP279" s="238"/>
      <c r="BQ279" s="239"/>
      <c r="BR279" s="239"/>
      <c r="BS279" s="9"/>
    </row>
    <row r="280" spans="2:71" ht="15" x14ac:dyDescent="0.25">
      <c r="B280" s="9"/>
      <c r="C280" s="91"/>
      <c r="D280" s="161"/>
      <c r="E280" s="91"/>
      <c r="F280" s="9"/>
      <c r="G280" s="9"/>
      <c r="H280" s="91"/>
      <c r="I280" s="195"/>
      <c r="J280" s="49"/>
      <c r="K280" s="161"/>
      <c r="L280" s="47"/>
      <c r="M280" s="9"/>
      <c r="N280" s="9"/>
      <c r="O280" s="91"/>
      <c r="P280" s="91"/>
      <c r="Q280" s="91"/>
      <c r="R280" s="9"/>
      <c r="S280" s="9"/>
      <c r="T280" s="91"/>
      <c r="U280" s="7"/>
      <c r="V280" s="91"/>
      <c r="W280" s="9"/>
      <c r="X280" s="9"/>
      <c r="Y280" s="91"/>
      <c r="Z280" s="7"/>
      <c r="AA280" s="91"/>
      <c r="AB280" s="9"/>
      <c r="AC280" s="9"/>
      <c r="AD280" s="48"/>
      <c r="AE280" s="49"/>
      <c r="AF280" s="91"/>
      <c r="AG280" s="9"/>
      <c r="AH280" s="9"/>
      <c r="AI280" s="91"/>
      <c r="AJ280" s="237"/>
      <c r="AK280" s="9"/>
      <c r="AL280" s="238"/>
      <c r="AM280" s="239"/>
      <c r="AN280" s="239"/>
      <c r="AO280" s="9"/>
      <c r="AP280" s="9"/>
      <c r="AQ280" s="240"/>
      <c r="AR280" s="241"/>
      <c r="AS280" s="241"/>
      <c r="AT280" s="66"/>
      <c r="AU280" s="9"/>
      <c r="AV280" s="238"/>
      <c r="AW280" s="239"/>
      <c r="AX280" s="239"/>
      <c r="AY280" s="9"/>
      <c r="AZ280" s="9"/>
      <c r="BA280" s="238"/>
      <c r="BB280" s="239"/>
      <c r="BC280" s="239"/>
      <c r="BD280" s="9"/>
      <c r="BE280" s="9"/>
      <c r="BF280" s="238"/>
      <c r="BG280" s="239"/>
      <c r="BH280" s="239"/>
      <c r="BI280" s="9"/>
      <c r="BJ280" s="9"/>
      <c r="BK280" s="240"/>
      <c r="BL280" s="241"/>
      <c r="BM280" s="241"/>
      <c r="BN280" s="66"/>
      <c r="BO280" s="9"/>
      <c r="BP280" s="238"/>
      <c r="BQ280" s="239"/>
      <c r="BR280" s="239"/>
      <c r="BS280" s="9"/>
    </row>
    <row r="281" spans="2:71" ht="15" x14ac:dyDescent="0.25">
      <c r="B281" s="9"/>
      <c r="C281" s="91"/>
      <c r="D281" s="161"/>
      <c r="E281" s="91"/>
      <c r="F281" s="9"/>
      <c r="G281" s="9"/>
      <c r="H281" s="91"/>
      <c r="I281" s="195"/>
      <c r="J281" s="49"/>
      <c r="K281" s="161"/>
      <c r="L281" s="47"/>
      <c r="M281" s="9"/>
      <c r="N281" s="9"/>
      <c r="O281" s="91"/>
      <c r="P281" s="91"/>
      <c r="Q281" s="91"/>
      <c r="R281" s="9"/>
      <c r="S281" s="9"/>
      <c r="T281" s="91"/>
      <c r="U281" s="7"/>
      <c r="V281" s="91"/>
      <c r="W281" s="9"/>
      <c r="X281" s="9"/>
      <c r="Y281" s="91"/>
      <c r="Z281" s="7"/>
      <c r="AA281" s="91"/>
      <c r="AB281" s="9"/>
      <c r="AC281" s="9"/>
      <c r="AD281" s="48"/>
      <c r="AE281" s="49"/>
      <c r="AF281" s="91"/>
      <c r="AG281" s="9"/>
      <c r="AH281" s="9"/>
      <c r="AI281" s="91"/>
      <c r="AJ281" s="237"/>
      <c r="AK281" s="9"/>
      <c r="AL281" s="238"/>
      <c r="AM281" s="239"/>
      <c r="AN281" s="239"/>
      <c r="AO281" s="9"/>
      <c r="AP281" s="9"/>
      <c r="AQ281" s="240"/>
      <c r="AR281" s="241"/>
      <c r="AS281" s="241"/>
      <c r="AT281" s="66"/>
      <c r="AU281" s="9"/>
      <c r="AV281" s="238"/>
      <c r="AW281" s="239"/>
      <c r="AX281" s="239"/>
      <c r="AY281" s="9"/>
      <c r="AZ281" s="9"/>
      <c r="BA281" s="238"/>
      <c r="BB281" s="239"/>
      <c r="BC281" s="239"/>
      <c r="BD281" s="9"/>
      <c r="BE281" s="9"/>
      <c r="BF281" s="238"/>
      <c r="BG281" s="239"/>
      <c r="BH281" s="239"/>
      <c r="BI281" s="9"/>
      <c r="BJ281" s="9"/>
      <c r="BK281" s="240"/>
      <c r="BL281" s="241"/>
      <c r="BM281" s="241"/>
      <c r="BN281" s="66"/>
      <c r="BO281" s="9"/>
      <c r="BP281" s="238"/>
      <c r="BQ281" s="239"/>
      <c r="BR281" s="239"/>
      <c r="BS281" s="9"/>
    </row>
    <row r="282" spans="2:71" ht="15" x14ac:dyDescent="0.25">
      <c r="B282" s="9"/>
      <c r="C282" s="91"/>
      <c r="D282" s="161"/>
      <c r="E282" s="91"/>
      <c r="F282" s="9"/>
      <c r="G282" s="9"/>
      <c r="H282" s="91"/>
      <c r="I282" s="195"/>
      <c r="J282" s="49"/>
      <c r="K282" s="161"/>
      <c r="L282" s="47"/>
      <c r="M282" s="9"/>
      <c r="N282" s="9"/>
      <c r="O282" s="91"/>
      <c r="P282" s="91"/>
      <c r="Q282" s="91"/>
      <c r="R282" s="9"/>
      <c r="S282" s="9"/>
      <c r="T282" s="91"/>
      <c r="U282" s="7"/>
      <c r="V282" s="91"/>
      <c r="W282" s="9"/>
      <c r="X282" s="9"/>
      <c r="Y282" s="91"/>
      <c r="Z282" s="7"/>
      <c r="AA282" s="91"/>
      <c r="AB282" s="9"/>
      <c r="AC282" s="9"/>
      <c r="AD282" s="48"/>
      <c r="AE282" s="49"/>
      <c r="AF282" s="91"/>
      <c r="AG282" s="9"/>
      <c r="AH282" s="9"/>
      <c r="AI282" s="91"/>
      <c r="AJ282" s="237"/>
      <c r="AK282" s="9"/>
      <c r="AL282" s="238"/>
      <c r="AM282" s="239"/>
      <c r="AN282" s="239"/>
      <c r="AO282" s="9"/>
      <c r="AP282" s="9"/>
      <c r="AQ282" s="240"/>
      <c r="AR282" s="241"/>
      <c r="AS282" s="241"/>
      <c r="AT282" s="66"/>
      <c r="AU282" s="9"/>
      <c r="AV282" s="238"/>
      <c r="AW282" s="239"/>
      <c r="AX282" s="239"/>
      <c r="AY282" s="9"/>
      <c r="AZ282" s="9"/>
      <c r="BA282" s="238"/>
      <c r="BB282" s="239"/>
      <c r="BC282" s="239"/>
      <c r="BD282" s="9"/>
      <c r="BE282" s="9"/>
      <c r="BF282" s="238"/>
      <c r="BG282" s="239"/>
      <c r="BH282" s="239"/>
      <c r="BI282" s="9"/>
      <c r="BJ282" s="9"/>
      <c r="BK282" s="240"/>
      <c r="BL282" s="241"/>
      <c r="BM282" s="241"/>
      <c r="BN282" s="66"/>
      <c r="BO282" s="9"/>
      <c r="BP282" s="238"/>
      <c r="BQ282" s="239"/>
      <c r="BR282" s="239"/>
      <c r="BS282" s="9"/>
    </row>
    <row r="283" spans="2:71" ht="15" x14ac:dyDescent="0.25">
      <c r="B283" s="9"/>
      <c r="C283" s="91"/>
      <c r="D283" s="161"/>
      <c r="E283" s="91"/>
      <c r="F283" s="9"/>
      <c r="G283" s="9"/>
      <c r="H283" s="91"/>
      <c r="I283" s="195"/>
      <c r="J283" s="49"/>
      <c r="K283" s="161"/>
      <c r="L283" s="47"/>
      <c r="M283" s="9"/>
      <c r="N283" s="9"/>
      <c r="O283" s="91"/>
      <c r="P283" s="91"/>
      <c r="Q283" s="91"/>
      <c r="R283" s="9"/>
      <c r="S283" s="9"/>
      <c r="T283" s="91"/>
      <c r="U283" s="7"/>
      <c r="V283" s="91"/>
      <c r="W283" s="9"/>
      <c r="X283" s="9"/>
      <c r="Y283" s="91"/>
      <c r="Z283" s="7"/>
      <c r="AA283" s="91"/>
      <c r="AB283" s="9"/>
      <c r="AC283" s="9"/>
      <c r="AD283" s="48"/>
      <c r="AE283" s="49"/>
      <c r="AF283" s="91"/>
      <c r="AG283" s="9"/>
      <c r="AH283" s="9"/>
      <c r="AI283" s="91"/>
      <c r="AJ283" s="237"/>
      <c r="AK283" s="9"/>
      <c r="AL283" s="238"/>
      <c r="AM283" s="239"/>
      <c r="AN283" s="239"/>
      <c r="AO283" s="9"/>
      <c r="AP283" s="9"/>
      <c r="AQ283" s="240"/>
      <c r="AR283" s="241"/>
      <c r="AS283" s="241"/>
      <c r="AT283" s="66"/>
      <c r="AU283" s="9"/>
      <c r="AV283" s="238"/>
      <c r="AW283" s="239"/>
      <c r="AX283" s="239"/>
      <c r="AY283" s="9"/>
      <c r="AZ283" s="9"/>
      <c r="BA283" s="238"/>
      <c r="BB283" s="239"/>
      <c r="BC283" s="239"/>
      <c r="BD283" s="9"/>
      <c r="BE283" s="9"/>
      <c r="BF283" s="238"/>
      <c r="BG283" s="239"/>
      <c r="BH283" s="239"/>
      <c r="BI283" s="9"/>
      <c r="BJ283" s="9"/>
      <c r="BK283" s="240"/>
      <c r="BL283" s="241"/>
      <c r="BM283" s="241"/>
      <c r="BN283" s="66"/>
      <c r="BO283" s="9"/>
      <c r="BP283" s="238"/>
      <c r="BQ283" s="239"/>
      <c r="BR283" s="239"/>
      <c r="BS283" s="9"/>
    </row>
    <row r="284" spans="2:71" ht="15" x14ac:dyDescent="0.25">
      <c r="B284" s="9"/>
      <c r="C284" s="91"/>
      <c r="D284" s="161"/>
      <c r="E284" s="91"/>
      <c r="F284" s="9"/>
      <c r="G284" s="9"/>
      <c r="H284" s="91"/>
      <c r="I284" s="195"/>
      <c r="J284" s="49"/>
      <c r="K284" s="161"/>
      <c r="L284" s="47"/>
      <c r="M284" s="9"/>
      <c r="N284" s="9"/>
      <c r="O284" s="91"/>
      <c r="P284" s="91"/>
      <c r="Q284" s="91"/>
      <c r="R284" s="9"/>
      <c r="S284" s="9"/>
      <c r="T284" s="91"/>
      <c r="U284" s="7"/>
      <c r="V284" s="91"/>
      <c r="W284" s="9"/>
      <c r="X284" s="9"/>
      <c r="Y284" s="91"/>
      <c r="Z284" s="7"/>
      <c r="AA284" s="91"/>
      <c r="AB284" s="9"/>
      <c r="AC284" s="9"/>
      <c r="AD284" s="48"/>
      <c r="AE284" s="49"/>
      <c r="AF284" s="91"/>
      <c r="AG284" s="9"/>
      <c r="AH284" s="9"/>
      <c r="AI284" s="91"/>
      <c r="AJ284" s="237"/>
      <c r="AK284" s="9"/>
      <c r="AL284" s="238"/>
      <c r="AM284" s="239"/>
      <c r="AN284" s="239"/>
      <c r="AO284" s="9"/>
      <c r="AP284" s="9"/>
      <c r="AQ284" s="240"/>
      <c r="AR284" s="241"/>
      <c r="AS284" s="241"/>
      <c r="AT284" s="66"/>
      <c r="AU284" s="9"/>
      <c r="AV284" s="238"/>
      <c r="AW284" s="239"/>
      <c r="AX284" s="239"/>
      <c r="AY284" s="9"/>
      <c r="AZ284" s="9"/>
      <c r="BA284" s="238"/>
      <c r="BB284" s="239"/>
      <c r="BC284" s="239"/>
      <c r="BD284" s="9"/>
      <c r="BE284" s="9"/>
      <c r="BF284" s="238"/>
      <c r="BG284" s="239"/>
      <c r="BH284" s="239"/>
      <c r="BI284" s="9"/>
      <c r="BJ284" s="9"/>
      <c r="BK284" s="240"/>
      <c r="BL284" s="241"/>
      <c r="BM284" s="241"/>
      <c r="BN284" s="66"/>
      <c r="BO284" s="9"/>
      <c r="BP284" s="238"/>
      <c r="BQ284" s="239"/>
      <c r="BR284" s="239"/>
      <c r="BS284" s="9"/>
    </row>
    <row r="285" spans="2:71" ht="15" x14ac:dyDescent="0.25">
      <c r="B285" s="9"/>
      <c r="C285" s="91"/>
      <c r="D285" s="161"/>
      <c r="E285" s="91"/>
      <c r="F285" s="9"/>
      <c r="G285" s="9"/>
      <c r="H285" s="91"/>
      <c r="I285" s="195"/>
      <c r="J285" s="49"/>
      <c r="K285" s="161"/>
      <c r="L285" s="47"/>
      <c r="M285" s="9"/>
      <c r="N285" s="9"/>
      <c r="O285" s="91"/>
      <c r="P285" s="91"/>
      <c r="Q285" s="91"/>
      <c r="R285" s="9"/>
      <c r="S285" s="9"/>
      <c r="T285" s="91"/>
      <c r="U285" s="7"/>
      <c r="V285" s="91"/>
      <c r="W285" s="9"/>
      <c r="X285" s="9"/>
      <c r="Y285" s="91"/>
      <c r="Z285" s="7"/>
      <c r="AA285" s="91"/>
      <c r="AB285" s="9"/>
      <c r="AC285" s="9"/>
      <c r="AD285" s="48"/>
      <c r="AE285" s="49"/>
      <c r="AF285" s="91"/>
      <c r="AG285" s="9"/>
      <c r="AH285" s="9"/>
      <c r="AI285" s="91"/>
      <c r="AJ285" s="237"/>
      <c r="AK285" s="9"/>
      <c r="AL285" s="238"/>
      <c r="AM285" s="239"/>
      <c r="AN285" s="239"/>
      <c r="AO285" s="9"/>
      <c r="AP285" s="9"/>
      <c r="AQ285" s="240"/>
      <c r="AR285" s="241"/>
      <c r="AS285" s="241"/>
      <c r="AT285" s="66"/>
      <c r="AU285" s="9"/>
      <c r="AV285" s="238"/>
      <c r="AW285" s="239"/>
      <c r="AX285" s="239"/>
      <c r="AY285" s="9"/>
      <c r="AZ285" s="9"/>
      <c r="BA285" s="238"/>
      <c r="BB285" s="239"/>
      <c r="BC285" s="239"/>
      <c r="BD285" s="9"/>
      <c r="BE285" s="9"/>
      <c r="BF285" s="238"/>
      <c r="BG285" s="239"/>
      <c r="BH285" s="239"/>
      <c r="BI285" s="9"/>
      <c r="BJ285" s="9"/>
      <c r="BK285" s="240"/>
      <c r="BL285" s="241"/>
      <c r="BM285" s="241"/>
      <c r="BN285" s="66"/>
      <c r="BO285" s="9"/>
      <c r="BP285" s="238"/>
      <c r="BQ285" s="239"/>
      <c r="BR285" s="239"/>
      <c r="BS285" s="9"/>
    </row>
    <row r="286" spans="2:71" ht="15" x14ac:dyDescent="0.25">
      <c r="B286" s="9"/>
      <c r="C286" s="91"/>
      <c r="D286" s="161"/>
      <c r="E286" s="91"/>
      <c r="F286" s="9"/>
      <c r="G286" s="9"/>
      <c r="H286" s="91"/>
      <c r="I286" s="195"/>
      <c r="J286" s="49"/>
      <c r="K286" s="161"/>
      <c r="L286" s="47"/>
      <c r="M286" s="9"/>
      <c r="N286" s="9"/>
      <c r="O286" s="91"/>
      <c r="P286" s="91"/>
      <c r="Q286" s="91"/>
      <c r="R286" s="9"/>
      <c r="S286" s="9"/>
      <c r="T286" s="91"/>
      <c r="U286" s="7"/>
      <c r="V286" s="91"/>
      <c r="W286" s="9"/>
      <c r="X286" s="9"/>
      <c r="Y286" s="91"/>
      <c r="Z286" s="7"/>
      <c r="AA286" s="91"/>
      <c r="AB286" s="9"/>
      <c r="AC286" s="9"/>
      <c r="AD286" s="48"/>
      <c r="AE286" s="49"/>
      <c r="AF286" s="91"/>
      <c r="AG286" s="9"/>
      <c r="AH286" s="9"/>
      <c r="AI286" s="91"/>
      <c r="AJ286" s="237"/>
      <c r="AK286" s="9"/>
      <c r="AL286" s="238"/>
      <c r="AM286" s="239"/>
      <c r="AN286" s="239"/>
      <c r="AO286" s="9"/>
      <c r="AP286" s="9"/>
      <c r="AQ286" s="240"/>
      <c r="AR286" s="241"/>
      <c r="AS286" s="241"/>
      <c r="AT286" s="66"/>
      <c r="AU286" s="9"/>
      <c r="AV286" s="238"/>
      <c r="AW286" s="239"/>
      <c r="AX286" s="239"/>
      <c r="AY286" s="9"/>
      <c r="AZ286" s="9"/>
      <c r="BA286" s="238"/>
      <c r="BB286" s="239"/>
      <c r="BC286" s="239"/>
      <c r="BD286" s="9"/>
      <c r="BE286" s="9"/>
      <c r="BF286" s="238"/>
      <c r="BG286" s="239"/>
      <c r="BH286" s="239"/>
      <c r="BI286" s="9"/>
      <c r="BJ286" s="9"/>
      <c r="BK286" s="240"/>
      <c r="BL286" s="241"/>
      <c r="BM286" s="241"/>
      <c r="BN286" s="66"/>
      <c r="BO286" s="9"/>
      <c r="BP286" s="238"/>
      <c r="BQ286" s="239"/>
      <c r="BR286" s="239"/>
      <c r="BS286" s="9"/>
    </row>
    <row r="287" spans="2:71" ht="15" x14ac:dyDescent="0.25">
      <c r="B287" s="9"/>
      <c r="C287" s="91"/>
      <c r="D287" s="161"/>
      <c r="E287" s="91"/>
      <c r="F287" s="9"/>
      <c r="G287" s="9"/>
      <c r="H287" s="91"/>
      <c r="I287" s="195"/>
      <c r="J287" s="49"/>
      <c r="K287" s="161"/>
      <c r="L287" s="47"/>
      <c r="M287" s="9"/>
      <c r="N287" s="9"/>
      <c r="O287" s="91"/>
      <c r="P287" s="91"/>
      <c r="Q287" s="91"/>
      <c r="R287" s="9"/>
      <c r="S287" s="9"/>
      <c r="T287" s="91"/>
      <c r="U287" s="7"/>
      <c r="V287" s="91"/>
      <c r="W287" s="9"/>
      <c r="X287" s="9"/>
      <c r="Y287" s="91"/>
      <c r="Z287" s="7"/>
      <c r="AA287" s="91"/>
      <c r="AB287" s="9"/>
      <c r="AC287" s="9"/>
      <c r="AD287" s="48"/>
      <c r="AE287" s="49"/>
      <c r="AF287" s="91"/>
      <c r="AG287" s="9"/>
      <c r="AH287" s="9"/>
      <c r="AI287" s="91"/>
      <c r="AJ287" s="237"/>
      <c r="AK287" s="9"/>
      <c r="AL287" s="238"/>
      <c r="AM287" s="239"/>
      <c r="AN287" s="239"/>
      <c r="AO287" s="9"/>
      <c r="AP287" s="9"/>
      <c r="AQ287" s="240"/>
      <c r="AR287" s="241"/>
      <c r="AS287" s="241"/>
      <c r="AT287" s="66"/>
      <c r="AU287" s="9"/>
      <c r="AV287" s="238"/>
      <c r="AW287" s="239"/>
      <c r="AX287" s="239"/>
      <c r="AY287" s="9"/>
      <c r="AZ287" s="9"/>
      <c r="BA287" s="238"/>
      <c r="BB287" s="239"/>
      <c r="BC287" s="239"/>
      <c r="BD287" s="9"/>
      <c r="BE287" s="9"/>
      <c r="BF287" s="238"/>
      <c r="BG287" s="239"/>
      <c r="BH287" s="239"/>
      <c r="BI287" s="9"/>
      <c r="BJ287" s="9"/>
      <c r="BK287" s="240"/>
      <c r="BL287" s="241"/>
      <c r="BM287" s="241"/>
      <c r="BN287" s="66"/>
      <c r="BO287" s="9"/>
      <c r="BP287" s="238"/>
      <c r="BQ287" s="239"/>
      <c r="BR287" s="239"/>
      <c r="BS287" s="9"/>
    </row>
    <row r="288" spans="2:71" ht="15" x14ac:dyDescent="0.25">
      <c r="B288" s="9"/>
      <c r="C288" s="91"/>
      <c r="D288" s="161"/>
      <c r="E288" s="91"/>
      <c r="F288" s="9"/>
      <c r="G288" s="9"/>
      <c r="H288" s="91"/>
      <c r="I288" s="195"/>
      <c r="J288" s="49"/>
      <c r="K288" s="161"/>
      <c r="L288" s="47"/>
      <c r="M288" s="9"/>
      <c r="N288" s="9"/>
      <c r="O288" s="91"/>
      <c r="P288" s="91"/>
      <c r="Q288" s="91"/>
      <c r="R288" s="9"/>
      <c r="S288" s="9"/>
      <c r="T288" s="91"/>
      <c r="U288" s="7"/>
      <c r="V288" s="91"/>
      <c r="W288" s="9"/>
      <c r="X288" s="9"/>
      <c r="Y288" s="91"/>
      <c r="Z288" s="7"/>
      <c r="AA288" s="91"/>
      <c r="AB288" s="9"/>
      <c r="AC288" s="9"/>
      <c r="AD288" s="48"/>
      <c r="AE288" s="49"/>
      <c r="AF288" s="91"/>
      <c r="AG288" s="9"/>
      <c r="AH288" s="9"/>
      <c r="AI288" s="91"/>
      <c r="AJ288" s="237"/>
      <c r="AK288" s="9"/>
      <c r="AL288" s="238"/>
      <c r="AM288" s="239"/>
      <c r="AN288" s="239"/>
      <c r="AO288" s="9"/>
      <c r="AP288" s="9"/>
      <c r="AQ288" s="240"/>
      <c r="AR288" s="241"/>
      <c r="AS288" s="241"/>
      <c r="AT288" s="66"/>
      <c r="AU288" s="9"/>
      <c r="AV288" s="238"/>
      <c r="AW288" s="239"/>
      <c r="AX288" s="239"/>
      <c r="AY288" s="9"/>
      <c r="AZ288" s="9"/>
      <c r="BA288" s="238"/>
      <c r="BB288" s="239"/>
      <c r="BC288" s="239"/>
      <c r="BD288" s="9"/>
      <c r="BE288" s="9"/>
      <c r="BF288" s="238"/>
      <c r="BG288" s="239"/>
      <c r="BH288" s="239"/>
      <c r="BI288" s="9"/>
      <c r="BJ288" s="9"/>
      <c r="BK288" s="240"/>
      <c r="BL288" s="241"/>
      <c r="BM288" s="241"/>
      <c r="BN288" s="66"/>
      <c r="BO288" s="9"/>
      <c r="BP288" s="238"/>
      <c r="BQ288" s="239"/>
      <c r="BR288" s="239"/>
      <c r="BS288" s="9"/>
    </row>
    <row r="289" spans="2:71" ht="15" x14ac:dyDescent="0.25">
      <c r="B289" s="9"/>
      <c r="C289" s="91"/>
      <c r="D289" s="161"/>
      <c r="E289" s="91"/>
      <c r="F289" s="9"/>
      <c r="G289" s="9"/>
      <c r="H289" s="91"/>
      <c r="I289" s="195"/>
      <c r="J289" s="49"/>
      <c r="K289" s="161"/>
      <c r="L289" s="47"/>
      <c r="M289" s="9"/>
      <c r="N289" s="9"/>
      <c r="O289" s="91"/>
      <c r="P289" s="91"/>
      <c r="Q289" s="91"/>
      <c r="R289" s="9"/>
      <c r="S289" s="9"/>
      <c r="T289" s="91"/>
      <c r="U289" s="7"/>
      <c r="V289" s="91"/>
      <c r="W289" s="9"/>
      <c r="X289" s="9"/>
      <c r="Y289" s="91"/>
      <c r="Z289" s="7"/>
      <c r="AA289" s="91"/>
      <c r="AB289" s="9"/>
      <c r="AC289" s="9"/>
      <c r="AD289" s="48"/>
      <c r="AE289" s="49"/>
      <c r="AF289" s="91"/>
      <c r="AG289" s="9"/>
      <c r="AH289" s="9"/>
      <c r="AI289" s="91"/>
      <c r="AJ289" s="237"/>
      <c r="AK289" s="9"/>
      <c r="AL289" s="238"/>
      <c r="AM289" s="239"/>
      <c r="AN289" s="239"/>
      <c r="AO289" s="9"/>
      <c r="AP289" s="9"/>
      <c r="AQ289" s="240"/>
      <c r="AR289" s="241"/>
      <c r="AS289" s="241"/>
      <c r="AT289" s="66"/>
      <c r="AU289" s="9"/>
      <c r="AV289" s="238"/>
      <c r="AW289" s="239"/>
      <c r="AX289" s="239"/>
      <c r="AY289" s="9"/>
      <c r="AZ289" s="9"/>
      <c r="BA289" s="238"/>
      <c r="BB289" s="239"/>
      <c r="BC289" s="239"/>
      <c r="BD289" s="9"/>
      <c r="BE289" s="9"/>
      <c r="BF289" s="238"/>
      <c r="BG289" s="239"/>
      <c r="BH289" s="239"/>
      <c r="BI289" s="9"/>
      <c r="BJ289" s="9"/>
      <c r="BK289" s="240"/>
      <c r="BL289" s="241"/>
      <c r="BM289" s="241"/>
      <c r="BN289" s="66"/>
      <c r="BO289" s="9"/>
      <c r="BP289" s="238"/>
      <c r="BQ289" s="239"/>
      <c r="BR289" s="239"/>
      <c r="BS289" s="9"/>
    </row>
    <row r="290" spans="2:71" ht="15" x14ac:dyDescent="0.25">
      <c r="B290" s="9"/>
      <c r="C290" s="91"/>
      <c r="D290" s="161"/>
      <c r="E290" s="91"/>
      <c r="F290" s="9"/>
      <c r="G290" s="9"/>
      <c r="H290" s="91"/>
      <c r="I290" s="195"/>
      <c r="J290" s="49"/>
      <c r="K290" s="161"/>
      <c r="L290" s="47"/>
      <c r="M290" s="9"/>
      <c r="N290" s="9"/>
      <c r="O290" s="91"/>
      <c r="P290" s="91"/>
      <c r="Q290" s="91"/>
      <c r="R290" s="9"/>
      <c r="S290" s="9"/>
      <c r="T290" s="91"/>
      <c r="U290" s="7"/>
      <c r="V290" s="91"/>
      <c r="W290" s="9"/>
      <c r="X290" s="9"/>
      <c r="Y290" s="91"/>
      <c r="Z290" s="7"/>
      <c r="AA290" s="91"/>
      <c r="AB290" s="9"/>
      <c r="AC290" s="9"/>
      <c r="AD290" s="48"/>
      <c r="AE290" s="49"/>
      <c r="AF290" s="91"/>
      <c r="AG290" s="9"/>
      <c r="AH290" s="9"/>
      <c r="AI290" s="91"/>
      <c r="AJ290" s="237"/>
      <c r="AK290" s="9"/>
      <c r="AL290" s="238"/>
      <c r="AM290" s="239"/>
      <c r="AN290" s="239"/>
      <c r="AO290" s="9"/>
      <c r="AP290" s="9"/>
      <c r="AQ290" s="240"/>
      <c r="AR290" s="241"/>
      <c r="AS290" s="241"/>
      <c r="AT290" s="66"/>
      <c r="AU290" s="9"/>
      <c r="AV290" s="238"/>
      <c r="AW290" s="239"/>
      <c r="AX290" s="239"/>
      <c r="AY290" s="9"/>
      <c r="AZ290" s="9"/>
      <c r="BA290" s="238"/>
      <c r="BB290" s="239"/>
      <c r="BC290" s="239"/>
      <c r="BD290" s="9"/>
      <c r="BE290" s="9"/>
      <c r="BF290" s="238"/>
      <c r="BG290" s="239"/>
      <c r="BH290" s="239"/>
      <c r="BI290" s="9"/>
      <c r="BJ290" s="9"/>
      <c r="BK290" s="240"/>
      <c r="BL290" s="241"/>
      <c r="BM290" s="241"/>
      <c r="BN290" s="66"/>
      <c r="BO290" s="9"/>
      <c r="BP290" s="238"/>
      <c r="BQ290" s="239"/>
      <c r="BR290" s="239"/>
      <c r="BS290" s="9"/>
    </row>
    <row r="291" spans="2:71" ht="15" x14ac:dyDescent="0.25">
      <c r="B291" s="9"/>
      <c r="C291" s="91"/>
      <c r="D291" s="161"/>
      <c r="E291" s="91"/>
      <c r="F291" s="9"/>
      <c r="G291" s="9"/>
      <c r="H291" s="91"/>
      <c r="I291" s="195"/>
      <c r="J291" s="49"/>
      <c r="K291" s="161"/>
      <c r="L291" s="47"/>
      <c r="M291" s="9"/>
      <c r="N291" s="9"/>
      <c r="O291" s="91"/>
      <c r="P291" s="91"/>
      <c r="Q291" s="91"/>
      <c r="R291" s="9"/>
      <c r="S291" s="9"/>
      <c r="T291" s="91"/>
      <c r="U291" s="7"/>
      <c r="V291" s="91"/>
      <c r="W291" s="9"/>
      <c r="X291" s="9"/>
      <c r="Y291" s="91"/>
      <c r="Z291" s="7"/>
      <c r="AA291" s="91"/>
      <c r="AB291" s="9"/>
      <c r="AC291" s="9"/>
      <c r="AD291" s="48"/>
      <c r="AE291" s="49"/>
      <c r="AF291" s="91"/>
      <c r="AG291" s="9"/>
      <c r="AH291" s="9"/>
      <c r="AI291" s="91"/>
      <c r="AJ291" s="237"/>
      <c r="AK291" s="9"/>
      <c r="AL291" s="238"/>
      <c r="AM291" s="239"/>
      <c r="AN291" s="239"/>
      <c r="AO291" s="9"/>
      <c r="AP291" s="9"/>
      <c r="AQ291" s="240"/>
      <c r="AR291" s="241"/>
      <c r="AS291" s="241"/>
      <c r="AT291" s="66"/>
      <c r="AU291" s="9"/>
      <c r="AV291" s="238"/>
      <c r="AW291" s="239"/>
      <c r="AX291" s="239"/>
      <c r="AY291" s="9"/>
      <c r="AZ291" s="9"/>
      <c r="BA291" s="238"/>
      <c r="BB291" s="239"/>
      <c r="BC291" s="239"/>
      <c r="BD291" s="9"/>
      <c r="BE291" s="9"/>
      <c r="BF291" s="238"/>
      <c r="BG291" s="239"/>
      <c r="BH291" s="239"/>
      <c r="BI291" s="9"/>
      <c r="BJ291" s="9"/>
      <c r="BK291" s="240"/>
      <c r="BL291" s="241"/>
      <c r="BM291" s="241"/>
      <c r="BN291" s="66"/>
      <c r="BO291" s="9"/>
      <c r="BP291" s="238"/>
      <c r="BQ291" s="239"/>
      <c r="BR291" s="239"/>
      <c r="BS291" s="9"/>
    </row>
    <row r="292" spans="2:71" ht="15" x14ac:dyDescent="0.25">
      <c r="B292" s="9"/>
      <c r="C292" s="91"/>
      <c r="D292" s="161"/>
      <c r="E292" s="91"/>
      <c r="F292" s="9"/>
      <c r="G292" s="9"/>
      <c r="H292" s="91"/>
      <c r="I292" s="195"/>
      <c r="J292" s="49"/>
      <c r="K292" s="161"/>
      <c r="L292" s="47"/>
      <c r="M292" s="9"/>
      <c r="N292" s="9"/>
      <c r="O292" s="91"/>
      <c r="P292" s="91"/>
      <c r="Q292" s="91"/>
      <c r="R292" s="9"/>
      <c r="S292" s="9"/>
      <c r="T292" s="91"/>
      <c r="U292" s="7"/>
      <c r="V292" s="91"/>
      <c r="W292" s="9"/>
      <c r="X292" s="9"/>
      <c r="Y292" s="91"/>
      <c r="Z292" s="7"/>
      <c r="AA292" s="91"/>
      <c r="AB292" s="9"/>
      <c r="AC292" s="9"/>
      <c r="AD292" s="48"/>
      <c r="AE292" s="49"/>
      <c r="AF292" s="91"/>
      <c r="AG292" s="9"/>
      <c r="AH292" s="9"/>
      <c r="AI292" s="91"/>
      <c r="AJ292" s="237"/>
      <c r="AK292" s="9"/>
      <c r="AL292" s="238"/>
      <c r="AM292" s="239"/>
      <c r="AN292" s="239"/>
      <c r="AO292" s="9"/>
      <c r="AP292" s="9"/>
      <c r="AQ292" s="240"/>
      <c r="AR292" s="241"/>
      <c r="AS292" s="241"/>
      <c r="AT292" s="66"/>
      <c r="AU292" s="9"/>
      <c r="AV292" s="238"/>
      <c r="AW292" s="239"/>
      <c r="AX292" s="239"/>
      <c r="AY292" s="9"/>
      <c r="AZ292" s="9"/>
      <c r="BA292" s="238"/>
      <c r="BB292" s="239"/>
      <c r="BC292" s="239"/>
      <c r="BD292" s="9"/>
      <c r="BE292" s="9"/>
      <c r="BF292" s="238"/>
      <c r="BG292" s="239"/>
      <c r="BH292" s="239"/>
      <c r="BI292" s="9"/>
      <c r="BJ292" s="9"/>
      <c r="BK292" s="240"/>
      <c r="BL292" s="241"/>
      <c r="BM292" s="241"/>
      <c r="BN292" s="66"/>
      <c r="BO292" s="9"/>
      <c r="BP292" s="238"/>
      <c r="BQ292" s="239"/>
      <c r="BR292" s="239"/>
      <c r="BS292" s="9"/>
    </row>
    <row r="293" spans="2:71" ht="15" x14ac:dyDescent="0.25">
      <c r="B293" s="9"/>
      <c r="C293" s="91"/>
      <c r="D293" s="161"/>
      <c r="E293" s="91"/>
      <c r="F293" s="9"/>
      <c r="G293" s="9"/>
      <c r="H293" s="91"/>
      <c r="I293" s="195"/>
      <c r="J293" s="49"/>
      <c r="K293" s="161"/>
      <c r="L293" s="47"/>
      <c r="M293" s="9"/>
      <c r="N293" s="9"/>
      <c r="O293" s="91"/>
      <c r="P293" s="91"/>
      <c r="Q293" s="91"/>
      <c r="R293" s="9"/>
      <c r="S293" s="9"/>
      <c r="T293" s="91"/>
      <c r="U293" s="7"/>
      <c r="V293" s="91"/>
      <c r="W293" s="9"/>
      <c r="X293" s="9"/>
      <c r="Y293" s="91"/>
      <c r="Z293" s="7"/>
      <c r="AA293" s="91"/>
      <c r="AB293" s="9"/>
      <c r="AC293" s="9"/>
      <c r="AD293" s="48"/>
      <c r="AE293" s="49"/>
      <c r="AF293" s="91"/>
      <c r="AG293" s="9"/>
      <c r="AH293" s="9"/>
      <c r="AI293" s="91"/>
      <c r="AJ293" s="237"/>
      <c r="AK293" s="9"/>
      <c r="AL293" s="238"/>
      <c r="AM293" s="239"/>
      <c r="AN293" s="239"/>
      <c r="AO293" s="9"/>
      <c r="AP293" s="9"/>
      <c r="AQ293" s="240"/>
      <c r="AR293" s="241"/>
      <c r="AS293" s="241"/>
      <c r="AT293" s="66"/>
      <c r="AU293" s="9"/>
      <c r="AV293" s="238"/>
      <c r="AW293" s="239"/>
      <c r="AX293" s="239"/>
      <c r="AY293" s="9"/>
      <c r="AZ293" s="9"/>
      <c r="BA293" s="238"/>
      <c r="BB293" s="239"/>
      <c r="BC293" s="239"/>
      <c r="BD293" s="9"/>
      <c r="BE293" s="9"/>
      <c r="BF293" s="238"/>
      <c r="BG293" s="239"/>
      <c r="BH293" s="239"/>
      <c r="BI293" s="9"/>
      <c r="BJ293" s="9"/>
      <c r="BK293" s="240"/>
      <c r="BL293" s="241"/>
      <c r="BM293" s="241"/>
      <c r="BN293" s="66"/>
      <c r="BO293" s="9"/>
      <c r="BP293" s="238"/>
      <c r="BQ293" s="239"/>
      <c r="BR293" s="239"/>
      <c r="BS293" s="9"/>
    </row>
    <row r="294" spans="2:71" ht="15" x14ac:dyDescent="0.25">
      <c r="B294" s="9"/>
      <c r="C294" s="91"/>
      <c r="D294" s="161"/>
      <c r="E294" s="91"/>
      <c r="F294" s="9"/>
      <c r="G294" s="9"/>
      <c r="H294" s="91"/>
      <c r="I294" s="195"/>
      <c r="J294" s="49"/>
      <c r="K294" s="161"/>
      <c r="L294" s="47"/>
      <c r="M294" s="9"/>
      <c r="N294" s="9"/>
      <c r="O294" s="91"/>
      <c r="P294" s="91"/>
      <c r="Q294" s="91"/>
      <c r="R294" s="9"/>
      <c r="S294" s="9"/>
      <c r="T294" s="91"/>
      <c r="U294" s="7"/>
      <c r="V294" s="91"/>
      <c r="W294" s="9"/>
      <c r="X294" s="9"/>
      <c r="Y294" s="91"/>
      <c r="Z294" s="7"/>
      <c r="AA294" s="91"/>
      <c r="AB294" s="9"/>
      <c r="AC294" s="9"/>
      <c r="AD294" s="48"/>
      <c r="AE294" s="49"/>
      <c r="AF294" s="91"/>
      <c r="AG294" s="9"/>
      <c r="AH294" s="9"/>
      <c r="AI294" s="91"/>
      <c r="AJ294" s="237"/>
      <c r="AK294" s="9"/>
      <c r="AL294" s="238"/>
      <c r="AM294" s="239"/>
      <c r="AN294" s="239"/>
      <c r="AO294" s="9"/>
      <c r="AP294" s="9"/>
      <c r="AQ294" s="240"/>
      <c r="AR294" s="241"/>
      <c r="AS294" s="241"/>
      <c r="AT294" s="66"/>
      <c r="AU294" s="9"/>
      <c r="AV294" s="238"/>
      <c r="AW294" s="239"/>
      <c r="AX294" s="239"/>
      <c r="AY294" s="9"/>
      <c r="AZ294" s="9"/>
      <c r="BA294" s="238"/>
      <c r="BB294" s="239"/>
      <c r="BC294" s="239"/>
      <c r="BD294" s="9"/>
      <c r="BE294" s="9"/>
      <c r="BF294" s="238"/>
      <c r="BG294" s="239"/>
      <c r="BH294" s="239"/>
      <c r="BI294" s="9"/>
      <c r="BJ294" s="9"/>
      <c r="BK294" s="240"/>
      <c r="BL294" s="241"/>
      <c r="BM294" s="241"/>
      <c r="BN294" s="66"/>
      <c r="BO294" s="9"/>
      <c r="BP294" s="238"/>
      <c r="BQ294" s="239"/>
      <c r="BR294" s="239"/>
      <c r="BS294" s="9"/>
    </row>
    <row r="295" spans="2:71" ht="15" x14ac:dyDescent="0.25">
      <c r="B295" s="9"/>
      <c r="C295" s="91"/>
      <c r="D295" s="161"/>
      <c r="E295" s="91"/>
      <c r="F295" s="9"/>
      <c r="G295" s="9"/>
      <c r="H295" s="91"/>
      <c r="I295" s="195"/>
      <c r="J295" s="49"/>
      <c r="K295" s="161"/>
      <c r="L295" s="47"/>
      <c r="M295" s="9"/>
      <c r="N295" s="9"/>
      <c r="O295" s="91"/>
      <c r="P295" s="91"/>
      <c r="Q295" s="91"/>
      <c r="R295" s="9"/>
      <c r="S295" s="9"/>
      <c r="T295" s="91"/>
      <c r="U295" s="7"/>
      <c r="V295" s="91"/>
      <c r="W295" s="9"/>
      <c r="X295" s="9"/>
      <c r="Y295" s="91"/>
      <c r="Z295" s="7"/>
      <c r="AA295" s="91"/>
      <c r="AB295" s="9"/>
      <c r="AC295" s="9"/>
      <c r="AD295" s="48"/>
      <c r="AE295" s="49"/>
      <c r="AF295" s="91"/>
      <c r="AG295" s="9"/>
      <c r="AH295" s="9"/>
      <c r="AI295" s="91"/>
      <c r="AJ295" s="237"/>
      <c r="AK295" s="9"/>
      <c r="AL295" s="238"/>
      <c r="AM295" s="239"/>
      <c r="AN295" s="239"/>
      <c r="AO295" s="9"/>
      <c r="AP295" s="9"/>
      <c r="AQ295" s="240"/>
      <c r="AR295" s="241"/>
      <c r="AS295" s="241"/>
      <c r="AT295" s="66"/>
      <c r="AU295" s="9"/>
      <c r="AV295" s="238"/>
      <c r="AW295" s="239"/>
      <c r="AX295" s="239"/>
      <c r="AY295" s="9"/>
      <c r="AZ295" s="9"/>
      <c r="BA295" s="238"/>
      <c r="BB295" s="239"/>
      <c r="BC295" s="239"/>
      <c r="BD295" s="9"/>
      <c r="BE295" s="9"/>
      <c r="BF295" s="238"/>
      <c r="BG295" s="239"/>
      <c r="BH295" s="239"/>
      <c r="BI295" s="9"/>
      <c r="BJ295" s="9"/>
      <c r="BK295" s="240"/>
      <c r="BL295" s="241"/>
      <c r="BM295" s="241"/>
      <c r="BN295" s="66"/>
      <c r="BO295" s="9"/>
      <c r="BP295" s="238"/>
      <c r="BQ295" s="239"/>
      <c r="BR295" s="239"/>
      <c r="BS295" s="9"/>
    </row>
    <row r="296" spans="2:71" ht="15" x14ac:dyDescent="0.25">
      <c r="B296" s="9"/>
      <c r="C296" s="91"/>
      <c r="D296" s="161"/>
      <c r="E296" s="91"/>
      <c r="F296" s="9"/>
      <c r="G296" s="9"/>
      <c r="H296" s="91"/>
      <c r="I296" s="195"/>
      <c r="J296" s="49"/>
      <c r="K296" s="161"/>
      <c r="L296" s="47"/>
      <c r="M296" s="9"/>
      <c r="N296" s="9"/>
      <c r="O296" s="91"/>
      <c r="P296" s="91"/>
      <c r="Q296" s="91"/>
      <c r="R296" s="9"/>
      <c r="S296" s="9"/>
      <c r="T296" s="91"/>
      <c r="U296" s="7"/>
      <c r="V296" s="91"/>
      <c r="W296" s="9"/>
      <c r="X296" s="9"/>
      <c r="Y296" s="91"/>
      <c r="Z296" s="7"/>
      <c r="AA296" s="91"/>
      <c r="AB296" s="9"/>
      <c r="AC296" s="9"/>
      <c r="AD296" s="48"/>
      <c r="AE296" s="49"/>
      <c r="AF296" s="91"/>
      <c r="AG296" s="9"/>
      <c r="AH296" s="9"/>
      <c r="AI296" s="91"/>
      <c r="AJ296" s="237"/>
      <c r="AK296" s="9"/>
      <c r="AL296" s="238"/>
      <c r="AM296" s="239"/>
      <c r="AN296" s="239"/>
      <c r="AO296" s="9"/>
      <c r="AP296" s="9"/>
      <c r="AQ296" s="240"/>
      <c r="AR296" s="241"/>
      <c r="AS296" s="241"/>
      <c r="AT296" s="66"/>
      <c r="AU296" s="9"/>
      <c r="AV296" s="238"/>
      <c r="AW296" s="239"/>
      <c r="AX296" s="239"/>
      <c r="AY296" s="9"/>
      <c r="AZ296" s="9"/>
      <c r="BA296" s="238"/>
      <c r="BB296" s="239"/>
      <c r="BC296" s="239"/>
      <c r="BD296" s="9"/>
      <c r="BE296" s="9"/>
      <c r="BF296" s="238"/>
      <c r="BG296" s="239"/>
      <c r="BH296" s="239"/>
      <c r="BI296" s="9"/>
      <c r="BJ296" s="9"/>
      <c r="BK296" s="240"/>
      <c r="BL296" s="241"/>
      <c r="BM296" s="241"/>
      <c r="BN296" s="66"/>
      <c r="BO296" s="9"/>
      <c r="BP296" s="238"/>
      <c r="BQ296" s="239"/>
      <c r="BR296" s="239"/>
      <c r="BS296" s="9"/>
    </row>
    <row r="297" spans="2:71" ht="15" x14ac:dyDescent="0.25">
      <c r="B297" s="9"/>
      <c r="C297" s="91"/>
      <c r="D297" s="161"/>
      <c r="E297" s="91"/>
      <c r="F297" s="9"/>
      <c r="G297" s="9"/>
      <c r="H297" s="91"/>
      <c r="I297" s="195"/>
      <c r="J297" s="49"/>
      <c r="K297" s="161"/>
      <c r="L297" s="47"/>
      <c r="M297" s="9"/>
      <c r="N297" s="9"/>
      <c r="O297" s="91"/>
      <c r="P297" s="91"/>
      <c r="Q297" s="91"/>
      <c r="R297" s="9"/>
      <c r="S297" s="9"/>
      <c r="T297" s="91"/>
      <c r="U297" s="7"/>
      <c r="V297" s="91"/>
      <c r="W297" s="9"/>
      <c r="X297" s="9"/>
      <c r="Y297" s="91"/>
      <c r="Z297" s="7"/>
      <c r="AA297" s="91"/>
      <c r="AB297" s="9"/>
      <c r="AC297" s="9"/>
      <c r="AD297" s="48"/>
      <c r="AE297" s="49"/>
      <c r="AF297" s="91"/>
      <c r="AG297" s="9"/>
      <c r="AH297" s="9"/>
      <c r="AI297" s="91"/>
      <c r="AJ297" s="237"/>
      <c r="AK297" s="9"/>
      <c r="AL297" s="238"/>
      <c r="AM297" s="239"/>
      <c r="AN297" s="239"/>
      <c r="AO297" s="9"/>
      <c r="AP297" s="9"/>
      <c r="AQ297" s="240"/>
      <c r="AR297" s="241"/>
      <c r="AS297" s="241"/>
      <c r="AT297" s="66"/>
      <c r="AU297" s="9"/>
      <c r="AV297" s="238"/>
      <c r="AW297" s="239"/>
      <c r="AX297" s="239"/>
      <c r="AY297" s="9"/>
      <c r="AZ297" s="9"/>
      <c r="BA297" s="238"/>
      <c r="BB297" s="239"/>
      <c r="BC297" s="239"/>
      <c r="BD297" s="9"/>
      <c r="BE297" s="9"/>
      <c r="BF297" s="238"/>
      <c r="BG297" s="239"/>
      <c r="BH297" s="239"/>
      <c r="BI297" s="9"/>
      <c r="BJ297" s="9"/>
      <c r="BK297" s="240"/>
      <c r="BL297" s="241"/>
      <c r="BM297" s="241"/>
      <c r="BN297" s="66"/>
      <c r="BO297" s="9"/>
      <c r="BP297" s="238"/>
      <c r="BQ297" s="239"/>
      <c r="BR297" s="239"/>
      <c r="BS297" s="9"/>
    </row>
    <row r="298" spans="2:71" ht="15" x14ac:dyDescent="0.25">
      <c r="B298" s="9"/>
      <c r="C298" s="91"/>
      <c r="D298" s="161"/>
      <c r="E298" s="91"/>
      <c r="F298" s="9"/>
      <c r="G298" s="9"/>
      <c r="H298" s="91"/>
      <c r="I298" s="195"/>
      <c r="J298" s="49"/>
      <c r="K298" s="161"/>
      <c r="L298" s="47"/>
      <c r="M298" s="9"/>
      <c r="N298" s="9"/>
      <c r="O298" s="91"/>
      <c r="P298" s="91"/>
      <c r="Q298" s="91"/>
      <c r="R298" s="9"/>
      <c r="S298" s="9"/>
      <c r="T298" s="91"/>
      <c r="U298" s="7"/>
      <c r="V298" s="91"/>
      <c r="W298" s="9"/>
      <c r="X298" s="9"/>
      <c r="Y298" s="91"/>
      <c r="Z298" s="7"/>
      <c r="AA298" s="91"/>
      <c r="AB298" s="9"/>
      <c r="AC298" s="9"/>
      <c r="AD298" s="48"/>
      <c r="AE298" s="49"/>
      <c r="AF298" s="91"/>
      <c r="AG298" s="9"/>
      <c r="AH298" s="9"/>
      <c r="AI298" s="91"/>
      <c r="AJ298" s="237"/>
      <c r="AK298" s="9"/>
      <c r="AL298" s="238"/>
      <c r="AM298" s="239"/>
      <c r="AN298" s="239"/>
      <c r="AO298" s="9"/>
      <c r="AP298" s="9"/>
      <c r="AQ298" s="240"/>
      <c r="AR298" s="241"/>
      <c r="AS298" s="241"/>
      <c r="AT298" s="66"/>
      <c r="AU298" s="9"/>
      <c r="AV298" s="238"/>
      <c r="AW298" s="239"/>
      <c r="AX298" s="239"/>
      <c r="AY298" s="9"/>
      <c r="AZ298" s="9"/>
      <c r="BA298" s="238"/>
      <c r="BB298" s="239"/>
      <c r="BC298" s="239"/>
      <c r="BD298" s="9"/>
      <c r="BE298" s="9"/>
      <c r="BF298" s="238"/>
      <c r="BG298" s="239"/>
      <c r="BH298" s="239"/>
      <c r="BI298" s="9"/>
      <c r="BJ298" s="9"/>
      <c r="BK298" s="240"/>
      <c r="BL298" s="241"/>
      <c r="BM298" s="241"/>
      <c r="BN298" s="66"/>
      <c r="BO298" s="9"/>
      <c r="BP298" s="238"/>
      <c r="BQ298" s="239"/>
      <c r="BR298" s="239"/>
      <c r="BS298" s="9"/>
    </row>
    <row r="299" spans="2:71" ht="15" x14ac:dyDescent="0.25">
      <c r="B299" s="9"/>
      <c r="C299" s="91"/>
      <c r="D299" s="161"/>
      <c r="E299" s="91"/>
      <c r="F299" s="9"/>
      <c r="G299" s="9"/>
      <c r="H299" s="91"/>
      <c r="I299" s="195"/>
      <c r="J299" s="49"/>
      <c r="K299" s="161"/>
      <c r="L299" s="47"/>
      <c r="M299" s="9"/>
      <c r="N299" s="9"/>
      <c r="O299" s="91"/>
      <c r="P299" s="91"/>
      <c r="Q299" s="91"/>
      <c r="R299" s="9"/>
      <c r="S299" s="9"/>
      <c r="T299" s="91"/>
      <c r="U299" s="7"/>
      <c r="V299" s="91"/>
      <c r="W299" s="9"/>
      <c r="X299" s="9"/>
      <c r="Y299" s="91"/>
      <c r="Z299" s="7"/>
      <c r="AA299" s="91"/>
      <c r="AB299" s="9"/>
      <c r="AC299" s="9"/>
      <c r="AD299" s="48"/>
      <c r="AE299" s="49"/>
      <c r="AF299" s="91"/>
      <c r="AG299" s="9"/>
      <c r="AH299" s="9"/>
      <c r="AI299" s="91"/>
      <c r="AJ299" s="237"/>
      <c r="AK299" s="9"/>
      <c r="AL299" s="238"/>
      <c r="AM299" s="239"/>
      <c r="AN299" s="239"/>
      <c r="AO299" s="9"/>
      <c r="AP299" s="9"/>
      <c r="AQ299" s="240"/>
      <c r="AR299" s="241"/>
      <c r="AS299" s="241"/>
      <c r="AT299" s="66"/>
      <c r="AU299" s="9"/>
      <c r="AV299" s="238"/>
      <c r="AW299" s="239"/>
      <c r="AX299" s="239"/>
      <c r="AY299" s="9"/>
      <c r="AZ299" s="9"/>
      <c r="BA299" s="238"/>
      <c r="BB299" s="239"/>
      <c r="BC299" s="239"/>
      <c r="BD299" s="9"/>
      <c r="BE299" s="9"/>
      <c r="BF299" s="238"/>
      <c r="BG299" s="239"/>
      <c r="BH299" s="239"/>
      <c r="BI299" s="9"/>
      <c r="BJ299" s="9"/>
      <c r="BK299" s="240"/>
      <c r="BL299" s="241"/>
      <c r="BM299" s="241"/>
      <c r="BN299" s="66"/>
      <c r="BO299" s="9"/>
      <c r="BP299" s="238"/>
      <c r="BQ299" s="239"/>
      <c r="BR299" s="239"/>
      <c r="BS299" s="9"/>
    </row>
    <row r="300" spans="2:71" ht="15" x14ac:dyDescent="0.25">
      <c r="B300" s="9"/>
      <c r="C300" s="91"/>
      <c r="D300" s="161"/>
      <c r="E300" s="91"/>
      <c r="F300" s="9"/>
      <c r="G300" s="9"/>
      <c r="H300" s="91"/>
      <c r="I300" s="195"/>
      <c r="J300" s="49"/>
      <c r="K300" s="161"/>
      <c r="L300" s="47"/>
      <c r="M300" s="9"/>
      <c r="N300" s="9"/>
      <c r="O300" s="91"/>
      <c r="P300" s="91"/>
      <c r="Q300" s="91"/>
      <c r="R300" s="9"/>
      <c r="S300" s="9"/>
      <c r="T300" s="91"/>
      <c r="U300" s="7"/>
      <c r="V300" s="91"/>
      <c r="W300" s="9"/>
      <c r="X300" s="9"/>
      <c r="Y300" s="91"/>
      <c r="Z300" s="7"/>
      <c r="AA300" s="91"/>
      <c r="AB300" s="9"/>
      <c r="AC300" s="9"/>
      <c r="AD300" s="48"/>
      <c r="AE300" s="49"/>
      <c r="AF300" s="91"/>
      <c r="AG300" s="9"/>
      <c r="AH300" s="9"/>
      <c r="AI300" s="91"/>
      <c r="AJ300" s="237"/>
      <c r="AK300" s="9"/>
      <c r="AL300" s="238"/>
      <c r="AM300" s="239"/>
      <c r="AN300" s="239"/>
      <c r="AO300" s="9"/>
      <c r="AP300" s="9"/>
      <c r="AQ300" s="240"/>
      <c r="AR300" s="241"/>
      <c r="AS300" s="241"/>
      <c r="AT300" s="66"/>
      <c r="AU300" s="9"/>
      <c r="AV300" s="238"/>
      <c r="AW300" s="239"/>
      <c r="AX300" s="239"/>
      <c r="AY300" s="9"/>
      <c r="AZ300" s="9"/>
      <c r="BA300" s="238"/>
      <c r="BB300" s="239"/>
      <c r="BC300" s="239"/>
      <c r="BD300" s="9"/>
      <c r="BE300" s="9"/>
      <c r="BF300" s="238"/>
      <c r="BG300" s="239"/>
      <c r="BH300" s="239"/>
      <c r="BI300" s="9"/>
      <c r="BJ300" s="9"/>
      <c r="BK300" s="240"/>
      <c r="BL300" s="241"/>
      <c r="BM300" s="241"/>
      <c r="BN300" s="66"/>
      <c r="BO300" s="9"/>
      <c r="BP300" s="238"/>
      <c r="BQ300" s="239"/>
      <c r="BR300" s="239"/>
      <c r="BS300" s="9"/>
    </row>
    <row r="301" spans="2:71" ht="15" x14ac:dyDescent="0.25">
      <c r="B301" s="9"/>
      <c r="C301" s="91"/>
      <c r="D301" s="161"/>
      <c r="E301" s="91"/>
      <c r="F301" s="9"/>
      <c r="G301" s="9"/>
      <c r="H301" s="91"/>
      <c r="I301" s="195"/>
      <c r="J301" s="49"/>
      <c r="K301" s="161"/>
      <c r="L301" s="47"/>
      <c r="M301" s="9"/>
      <c r="N301" s="9"/>
      <c r="O301" s="91"/>
      <c r="P301" s="91"/>
      <c r="Q301" s="91"/>
      <c r="R301" s="9"/>
      <c r="S301" s="9"/>
      <c r="T301" s="91"/>
      <c r="U301" s="7"/>
      <c r="V301" s="91"/>
      <c r="W301" s="9"/>
      <c r="X301" s="9"/>
      <c r="Y301" s="91"/>
      <c r="Z301" s="7"/>
      <c r="AA301" s="91"/>
      <c r="AB301" s="9"/>
      <c r="AC301" s="9"/>
      <c r="AD301" s="48"/>
      <c r="AE301" s="49"/>
      <c r="AF301" s="91"/>
      <c r="AG301" s="9"/>
      <c r="AH301" s="9"/>
      <c r="AI301" s="91"/>
      <c r="AJ301" s="237"/>
      <c r="AK301" s="9"/>
      <c r="AL301" s="238"/>
      <c r="AM301" s="239"/>
      <c r="AN301" s="239"/>
      <c r="AO301" s="9"/>
      <c r="AP301" s="9"/>
      <c r="AQ301" s="240"/>
      <c r="AR301" s="241"/>
      <c r="AS301" s="241"/>
      <c r="AT301" s="66"/>
      <c r="AU301" s="9"/>
      <c r="AV301" s="238"/>
      <c r="AW301" s="239"/>
      <c r="AX301" s="239"/>
      <c r="AY301" s="9"/>
      <c r="AZ301" s="9"/>
      <c r="BA301" s="238"/>
      <c r="BB301" s="239"/>
      <c r="BC301" s="239"/>
      <c r="BD301" s="9"/>
      <c r="BE301" s="9"/>
      <c r="BF301" s="238"/>
      <c r="BG301" s="239"/>
      <c r="BH301" s="239"/>
      <c r="BI301" s="9"/>
      <c r="BJ301" s="9"/>
      <c r="BK301" s="240"/>
      <c r="BL301" s="241"/>
      <c r="BM301" s="241"/>
      <c r="BN301" s="66"/>
      <c r="BO301" s="9"/>
      <c r="BP301" s="238"/>
      <c r="BQ301" s="239"/>
      <c r="BR301" s="239"/>
      <c r="BS301" s="9"/>
    </row>
    <row r="302" spans="2:71" ht="15" x14ac:dyDescent="0.25">
      <c r="B302" s="9"/>
      <c r="C302" s="91"/>
      <c r="D302" s="161"/>
      <c r="E302" s="91"/>
      <c r="F302" s="9"/>
      <c r="G302" s="9"/>
      <c r="H302" s="91"/>
      <c r="I302" s="195"/>
      <c r="J302" s="49"/>
      <c r="K302" s="161"/>
      <c r="L302" s="47"/>
      <c r="M302" s="9"/>
      <c r="N302" s="9"/>
      <c r="O302" s="91"/>
      <c r="P302" s="91"/>
      <c r="Q302" s="91"/>
      <c r="R302" s="9"/>
      <c r="S302" s="9"/>
      <c r="T302" s="91"/>
      <c r="U302" s="7"/>
      <c r="V302" s="91"/>
      <c r="W302" s="9"/>
      <c r="X302" s="9"/>
      <c r="Y302" s="91"/>
      <c r="Z302" s="7"/>
      <c r="AA302" s="91"/>
      <c r="AB302" s="9"/>
      <c r="AC302" s="9"/>
      <c r="AD302" s="48"/>
      <c r="AE302" s="49"/>
      <c r="AF302" s="91"/>
      <c r="AG302" s="9"/>
      <c r="AH302" s="9"/>
      <c r="AI302" s="91"/>
      <c r="AJ302" s="237"/>
      <c r="AK302" s="9"/>
      <c r="AL302" s="238"/>
      <c r="AM302" s="239"/>
      <c r="AN302" s="239"/>
      <c r="AO302" s="9"/>
      <c r="AP302" s="9"/>
      <c r="AQ302" s="240"/>
      <c r="AR302" s="241"/>
      <c r="AS302" s="241"/>
      <c r="AT302" s="66"/>
      <c r="AU302" s="9"/>
      <c r="AV302" s="238"/>
      <c r="AW302" s="239"/>
      <c r="AX302" s="239"/>
      <c r="AY302" s="9"/>
      <c r="AZ302" s="9"/>
      <c r="BA302" s="238"/>
      <c r="BB302" s="239"/>
      <c r="BC302" s="239"/>
      <c r="BD302" s="9"/>
      <c r="BE302" s="9"/>
      <c r="BF302" s="238"/>
      <c r="BG302" s="239"/>
      <c r="BH302" s="239"/>
      <c r="BI302" s="9"/>
      <c r="BJ302" s="9"/>
      <c r="BK302" s="240"/>
      <c r="BL302" s="241"/>
      <c r="BM302" s="241"/>
      <c r="BN302" s="66"/>
      <c r="BO302" s="9"/>
      <c r="BP302" s="238"/>
      <c r="BQ302" s="239"/>
      <c r="BR302" s="239"/>
      <c r="BS302" s="9"/>
    </row>
    <row r="303" spans="2:71" ht="15" x14ac:dyDescent="0.25">
      <c r="B303" s="9"/>
      <c r="C303" s="91"/>
      <c r="D303" s="161"/>
      <c r="E303" s="91"/>
      <c r="F303" s="9"/>
      <c r="G303" s="9"/>
      <c r="H303" s="91"/>
      <c r="I303" s="195"/>
      <c r="J303" s="49"/>
      <c r="K303" s="161"/>
      <c r="L303" s="47"/>
      <c r="M303" s="9"/>
      <c r="N303" s="9"/>
      <c r="O303" s="91"/>
      <c r="P303" s="91"/>
      <c r="Q303" s="91"/>
      <c r="R303" s="9"/>
      <c r="S303" s="9"/>
      <c r="T303" s="91"/>
      <c r="U303" s="7"/>
      <c r="V303" s="91"/>
      <c r="W303" s="9"/>
      <c r="X303" s="9"/>
      <c r="Y303" s="91"/>
      <c r="Z303" s="7"/>
      <c r="AA303" s="91"/>
      <c r="AB303" s="9"/>
      <c r="AC303" s="9"/>
      <c r="AD303" s="48"/>
      <c r="AE303" s="49"/>
      <c r="AF303" s="91"/>
      <c r="AG303" s="9"/>
      <c r="AH303" s="9"/>
      <c r="AI303" s="91"/>
      <c r="AJ303" s="237"/>
      <c r="AK303" s="9"/>
      <c r="AL303" s="238"/>
      <c r="AM303" s="239"/>
      <c r="AN303" s="239"/>
      <c r="AO303" s="9"/>
      <c r="AP303" s="9"/>
      <c r="AQ303" s="240"/>
      <c r="AR303" s="241"/>
      <c r="AS303" s="241"/>
      <c r="AT303" s="66"/>
      <c r="AU303" s="9"/>
      <c r="AV303" s="238"/>
      <c r="AW303" s="239"/>
      <c r="AX303" s="239"/>
      <c r="AY303" s="9"/>
      <c r="AZ303" s="9"/>
      <c r="BA303" s="238"/>
      <c r="BB303" s="239"/>
      <c r="BC303" s="239"/>
      <c r="BD303" s="9"/>
      <c r="BE303" s="9"/>
      <c r="BF303" s="238"/>
      <c r="BG303" s="239"/>
      <c r="BH303" s="239"/>
      <c r="BI303" s="9"/>
      <c r="BJ303" s="9"/>
      <c r="BK303" s="240"/>
      <c r="BL303" s="241"/>
      <c r="BM303" s="241"/>
      <c r="BN303" s="66"/>
      <c r="BO303" s="9"/>
      <c r="BP303" s="238"/>
      <c r="BQ303" s="239"/>
      <c r="BR303" s="239"/>
      <c r="BS303" s="9"/>
    </row>
    <row r="304" spans="2:71" ht="15" x14ac:dyDescent="0.25">
      <c r="B304" s="9"/>
      <c r="C304" s="91"/>
      <c r="D304" s="161"/>
      <c r="E304" s="91"/>
      <c r="F304" s="9"/>
      <c r="G304" s="9"/>
      <c r="H304" s="91"/>
      <c r="I304" s="195"/>
      <c r="J304" s="49"/>
      <c r="K304" s="161"/>
      <c r="L304" s="47"/>
      <c r="M304" s="9"/>
      <c r="N304" s="9"/>
      <c r="O304" s="91"/>
      <c r="P304" s="91"/>
      <c r="Q304" s="91"/>
      <c r="R304" s="9"/>
      <c r="S304" s="9"/>
      <c r="T304" s="91"/>
      <c r="U304" s="7"/>
      <c r="V304" s="91"/>
      <c r="W304" s="9"/>
      <c r="X304" s="9"/>
      <c r="Y304" s="91"/>
      <c r="Z304" s="7"/>
      <c r="AA304" s="91"/>
      <c r="AB304" s="9"/>
      <c r="AC304" s="9"/>
      <c r="AD304" s="48"/>
      <c r="AE304" s="49"/>
      <c r="AF304" s="91"/>
      <c r="AG304" s="9"/>
      <c r="AH304" s="9"/>
      <c r="AI304" s="91"/>
      <c r="AJ304" s="237"/>
      <c r="AK304" s="9"/>
      <c r="AL304" s="238"/>
      <c r="AM304" s="239"/>
      <c r="AN304" s="239"/>
      <c r="AO304" s="9"/>
      <c r="AP304" s="9"/>
      <c r="AQ304" s="240"/>
      <c r="AR304" s="241"/>
      <c r="AS304" s="241"/>
      <c r="AT304" s="66"/>
      <c r="AU304" s="9"/>
      <c r="AV304" s="238"/>
      <c r="AW304" s="239"/>
      <c r="AX304" s="239"/>
      <c r="AY304" s="9"/>
      <c r="AZ304" s="9"/>
      <c r="BA304" s="238"/>
      <c r="BB304" s="239"/>
      <c r="BC304" s="239"/>
      <c r="BD304" s="9"/>
      <c r="BE304" s="9"/>
      <c r="BF304" s="238"/>
      <c r="BG304" s="239"/>
      <c r="BH304" s="239"/>
      <c r="BI304" s="9"/>
      <c r="BJ304" s="9"/>
      <c r="BK304" s="240"/>
      <c r="BL304" s="241"/>
      <c r="BM304" s="241"/>
      <c r="BN304" s="66"/>
      <c r="BO304" s="9"/>
      <c r="BP304" s="238"/>
      <c r="BQ304" s="239"/>
      <c r="BR304" s="239"/>
      <c r="BS304" s="9"/>
    </row>
    <row r="305" spans="2:71" ht="15" x14ac:dyDescent="0.25">
      <c r="B305" s="9"/>
      <c r="C305" s="91"/>
      <c r="D305" s="161"/>
      <c r="E305" s="91"/>
      <c r="F305" s="9"/>
      <c r="G305" s="9"/>
      <c r="H305" s="91"/>
      <c r="I305" s="195"/>
      <c r="J305" s="49"/>
      <c r="K305" s="161"/>
      <c r="L305" s="47"/>
      <c r="M305" s="9"/>
      <c r="N305" s="9"/>
      <c r="O305" s="91"/>
      <c r="P305" s="91"/>
      <c r="Q305" s="91"/>
      <c r="R305" s="9"/>
      <c r="S305" s="9"/>
      <c r="T305" s="91"/>
      <c r="U305" s="7"/>
      <c r="V305" s="91"/>
      <c r="W305" s="9"/>
      <c r="X305" s="9"/>
      <c r="Y305" s="91"/>
      <c r="Z305" s="7"/>
      <c r="AA305" s="91"/>
      <c r="AB305" s="9"/>
      <c r="AC305" s="9"/>
      <c r="AD305" s="48"/>
      <c r="AE305" s="49"/>
      <c r="AF305" s="91"/>
      <c r="AG305" s="9"/>
      <c r="AH305" s="9"/>
      <c r="AI305" s="91"/>
      <c r="AJ305" s="237"/>
      <c r="AK305" s="9"/>
      <c r="AL305" s="238"/>
      <c r="AM305" s="239"/>
      <c r="AN305" s="239"/>
      <c r="AO305" s="9"/>
      <c r="AP305" s="9"/>
      <c r="AQ305" s="240"/>
      <c r="AR305" s="241"/>
      <c r="AS305" s="241"/>
      <c r="AT305" s="66"/>
      <c r="AU305" s="9"/>
      <c r="AV305" s="238"/>
      <c r="AW305" s="239"/>
      <c r="AX305" s="239"/>
      <c r="AY305" s="9"/>
      <c r="AZ305" s="9"/>
      <c r="BA305" s="238"/>
      <c r="BB305" s="239"/>
      <c r="BC305" s="239"/>
      <c r="BD305" s="9"/>
      <c r="BE305" s="9"/>
      <c r="BF305" s="238"/>
      <c r="BG305" s="239"/>
      <c r="BH305" s="239"/>
      <c r="BI305" s="9"/>
      <c r="BJ305" s="9"/>
      <c r="BK305" s="240"/>
      <c r="BL305" s="241"/>
      <c r="BM305" s="241"/>
      <c r="BN305" s="66"/>
      <c r="BO305" s="9"/>
      <c r="BP305" s="238"/>
      <c r="BQ305" s="239"/>
      <c r="BR305" s="239"/>
      <c r="BS305" s="9"/>
    </row>
    <row r="306" spans="2:71" ht="15" x14ac:dyDescent="0.25">
      <c r="B306" s="9"/>
      <c r="C306" s="91"/>
      <c r="D306" s="161"/>
      <c r="E306" s="91"/>
      <c r="F306" s="9"/>
      <c r="G306" s="9"/>
      <c r="H306" s="91"/>
      <c r="I306" s="195"/>
      <c r="J306" s="49"/>
      <c r="K306" s="161"/>
      <c r="L306" s="47"/>
      <c r="M306" s="9"/>
      <c r="N306" s="9"/>
      <c r="O306" s="91"/>
      <c r="P306" s="91"/>
      <c r="Q306" s="91"/>
      <c r="R306" s="9"/>
      <c r="S306" s="9"/>
      <c r="T306" s="91"/>
      <c r="U306" s="7"/>
      <c r="V306" s="91"/>
      <c r="W306" s="9"/>
      <c r="X306" s="9"/>
      <c r="Y306" s="91"/>
      <c r="Z306" s="7"/>
      <c r="AA306" s="91"/>
      <c r="AB306" s="9"/>
      <c r="AC306" s="9"/>
      <c r="AD306" s="48"/>
      <c r="AE306" s="49"/>
      <c r="AF306" s="91"/>
      <c r="AG306" s="9"/>
      <c r="AH306" s="9"/>
      <c r="AI306" s="91"/>
      <c r="AJ306" s="237"/>
      <c r="AK306" s="9"/>
      <c r="AL306" s="238"/>
      <c r="AM306" s="239"/>
      <c r="AN306" s="239"/>
      <c r="AO306" s="9"/>
      <c r="AP306" s="9"/>
      <c r="AQ306" s="240"/>
      <c r="AR306" s="241"/>
      <c r="AS306" s="241"/>
      <c r="AT306" s="66"/>
      <c r="AU306" s="9"/>
      <c r="AV306" s="238"/>
      <c r="AW306" s="239"/>
      <c r="AX306" s="239"/>
      <c r="AY306" s="9"/>
      <c r="AZ306" s="9"/>
      <c r="BA306" s="238"/>
      <c r="BB306" s="239"/>
      <c r="BC306" s="239"/>
      <c r="BD306" s="9"/>
      <c r="BE306" s="9"/>
      <c r="BF306" s="238"/>
      <c r="BG306" s="239"/>
      <c r="BH306" s="239"/>
      <c r="BI306" s="9"/>
      <c r="BJ306" s="9"/>
      <c r="BK306" s="240"/>
      <c r="BL306" s="241"/>
      <c r="BM306" s="241"/>
      <c r="BN306" s="66"/>
      <c r="BO306" s="9"/>
      <c r="BP306" s="238"/>
      <c r="BQ306" s="239"/>
      <c r="BR306" s="239"/>
      <c r="BS306" s="9"/>
    </row>
    <row r="307" spans="2:71" ht="15" x14ac:dyDescent="0.25">
      <c r="B307" s="9"/>
      <c r="C307" s="91"/>
      <c r="D307" s="161"/>
      <c r="E307" s="91"/>
      <c r="F307" s="9"/>
      <c r="G307" s="9"/>
      <c r="H307" s="91"/>
      <c r="I307" s="195"/>
      <c r="J307" s="49"/>
      <c r="K307" s="161"/>
      <c r="L307" s="47"/>
      <c r="M307" s="9"/>
      <c r="N307" s="9"/>
      <c r="O307" s="91"/>
      <c r="P307" s="91"/>
      <c r="Q307" s="91"/>
      <c r="R307" s="9"/>
      <c r="S307" s="9"/>
      <c r="T307" s="91"/>
      <c r="U307" s="7"/>
      <c r="V307" s="91"/>
      <c r="W307" s="9"/>
      <c r="X307" s="9"/>
      <c r="Y307" s="91"/>
      <c r="Z307" s="7"/>
      <c r="AA307" s="91"/>
      <c r="AB307" s="9"/>
      <c r="AC307" s="9"/>
      <c r="AD307" s="48"/>
      <c r="AE307" s="49"/>
      <c r="AF307" s="91"/>
      <c r="AG307" s="9"/>
      <c r="AH307" s="9"/>
      <c r="AI307" s="91"/>
      <c r="AJ307" s="237"/>
      <c r="AK307" s="9"/>
      <c r="AL307" s="238"/>
      <c r="AM307" s="239"/>
      <c r="AN307" s="239"/>
      <c r="AO307" s="9"/>
      <c r="AP307" s="9"/>
      <c r="AQ307" s="240"/>
      <c r="AR307" s="241"/>
      <c r="AS307" s="241"/>
      <c r="AT307" s="66"/>
      <c r="AU307" s="9"/>
      <c r="AV307" s="238"/>
      <c r="AW307" s="239"/>
      <c r="AX307" s="239"/>
      <c r="AY307" s="9"/>
      <c r="AZ307" s="9"/>
      <c r="BA307" s="238"/>
      <c r="BB307" s="239"/>
      <c r="BC307" s="239"/>
      <c r="BD307" s="9"/>
      <c r="BE307" s="9"/>
      <c r="BF307" s="238"/>
      <c r="BG307" s="239"/>
      <c r="BH307" s="239"/>
      <c r="BI307" s="9"/>
      <c r="BJ307" s="9"/>
      <c r="BK307" s="240"/>
      <c r="BL307" s="241"/>
      <c r="BM307" s="241"/>
      <c r="BN307" s="66"/>
      <c r="BO307" s="9"/>
      <c r="BP307" s="238"/>
      <c r="BQ307" s="239"/>
      <c r="BR307" s="239"/>
      <c r="BS307" s="9"/>
    </row>
    <row r="308" spans="2:71" ht="15" x14ac:dyDescent="0.25">
      <c r="B308" s="9"/>
      <c r="C308" s="91"/>
      <c r="D308" s="161"/>
      <c r="E308" s="91"/>
      <c r="F308" s="9"/>
      <c r="G308" s="9"/>
      <c r="H308" s="91"/>
      <c r="I308" s="195"/>
      <c r="J308" s="49"/>
      <c r="K308" s="161"/>
      <c r="L308" s="47"/>
      <c r="M308" s="9"/>
      <c r="N308" s="9"/>
      <c r="O308" s="91"/>
      <c r="P308" s="91"/>
      <c r="Q308" s="91"/>
      <c r="R308" s="9"/>
      <c r="S308" s="9"/>
      <c r="T308" s="91"/>
      <c r="U308" s="7"/>
      <c r="V308" s="91"/>
      <c r="W308" s="9"/>
      <c r="X308" s="9"/>
      <c r="Y308" s="91"/>
      <c r="Z308" s="7"/>
      <c r="AA308" s="91"/>
      <c r="AB308" s="9"/>
      <c r="AC308" s="9"/>
      <c r="AD308" s="48"/>
      <c r="AE308" s="49"/>
      <c r="AF308" s="91"/>
      <c r="AG308" s="9"/>
      <c r="AH308" s="9"/>
      <c r="AI308" s="91"/>
      <c r="AJ308" s="237"/>
      <c r="AK308" s="9"/>
      <c r="AL308" s="238"/>
      <c r="AM308" s="239"/>
      <c r="AN308" s="239"/>
      <c r="AO308" s="9"/>
      <c r="AP308" s="9"/>
      <c r="AQ308" s="240"/>
      <c r="AR308" s="241"/>
      <c r="AS308" s="241"/>
      <c r="AT308" s="66"/>
      <c r="AU308" s="9"/>
      <c r="AV308" s="238"/>
      <c r="AW308" s="239"/>
      <c r="AX308" s="239"/>
      <c r="AY308" s="9"/>
      <c r="AZ308" s="9"/>
      <c r="BA308" s="238"/>
      <c r="BB308" s="239"/>
      <c r="BC308" s="239"/>
      <c r="BD308" s="9"/>
      <c r="BE308" s="9"/>
      <c r="BF308" s="238"/>
      <c r="BG308" s="239"/>
      <c r="BH308" s="239"/>
      <c r="BI308" s="9"/>
      <c r="BJ308" s="9"/>
      <c r="BK308" s="240"/>
      <c r="BL308" s="241"/>
      <c r="BM308" s="241"/>
      <c r="BN308" s="66"/>
      <c r="BO308" s="9"/>
      <c r="BP308" s="238"/>
      <c r="BQ308" s="239"/>
      <c r="BR308" s="239"/>
      <c r="BS308" s="9"/>
    </row>
    <row r="309" spans="2:71" ht="15" x14ac:dyDescent="0.25">
      <c r="B309" s="9"/>
      <c r="C309" s="91"/>
      <c r="D309" s="161"/>
      <c r="E309" s="91"/>
      <c r="F309" s="9"/>
      <c r="G309" s="9"/>
      <c r="H309" s="91"/>
      <c r="I309" s="195"/>
      <c r="J309" s="49"/>
      <c r="K309" s="161"/>
      <c r="L309" s="47"/>
      <c r="M309" s="9"/>
      <c r="N309" s="9"/>
      <c r="O309" s="91"/>
      <c r="P309" s="91"/>
      <c r="Q309" s="91"/>
      <c r="R309" s="9"/>
      <c r="S309" s="9"/>
      <c r="T309" s="91"/>
      <c r="U309" s="7"/>
      <c r="V309" s="91"/>
      <c r="W309" s="9"/>
      <c r="X309" s="9"/>
      <c r="Y309" s="91"/>
      <c r="Z309" s="7"/>
      <c r="AA309" s="91"/>
      <c r="AB309" s="9"/>
      <c r="AC309" s="9"/>
      <c r="AD309" s="48"/>
      <c r="AE309" s="49"/>
      <c r="AF309" s="91"/>
      <c r="AG309" s="9"/>
      <c r="AH309" s="9"/>
      <c r="AI309" s="91"/>
      <c r="AJ309" s="237"/>
      <c r="AK309" s="9"/>
      <c r="AL309" s="238"/>
      <c r="AM309" s="239"/>
      <c r="AN309" s="239"/>
      <c r="AO309" s="9"/>
      <c r="AP309" s="9"/>
      <c r="AQ309" s="240"/>
      <c r="AR309" s="241"/>
      <c r="AS309" s="241"/>
      <c r="AT309" s="66"/>
      <c r="AU309" s="9"/>
      <c r="AV309" s="238"/>
      <c r="AW309" s="239"/>
      <c r="AX309" s="239"/>
      <c r="AY309" s="9"/>
      <c r="AZ309" s="9"/>
      <c r="BA309" s="238"/>
      <c r="BB309" s="239"/>
      <c r="BC309" s="239"/>
      <c r="BD309" s="9"/>
      <c r="BE309" s="9"/>
      <c r="BF309" s="238"/>
      <c r="BG309" s="239"/>
      <c r="BH309" s="239"/>
      <c r="BI309" s="9"/>
      <c r="BJ309" s="9"/>
      <c r="BK309" s="240"/>
      <c r="BL309" s="241"/>
      <c r="BM309" s="241"/>
      <c r="BN309" s="66"/>
      <c r="BO309" s="9"/>
      <c r="BP309" s="238"/>
      <c r="BQ309" s="239"/>
      <c r="BR309" s="239"/>
      <c r="BS309" s="9"/>
    </row>
    <row r="310" spans="2:71" ht="15" x14ac:dyDescent="0.25">
      <c r="B310" s="9"/>
      <c r="C310" s="91"/>
      <c r="D310" s="161"/>
      <c r="E310" s="91"/>
      <c r="F310" s="9"/>
      <c r="G310" s="9"/>
      <c r="H310" s="91"/>
      <c r="I310" s="195"/>
      <c r="J310" s="49"/>
      <c r="K310" s="161"/>
      <c r="L310" s="47"/>
      <c r="M310" s="9"/>
      <c r="N310" s="9"/>
      <c r="O310" s="91"/>
      <c r="P310" s="91"/>
      <c r="Q310" s="91"/>
      <c r="R310" s="9"/>
      <c r="S310" s="9"/>
      <c r="T310" s="91"/>
      <c r="U310" s="7"/>
      <c r="V310" s="91"/>
      <c r="W310" s="9"/>
      <c r="X310" s="9"/>
      <c r="Y310" s="91"/>
      <c r="Z310" s="7"/>
      <c r="AA310" s="91"/>
      <c r="AB310" s="9"/>
      <c r="AC310" s="9"/>
      <c r="AD310" s="48"/>
      <c r="AE310" s="49"/>
      <c r="AF310" s="91"/>
      <c r="AG310" s="9"/>
      <c r="AH310" s="9"/>
      <c r="AI310" s="91"/>
      <c r="AJ310" s="237"/>
      <c r="AK310" s="9"/>
      <c r="AL310" s="238"/>
      <c r="AM310" s="239"/>
      <c r="AN310" s="239"/>
      <c r="AO310" s="9"/>
      <c r="AP310" s="9"/>
      <c r="AQ310" s="240"/>
      <c r="AR310" s="241"/>
      <c r="AS310" s="241"/>
      <c r="AT310" s="66"/>
      <c r="AU310" s="9"/>
      <c r="AV310" s="238"/>
      <c r="AW310" s="239"/>
      <c r="AX310" s="239"/>
      <c r="AY310" s="9"/>
      <c r="AZ310" s="9"/>
      <c r="BA310" s="238"/>
      <c r="BB310" s="239"/>
      <c r="BC310" s="239"/>
      <c r="BD310" s="9"/>
      <c r="BE310" s="9"/>
      <c r="BF310" s="238"/>
      <c r="BG310" s="239"/>
      <c r="BH310" s="239"/>
      <c r="BI310" s="9"/>
      <c r="BJ310" s="9"/>
      <c r="BK310" s="240"/>
      <c r="BL310" s="241"/>
      <c r="BM310" s="241"/>
      <c r="BN310" s="66"/>
      <c r="BO310" s="9"/>
      <c r="BP310" s="238"/>
      <c r="BQ310" s="239"/>
      <c r="BR310" s="239"/>
      <c r="BS310" s="9"/>
    </row>
    <row r="311" spans="2:71" ht="15" x14ac:dyDescent="0.25">
      <c r="B311" s="9"/>
      <c r="C311" s="91"/>
      <c r="D311" s="161"/>
      <c r="E311" s="91"/>
      <c r="F311" s="9"/>
      <c r="G311" s="9"/>
      <c r="H311" s="91"/>
      <c r="I311" s="195"/>
      <c r="J311" s="49"/>
      <c r="K311" s="161"/>
      <c r="L311" s="47"/>
      <c r="M311" s="9"/>
      <c r="N311" s="9"/>
      <c r="O311" s="91"/>
      <c r="P311" s="91"/>
      <c r="Q311" s="91"/>
      <c r="R311" s="9"/>
      <c r="S311" s="9"/>
      <c r="T311" s="91"/>
      <c r="U311" s="7"/>
      <c r="V311" s="91"/>
      <c r="W311" s="9"/>
      <c r="X311" s="9"/>
      <c r="Y311" s="91"/>
      <c r="Z311" s="7"/>
      <c r="AA311" s="91"/>
      <c r="AB311" s="9"/>
      <c r="AC311" s="9"/>
      <c r="AD311" s="48"/>
      <c r="AE311" s="49"/>
      <c r="AF311" s="91"/>
      <c r="AG311" s="9"/>
      <c r="AH311" s="9"/>
      <c r="AI311" s="91"/>
      <c r="AJ311" s="237"/>
      <c r="AK311" s="9"/>
      <c r="AL311" s="238"/>
      <c r="AM311" s="239"/>
      <c r="AN311" s="239"/>
      <c r="AO311" s="9"/>
      <c r="AP311" s="9"/>
      <c r="AQ311" s="240"/>
      <c r="AR311" s="241"/>
      <c r="AS311" s="241"/>
      <c r="AT311" s="66"/>
      <c r="AU311" s="9"/>
      <c r="AV311" s="238"/>
      <c r="AW311" s="239"/>
      <c r="AX311" s="239"/>
      <c r="AY311" s="9"/>
      <c r="AZ311" s="9"/>
      <c r="BA311" s="238"/>
      <c r="BB311" s="239"/>
      <c r="BC311" s="239"/>
      <c r="BD311" s="9"/>
      <c r="BE311" s="9"/>
      <c r="BF311" s="238"/>
      <c r="BG311" s="239"/>
      <c r="BH311" s="239"/>
      <c r="BI311" s="9"/>
      <c r="BJ311" s="9"/>
      <c r="BK311" s="240"/>
      <c r="BL311" s="241"/>
      <c r="BM311" s="241"/>
      <c r="BN311" s="66"/>
      <c r="BO311" s="9"/>
      <c r="BP311" s="238"/>
      <c r="BQ311" s="239"/>
      <c r="BR311" s="239"/>
      <c r="BS311" s="9"/>
    </row>
    <row r="312" spans="2:71" ht="15" x14ac:dyDescent="0.25">
      <c r="B312" s="9"/>
      <c r="C312" s="91"/>
      <c r="D312" s="161"/>
      <c r="E312" s="91"/>
      <c r="F312" s="9"/>
      <c r="G312" s="9"/>
      <c r="H312" s="91"/>
      <c r="I312" s="195"/>
      <c r="J312" s="49"/>
      <c r="K312" s="161"/>
      <c r="L312" s="47"/>
      <c r="M312" s="9"/>
      <c r="N312" s="9"/>
      <c r="O312" s="91"/>
      <c r="P312" s="91"/>
      <c r="Q312" s="91"/>
      <c r="R312" s="9"/>
      <c r="S312" s="9"/>
      <c r="T312" s="91"/>
      <c r="U312" s="7"/>
      <c r="V312" s="91"/>
      <c r="W312" s="9"/>
      <c r="X312" s="9"/>
      <c r="Y312" s="91"/>
      <c r="Z312" s="7"/>
      <c r="AA312" s="91"/>
      <c r="AB312" s="9"/>
      <c r="AC312" s="9"/>
      <c r="AD312" s="48"/>
      <c r="AE312" s="49"/>
      <c r="AF312" s="91"/>
      <c r="AG312" s="9"/>
      <c r="AH312" s="9"/>
      <c r="AI312" s="91"/>
      <c r="AJ312" s="237"/>
      <c r="AK312" s="9"/>
      <c r="AL312" s="238"/>
      <c r="AM312" s="239"/>
      <c r="AN312" s="239"/>
      <c r="AO312" s="9"/>
      <c r="AP312" s="9"/>
      <c r="AQ312" s="240"/>
      <c r="AR312" s="241"/>
      <c r="AS312" s="241"/>
      <c r="AT312" s="66"/>
      <c r="AU312" s="9"/>
      <c r="AV312" s="238"/>
      <c r="AW312" s="239"/>
      <c r="AX312" s="239"/>
      <c r="AY312" s="9"/>
      <c r="AZ312" s="9"/>
      <c r="BA312" s="238"/>
      <c r="BB312" s="239"/>
      <c r="BC312" s="239"/>
      <c r="BD312" s="9"/>
      <c r="BE312" s="9"/>
      <c r="BF312" s="238"/>
      <c r="BG312" s="239"/>
      <c r="BH312" s="239"/>
      <c r="BI312" s="9"/>
      <c r="BJ312" s="9"/>
      <c r="BK312" s="240"/>
      <c r="BL312" s="241"/>
      <c r="BM312" s="241"/>
      <c r="BN312" s="66"/>
      <c r="BO312" s="9"/>
      <c r="BP312" s="238"/>
      <c r="BQ312" s="239"/>
      <c r="BR312" s="239"/>
      <c r="BS312" s="9"/>
    </row>
    <row r="313" spans="2:71" ht="15" x14ac:dyDescent="0.25">
      <c r="B313" s="9"/>
      <c r="C313" s="91"/>
      <c r="D313" s="161"/>
      <c r="E313" s="91"/>
      <c r="F313" s="9"/>
      <c r="G313" s="9"/>
      <c r="H313" s="91"/>
      <c r="I313" s="195"/>
      <c r="J313" s="49"/>
      <c r="K313" s="161"/>
      <c r="L313" s="47"/>
      <c r="M313" s="9"/>
      <c r="N313" s="9"/>
      <c r="O313" s="91"/>
      <c r="P313" s="91"/>
      <c r="Q313" s="91"/>
      <c r="R313" s="9"/>
      <c r="S313" s="9"/>
      <c r="T313" s="91"/>
      <c r="U313" s="7"/>
      <c r="V313" s="91"/>
      <c r="W313" s="9"/>
      <c r="X313" s="9"/>
      <c r="Y313" s="91"/>
      <c r="Z313" s="7"/>
      <c r="AA313" s="91"/>
      <c r="AB313" s="9"/>
      <c r="AC313" s="9"/>
      <c r="AD313" s="48"/>
      <c r="AE313" s="49"/>
      <c r="AF313" s="91"/>
      <c r="AG313" s="9"/>
      <c r="AH313" s="9"/>
      <c r="AI313" s="91"/>
      <c r="AJ313" s="237"/>
      <c r="AK313" s="9"/>
      <c r="AL313" s="238"/>
      <c r="AM313" s="239"/>
      <c r="AN313" s="239"/>
      <c r="AO313" s="9"/>
      <c r="AP313" s="9"/>
      <c r="AQ313" s="240"/>
      <c r="AR313" s="241"/>
      <c r="AS313" s="241"/>
      <c r="AT313" s="66"/>
      <c r="AU313" s="9"/>
      <c r="AV313" s="238"/>
      <c r="AW313" s="239"/>
      <c r="AX313" s="239"/>
      <c r="AY313" s="9"/>
      <c r="AZ313" s="9"/>
      <c r="BA313" s="238"/>
      <c r="BB313" s="239"/>
      <c r="BC313" s="239"/>
      <c r="BD313" s="9"/>
      <c r="BE313" s="9"/>
      <c r="BF313" s="238"/>
      <c r="BG313" s="239"/>
      <c r="BH313" s="239"/>
      <c r="BI313" s="9"/>
      <c r="BJ313" s="9"/>
      <c r="BK313" s="240"/>
      <c r="BL313" s="241"/>
      <c r="BM313" s="241"/>
      <c r="BN313" s="66"/>
      <c r="BO313" s="9"/>
      <c r="BP313" s="238"/>
      <c r="BQ313" s="239"/>
      <c r="BR313" s="239"/>
      <c r="BS313" s="9"/>
    </row>
    <row r="314" spans="2:71" ht="15" x14ac:dyDescent="0.25">
      <c r="B314" s="9"/>
      <c r="C314" s="91"/>
      <c r="D314" s="161"/>
      <c r="E314" s="91"/>
      <c r="F314" s="9"/>
      <c r="G314" s="9"/>
      <c r="H314" s="91"/>
      <c r="I314" s="195"/>
      <c r="J314" s="49"/>
      <c r="K314" s="161"/>
      <c r="L314" s="47"/>
      <c r="M314" s="9"/>
      <c r="N314" s="9"/>
      <c r="O314" s="91"/>
      <c r="P314" s="91"/>
      <c r="Q314" s="91"/>
      <c r="R314" s="9"/>
      <c r="S314" s="9"/>
      <c r="T314" s="91"/>
      <c r="U314" s="7"/>
      <c r="V314" s="91"/>
      <c r="W314" s="9"/>
      <c r="X314" s="9"/>
      <c r="Y314" s="91"/>
      <c r="Z314" s="7"/>
      <c r="AA314" s="91"/>
      <c r="AB314" s="9"/>
      <c r="AC314" s="9"/>
      <c r="AD314" s="48"/>
      <c r="AE314" s="49"/>
      <c r="AF314" s="91"/>
      <c r="AG314" s="9"/>
      <c r="AH314" s="9"/>
      <c r="AI314" s="91"/>
      <c r="AJ314" s="237"/>
      <c r="AK314" s="9"/>
      <c r="AL314" s="238"/>
      <c r="AM314" s="239"/>
      <c r="AN314" s="239"/>
      <c r="AO314" s="9"/>
      <c r="AP314" s="9"/>
      <c r="AQ314" s="240"/>
      <c r="AR314" s="241"/>
      <c r="AS314" s="241"/>
      <c r="AT314" s="66"/>
      <c r="AU314" s="9"/>
      <c r="AV314" s="238"/>
      <c r="AW314" s="239"/>
      <c r="AX314" s="239"/>
      <c r="AY314" s="9"/>
      <c r="AZ314" s="9"/>
      <c r="BA314" s="238"/>
      <c r="BB314" s="239"/>
      <c r="BC314" s="239"/>
      <c r="BD314" s="9"/>
      <c r="BE314" s="9"/>
      <c r="BF314" s="238"/>
      <c r="BG314" s="239"/>
      <c r="BH314" s="239"/>
      <c r="BI314" s="9"/>
      <c r="BJ314" s="9"/>
      <c r="BK314" s="240"/>
      <c r="BL314" s="241"/>
      <c r="BM314" s="241"/>
      <c r="BN314" s="66"/>
      <c r="BO314" s="9"/>
      <c r="BP314" s="238"/>
      <c r="BQ314" s="239"/>
      <c r="BR314" s="239"/>
      <c r="BS314" s="9"/>
    </row>
    <row r="315" spans="2:71" ht="15" x14ac:dyDescent="0.25">
      <c r="B315" s="9"/>
      <c r="C315" s="91"/>
      <c r="D315" s="161"/>
      <c r="E315" s="91"/>
      <c r="F315" s="9"/>
      <c r="G315" s="9"/>
      <c r="H315" s="91"/>
      <c r="I315" s="195"/>
      <c r="J315" s="49"/>
      <c r="K315" s="161"/>
      <c r="L315" s="47"/>
      <c r="M315" s="9"/>
      <c r="N315" s="9"/>
      <c r="O315" s="91"/>
      <c r="P315" s="91"/>
      <c r="Q315" s="91"/>
      <c r="R315" s="9"/>
      <c r="S315" s="9"/>
      <c r="T315" s="91"/>
      <c r="U315" s="7"/>
      <c r="V315" s="91"/>
      <c r="W315" s="9"/>
      <c r="X315" s="9"/>
      <c r="Y315" s="91"/>
      <c r="Z315" s="7"/>
      <c r="AA315" s="91"/>
      <c r="AB315" s="9"/>
      <c r="AC315" s="9"/>
      <c r="AD315" s="48"/>
      <c r="AE315" s="49"/>
      <c r="AF315" s="91"/>
      <c r="AG315" s="9"/>
      <c r="AH315" s="9"/>
      <c r="AI315" s="91"/>
      <c r="AJ315" s="237"/>
      <c r="AK315" s="9"/>
      <c r="AL315" s="238"/>
      <c r="AM315" s="239"/>
      <c r="AN315" s="239"/>
      <c r="AO315" s="9"/>
      <c r="AP315" s="9"/>
      <c r="AQ315" s="240"/>
      <c r="AR315" s="241"/>
      <c r="AS315" s="241"/>
      <c r="AT315" s="66"/>
      <c r="AU315" s="9"/>
      <c r="AV315" s="238"/>
      <c r="AW315" s="239"/>
      <c r="AX315" s="239"/>
      <c r="AY315" s="9"/>
      <c r="AZ315" s="9"/>
      <c r="BA315" s="238"/>
      <c r="BB315" s="239"/>
      <c r="BC315" s="239"/>
      <c r="BD315" s="9"/>
      <c r="BE315" s="9"/>
      <c r="BF315" s="238"/>
      <c r="BG315" s="239"/>
      <c r="BH315" s="239"/>
      <c r="BI315" s="9"/>
      <c r="BJ315" s="9"/>
      <c r="BK315" s="240"/>
      <c r="BL315" s="241"/>
      <c r="BM315" s="241"/>
      <c r="BN315" s="66"/>
      <c r="BO315" s="9"/>
      <c r="BP315" s="238"/>
      <c r="BQ315" s="239"/>
      <c r="BR315" s="239"/>
      <c r="BS315" s="9"/>
    </row>
    <row r="316" spans="2:71" ht="15" x14ac:dyDescent="0.25">
      <c r="B316" s="9"/>
      <c r="C316" s="91"/>
      <c r="D316" s="161"/>
      <c r="E316" s="91"/>
      <c r="F316" s="9"/>
      <c r="G316" s="9"/>
      <c r="H316" s="91"/>
      <c r="I316" s="195"/>
      <c r="J316" s="49"/>
      <c r="K316" s="161"/>
      <c r="L316" s="47"/>
      <c r="M316" s="9"/>
      <c r="N316" s="9"/>
      <c r="O316" s="91"/>
      <c r="P316" s="91"/>
      <c r="Q316" s="91"/>
      <c r="R316" s="9"/>
      <c r="S316" s="9"/>
      <c r="T316" s="91"/>
      <c r="U316" s="7"/>
      <c r="V316" s="91"/>
      <c r="W316" s="9"/>
      <c r="X316" s="9"/>
      <c r="Y316" s="91"/>
      <c r="Z316" s="7"/>
      <c r="AA316" s="91"/>
      <c r="AB316" s="9"/>
      <c r="AC316" s="9"/>
      <c r="AD316" s="48"/>
      <c r="AE316" s="49"/>
      <c r="AF316" s="91"/>
      <c r="AG316" s="9"/>
      <c r="AH316" s="9"/>
      <c r="AI316" s="91"/>
      <c r="AJ316" s="237"/>
      <c r="AK316" s="9"/>
      <c r="AL316" s="238"/>
      <c r="AM316" s="239"/>
      <c r="AN316" s="239"/>
      <c r="AO316" s="9"/>
      <c r="AP316" s="9"/>
      <c r="AQ316" s="240"/>
      <c r="AR316" s="241"/>
      <c r="AS316" s="241"/>
      <c r="AT316" s="66"/>
      <c r="AU316" s="9"/>
      <c r="AV316" s="238"/>
      <c r="AW316" s="239"/>
      <c r="AX316" s="239"/>
      <c r="AY316" s="9"/>
      <c r="AZ316" s="9"/>
      <c r="BA316" s="238"/>
      <c r="BB316" s="239"/>
      <c r="BC316" s="239"/>
      <c r="BD316" s="9"/>
      <c r="BE316" s="9"/>
      <c r="BF316" s="238"/>
      <c r="BG316" s="239"/>
      <c r="BH316" s="239"/>
      <c r="BI316" s="9"/>
      <c r="BJ316" s="9"/>
      <c r="BK316" s="240"/>
      <c r="BL316" s="241"/>
      <c r="BM316" s="241"/>
      <c r="BN316" s="66"/>
      <c r="BO316" s="9"/>
      <c r="BP316" s="238"/>
      <c r="BQ316" s="239"/>
      <c r="BR316" s="239"/>
      <c r="BS316" s="9"/>
    </row>
    <row r="317" spans="2:71" ht="15" x14ac:dyDescent="0.25">
      <c r="B317" s="9"/>
      <c r="C317" s="91"/>
      <c r="D317" s="161"/>
      <c r="E317" s="91"/>
      <c r="F317" s="9"/>
      <c r="G317" s="9"/>
      <c r="H317" s="91"/>
      <c r="I317" s="195"/>
      <c r="J317" s="49"/>
      <c r="K317" s="161"/>
      <c r="L317" s="47"/>
      <c r="M317" s="9"/>
      <c r="N317" s="9"/>
      <c r="O317" s="91"/>
      <c r="P317" s="91"/>
      <c r="Q317" s="91"/>
      <c r="R317" s="9"/>
      <c r="S317" s="9"/>
      <c r="T317" s="91"/>
      <c r="U317" s="7"/>
      <c r="V317" s="91"/>
      <c r="W317" s="9"/>
      <c r="X317" s="9"/>
      <c r="Y317" s="91"/>
      <c r="Z317" s="7"/>
      <c r="AA317" s="91"/>
      <c r="AB317" s="9"/>
      <c r="AC317" s="9"/>
      <c r="AD317" s="48"/>
      <c r="AE317" s="49"/>
      <c r="AF317" s="91"/>
      <c r="AG317" s="9"/>
      <c r="AH317" s="9"/>
      <c r="AI317" s="91"/>
      <c r="AJ317" s="237"/>
      <c r="AK317" s="9"/>
      <c r="AL317" s="238"/>
      <c r="AM317" s="239"/>
      <c r="AN317" s="239"/>
      <c r="AO317" s="9"/>
      <c r="AP317" s="9"/>
      <c r="AQ317" s="240"/>
      <c r="AR317" s="241"/>
      <c r="AS317" s="241"/>
      <c r="AT317" s="66"/>
      <c r="AU317" s="9"/>
      <c r="AV317" s="238"/>
      <c r="AW317" s="239"/>
      <c r="AX317" s="239"/>
      <c r="AY317" s="9"/>
      <c r="AZ317" s="9"/>
      <c r="BA317" s="238"/>
      <c r="BB317" s="239"/>
      <c r="BC317" s="239"/>
      <c r="BD317" s="9"/>
      <c r="BE317" s="9"/>
      <c r="BF317" s="238"/>
      <c r="BG317" s="239"/>
      <c r="BH317" s="239"/>
      <c r="BI317" s="9"/>
      <c r="BJ317" s="9"/>
      <c r="BK317" s="240"/>
      <c r="BL317" s="241"/>
      <c r="BM317" s="241"/>
      <c r="BN317" s="66"/>
      <c r="BO317" s="9"/>
      <c r="BP317" s="238"/>
      <c r="BQ317" s="239"/>
      <c r="BR317" s="239"/>
      <c r="BS317" s="9"/>
    </row>
    <row r="318" spans="2:71" ht="15" x14ac:dyDescent="0.25">
      <c r="B318" s="9"/>
      <c r="C318" s="91"/>
      <c r="D318" s="161"/>
      <c r="E318" s="91"/>
      <c r="F318" s="9"/>
      <c r="G318" s="9"/>
      <c r="H318" s="91"/>
      <c r="I318" s="195"/>
      <c r="J318" s="49"/>
      <c r="K318" s="161"/>
      <c r="L318" s="47"/>
      <c r="M318" s="9"/>
      <c r="N318" s="9"/>
      <c r="O318" s="91"/>
      <c r="P318" s="91"/>
      <c r="Q318" s="91"/>
      <c r="R318" s="9"/>
      <c r="S318" s="9"/>
      <c r="T318" s="91"/>
      <c r="U318" s="7"/>
      <c r="V318" s="91"/>
      <c r="W318" s="9"/>
      <c r="X318" s="9"/>
      <c r="Y318" s="91"/>
      <c r="Z318" s="7"/>
      <c r="AA318" s="91"/>
      <c r="AB318" s="9"/>
      <c r="AC318" s="9"/>
      <c r="AD318" s="48"/>
      <c r="AE318" s="49"/>
      <c r="AF318" s="91"/>
      <c r="AG318" s="9"/>
      <c r="AH318" s="9"/>
      <c r="AI318" s="91"/>
      <c r="AJ318" s="237"/>
      <c r="AK318" s="9"/>
      <c r="AL318" s="238"/>
      <c r="AM318" s="239"/>
      <c r="AN318" s="239"/>
      <c r="AO318" s="9"/>
      <c r="AP318" s="9"/>
      <c r="AQ318" s="240"/>
      <c r="AR318" s="241"/>
      <c r="AS318" s="241"/>
      <c r="AT318" s="66"/>
      <c r="AU318" s="9"/>
      <c r="AV318" s="238"/>
      <c r="AW318" s="239"/>
      <c r="AX318" s="239"/>
      <c r="AY318" s="9"/>
      <c r="AZ318" s="9"/>
      <c r="BA318" s="238"/>
      <c r="BB318" s="239"/>
      <c r="BC318" s="239"/>
      <c r="BD318" s="9"/>
      <c r="BE318" s="9"/>
      <c r="BF318" s="238"/>
      <c r="BG318" s="239"/>
      <c r="BH318" s="239"/>
      <c r="BI318" s="9"/>
      <c r="BJ318" s="9"/>
      <c r="BK318" s="240"/>
      <c r="BL318" s="241"/>
      <c r="BM318" s="241"/>
      <c r="BN318" s="66"/>
      <c r="BO318" s="9"/>
      <c r="BP318" s="238"/>
      <c r="BQ318" s="239"/>
      <c r="BR318" s="239"/>
      <c r="BS318" s="9"/>
    </row>
    <row r="319" spans="2:71" ht="15" x14ac:dyDescent="0.25">
      <c r="B319" s="9"/>
      <c r="C319" s="91"/>
      <c r="D319" s="161"/>
      <c r="E319" s="91"/>
      <c r="F319" s="9"/>
      <c r="G319" s="9"/>
      <c r="H319" s="91"/>
      <c r="I319" s="195"/>
      <c r="J319" s="49"/>
      <c r="K319" s="161"/>
      <c r="L319" s="47"/>
      <c r="M319" s="9"/>
      <c r="N319" s="9"/>
      <c r="O319" s="91"/>
      <c r="P319" s="91"/>
      <c r="Q319" s="91"/>
      <c r="R319" s="9"/>
      <c r="S319" s="9"/>
      <c r="T319" s="91"/>
      <c r="U319" s="7"/>
      <c r="V319" s="91"/>
      <c r="W319" s="9"/>
      <c r="X319" s="9"/>
      <c r="Y319" s="91"/>
      <c r="Z319" s="7"/>
      <c r="AA319" s="91"/>
      <c r="AB319" s="9"/>
      <c r="AC319" s="9"/>
      <c r="AD319" s="48"/>
      <c r="AE319" s="49"/>
      <c r="AF319" s="91"/>
      <c r="AG319" s="9"/>
      <c r="AH319" s="9"/>
      <c r="AI319" s="91"/>
      <c r="AJ319" s="237"/>
      <c r="AK319" s="9"/>
      <c r="AL319" s="238"/>
      <c r="AM319" s="239"/>
      <c r="AN319" s="239"/>
      <c r="AO319" s="9"/>
      <c r="AP319" s="9"/>
      <c r="AQ319" s="240"/>
      <c r="AR319" s="241"/>
      <c r="AS319" s="241"/>
      <c r="AT319" s="66"/>
      <c r="AU319" s="9"/>
      <c r="AV319" s="238"/>
      <c r="AW319" s="239"/>
      <c r="AX319" s="239"/>
      <c r="AY319" s="9"/>
      <c r="AZ319" s="9"/>
      <c r="BA319" s="238"/>
      <c r="BB319" s="239"/>
      <c r="BC319" s="239"/>
      <c r="BD319" s="9"/>
      <c r="BE319" s="9"/>
      <c r="BF319" s="238"/>
      <c r="BG319" s="239"/>
      <c r="BH319" s="239"/>
      <c r="BI319" s="9"/>
      <c r="BJ319" s="9"/>
      <c r="BK319" s="240"/>
      <c r="BL319" s="241"/>
      <c r="BM319" s="241"/>
      <c r="BN319" s="66"/>
      <c r="BO319" s="9"/>
      <c r="BP319" s="238"/>
      <c r="BQ319" s="239"/>
      <c r="BR319" s="239"/>
      <c r="BS319" s="9"/>
    </row>
    <row r="320" spans="2:71" ht="15" x14ac:dyDescent="0.25">
      <c r="B320" s="9"/>
      <c r="C320" s="91"/>
      <c r="D320" s="161"/>
      <c r="E320" s="91"/>
      <c r="F320" s="9"/>
      <c r="G320" s="9"/>
      <c r="H320" s="91"/>
      <c r="I320" s="195"/>
      <c r="J320" s="49"/>
      <c r="K320" s="161"/>
      <c r="L320" s="47"/>
      <c r="M320" s="9"/>
      <c r="N320" s="9"/>
      <c r="O320" s="91"/>
      <c r="P320" s="91"/>
      <c r="Q320" s="91"/>
      <c r="R320" s="9"/>
      <c r="S320" s="9"/>
      <c r="T320" s="91"/>
      <c r="U320" s="7"/>
      <c r="V320" s="91"/>
      <c r="W320" s="9"/>
      <c r="X320" s="9"/>
      <c r="Y320" s="91"/>
      <c r="Z320" s="7"/>
      <c r="AA320" s="91"/>
      <c r="AB320" s="9"/>
      <c r="AC320" s="9"/>
      <c r="AD320" s="48"/>
      <c r="AE320" s="49"/>
      <c r="AF320" s="91"/>
      <c r="AG320" s="9"/>
      <c r="AH320" s="9"/>
      <c r="AI320" s="91"/>
      <c r="AJ320" s="237"/>
      <c r="AK320" s="9"/>
      <c r="AL320" s="238"/>
      <c r="AM320" s="239"/>
      <c r="AN320" s="239"/>
      <c r="AO320" s="9"/>
      <c r="AP320" s="9"/>
      <c r="AQ320" s="240"/>
      <c r="AR320" s="241"/>
      <c r="AS320" s="241"/>
      <c r="AT320" s="66"/>
      <c r="AU320" s="9"/>
      <c r="AV320" s="238"/>
      <c r="AW320" s="239"/>
      <c r="AX320" s="239"/>
      <c r="AY320" s="9"/>
      <c r="AZ320" s="9"/>
      <c r="BA320" s="238"/>
      <c r="BB320" s="239"/>
      <c r="BC320" s="239"/>
      <c r="BD320" s="9"/>
      <c r="BE320" s="9"/>
      <c r="BF320" s="238"/>
      <c r="BG320" s="239"/>
      <c r="BH320" s="239"/>
      <c r="BI320" s="9"/>
      <c r="BJ320" s="9"/>
      <c r="BK320" s="240"/>
      <c r="BL320" s="241"/>
      <c r="BM320" s="241"/>
      <c r="BN320" s="66"/>
      <c r="BO320" s="9"/>
      <c r="BP320" s="238"/>
      <c r="BQ320" s="239"/>
      <c r="BR320" s="239"/>
      <c r="BS320" s="9"/>
    </row>
    <row r="321" spans="2:71" ht="15" x14ac:dyDescent="0.25">
      <c r="B321" s="9"/>
      <c r="C321" s="91"/>
      <c r="D321" s="161"/>
      <c r="E321" s="91"/>
      <c r="F321" s="9"/>
      <c r="G321" s="9"/>
      <c r="H321" s="91"/>
      <c r="I321" s="195"/>
      <c r="J321" s="49"/>
      <c r="K321" s="161"/>
      <c r="L321" s="47"/>
      <c r="M321" s="9"/>
      <c r="N321" s="9"/>
      <c r="O321" s="91"/>
      <c r="P321" s="91"/>
      <c r="Q321" s="91"/>
      <c r="R321" s="9"/>
      <c r="S321" s="9"/>
      <c r="T321" s="91"/>
      <c r="U321" s="7"/>
      <c r="V321" s="91"/>
      <c r="W321" s="9"/>
      <c r="X321" s="9"/>
      <c r="Y321" s="91"/>
      <c r="Z321" s="7"/>
      <c r="AA321" s="91"/>
      <c r="AB321" s="9"/>
      <c r="AC321" s="9"/>
      <c r="AD321" s="48"/>
      <c r="AE321" s="49"/>
      <c r="AF321" s="91"/>
      <c r="AG321" s="9"/>
      <c r="AH321" s="9"/>
      <c r="AI321" s="91"/>
      <c r="AJ321" s="237"/>
      <c r="AK321" s="9"/>
      <c r="AL321" s="238"/>
      <c r="AM321" s="239"/>
      <c r="AN321" s="239"/>
      <c r="AO321" s="9"/>
      <c r="AP321" s="9"/>
      <c r="AQ321" s="240"/>
      <c r="AR321" s="241"/>
      <c r="AS321" s="241"/>
      <c r="AT321" s="66"/>
      <c r="AU321" s="9"/>
      <c r="AV321" s="238"/>
      <c r="AW321" s="239"/>
      <c r="AX321" s="239"/>
      <c r="AY321" s="9"/>
      <c r="AZ321" s="9"/>
      <c r="BA321" s="238"/>
      <c r="BB321" s="239"/>
      <c r="BC321" s="239"/>
      <c r="BD321" s="9"/>
      <c r="BE321" s="9"/>
      <c r="BF321" s="238"/>
      <c r="BG321" s="239"/>
      <c r="BH321" s="239"/>
      <c r="BI321" s="9"/>
      <c r="BJ321" s="9"/>
      <c r="BK321" s="240"/>
      <c r="BL321" s="241"/>
      <c r="BM321" s="241"/>
      <c r="BN321" s="66"/>
      <c r="BO321" s="9"/>
      <c r="BP321" s="238"/>
      <c r="BQ321" s="239"/>
      <c r="BR321" s="239"/>
      <c r="BS321" s="9"/>
    </row>
    <row r="322" spans="2:71" ht="15" x14ac:dyDescent="0.25">
      <c r="B322" s="9"/>
      <c r="C322" s="91"/>
      <c r="D322" s="161"/>
      <c r="E322" s="91"/>
      <c r="F322" s="9"/>
      <c r="G322" s="9"/>
      <c r="H322" s="91"/>
      <c r="I322" s="195"/>
      <c r="J322" s="49"/>
      <c r="K322" s="161"/>
      <c r="L322" s="47"/>
      <c r="M322" s="9"/>
      <c r="N322" s="9"/>
      <c r="O322" s="91"/>
      <c r="P322" s="91"/>
      <c r="Q322" s="91"/>
      <c r="R322" s="9"/>
      <c r="S322" s="9"/>
      <c r="T322" s="91"/>
      <c r="U322" s="7"/>
      <c r="V322" s="91"/>
      <c r="W322" s="9"/>
      <c r="X322" s="9"/>
      <c r="Y322" s="91"/>
      <c r="Z322" s="7"/>
      <c r="AA322" s="91"/>
      <c r="AB322" s="9"/>
      <c r="AC322" s="9"/>
      <c r="AD322" s="48"/>
      <c r="AE322" s="49"/>
      <c r="AF322" s="91"/>
      <c r="AG322" s="9"/>
      <c r="AH322" s="9"/>
      <c r="AI322" s="91"/>
      <c r="AJ322" s="237"/>
      <c r="AK322" s="9"/>
      <c r="AL322" s="238"/>
      <c r="AM322" s="239"/>
      <c r="AN322" s="239"/>
      <c r="AO322" s="9"/>
      <c r="AP322" s="9"/>
      <c r="AQ322" s="240"/>
      <c r="AR322" s="241"/>
      <c r="AS322" s="241"/>
      <c r="AT322" s="66"/>
      <c r="AU322" s="9"/>
      <c r="AV322" s="238"/>
      <c r="AW322" s="239"/>
      <c r="AX322" s="239"/>
      <c r="AY322" s="9"/>
      <c r="AZ322" s="9"/>
      <c r="BA322" s="238"/>
      <c r="BB322" s="239"/>
      <c r="BC322" s="239"/>
      <c r="BD322" s="9"/>
      <c r="BE322" s="9"/>
      <c r="BF322" s="238"/>
      <c r="BG322" s="239"/>
      <c r="BH322" s="239"/>
      <c r="BI322" s="9"/>
      <c r="BJ322" s="9"/>
      <c r="BK322" s="240"/>
      <c r="BL322" s="241"/>
      <c r="BM322" s="241"/>
      <c r="BN322" s="66"/>
      <c r="BO322" s="9"/>
      <c r="BP322" s="238"/>
      <c r="BQ322" s="239"/>
      <c r="BR322" s="239"/>
      <c r="BS322" s="9"/>
    </row>
    <row r="323" spans="2:71" ht="15" x14ac:dyDescent="0.25">
      <c r="B323" s="9"/>
      <c r="C323" s="91"/>
      <c r="D323" s="161"/>
      <c r="E323" s="91"/>
      <c r="F323" s="9"/>
      <c r="G323" s="9"/>
      <c r="H323" s="91"/>
      <c r="I323" s="195"/>
      <c r="J323" s="49"/>
      <c r="K323" s="161"/>
      <c r="L323" s="47"/>
      <c r="M323" s="9"/>
      <c r="N323" s="9"/>
      <c r="O323" s="91"/>
      <c r="P323" s="91"/>
      <c r="Q323" s="91"/>
      <c r="R323" s="9"/>
      <c r="S323" s="9"/>
      <c r="T323" s="91"/>
      <c r="U323" s="7"/>
      <c r="V323" s="91"/>
      <c r="W323" s="9"/>
      <c r="X323" s="9"/>
      <c r="Y323" s="91"/>
      <c r="Z323" s="7"/>
      <c r="AA323" s="91"/>
      <c r="AB323" s="9"/>
      <c r="AC323" s="9"/>
      <c r="AD323" s="48"/>
      <c r="AE323" s="49"/>
      <c r="AF323" s="91"/>
      <c r="AG323" s="9"/>
      <c r="AH323" s="9"/>
      <c r="AI323" s="91"/>
      <c r="AJ323" s="237"/>
      <c r="AK323" s="9"/>
      <c r="AL323" s="238"/>
      <c r="AM323" s="239"/>
      <c r="AN323" s="239"/>
      <c r="AO323" s="9"/>
      <c r="AP323" s="9"/>
      <c r="AQ323" s="240"/>
      <c r="AR323" s="241"/>
      <c r="AS323" s="241"/>
      <c r="AT323" s="66"/>
      <c r="AU323" s="9"/>
      <c r="AV323" s="238"/>
      <c r="AW323" s="239"/>
      <c r="AX323" s="239"/>
      <c r="AY323" s="9"/>
      <c r="AZ323" s="9"/>
      <c r="BA323" s="238"/>
      <c r="BB323" s="239"/>
      <c r="BC323" s="239"/>
      <c r="BD323" s="9"/>
      <c r="BE323" s="9"/>
      <c r="BF323" s="238"/>
      <c r="BG323" s="239"/>
      <c r="BH323" s="239"/>
      <c r="BI323" s="9"/>
      <c r="BJ323" s="9"/>
      <c r="BK323" s="240"/>
      <c r="BL323" s="241"/>
      <c r="BM323" s="241"/>
      <c r="BN323" s="66"/>
      <c r="BO323" s="9"/>
      <c r="BP323" s="238"/>
      <c r="BQ323" s="239"/>
      <c r="BR323" s="239"/>
      <c r="BS323" s="9"/>
    </row>
    <row r="324" spans="2:71" ht="15" x14ac:dyDescent="0.25">
      <c r="B324" s="9"/>
      <c r="C324" s="91"/>
      <c r="D324" s="161"/>
      <c r="E324" s="91"/>
      <c r="F324" s="9"/>
      <c r="G324" s="9"/>
      <c r="H324" s="91"/>
      <c r="I324" s="195"/>
      <c r="J324" s="49"/>
      <c r="K324" s="161"/>
      <c r="L324" s="47"/>
      <c r="M324" s="9"/>
      <c r="N324" s="9"/>
      <c r="O324" s="91"/>
      <c r="P324" s="91"/>
      <c r="Q324" s="91"/>
      <c r="R324" s="9"/>
      <c r="S324" s="9"/>
      <c r="T324" s="91"/>
      <c r="U324" s="7"/>
      <c r="V324" s="91"/>
      <c r="W324" s="9"/>
      <c r="X324" s="9"/>
      <c r="Y324" s="91"/>
      <c r="Z324" s="7"/>
      <c r="AA324" s="91"/>
      <c r="AB324" s="9"/>
      <c r="AC324" s="9"/>
      <c r="AD324" s="48"/>
      <c r="AE324" s="49"/>
      <c r="AF324" s="91"/>
      <c r="AG324" s="9"/>
      <c r="AH324" s="9"/>
      <c r="AI324" s="91"/>
      <c r="AJ324" s="237"/>
      <c r="AK324" s="9"/>
      <c r="AL324" s="238"/>
      <c r="AM324" s="239"/>
      <c r="AN324" s="239"/>
      <c r="AO324" s="9"/>
      <c r="AP324" s="9"/>
      <c r="AQ324" s="240"/>
      <c r="AR324" s="241"/>
      <c r="AS324" s="241"/>
      <c r="AT324" s="66"/>
      <c r="AU324" s="9"/>
      <c r="AV324" s="238"/>
      <c r="AW324" s="239"/>
      <c r="AX324" s="239"/>
      <c r="AY324" s="9"/>
      <c r="AZ324" s="9"/>
      <c r="BA324" s="238"/>
      <c r="BB324" s="239"/>
      <c r="BC324" s="239"/>
      <c r="BD324" s="9"/>
      <c r="BE324" s="9"/>
      <c r="BF324" s="238"/>
      <c r="BG324" s="239"/>
      <c r="BH324" s="239"/>
      <c r="BI324" s="9"/>
      <c r="BJ324" s="9"/>
      <c r="BK324" s="240"/>
      <c r="BL324" s="241"/>
      <c r="BM324" s="241"/>
      <c r="BN324" s="66"/>
      <c r="BO324" s="9"/>
      <c r="BP324" s="238"/>
      <c r="BQ324" s="239"/>
      <c r="BR324" s="239"/>
      <c r="BS324" s="9"/>
    </row>
    <row r="325" spans="2:71" ht="15" x14ac:dyDescent="0.25">
      <c r="B325" s="9"/>
      <c r="C325" s="91"/>
      <c r="D325" s="161"/>
      <c r="E325" s="91"/>
      <c r="F325" s="9"/>
      <c r="G325" s="9"/>
      <c r="H325" s="91"/>
      <c r="I325" s="195"/>
      <c r="J325" s="49"/>
      <c r="K325" s="161"/>
      <c r="L325" s="47"/>
      <c r="M325" s="9"/>
      <c r="N325" s="9"/>
      <c r="O325" s="91"/>
      <c r="P325" s="91"/>
      <c r="Q325" s="91"/>
      <c r="R325" s="9"/>
      <c r="S325" s="9"/>
      <c r="T325" s="91"/>
      <c r="U325" s="7"/>
      <c r="V325" s="91"/>
      <c r="W325" s="9"/>
      <c r="X325" s="9"/>
      <c r="Y325" s="91"/>
      <c r="Z325" s="7"/>
      <c r="AA325" s="91"/>
      <c r="AB325" s="9"/>
      <c r="AC325" s="9"/>
      <c r="AD325" s="48"/>
      <c r="AE325" s="49"/>
      <c r="AF325" s="91"/>
      <c r="AG325" s="9"/>
      <c r="AH325" s="9"/>
      <c r="AI325" s="91"/>
      <c r="AJ325" s="237"/>
      <c r="AK325" s="9"/>
      <c r="AL325" s="238"/>
      <c r="AM325" s="239"/>
      <c r="AN325" s="239"/>
      <c r="AO325" s="9"/>
      <c r="AP325" s="9"/>
      <c r="AQ325" s="240"/>
      <c r="AR325" s="241"/>
      <c r="AS325" s="241"/>
      <c r="AT325" s="66"/>
      <c r="AU325" s="9"/>
      <c r="AV325" s="238"/>
      <c r="AW325" s="239"/>
      <c r="AX325" s="239"/>
      <c r="AY325" s="9"/>
      <c r="AZ325" s="9"/>
      <c r="BA325" s="238"/>
      <c r="BB325" s="239"/>
      <c r="BC325" s="239"/>
      <c r="BD325" s="9"/>
      <c r="BE325" s="9"/>
      <c r="BF325" s="238"/>
      <c r="BG325" s="239"/>
      <c r="BH325" s="239"/>
      <c r="BI325" s="9"/>
      <c r="BJ325" s="9"/>
      <c r="BK325" s="240"/>
      <c r="BL325" s="241"/>
      <c r="BM325" s="241"/>
      <c r="BN325" s="66"/>
      <c r="BO325" s="9"/>
      <c r="BP325" s="238"/>
      <c r="BQ325" s="239"/>
      <c r="BR325" s="239"/>
      <c r="BS325" s="9"/>
    </row>
    <row r="326" spans="2:71" ht="15" x14ac:dyDescent="0.25">
      <c r="B326" s="9"/>
      <c r="C326" s="91"/>
      <c r="D326" s="161"/>
      <c r="E326" s="91"/>
      <c r="F326" s="9"/>
      <c r="G326" s="9"/>
      <c r="H326" s="91"/>
      <c r="I326" s="195"/>
      <c r="J326" s="49"/>
      <c r="K326" s="161"/>
      <c r="L326" s="47"/>
      <c r="M326" s="9"/>
      <c r="N326" s="9"/>
      <c r="O326" s="91"/>
      <c r="P326" s="91"/>
      <c r="Q326" s="91"/>
      <c r="R326" s="9"/>
      <c r="S326" s="9"/>
      <c r="T326" s="91"/>
      <c r="U326" s="7"/>
      <c r="V326" s="91"/>
      <c r="W326" s="9"/>
      <c r="X326" s="9"/>
      <c r="Y326" s="91"/>
      <c r="Z326" s="7"/>
      <c r="AA326" s="91"/>
      <c r="AB326" s="9"/>
      <c r="AC326" s="9"/>
      <c r="AD326" s="48"/>
      <c r="AE326" s="49"/>
      <c r="AF326" s="91"/>
      <c r="AG326" s="9"/>
      <c r="AH326" s="9"/>
      <c r="AI326" s="91"/>
      <c r="AJ326" s="237"/>
      <c r="AK326" s="9"/>
      <c r="AL326" s="238"/>
      <c r="AM326" s="239"/>
      <c r="AN326" s="239"/>
      <c r="AO326" s="9"/>
      <c r="AP326" s="9"/>
      <c r="AQ326" s="240"/>
      <c r="AR326" s="241"/>
      <c r="AS326" s="241"/>
      <c r="AT326" s="66"/>
      <c r="AU326" s="9"/>
      <c r="AV326" s="238"/>
      <c r="AW326" s="239"/>
      <c r="AX326" s="239"/>
      <c r="AY326" s="9"/>
      <c r="AZ326" s="9"/>
      <c r="BA326" s="238"/>
      <c r="BB326" s="239"/>
      <c r="BC326" s="239"/>
      <c r="BD326" s="9"/>
      <c r="BE326" s="9"/>
      <c r="BF326" s="238"/>
      <c r="BG326" s="239"/>
      <c r="BH326" s="239"/>
      <c r="BI326" s="9"/>
      <c r="BJ326" s="9"/>
      <c r="BK326" s="240"/>
      <c r="BL326" s="241"/>
      <c r="BM326" s="241"/>
      <c r="BN326" s="66"/>
      <c r="BO326" s="9"/>
      <c r="BP326" s="238"/>
      <c r="BQ326" s="239"/>
      <c r="BR326" s="239"/>
      <c r="BS326" s="9"/>
    </row>
    <row r="327" spans="2:71" ht="15" x14ac:dyDescent="0.25">
      <c r="B327" s="9"/>
      <c r="C327" s="91"/>
      <c r="D327" s="161"/>
      <c r="E327" s="91"/>
      <c r="F327" s="9"/>
      <c r="G327" s="9"/>
      <c r="H327" s="91"/>
      <c r="I327" s="195"/>
      <c r="J327" s="49"/>
      <c r="K327" s="161"/>
      <c r="L327" s="47"/>
      <c r="M327" s="9"/>
      <c r="N327" s="9"/>
      <c r="O327" s="91"/>
      <c r="P327" s="91"/>
      <c r="Q327" s="91"/>
      <c r="R327" s="9"/>
      <c r="S327" s="9"/>
      <c r="T327" s="91"/>
      <c r="U327" s="7"/>
      <c r="V327" s="91"/>
      <c r="W327" s="9"/>
      <c r="X327" s="9"/>
      <c r="Y327" s="91"/>
      <c r="Z327" s="7"/>
      <c r="AA327" s="91"/>
      <c r="AB327" s="9"/>
      <c r="AC327" s="9"/>
      <c r="AD327" s="48"/>
      <c r="AE327" s="49"/>
      <c r="AF327" s="91"/>
      <c r="AG327" s="9"/>
      <c r="AH327" s="9"/>
      <c r="AI327" s="91"/>
      <c r="AJ327" s="237"/>
      <c r="AK327" s="9"/>
      <c r="AL327" s="238"/>
      <c r="AM327" s="239"/>
      <c r="AN327" s="239"/>
      <c r="AO327" s="9"/>
      <c r="AP327" s="9"/>
      <c r="AQ327" s="240"/>
      <c r="AR327" s="241"/>
      <c r="AS327" s="241"/>
      <c r="AT327" s="66"/>
      <c r="AU327" s="9"/>
      <c r="AV327" s="238"/>
      <c r="AW327" s="239"/>
      <c r="AX327" s="239"/>
      <c r="AY327" s="9"/>
      <c r="AZ327" s="9"/>
      <c r="BA327" s="238"/>
      <c r="BB327" s="239"/>
      <c r="BC327" s="239"/>
      <c r="BD327" s="9"/>
      <c r="BE327" s="9"/>
      <c r="BF327" s="238"/>
      <c r="BG327" s="239"/>
      <c r="BH327" s="239"/>
      <c r="BI327" s="9"/>
      <c r="BJ327" s="9"/>
      <c r="BK327" s="240"/>
      <c r="BL327" s="241"/>
      <c r="BM327" s="241"/>
      <c r="BN327" s="66"/>
      <c r="BO327" s="9"/>
      <c r="BP327" s="238"/>
      <c r="BQ327" s="239"/>
      <c r="BR327" s="239"/>
      <c r="BS327" s="9"/>
    </row>
    <row r="328" spans="2:71" ht="15" x14ac:dyDescent="0.25">
      <c r="B328" s="9"/>
      <c r="C328" s="91"/>
      <c r="D328" s="161"/>
      <c r="E328" s="91"/>
      <c r="F328" s="9"/>
      <c r="G328" s="9"/>
      <c r="H328" s="91"/>
      <c r="I328" s="195"/>
      <c r="J328" s="49"/>
      <c r="K328" s="161"/>
      <c r="L328" s="47"/>
      <c r="M328" s="9"/>
      <c r="N328" s="9"/>
      <c r="O328" s="91"/>
      <c r="P328" s="91"/>
      <c r="Q328" s="91"/>
      <c r="R328" s="9"/>
      <c r="S328" s="9"/>
      <c r="T328" s="91"/>
      <c r="U328" s="7"/>
      <c r="V328" s="91"/>
      <c r="W328" s="9"/>
      <c r="X328" s="9"/>
      <c r="Y328" s="91"/>
      <c r="Z328" s="7"/>
      <c r="AA328" s="91"/>
      <c r="AB328" s="9"/>
      <c r="AC328" s="9"/>
      <c r="AD328" s="48"/>
      <c r="AE328" s="49"/>
      <c r="AF328" s="91"/>
      <c r="AG328" s="9"/>
      <c r="AH328" s="9"/>
      <c r="AI328" s="91"/>
      <c r="AJ328" s="237"/>
      <c r="AK328" s="9"/>
      <c r="AL328" s="238"/>
      <c r="AM328" s="239"/>
      <c r="AN328" s="239"/>
      <c r="AO328" s="9"/>
      <c r="AP328" s="9"/>
      <c r="AQ328" s="240"/>
      <c r="AR328" s="241"/>
      <c r="AS328" s="241"/>
      <c r="AT328" s="66"/>
      <c r="AU328" s="9"/>
      <c r="AV328" s="238"/>
      <c r="AW328" s="239"/>
      <c r="AX328" s="239"/>
      <c r="AY328" s="9"/>
      <c r="AZ328" s="9"/>
      <c r="BA328" s="238"/>
      <c r="BB328" s="239"/>
      <c r="BC328" s="239"/>
      <c r="BD328" s="9"/>
      <c r="BE328" s="9"/>
      <c r="BF328" s="238"/>
      <c r="BG328" s="239"/>
      <c r="BH328" s="239"/>
      <c r="BI328" s="9"/>
      <c r="BJ328" s="9"/>
      <c r="BK328" s="240"/>
      <c r="BL328" s="241"/>
      <c r="BM328" s="241"/>
      <c r="BN328" s="66"/>
      <c r="BO328" s="9"/>
      <c r="BP328" s="238"/>
      <c r="BQ328" s="239"/>
      <c r="BR328" s="239"/>
      <c r="BS328" s="9"/>
    </row>
    <row r="329" spans="2:71" ht="15" x14ac:dyDescent="0.25">
      <c r="B329" s="9"/>
      <c r="C329" s="91"/>
      <c r="D329" s="161"/>
      <c r="E329" s="91"/>
      <c r="F329" s="9"/>
      <c r="G329" s="9"/>
      <c r="H329" s="91"/>
      <c r="I329" s="195"/>
      <c r="J329" s="49"/>
      <c r="K329" s="161"/>
      <c r="L329" s="47"/>
      <c r="M329" s="9"/>
      <c r="N329" s="9"/>
      <c r="O329" s="91"/>
      <c r="P329" s="91"/>
      <c r="Q329" s="91"/>
      <c r="R329" s="9"/>
      <c r="S329" s="9"/>
      <c r="T329" s="91"/>
      <c r="U329" s="7"/>
      <c r="V329" s="91"/>
      <c r="W329" s="9"/>
      <c r="X329" s="9"/>
      <c r="Y329" s="91"/>
      <c r="Z329" s="7"/>
      <c r="AA329" s="91"/>
      <c r="AB329" s="9"/>
      <c r="AC329" s="9"/>
      <c r="AD329" s="48"/>
      <c r="AE329" s="49"/>
      <c r="AF329" s="91"/>
      <c r="AG329" s="9"/>
      <c r="AH329" s="9"/>
      <c r="AI329" s="91"/>
      <c r="AJ329" s="237"/>
      <c r="AK329" s="9"/>
      <c r="AL329" s="238"/>
      <c r="AM329" s="239"/>
      <c r="AN329" s="239"/>
      <c r="AO329" s="9"/>
      <c r="AP329" s="9"/>
      <c r="AQ329" s="240"/>
      <c r="AR329" s="241"/>
      <c r="AS329" s="241"/>
      <c r="AT329" s="66"/>
      <c r="AU329" s="9"/>
      <c r="AV329" s="238"/>
      <c r="AW329" s="239"/>
      <c r="AX329" s="239"/>
      <c r="AY329" s="9"/>
      <c r="AZ329" s="9"/>
      <c r="BA329" s="238"/>
      <c r="BB329" s="239"/>
      <c r="BC329" s="239"/>
      <c r="BD329" s="9"/>
      <c r="BE329" s="9"/>
      <c r="BF329" s="238"/>
      <c r="BG329" s="239"/>
      <c r="BH329" s="239"/>
      <c r="BI329" s="9"/>
      <c r="BJ329" s="9"/>
      <c r="BK329" s="240"/>
      <c r="BL329" s="241"/>
      <c r="BM329" s="241"/>
      <c r="BN329" s="66"/>
      <c r="BO329" s="9"/>
      <c r="BP329" s="238"/>
      <c r="BQ329" s="239"/>
      <c r="BR329" s="239"/>
      <c r="BS329" s="9"/>
    </row>
    <row r="330" spans="2:71" ht="15" x14ac:dyDescent="0.25">
      <c r="B330" s="9"/>
      <c r="C330" s="91"/>
      <c r="D330" s="161"/>
      <c r="E330" s="91"/>
      <c r="F330" s="9"/>
      <c r="G330" s="9"/>
      <c r="H330" s="91"/>
      <c r="I330" s="195"/>
      <c r="J330" s="49"/>
      <c r="K330" s="161"/>
      <c r="L330" s="47"/>
      <c r="M330" s="9"/>
      <c r="N330" s="9"/>
      <c r="O330" s="91"/>
      <c r="P330" s="91"/>
      <c r="Q330" s="91"/>
      <c r="R330" s="9"/>
      <c r="S330" s="9"/>
      <c r="T330" s="91"/>
      <c r="U330" s="7"/>
      <c r="V330" s="91"/>
      <c r="W330" s="9"/>
      <c r="X330" s="9"/>
      <c r="Y330" s="91"/>
      <c r="Z330" s="7"/>
      <c r="AA330" s="91"/>
      <c r="AB330" s="9"/>
      <c r="AC330" s="9"/>
      <c r="AD330" s="48"/>
      <c r="AE330" s="49"/>
      <c r="AF330" s="91"/>
      <c r="AG330" s="9"/>
      <c r="AH330" s="9"/>
      <c r="AI330" s="91"/>
      <c r="AJ330" s="237"/>
      <c r="AK330" s="9"/>
      <c r="AL330" s="238"/>
      <c r="AM330" s="239"/>
      <c r="AN330" s="239"/>
      <c r="AO330" s="9"/>
      <c r="AP330" s="9"/>
      <c r="AQ330" s="240"/>
      <c r="AR330" s="241"/>
      <c r="AS330" s="241"/>
      <c r="AT330" s="66"/>
      <c r="AU330" s="9"/>
      <c r="AV330" s="238"/>
      <c r="AW330" s="239"/>
      <c r="AX330" s="239"/>
      <c r="AY330" s="9"/>
      <c r="AZ330" s="9"/>
      <c r="BA330" s="238"/>
      <c r="BB330" s="239"/>
      <c r="BC330" s="239"/>
      <c r="BD330" s="9"/>
      <c r="BE330" s="9"/>
      <c r="BF330" s="238"/>
      <c r="BG330" s="239"/>
      <c r="BH330" s="239"/>
      <c r="BI330" s="9"/>
      <c r="BJ330" s="9"/>
      <c r="BK330" s="240"/>
      <c r="BL330" s="241"/>
      <c r="BM330" s="241"/>
      <c r="BN330" s="66"/>
      <c r="BO330" s="9"/>
      <c r="BP330" s="238"/>
      <c r="BQ330" s="239"/>
      <c r="BR330" s="239"/>
      <c r="BS330" s="9"/>
    </row>
    <row r="331" spans="2:71" ht="15" x14ac:dyDescent="0.25">
      <c r="B331" s="9"/>
      <c r="C331" s="91"/>
      <c r="D331" s="161"/>
      <c r="E331" s="91"/>
      <c r="F331" s="9"/>
      <c r="G331" s="9"/>
      <c r="H331" s="91"/>
      <c r="I331" s="195"/>
      <c r="J331" s="49"/>
      <c r="K331" s="161"/>
      <c r="L331" s="47"/>
      <c r="M331" s="9"/>
      <c r="N331" s="9"/>
      <c r="O331" s="91"/>
      <c r="P331" s="91"/>
      <c r="Q331" s="91"/>
      <c r="R331" s="9"/>
      <c r="S331" s="9"/>
      <c r="T331" s="91"/>
      <c r="U331" s="7"/>
      <c r="V331" s="91"/>
      <c r="W331" s="9"/>
      <c r="X331" s="9"/>
      <c r="Y331" s="91"/>
      <c r="Z331" s="7"/>
      <c r="AA331" s="91"/>
      <c r="AB331" s="9"/>
      <c r="AC331" s="9"/>
      <c r="AD331" s="48"/>
      <c r="AE331" s="49"/>
      <c r="AF331" s="91"/>
      <c r="AG331" s="9"/>
      <c r="AH331" s="9"/>
      <c r="AI331" s="91"/>
      <c r="AJ331" s="237"/>
      <c r="AK331" s="9"/>
      <c r="AL331" s="238"/>
      <c r="AM331" s="239"/>
      <c r="AN331" s="239"/>
      <c r="AO331" s="9"/>
      <c r="AP331" s="9"/>
      <c r="AQ331" s="240"/>
      <c r="AR331" s="241"/>
      <c r="AS331" s="241"/>
      <c r="AT331" s="66"/>
      <c r="AU331" s="9"/>
      <c r="AV331" s="238"/>
      <c r="AW331" s="239"/>
      <c r="AX331" s="239"/>
      <c r="AY331" s="9"/>
      <c r="AZ331" s="9"/>
      <c r="BA331" s="238"/>
      <c r="BB331" s="239"/>
      <c r="BC331" s="239"/>
      <c r="BD331" s="9"/>
      <c r="BE331" s="9"/>
      <c r="BF331" s="238"/>
      <c r="BG331" s="239"/>
      <c r="BH331" s="239"/>
      <c r="BI331" s="9"/>
      <c r="BJ331" s="9"/>
      <c r="BK331" s="240"/>
      <c r="BL331" s="241"/>
      <c r="BM331" s="241"/>
      <c r="BN331" s="66"/>
      <c r="BO331" s="9"/>
      <c r="BP331" s="238"/>
      <c r="BQ331" s="239"/>
      <c r="BR331" s="239"/>
      <c r="BS331" s="9"/>
    </row>
    <row r="332" spans="2:71" ht="15" x14ac:dyDescent="0.25">
      <c r="B332" s="9"/>
      <c r="C332" s="91"/>
      <c r="D332" s="161"/>
      <c r="E332" s="91"/>
      <c r="F332" s="9"/>
      <c r="G332" s="9"/>
      <c r="H332" s="91"/>
      <c r="I332" s="195"/>
      <c r="J332" s="49"/>
      <c r="K332" s="161"/>
      <c r="L332" s="47"/>
      <c r="M332" s="9"/>
      <c r="N332" s="9"/>
      <c r="O332" s="91"/>
      <c r="P332" s="91"/>
      <c r="Q332" s="91"/>
      <c r="R332" s="9"/>
      <c r="S332" s="9"/>
      <c r="T332" s="91"/>
      <c r="U332" s="7"/>
      <c r="V332" s="91"/>
      <c r="W332" s="9"/>
      <c r="X332" s="9"/>
      <c r="Y332" s="91"/>
      <c r="Z332" s="7"/>
      <c r="AA332" s="91"/>
      <c r="AB332" s="9"/>
      <c r="AC332" s="9"/>
      <c r="AD332" s="48"/>
      <c r="AE332" s="49"/>
      <c r="AF332" s="91"/>
      <c r="AG332" s="9"/>
      <c r="AH332" s="9"/>
      <c r="AI332" s="91"/>
      <c r="AJ332" s="237"/>
      <c r="AK332" s="9"/>
      <c r="AL332" s="238"/>
      <c r="AM332" s="239"/>
      <c r="AN332" s="239"/>
      <c r="AO332" s="9"/>
      <c r="AP332" s="9"/>
      <c r="AQ332" s="240"/>
      <c r="AR332" s="241"/>
      <c r="AS332" s="241"/>
      <c r="AT332" s="66"/>
      <c r="AU332" s="9"/>
      <c r="AV332" s="238"/>
      <c r="AW332" s="239"/>
      <c r="AX332" s="239"/>
      <c r="AY332" s="9"/>
      <c r="AZ332" s="9"/>
      <c r="BA332" s="238"/>
      <c r="BB332" s="239"/>
      <c r="BC332" s="239"/>
      <c r="BD332" s="9"/>
      <c r="BE332" s="9"/>
      <c r="BF332" s="238"/>
      <c r="BG332" s="239"/>
      <c r="BH332" s="239"/>
      <c r="BI332" s="9"/>
      <c r="BJ332" s="9"/>
      <c r="BK332" s="240"/>
      <c r="BL332" s="241"/>
      <c r="BM332" s="241"/>
      <c r="BN332" s="66"/>
      <c r="BO332" s="9"/>
      <c r="BP332" s="238"/>
      <c r="BQ332" s="239"/>
      <c r="BR332" s="239"/>
      <c r="BS332" s="9"/>
    </row>
    <row r="333" spans="2:71" ht="15" x14ac:dyDescent="0.25">
      <c r="B333" s="9"/>
      <c r="C333" s="91"/>
      <c r="D333" s="161"/>
      <c r="E333" s="91"/>
      <c r="F333" s="9"/>
      <c r="G333" s="9"/>
      <c r="H333" s="91"/>
      <c r="I333" s="195"/>
      <c r="J333" s="49"/>
      <c r="K333" s="161"/>
      <c r="L333" s="47"/>
      <c r="M333" s="9"/>
      <c r="N333" s="9"/>
      <c r="O333" s="91"/>
      <c r="P333" s="91"/>
      <c r="Q333" s="91"/>
      <c r="R333" s="9"/>
      <c r="S333" s="9"/>
      <c r="T333" s="91"/>
      <c r="U333" s="7"/>
      <c r="V333" s="91"/>
      <c r="W333" s="9"/>
      <c r="X333" s="9"/>
      <c r="Y333" s="91"/>
      <c r="Z333" s="7"/>
      <c r="AA333" s="91"/>
      <c r="AB333" s="9"/>
      <c r="AC333" s="9"/>
      <c r="AD333" s="48"/>
      <c r="AE333" s="49"/>
      <c r="AF333" s="91"/>
      <c r="AG333" s="9"/>
      <c r="AH333" s="9"/>
      <c r="AI333" s="91"/>
      <c r="AJ333" s="237"/>
      <c r="AK333" s="9"/>
      <c r="AL333" s="238"/>
      <c r="AM333" s="239"/>
      <c r="AN333" s="239"/>
      <c r="AO333" s="9"/>
      <c r="AP333" s="9"/>
      <c r="AQ333" s="240"/>
      <c r="AR333" s="241"/>
      <c r="AS333" s="241"/>
      <c r="AT333" s="66"/>
      <c r="AU333" s="9"/>
      <c r="AV333" s="238"/>
      <c r="AW333" s="239"/>
      <c r="AX333" s="239"/>
      <c r="AY333" s="9"/>
      <c r="AZ333" s="9"/>
      <c r="BA333" s="238"/>
      <c r="BB333" s="239"/>
      <c r="BC333" s="239"/>
      <c r="BD333" s="9"/>
      <c r="BE333" s="9"/>
      <c r="BF333" s="238"/>
      <c r="BG333" s="239"/>
      <c r="BH333" s="239"/>
      <c r="BI333" s="9"/>
      <c r="BJ333" s="9"/>
      <c r="BK333" s="240"/>
      <c r="BL333" s="241"/>
      <c r="BM333" s="241"/>
      <c r="BN333" s="66"/>
      <c r="BO333" s="9"/>
      <c r="BP333" s="238"/>
      <c r="BQ333" s="239"/>
      <c r="BR333" s="239"/>
      <c r="BS333" s="9"/>
    </row>
    <row r="334" spans="2:71" ht="15" x14ac:dyDescent="0.25">
      <c r="B334" s="9"/>
      <c r="C334" s="91"/>
      <c r="D334" s="161"/>
      <c r="E334" s="91"/>
      <c r="F334" s="9"/>
      <c r="G334" s="9"/>
      <c r="H334" s="91"/>
      <c r="I334" s="195"/>
      <c r="J334" s="49"/>
      <c r="K334" s="161"/>
      <c r="L334" s="47"/>
      <c r="M334" s="9"/>
      <c r="N334" s="9"/>
      <c r="O334" s="91"/>
      <c r="P334" s="91"/>
      <c r="Q334" s="91"/>
      <c r="R334" s="9"/>
      <c r="S334" s="9"/>
      <c r="T334" s="91"/>
      <c r="U334" s="7"/>
      <c r="V334" s="91"/>
      <c r="W334" s="9"/>
      <c r="X334" s="9"/>
      <c r="Y334" s="91"/>
      <c r="Z334" s="7"/>
      <c r="AA334" s="91"/>
      <c r="AB334" s="9"/>
      <c r="AC334" s="9"/>
      <c r="AD334" s="48"/>
      <c r="AE334" s="49"/>
      <c r="AF334" s="91"/>
      <c r="AG334" s="9"/>
      <c r="AH334" s="9"/>
      <c r="AI334" s="91"/>
      <c r="AJ334" s="237"/>
      <c r="AK334" s="9"/>
      <c r="AL334" s="238"/>
      <c r="AM334" s="239"/>
      <c r="AN334" s="239"/>
      <c r="AO334" s="9"/>
      <c r="AP334" s="9"/>
      <c r="AQ334" s="240"/>
      <c r="AR334" s="241"/>
      <c r="AS334" s="241"/>
      <c r="AT334" s="66"/>
      <c r="AU334" s="9"/>
      <c r="AV334" s="238"/>
      <c r="AW334" s="239"/>
      <c r="AX334" s="239"/>
      <c r="AY334" s="9"/>
      <c r="AZ334" s="9"/>
      <c r="BA334" s="238"/>
      <c r="BB334" s="239"/>
      <c r="BC334" s="239"/>
      <c r="BD334" s="9"/>
      <c r="BE334" s="9"/>
      <c r="BF334" s="238"/>
      <c r="BG334" s="239"/>
      <c r="BH334" s="239"/>
      <c r="BI334" s="9"/>
      <c r="BJ334" s="9"/>
      <c r="BK334" s="240"/>
      <c r="BL334" s="241"/>
      <c r="BM334" s="241"/>
      <c r="BN334" s="66"/>
      <c r="BO334" s="9"/>
      <c r="BP334" s="238"/>
      <c r="BQ334" s="239"/>
      <c r="BR334" s="239"/>
      <c r="BS334" s="9"/>
    </row>
    <row r="335" spans="2:71" ht="15" x14ac:dyDescent="0.25">
      <c r="B335" s="9"/>
      <c r="C335" s="91"/>
      <c r="D335" s="161"/>
      <c r="E335" s="91"/>
      <c r="F335" s="9"/>
      <c r="G335" s="9"/>
      <c r="H335" s="91"/>
      <c r="I335" s="195"/>
      <c r="J335" s="49"/>
      <c r="K335" s="161"/>
      <c r="L335" s="47"/>
      <c r="M335" s="9"/>
      <c r="N335" s="9"/>
      <c r="O335" s="91"/>
      <c r="P335" s="91"/>
      <c r="Q335" s="91"/>
      <c r="R335" s="9"/>
      <c r="S335" s="9"/>
      <c r="T335" s="91"/>
      <c r="U335" s="7"/>
      <c r="V335" s="91"/>
      <c r="W335" s="9"/>
      <c r="X335" s="9"/>
      <c r="Y335" s="91"/>
      <c r="Z335" s="7"/>
      <c r="AA335" s="91"/>
      <c r="AB335" s="9"/>
      <c r="AC335" s="9"/>
      <c r="AD335" s="48"/>
      <c r="AE335" s="49"/>
      <c r="AF335" s="91"/>
      <c r="AG335" s="9"/>
      <c r="AH335" s="9"/>
      <c r="AI335" s="91"/>
      <c r="AJ335" s="237"/>
      <c r="AK335" s="9"/>
      <c r="AL335" s="238"/>
      <c r="AM335" s="239"/>
      <c r="AN335" s="239"/>
      <c r="AO335" s="9"/>
      <c r="AP335" s="9"/>
      <c r="AQ335" s="240"/>
      <c r="AR335" s="241"/>
      <c r="AS335" s="241"/>
      <c r="AT335" s="66"/>
      <c r="AU335" s="9"/>
      <c r="AV335" s="238"/>
      <c r="AW335" s="239"/>
      <c r="AX335" s="239"/>
      <c r="AY335" s="9"/>
      <c r="AZ335" s="9"/>
      <c r="BA335" s="238"/>
      <c r="BB335" s="239"/>
      <c r="BC335" s="239"/>
      <c r="BD335" s="9"/>
      <c r="BE335" s="9"/>
      <c r="BF335" s="238"/>
      <c r="BG335" s="239"/>
      <c r="BH335" s="239"/>
      <c r="BI335" s="9"/>
      <c r="BJ335" s="9"/>
      <c r="BK335" s="240"/>
      <c r="BL335" s="241"/>
      <c r="BM335" s="241"/>
      <c r="BN335" s="66"/>
      <c r="BO335" s="9"/>
      <c r="BP335" s="238"/>
      <c r="BQ335" s="239"/>
      <c r="BR335" s="239"/>
      <c r="BS335" s="9"/>
    </row>
    <row r="336" spans="2:71" ht="15" x14ac:dyDescent="0.25">
      <c r="B336" s="9"/>
      <c r="C336" s="91"/>
      <c r="D336" s="161"/>
      <c r="E336" s="91"/>
      <c r="F336" s="9"/>
      <c r="G336" s="9"/>
      <c r="H336" s="91"/>
      <c r="I336" s="195"/>
      <c r="J336" s="49"/>
      <c r="K336" s="161"/>
      <c r="L336" s="47"/>
      <c r="M336" s="9"/>
      <c r="N336" s="9"/>
      <c r="O336" s="91"/>
      <c r="P336" s="91"/>
      <c r="Q336" s="91"/>
      <c r="R336" s="9"/>
      <c r="S336" s="9"/>
      <c r="T336" s="91"/>
      <c r="U336" s="7"/>
      <c r="V336" s="91"/>
      <c r="W336" s="9"/>
      <c r="X336" s="9"/>
      <c r="Y336" s="91"/>
      <c r="Z336" s="7"/>
      <c r="AA336" s="91"/>
      <c r="AB336" s="9"/>
      <c r="AC336" s="9"/>
      <c r="AD336" s="48"/>
      <c r="AE336" s="49"/>
      <c r="AF336" s="91"/>
      <c r="AG336" s="9"/>
      <c r="AH336" s="9"/>
      <c r="AI336" s="91"/>
      <c r="AJ336" s="237"/>
      <c r="AK336" s="9"/>
      <c r="AL336" s="238"/>
      <c r="AM336" s="239"/>
      <c r="AN336" s="239"/>
      <c r="AO336" s="9"/>
      <c r="AP336" s="9"/>
      <c r="AQ336" s="240"/>
      <c r="AR336" s="241"/>
      <c r="AS336" s="241"/>
      <c r="AT336" s="66"/>
      <c r="AU336" s="9"/>
      <c r="AV336" s="238"/>
      <c r="AW336" s="239"/>
      <c r="AX336" s="239"/>
      <c r="AY336" s="9"/>
      <c r="AZ336" s="9"/>
      <c r="BA336" s="238"/>
      <c r="BB336" s="239"/>
      <c r="BC336" s="239"/>
      <c r="BD336" s="9"/>
      <c r="BE336" s="9"/>
      <c r="BF336" s="238"/>
      <c r="BG336" s="239"/>
      <c r="BH336" s="239"/>
      <c r="BI336" s="9"/>
      <c r="BJ336" s="9"/>
      <c r="BK336" s="240"/>
      <c r="BL336" s="241"/>
      <c r="BM336" s="241"/>
      <c r="BN336" s="66"/>
      <c r="BO336" s="9"/>
      <c r="BP336" s="238"/>
      <c r="BQ336" s="239"/>
      <c r="BR336" s="239"/>
      <c r="BS336" s="9"/>
    </row>
    <row r="337" spans="2:71" ht="15" x14ac:dyDescent="0.25">
      <c r="B337" s="9"/>
      <c r="C337" s="91"/>
      <c r="D337" s="161"/>
      <c r="E337" s="91"/>
      <c r="F337" s="9"/>
      <c r="G337" s="9"/>
      <c r="H337" s="91"/>
      <c r="I337" s="195"/>
      <c r="J337" s="49"/>
      <c r="K337" s="161"/>
      <c r="L337" s="47"/>
      <c r="M337" s="9"/>
      <c r="N337" s="9"/>
      <c r="O337" s="91"/>
      <c r="P337" s="91"/>
      <c r="Q337" s="91"/>
      <c r="R337" s="9"/>
      <c r="S337" s="9"/>
      <c r="T337" s="91"/>
      <c r="U337" s="7"/>
      <c r="V337" s="91"/>
      <c r="W337" s="9"/>
      <c r="X337" s="9"/>
      <c r="Y337" s="91"/>
      <c r="Z337" s="7"/>
      <c r="AA337" s="91"/>
      <c r="AB337" s="9"/>
      <c r="AC337" s="9"/>
      <c r="AD337" s="48"/>
      <c r="AE337" s="49"/>
      <c r="AF337" s="91"/>
      <c r="AG337" s="9"/>
      <c r="AH337" s="9"/>
      <c r="AI337" s="91"/>
      <c r="AJ337" s="237"/>
      <c r="AK337" s="9"/>
      <c r="AL337" s="238"/>
      <c r="AM337" s="239"/>
      <c r="AN337" s="239"/>
      <c r="AO337" s="9"/>
      <c r="AP337" s="9"/>
      <c r="AQ337" s="240"/>
      <c r="AR337" s="241"/>
      <c r="AS337" s="241"/>
      <c r="AT337" s="66"/>
      <c r="AU337" s="9"/>
      <c r="AV337" s="238"/>
      <c r="AW337" s="239"/>
      <c r="AX337" s="239"/>
      <c r="AY337" s="9"/>
      <c r="AZ337" s="9"/>
      <c r="BA337" s="238"/>
      <c r="BB337" s="239"/>
      <c r="BC337" s="239"/>
      <c r="BD337" s="9"/>
      <c r="BE337" s="9"/>
      <c r="BF337" s="238"/>
      <c r="BG337" s="239"/>
      <c r="BH337" s="239"/>
      <c r="BI337" s="9"/>
      <c r="BJ337" s="9"/>
      <c r="BK337" s="240"/>
      <c r="BL337" s="241"/>
      <c r="BM337" s="241"/>
      <c r="BN337" s="66"/>
      <c r="BO337" s="9"/>
      <c r="BP337" s="238"/>
      <c r="BQ337" s="239"/>
      <c r="BR337" s="239"/>
      <c r="BS337" s="9"/>
    </row>
    <row r="338" spans="2:71" ht="15" x14ac:dyDescent="0.25">
      <c r="B338" s="9"/>
      <c r="C338" s="91"/>
      <c r="D338" s="161"/>
      <c r="E338" s="91"/>
      <c r="F338" s="9"/>
      <c r="G338" s="9"/>
      <c r="H338" s="91"/>
      <c r="I338" s="195"/>
      <c r="J338" s="49"/>
      <c r="K338" s="161"/>
      <c r="L338" s="47"/>
      <c r="M338" s="9"/>
      <c r="N338" s="9"/>
      <c r="O338" s="91"/>
      <c r="P338" s="91"/>
      <c r="Q338" s="91"/>
      <c r="R338" s="9"/>
      <c r="S338" s="9"/>
      <c r="T338" s="91"/>
      <c r="U338" s="7"/>
      <c r="V338" s="91"/>
      <c r="W338" s="9"/>
      <c r="X338" s="9"/>
      <c r="Y338" s="91"/>
      <c r="Z338" s="7"/>
      <c r="AA338" s="91"/>
      <c r="AB338" s="9"/>
      <c r="AC338" s="9"/>
      <c r="AD338" s="48"/>
      <c r="AE338" s="49"/>
      <c r="AF338" s="91"/>
      <c r="AG338" s="9"/>
      <c r="AH338" s="9"/>
      <c r="AI338" s="91"/>
      <c r="AJ338" s="237"/>
      <c r="AK338" s="9"/>
      <c r="AL338" s="238"/>
      <c r="AM338" s="239"/>
      <c r="AN338" s="239"/>
      <c r="AO338" s="9"/>
      <c r="AP338" s="9"/>
      <c r="AQ338" s="240"/>
      <c r="AR338" s="241"/>
      <c r="AS338" s="241"/>
      <c r="AT338" s="66"/>
      <c r="AU338" s="9"/>
      <c r="AV338" s="238"/>
      <c r="AW338" s="239"/>
      <c r="AX338" s="239"/>
      <c r="AY338" s="9"/>
      <c r="AZ338" s="9"/>
      <c r="BA338" s="238"/>
      <c r="BB338" s="239"/>
      <c r="BC338" s="239"/>
      <c r="BD338" s="9"/>
      <c r="BE338" s="9"/>
      <c r="BF338" s="238"/>
      <c r="BG338" s="239"/>
      <c r="BH338" s="239"/>
      <c r="BI338" s="9"/>
      <c r="BJ338" s="9"/>
      <c r="BK338" s="240"/>
      <c r="BL338" s="241"/>
      <c r="BM338" s="241"/>
      <c r="BN338" s="66"/>
      <c r="BO338" s="9"/>
      <c r="BP338" s="238"/>
      <c r="BQ338" s="239"/>
      <c r="BR338" s="239"/>
      <c r="BS338" s="9"/>
    </row>
    <row r="339" spans="2:71" ht="15" x14ac:dyDescent="0.25">
      <c r="B339" s="9"/>
      <c r="C339" s="91"/>
      <c r="D339" s="161"/>
      <c r="E339" s="91"/>
      <c r="F339" s="9"/>
      <c r="G339" s="9"/>
      <c r="H339" s="91"/>
      <c r="I339" s="195"/>
      <c r="J339" s="49"/>
      <c r="K339" s="161"/>
      <c r="L339" s="47"/>
      <c r="M339" s="9"/>
      <c r="N339" s="9"/>
      <c r="O339" s="91"/>
      <c r="P339" s="91"/>
      <c r="Q339" s="91"/>
      <c r="R339" s="9"/>
      <c r="S339" s="9"/>
      <c r="T339" s="91"/>
      <c r="U339" s="7"/>
      <c r="V339" s="91"/>
      <c r="W339" s="9"/>
      <c r="X339" s="9"/>
      <c r="Y339" s="91"/>
      <c r="Z339" s="7"/>
      <c r="AA339" s="91"/>
      <c r="AB339" s="9"/>
      <c r="AC339" s="9"/>
      <c r="AD339" s="48"/>
      <c r="AE339" s="49"/>
      <c r="AF339" s="91"/>
      <c r="AG339" s="9"/>
      <c r="AH339" s="9"/>
      <c r="AI339" s="91"/>
      <c r="AJ339" s="237"/>
      <c r="AK339" s="9"/>
      <c r="AL339" s="238"/>
      <c r="AM339" s="239"/>
      <c r="AN339" s="239"/>
      <c r="AO339" s="9"/>
      <c r="AP339" s="9"/>
      <c r="AQ339" s="240"/>
      <c r="AR339" s="241"/>
      <c r="AS339" s="241"/>
      <c r="AT339" s="66"/>
      <c r="AU339" s="9"/>
      <c r="AV339" s="238"/>
      <c r="AW339" s="239"/>
      <c r="AX339" s="239"/>
      <c r="AY339" s="9"/>
      <c r="AZ339" s="9"/>
      <c r="BA339" s="238"/>
      <c r="BB339" s="239"/>
      <c r="BC339" s="239"/>
      <c r="BD339" s="9"/>
      <c r="BE339" s="9"/>
      <c r="BF339" s="238"/>
      <c r="BG339" s="239"/>
      <c r="BH339" s="239"/>
      <c r="BI339" s="9"/>
      <c r="BJ339" s="9"/>
      <c r="BK339" s="240"/>
      <c r="BL339" s="241"/>
      <c r="BM339" s="241"/>
      <c r="BN339" s="66"/>
      <c r="BO339" s="9"/>
      <c r="BP339" s="238"/>
      <c r="BQ339" s="239"/>
      <c r="BR339" s="239"/>
      <c r="BS339" s="9"/>
    </row>
    <row r="340" spans="2:71" ht="15" x14ac:dyDescent="0.25">
      <c r="B340" s="9"/>
      <c r="C340" s="91"/>
      <c r="D340" s="161"/>
      <c r="E340" s="91"/>
      <c r="F340" s="9"/>
      <c r="G340" s="9"/>
      <c r="H340" s="91"/>
      <c r="I340" s="195"/>
      <c r="J340" s="49"/>
      <c r="K340" s="161"/>
      <c r="L340" s="47"/>
      <c r="M340" s="9"/>
      <c r="N340" s="9"/>
      <c r="O340" s="91"/>
      <c r="P340" s="91"/>
      <c r="Q340" s="91"/>
      <c r="R340" s="9"/>
      <c r="S340" s="9"/>
      <c r="T340" s="91"/>
      <c r="U340" s="7"/>
      <c r="V340" s="91"/>
      <c r="W340" s="9"/>
      <c r="X340" s="9"/>
      <c r="Y340" s="91"/>
      <c r="Z340" s="7"/>
      <c r="AA340" s="91"/>
      <c r="AB340" s="9"/>
      <c r="AC340" s="9"/>
      <c r="AD340" s="48"/>
      <c r="AE340" s="49"/>
      <c r="AF340" s="91"/>
      <c r="AG340" s="9"/>
      <c r="AH340" s="9"/>
      <c r="AI340" s="91"/>
      <c r="AJ340" s="237"/>
      <c r="AK340" s="9"/>
      <c r="AL340" s="238"/>
      <c r="AM340" s="239"/>
      <c r="AN340" s="239"/>
      <c r="AO340" s="9"/>
      <c r="AP340" s="9"/>
      <c r="AQ340" s="240"/>
      <c r="AR340" s="241"/>
      <c r="AS340" s="241"/>
      <c r="AT340" s="66"/>
      <c r="AU340" s="9"/>
      <c r="AV340" s="238"/>
      <c r="AW340" s="239"/>
      <c r="AX340" s="239"/>
      <c r="AY340" s="9"/>
      <c r="AZ340" s="9"/>
      <c r="BA340" s="238"/>
      <c r="BB340" s="239"/>
      <c r="BC340" s="239"/>
      <c r="BD340" s="9"/>
      <c r="BE340" s="9"/>
      <c r="BF340" s="238"/>
      <c r="BG340" s="239"/>
      <c r="BH340" s="239"/>
      <c r="BI340" s="9"/>
      <c r="BJ340" s="9"/>
      <c r="BK340" s="240"/>
      <c r="BL340" s="241"/>
      <c r="BM340" s="241"/>
      <c r="BN340" s="66"/>
      <c r="BO340" s="9"/>
      <c r="BP340" s="238"/>
      <c r="BQ340" s="239"/>
      <c r="BR340" s="239"/>
      <c r="BS340" s="9"/>
    </row>
    <row r="341" spans="2:71" ht="15" x14ac:dyDescent="0.25">
      <c r="B341" s="9"/>
      <c r="C341" s="91"/>
      <c r="D341" s="161"/>
      <c r="E341" s="91"/>
      <c r="F341" s="9"/>
      <c r="G341" s="9"/>
      <c r="H341" s="91"/>
      <c r="I341" s="195"/>
      <c r="J341" s="49"/>
      <c r="K341" s="161"/>
      <c r="L341" s="47"/>
      <c r="M341" s="9"/>
      <c r="N341" s="9"/>
      <c r="O341" s="91"/>
      <c r="P341" s="91"/>
      <c r="Q341" s="91"/>
      <c r="R341" s="9"/>
      <c r="S341" s="9"/>
      <c r="T341" s="91"/>
      <c r="U341" s="7"/>
      <c r="V341" s="91"/>
      <c r="W341" s="9"/>
      <c r="X341" s="9"/>
      <c r="Y341" s="91"/>
      <c r="Z341" s="7"/>
      <c r="AA341" s="91"/>
      <c r="AB341" s="9"/>
      <c r="AC341" s="9"/>
      <c r="AD341" s="48"/>
      <c r="AE341" s="49"/>
      <c r="AF341" s="91"/>
      <c r="AG341" s="9"/>
      <c r="AH341" s="9"/>
      <c r="AI341" s="91"/>
      <c r="AJ341" s="237"/>
      <c r="AK341" s="9"/>
      <c r="AL341" s="238"/>
      <c r="AM341" s="239"/>
      <c r="AN341" s="239"/>
      <c r="AO341" s="9"/>
      <c r="AP341" s="9"/>
      <c r="AQ341" s="240"/>
      <c r="AR341" s="241"/>
      <c r="AS341" s="241"/>
      <c r="AT341" s="66"/>
      <c r="AU341" s="9"/>
      <c r="AV341" s="238"/>
      <c r="AW341" s="239"/>
      <c r="AX341" s="239"/>
      <c r="AY341" s="9"/>
      <c r="AZ341" s="9"/>
      <c r="BA341" s="238"/>
      <c r="BB341" s="239"/>
      <c r="BC341" s="239"/>
      <c r="BD341" s="9"/>
      <c r="BE341" s="9"/>
      <c r="BF341" s="238"/>
      <c r="BG341" s="239"/>
      <c r="BH341" s="239"/>
      <c r="BI341" s="9"/>
      <c r="BJ341" s="9"/>
      <c r="BK341" s="240"/>
      <c r="BL341" s="241"/>
      <c r="BM341" s="241"/>
      <c r="BN341" s="66"/>
      <c r="BO341" s="9"/>
      <c r="BP341" s="238"/>
      <c r="BQ341" s="239"/>
      <c r="BR341" s="239"/>
      <c r="BS341" s="9"/>
    </row>
    <row r="342" spans="2:71" ht="15" x14ac:dyDescent="0.25">
      <c r="B342" s="9"/>
      <c r="C342" s="91"/>
      <c r="D342" s="161"/>
      <c r="E342" s="91"/>
      <c r="F342" s="9"/>
      <c r="G342" s="9"/>
      <c r="H342" s="91"/>
      <c r="I342" s="195"/>
      <c r="J342" s="49"/>
      <c r="K342" s="161"/>
      <c r="L342" s="47"/>
      <c r="M342" s="9"/>
      <c r="N342" s="9"/>
      <c r="O342" s="91"/>
      <c r="P342" s="91"/>
      <c r="Q342" s="91"/>
      <c r="R342" s="9"/>
      <c r="S342" s="9"/>
      <c r="T342" s="91"/>
      <c r="U342" s="7"/>
      <c r="V342" s="91"/>
      <c r="W342" s="9"/>
      <c r="X342" s="9"/>
      <c r="Y342" s="91"/>
      <c r="Z342" s="7"/>
      <c r="AA342" s="91"/>
      <c r="AB342" s="9"/>
      <c r="AC342" s="9"/>
      <c r="AD342" s="48"/>
      <c r="AE342" s="49"/>
      <c r="AF342" s="91"/>
      <c r="AG342" s="9"/>
      <c r="AH342" s="9"/>
      <c r="AI342" s="91"/>
      <c r="AJ342" s="237"/>
      <c r="AK342" s="9"/>
      <c r="AL342" s="238"/>
      <c r="AM342" s="239"/>
      <c r="AN342" s="239"/>
      <c r="AO342" s="9"/>
      <c r="AP342" s="9"/>
      <c r="AQ342" s="240"/>
      <c r="AR342" s="241"/>
      <c r="AS342" s="241"/>
      <c r="AT342" s="66"/>
      <c r="AU342" s="9"/>
      <c r="AV342" s="238"/>
      <c r="AW342" s="239"/>
      <c r="AX342" s="239"/>
      <c r="AY342" s="9"/>
      <c r="AZ342" s="9"/>
      <c r="BA342" s="238"/>
      <c r="BB342" s="239"/>
      <c r="BC342" s="239"/>
      <c r="BD342" s="9"/>
      <c r="BE342" s="9"/>
      <c r="BF342" s="238"/>
      <c r="BG342" s="239"/>
      <c r="BH342" s="239"/>
      <c r="BI342" s="9"/>
      <c r="BJ342" s="9"/>
      <c r="BK342" s="240"/>
      <c r="BL342" s="241"/>
      <c r="BM342" s="241"/>
      <c r="BN342" s="66"/>
      <c r="BO342" s="9"/>
      <c r="BP342" s="238"/>
      <c r="BQ342" s="239"/>
      <c r="BR342" s="239"/>
      <c r="BS342" s="9"/>
    </row>
    <row r="343" spans="2:71" ht="15" x14ac:dyDescent="0.25">
      <c r="B343" s="9"/>
      <c r="C343" s="91"/>
      <c r="D343" s="161"/>
      <c r="E343" s="91"/>
      <c r="F343" s="9"/>
      <c r="G343" s="9"/>
      <c r="H343" s="91"/>
      <c r="I343" s="195"/>
      <c r="J343" s="49"/>
      <c r="K343" s="161"/>
      <c r="L343" s="47"/>
      <c r="M343" s="9"/>
      <c r="N343" s="9"/>
      <c r="O343" s="91"/>
      <c r="P343" s="91"/>
      <c r="Q343" s="91"/>
      <c r="R343" s="9"/>
      <c r="S343" s="9"/>
      <c r="T343" s="91"/>
      <c r="U343" s="7"/>
      <c r="V343" s="91"/>
      <c r="W343" s="9"/>
      <c r="X343" s="9"/>
      <c r="Y343" s="91"/>
      <c r="Z343" s="7"/>
      <c r="AA343" s="91"/>
      <c r="AB343" s="9"/>
      <c r="AC343" s="9"/>
      <c r="AD343" s="48"/>
      <c r="AE343" s="49"/>
      <c r="AF343" s="91"/>
      <c r="AG343" s="9"/>
      <c r="AH343" s="9"/>
      <c r="AI343" s="91"/>
      <c r="AJ343" s="237"/>
      <c r="AK343" s="9"/>
      <c r="AL343" s="238"/>
      <c r="AM343" s="239"/>
      <c r="AN343" s="239"/>
      <c r="AO343" s="9"/>
      <c r="AP343" s="9"/>
      <c r="AQ343" s="240"/>
      <c r="AR343" s="241"/>
      <c r="AS343" s="241"/>
      <c r="AT343" s="66"/>
      <c r="AU343" s="9"/>
      <c r="AV343" s="238"/>
      <c r="AW343" s="239"/>
      <c r="AX343" s="239"/>
      <c r="AY343" s="9"/>
      <c r="AZ343" s="9"/>
      <c r="BA343" s="238"/>
      <c r="BB343" s="239"/>
      <c r="BC343" s="239"/>
      <c r="BD343" s="9"/>
      <c r="BE343" s="9"/>
      <c r="BF343" s="238"/>
      <c r="BG343" s="239"/>
      <c r="BH343" s="239"/>
      <c r="BI343" s="9"/>
      <c r="BJ343" s="9"/>
      <c r="BK343" s="240"/>
      <c r="BL343" s="241"/>
      <c r="BM343" s="241"/>
      <c r="BN343" s="66"/>
      <c r="BO343" s="9"/>
      <c r="BP343" s="238"/>
      <c r="BQ343" s="239"/>
      <c r="BR343" s="239"/>
      <c r="BS343" s="9"/>
    </row>
    <row r="344" spans="2:71" ht="15" x14ac:dyDescent="0.25">
      <c r="B344" s="9"/>
      <c r="C344" s="91"/>
      <c r="D344" s="161"/>
      <c r="E344" s="91"/>
      <c r="F344" s="9"/>
      <c r="G344" s="9"/>
      <c r="H344" s="91"/>
      <c r="I344" s="195"/>
      <c r="J344" s="49"/>
      <c r="K344" s="161"/>
      <c r="L344" s="47"/>
      <c r="M344" s="9"/>
      <c r="N344" s="9"/>
      <c r="O344" s="91"/>
      <c r="P344" s="91"/>
      <c r="Q344" s="91"/>
      <c r="R344" s="9"/>
      <c r="S344" s="9"/>
      <c r="T344" s="91"/>
      <c r="U344" s="7"/>
      <c r="V344" s="91"/>
      <c r="W344" s="9"/>
      <c r="X344" s="9"/>
      <c r="Y344" s="91"/>
      <c r="Z344" s="7"/>
      <c r="AA344" s="91"/>
      <c r="AB344" s="9"/>
      <c r="AC344" s="9"/>
      <c r="AD344" s="48"/>
      <c r="AE344" s="49"/>
      <c r="AF344" s="91"/>
      <c r="AG344" s="9"/>
      <c r="AH344" s="9"/>
      <c r="AI344" s="91"/>
      <c r="AJ344" s="237"/>
      <c r="AK344" s="9"/>
      <c r="AL344" s="238"/>
      <c r="AM344" s="239"/>
      <c r="AN344" s="239"/>
      <c r="AO344" s="9"/>
      <c r="AP344" s="9"/>
      <c r="AQ344" s="240"/>
      <c r="AR344" s="241"/>
      <c r="AS344" s="241"/>
      <c r="AT344" s="66"/>
      <c r="AU344" s="9"/>
      <c r="AV344" s="238"/>
      <c r="AW344" s="239"/>
      <c r="AX344" s="239"/>
      <c r="AY344" s="9"/>
      <c r="AZ344" s="9"/>
      <c r="BA344" s="238"/>
      <c r="BB344" s="239"/>
      <c r="BC344" s="239"/>
      <c r="BD344" s="9"/>
      <c r="BE344" s="9"/>
      <c r="BF344" s="238"/>
      <c r="BG344" s="239"/>
      <c r="BH344" s="239"/>
      <c r="BI344" s="9"/>
      <c r="BJ344" s="9"/>
      <c r="BK344" s="240"/>
      <c r="BL344" s="241"/>
      <c r="BM344" s="241"/>
      <c r="BN344" s="66"/>
      <c r="BO344" s="9"/>
      <c r="BP344" s="238"/>
      <c r="BQ344" s="239"/>
      <c r="BR344" s="239"/>
      <c r="BS344" s="9"/>
    </row>
    <row r="345" spans="2:71" ht="15" x14ac:dyDescent="0.25">
      <c r="B345" s="9"/>
      <c r="C345" s="91"/>
      <c r="D345" s="161"/>
      <c r="E345" s="91"/>
      <c r="F345" s="9"/>
      <c r="G345" s="9"/>
      <c r="H345" s="91"/>
      <c r="I345" s="195"/>
      <c r="J345" s="49"/>
      <c r="K345" s="161"/>
      <c r="L345" s="47"/>
      <c r="M345" s="9"/>
      <c r="N345" s="9"/>
      <c r="O345" s="91"/>
      <c r="P345" s="91"/>
      <c r="Q345" s="91"/>
      <c r="R345" s="9"/>
      <c r="S345" s="9"/>
      <c r="T345" s="91"/>
      <c r="U345" s="7"/>
      <c r="V345" s="91"/>
      <c r="W345" s="9"/>
      <c r="X345" s="9"/>
      <c r="Y345" s="91"/>
      <c r="Z345" s="7"/>
      <c r="AA345" s="91"/>
      <c r="AB345" s="9"/>
      <c r="AC345" s="9"/>
      <c r="AD345" s="48"/>
      <c r="AE345" s="49"/>
      <c r="AF345" s="91"/>
      <c r="AG345" s="9"/>
      <c r="AH345" s="9"/>
      <c r="AI345" s="91"/>
      <c r="AJ345" s="237"/>
      <c r="AK345" s="9"/>
      <c r="AL345" s="238"/>
      <c r="AM345" s="239"/>
      <c r="AN345" s="239"/>
      <c r="AO345" s="9"/>
      <c r="AP345" s="9"/>
      <c r="AQ345" s="240"/>
      <c r="AR345" s="241"/>
      <c r="AS345" s="241"/>
      <c r="AT345" s="66"/>
      <c r="AU345" s="9"/>
      <c r="AV345" s="238"/>
      <c r="AW345" s="239"/>
      <c r="AX345" s="239"/>
      <c r="AY345" s="9"/>
      <c r="AZ345" s="9"/>
      <c r="BA345" s="238"/>
      <c r="BB345" s="239"/>
      <c r="BC345" s="239"/>
      <c r="BD345" s="9"/>
      <c r="BE345" s="9"/>
      <c r="BF345" s="238"/>
      <c r="BG345" s="239"/>
      <c r="BH345" s="239"/>
      <c r="BI345" s="9"/>
      <c r="BJ345" s="9"/>
      <c r="BK345" s="240"/>
      <c r="BL345" s="241"/>
      <c r="BM345" s="241"/>
      <c r="BN345" s="66"/>
      <c r="BO345" s="9"/>
      <c r="BP345" s="238"/>
      <c r="BQ345" s="239"/>
      <c r="BR345" s="239"/>
      <c r="BS345" s="9"/>
    </row>
    <row r="346" spans="2:71" ht="15" x14ac:dyDescent="0.25">
      <c r="B346" s="9"/>
      <c r="C346" s="91"/>
      <c r="D346" s="161"/>
      <c r="E346" s="91"/>
      <c r="F346" s="9"/>
      <c r="G346" s="9"/>
      <c r="H346" s="91"/>
      <c r="I346" s="195"/>
      <c r="J346" s="49"/>
      <c r="K346" s="161"/>
      <c r="L346" s="47"/>
      <c r="M346" s="9"/>
      <c r="N346" s="9"/>
      <c r="O346" s="91"/>
      <c r="P346" s="91"/>
      <c r="Q346" s="91"/>
      <c r="R346" s="9"/>
      <c r="S346" s="9"/>
      <c r="T346" s="91"/>
      <c r="U346" s="7"/>
      <c r="V346" s="91"/>
      <c r="W346" s="9"/>
      <c r="X346" s="9"/>
      <c r="Y346" s="91"/>
      <c r="Z346" s="7"/>
      <c r="AA346" s="91"/>
      <c r="AB346" s="9"/>
      <c r="AC346" s="9"/>
      <c r="AD346" s="48"/>
      <c r="AE346" s="49"/>
      <c r="AF346" s="91"/>
      <c r="AG346" s="9"/>
      <c r="AH346" s="9"/>
      <c r="AI346" s="91"/>
      <c r="AJ346" s="237"/>
      <c r="AK346" s="9"/>
      <c r="AL346" s="238"/>
      <c r="AM346" s="239"/>
      <c r="AN346" s="239"/>
      <c r="AO346" s="9"/>
      <c r="AP346" s="9"/>
      <c r="AQ346" s="240"/>
      <c r="AR346" s="241"/>
      <c r="AS346" s="241"/>
      <c r="AT346" s="66"/>
      <c r="AU346" s="9"/>
      <c r="AV346" s="238"/>
      <c r="AW346" s="239"/>
      <c r="AX346" s="239"/>
      <c r="AY346" s="9"/>
      <c r="AZ346" s="9"/>
      <c r="BA346" s="238"/>
      <c r="BB346" s="239"/>
      <c r="BC346" s="239"/>
      <c r="BD346" s="9"/>
      <c r="BE346" s="9"/>
      <c r="BF346" s="238"/>
      <c r="BG346" s="239"/>
      <c r="BH346" s="239"/>
      <c r="BI346" s="9"/>
      <c r="BJ346" s="9"/>
      <c r="BK346" s="240"/>
      <c r="BL346" s="241"/>
      <c r="BM346" s="241"/>
      <c r="BN346" s="66"/>
      <c r="BO346" s="9"/>
      <c r="BP346" s="238"/>
      <c r="BQ346" s="239"/>
      <c r="BR346" s="239"/>
      <c r="BS346" s="9"/>
    </row>
    <row r="347" spans="2:71" ht="15" x14ac:dyDescent="0.25">
      <c r="B347" s="9"/>
      <c r="C347" s="91"/>
      <c r="D347" s="161"/>
      <c r="E347" s="91"/>
      <c r="F347" s="9"/>
      <c r="G347" s="9"/>
      <c r="H347" s="91"/>
      <c r="I347" s="195"/>
      <c r="J347" s="49"/>
      <c r="K347" s="161"/>
      <c r="L347" s="47"/>
      <c r="M347" s="9"/>
      <c r="N347" s="9"/>
      <c r="O347" s="91"/>
      <c r="P347" s="91"/>
      <c r="Q347" s="91"/>
      <c r="R347" s="9"/>
      <c r="S347" s="9"/>
      <c r="T347" s="91"/>
      <c r="U347" s="7"/>
      <c r="V347" s="91"/>
      <c r="W347" s="9"/>
      <c r="X347" s="9"/>
      <c r="Y347" s="91"/>
      <c r="Z347" s="7"/>
      <c r="AA347" s="91"/>
      <c r="AB347" s="9"/>
      <c r="AC347" s="9"/>
      <c r="AD347" s="48"/>
      <c r="AE347" s="49"/>
      <c r="AF347" s="91"/>
      <c r="AG347" s="9"/>
      <c r="AH347" s="9"/>
      <c r="AI347" s="91"/>
      <c r="AJ347" s="237"/>
      <c r="AK347" s="9"/>
      <c r="AL347" s="238"/>
      <c r="AM347" s="239"/>
      <c r="AN347" s="239"/>
      <c r="AO347" s="9"/>
      <c r="AP347" s="9"/>
      <c r="AQ347" s="240"/>
      <c r="AR347" s="241"/>
      <c r="AS347" s="241"/>
      <c r="AT347" s="66"/>
      <c r="AU347" s="9"/>
      <c r="AV347" s="238"/>
      <c r="AW347" s="239"/>
      <c r="AX347" s="239"/>
      <c r="AY347" s="9"/>
      <c r="AZ347" s="9"/>
      <c r="BA347" s="238"/>
      <c r="BB347" s="239"/>
      <c r="BC347" s="239"/>
      <c r="BD347" s="9"/>
      <c r="BE347" s="9"/>
      <c r="BF347" s="238"/>
      <c r="BG347" s="239"/>
      <c r="BH347" s="239"/>
      <c r="BI347" s="9"/>
      <c r="BJ347" s="9"/>
      <c r="BK347" s="240"/>
      <c r="BL347" s="241"/>
      <c r="BM347" s="241"/>
      <c r="BN347" s="66"/>
      <c r="BO347" s="9"/>
      <c r="BP347" s="238"/>
      <c r="BQ347" s="239"/>
      <c r="BR347" s="239"/>
      <c r="BS347" s="9"/>
    </row>
    <row r="348" spans="2:71" ht="15" x14ac:dyDescent="0.25">
      <c r="B348" s="9"/>
      <c r="C348" s="91"/>
      <c r="D348" s="161"/>
      <c r="E348" s="91"/>
      <c r="F348" s="9"/>
      <c r="G348" s="9"/>
      <c r="H348" s="91"/>
      <c r="I348" s="195"/>
      <c r="J348" s="49"/>
      <c r="K348" s="161"/>
      <c r="L348" s="47"/>
      <c r="M348" s="9"/>
      <c r="N348" s="9"/>
      <c r="O348" s="91"/>
      <c r="P348" s="91"/>
      <c r="Q348" s="91"/>
      <c r="R348" s="9"/>
      <c r="S348" s="9"/>
      <c r="T348" s="91"/>
      <c r="U348" s="7"/>
      <c r="V348" s="91"/>
      <c r="W348" s="9"/>
      <c r="X348" s="9"/>
      <c r="Y348" s="91"/>
      <c r="Z348" s="7"/>
      <c r="AA348" s="91"/>
      <c r="AB348" s="9"/>
      <c r="AC348" s="9"/>
      <c r="AD348" s="48"/>
      <c r="AE348" s="49"/>
      <c r="AF348" s="91"/>
      <c r="AG348" s="9"/>
      <c r="AH348" s="9"/>
      <c r="AI348" s="91"/>
      <c r="AJ348" s="237"/>
      <c r="AK348" s="9"/>
      <c r="AL348" s="238"/>
      <c r="AM348" s="239"/>
      <c r="AN348" s="239"/>
      <c r="AO348" s="9"/>
      <c r="AP348" s="9"/>
      <c r="AQ348" s="240"/>
      <c r="AR348" s="241"/>
      <c r="AS348" s="241"/>
      <c r="AT348" s="66"/>
      <c r="AU348" s="9"/>
      <c r="AV348" s="238"/>
      <c r="AW348" s="239"/>
      <c r="AX348" s="239"/>
      <c r="AY348" s="9"/>
      <c r="AZ348" s="9"/>
      <c r="BA348" s="238"/>
      <c r="BB348" s="239"/>
      <c r="BC348" s="239"/>
      <c r="BD348" s="9"/>
      <c r="BE348" s="9"/>
      <c r="BF348" s="238"/>
      <c r="BG348" s="239"/>
      <c r="BH348" s="239"/>
      <c r="BI348" s="9"/>
      <c r="BJ348" s="9"/>
      <c r="BK348" s="240"/>
      <c r="BL348" s="241"/>
      <c r="BM348" s="241"/>
      <c r="BN348" s="66"/>
      <c r="BO348" s="9"/>
      <c r="BP348" s="238"/>
      <c r="BQ348" s="239"/>
      <c r="BR348" s="239"/>
      <c r="BS348" s="9"/>
    </row>
    <row r="349" spans="2:71" ht="15" x14ac:dyDescent="0.25">
      <c r="B349" s="9"/>
      <c r="C349" s="91"/>
      <c r="D349" s="161"/>
      <c r="E349" s="91"/>
      <c r="F349" s="9"/>
      <c r="G349" s="9"/>
      <c r="H349" s="91"/>
      <c r="I349" s="195"/>
      <c r="J349" s="49"/>
      <c r="K349" s="161"/>
      <c r="L349" s="47"/>
      <c r="M349" s="9"/>
      <c r="N349" s="9"/>
      <c r="O349" s="91"/>
      <c r="P349" s="91"/>
      <c r="Q349" s="91"/>
      <c r="R349" s="9"/>
      <c r="S349" s="9"/>
      <c r="T349" s="91"/>
      <c r="U349" s="7"/>
      <c r="V349" s="91"/>
      <c r="W349" s="9"/>
      <c r="X349" s="9"/>
      <c r="Y349" s="91"/>
      <c r="Z349" s="7"/>
      <c r="AA349" s="91"/>
      <c r="AB349" s="9"/>
      <c r="AC349" s="9"/>
      <c r="AD349" s="48"/>
      <c r="AE349" s="49"/>
      <c r="AF349" s="91"/>
      <c r="AG349" s="9"/>
      <c r="AH349" s="9"/>
      <c r="AI349" s="91"/>
      <c r="AJ349" s="237"/>
      <c r="AK349" s="9"/>
      <c r="AL349" s="238"/>
      <c r="AM349" s="239"/>
      <c r="AN349" s="239"/>
      <c r="AO349" s="9"/>
      <c r="AP349" s="9"/>
      <c r="AQ349" s="240"/>
      <c r="AR349" s="241"/>
      <c r="AS349" s="241"/>
      <c r="AT349" s="66"/>
      <c r="AU349" s="9"/>
      <c r="AV349" s="238"/>
      <c r="AW349" s="239"/>
      <c r="AX349" s="239"/>
      <c r="AY349" s="9"/>
      <c r="AZ349" s="9"/>
      <c r="BA349" s="238"/>
      <c r="BB349" s="239"/>
      <c r="BC349" s="239"/>
      <c r="BD349" s="9"/>
      <c r="BE349" s="9"/>
      <c r="BF349" s="238"/>
      <c r="BG349" s="239"/>
      <c r="BH349" s="239"/>
      <c r="BI349" s="9"/>
      <c r="BJ349" s="9"/>
      <c r="BK349" s="240"/>
      <c r="BL349" s="241"/>
      <c r="BM349" s="241"/>
      <c r="BN349" s="66"/>
      <c r="BO349" s="9"/>
      <c r="BP349" s="238"/>
      <c r="BQ349" s="239"/>
      <c r="BR349" s="239"/>
      <c r="BS349" s="9"/>
    </row>
    <row r="350" spans="2:71" ht="15" x14ac:dyDescent="0.25">
      <c r="B350" s="9"/>
      <c r="C350" s="91"/>
      <c r="D350" s="161"/>
      <c r="E350" s="91"/>
      <c r="F350" s="9"/>
      <c r="G350" s="9"/>
      <c r="H350" s="91"/>
      <c r="I350" s="195"/>
      <c r="J350" s="49"/>
      <c r="K350" s="161"/>
      <c r="L350" s="47"/>
      <c r="M350" s="9"/>
      <c r="N350" s="9"/>
      <c r="O350" s="91"/>
      <c r="P350" s="91"/>
      <c r="Q350" s="91"/>
      <c r="R350" s="9"/>
      <c r="S350" s="9"/>
      <c r="T350" s="91"/>
      <c r="U350" s="7"/>
      <c r="V350" s="91"/>
      <c r="W350" s="9"/>
      <c r="X350" s="9"/>
      <c r="Y350" s="91"/>
      <c r="Z350" s="7"/>
      <c r="AA350" s="91"/>
      <c r="AB350" s="9"/>
      <c r="AC350" s="9"/>
      <c r="AD350" s="48"/>
      <c r="AE350" s="49"/>
      <c r="AF350" s="91"/>
      <c r="AG350" s="9"/>
      <c r="AH350" s="9"/>
      <c r="AI350" s="91"/>
      <c r="AJ350" s="237"/>
      <c r="AK350" s="9"/>
      <c r="AL350" s="238"/>
      <c r="AM350" s="239"/>
      <c r="AN350" s="239"/>
      <c r="AO350" s="9"/>
      <c r="AP350" s="9"/>
      <c r="AQ350" s="240"/>
      <c r="AR350" s="241"/>
      <c r="AS350" s="241"/>
      <c r="AT350" s="66"/>
      <c r="AU350" s="9"/>
      <c r="AV350" s="238"/>
      <c r="AW350" s="239"/>
      <c r="AX350" s="239"/>
      <c r="AY350" s="9"/>
      <c r="AZ350" s="9"/>
      <c r="BA350" s="238"/>
      <c r="BB350" s="239"/>
      <c r="BC350" s="239"/>
      <c r="BD350" s="9"/>
      <c r="BE350" s="9"/>
      <c r="BF350" s="238"/>
      <c r="BG350" s="239"/>
      <c r="BH350" s="239"/>
      <c r="BI350" s="9"/>
      <c r="BJ350" s="9"/>
      <c r="BK350" s="240"/>
      <c r="BL350" s="241"/>
      <c r="BM350" s="241"/>
      <c r="BN350" s="66"/>
      <c r="BO350" s="9"/>
      <c r="BP350" s="238"/>
      <c r="BQ350" s="239"/>
      <c r="BR350" s="239"/>
      <c r="BS350" s="9"/>
    </row>
    <row r="351" spans="2:71" ht="15" x14ac:dyDescent="0.25">
      <c r="B351" s="9"/>
      <c r="C351" s="91"/>
      <c r="D351" s="161"/>
      <c r="E351" s="91"/>
      <c r="F351" s="9"/>
      <c r="G351" s="9"/>
      <c r="H351" s="91"/>
      <c r="I351" s="195"/>
      <c r="J351" s="49"/>
      <c r="K351" s="161"/>
      <c r="L351" s="47"/>
      <c r="M351" s="9"/>
      <c r="N351" s="9"/>
      <c r="O351" s="91"/>
      <c r="P351" s="91"/>
      <c r="Q351" s="91"/>
      <c r="R351" s="9"/>
      <c r="S351" s="9"/>
      <c r="T351" s="91"/>
      <c r="U351" s="7"/>
      <c r="V351" s="91"/>
      <c r="W351" s="9"/>
      <c r="X351" s="9"/>
      <c r="Y351" s="91"/>
      <c r="Z351" s="7"/>
      <c r="AA351" s="91"/>
      <c r="AB351" s="9"/>
      <c r="AC351" s="9"/>
      <c r="AD351" s="48"/>
      <c r="AE351" s="49"/>
      <c r="AF351" s="91"/>
      <c r="AG351" s="9"/>
      <c r="AH351" s="9"/>
      <c r="AI351" s="91"/>
      <c r="AJ351" s="237"/>
      <c r="AK351" s="9"/>
      <c r="AL351" s="238"/>
      <c r="AM351" s="239"/>
      <c r="AN351" s="239"/>
      <c r="AO351" s="9"/>
      <c r="AP351" s="9"/>
      <c r="AQ351" s="240"/>
      <c r="AR351" s="241"/>
      <c r="AS351" s="241"/>
      <c r="AT351" s="66"/>
      <c r="AU351" s="9"/>
      <c r="AV351" s="238"/>
      <c r="AW351" s="239"/>
      <c r="AX351" s="239"/>
      <c r="AY351" s="9"/>
      <c r="AZ351" s="9"/>
      <c r="BA351" s="238"/>
      <c r="BB351" s="239"/>
      <c r="BC351" s="239"/>
      <c r="BD351" s="9"/>
      <c r="BE351" s="9"/>
      <c r="BF351" s="238"/>
      <c r="BG351" s="239"/>
      <c r="BH351" s="239"/>
      <c r="BI351" s="9"/>
      <c r="BJ351" s="9"/>
      <c r="BK351" s="240"/>
      <c r="BL351" s="241"/>
      <c r="BM351" s="241"/>
      <c r="BN351" s="66"/>
      <c r="BO351" s="9"/>
      <c r="BP351" s="238"/>
      <c r="BQ351" s="239"/>
      <c r="BR351" s="239"/>
      <c r="BS351" s="9"/>
    </row>
    <row r="352" spans="2:71" ht="15" x14ac:dyDescent="0.25">
      <c r="B352" s="9"/>
      <c r="C352" s="91"/>
      <c r="D352" s="161"/>
      <c r="E352" s="91"/>
      <c r="F352" s="9"/>
      <c r="G352" s="9"/>
      <c r="H352" s="91"/>
      <c r="I352" s="195"/>
      <c r="J352" s="49"/>
      <c r="K352" s="161"/>
      <c r="L352" s="47"/>
      <c r="M352" s="9"/>
      <c r="N352" s="9"/>
      <c r="O352" s="91"/>
      <c r="P352" s="91"/>
      <c r="Q352" s="91"/>
      <c r="R352" s="9"/>
      <c r="S352" s="9"/>
      <c r="T352" s="91"/>
      <c r="U352" s="7"/>
      <c r="V352" s="91"/>
      <c r="W352" s="9"/>
      <c r="X352" s="9"/>
      <c r="Y352" s="91"/>
      <c r="Z352" s="7"/>
      <c r="AA352" s="91"/>
      <c r="AB352" s="9"/>
      <c r="AC352" s="9"/>
      <c r="AD352" s="48"/>
      <c r="AE352" s="49"/>
      <c r="AF352" s="91"/>
      <c r="AG352" s="9"/>
      <c r="AH352" s="9"/>
      <c r="AI352" s="91"/>
      <c r="AJ352" s="237"/>
      <c r="AK352" s="9"/>
      <c r="AL352" s="238"/>
      <c r="AM352" s="239"/>
      <c r="AN352" s="239"/>
      <c r="AO352" s="9"/>
      <c r="AP352" s="9"/>
      <c r="AQ352" s="240"/>
      <c r="AR352" s="241"/>
      <c r="AS352" s="241"/>
      <c r="AT352" s="66"/>
      <c r="AU352" s="9"/>
      <c r="AV352" s="238"/>
      <c r="AW352" s="239"/>
      <c r="AX352" s="239"/>
      <c r="AY352" s="9"/>
      <c r="AZ352" s="9"/>
      <c r="BA352" s="238"/>
      <c r="BB352" s="239"/>
      <c r="BC352" s="239"/>
      <c r="BD352" s="9"/>
      <c r="BE352" s="9"/>
      <c r="BF352" s="238"/>
      <c r="BG352" s="239"/>
      <c r="BH352" s="239"/>
      <c r="BI352" s="9"/>
      <c r="BJ352" s="9"/>
      <c r="BK352" s="240"/>
      <c r="BL352" s="241"/>
      <c r="BM352" s="241"/>
      <c r="BN352" s="66"/>
      <c r="BO352" s="9"/>
      <c r="BP352" s="238"/>
      <c r="BQ352" s="239"/>
      <c r="BR352" s="239"/>
      <c r="BS352" s="9"/>
    </row>
    <row r="353" spans="2:71" ht="15" x14ac:dyDescent="0.25">
      <c r="B353" s="9"/>
      <c r="C353" s="91"/>
      <c r="D353" s="161"/>
      <c r="E353" s="91"/>
      <c r="F353" s="9"/>
      <c r="G353" s="9"/>
      <c r="H353" s="91"/>
      <c r="I353" s="195"/>
      <c r="J353" s="49"/>
      <c r="K353" s="161"/>
      <c r="L353" s="47"/>
      <c r="M353" s="9"/>
      <c r="N353" s="9"/>
      <c r="O353" s="91"/>
      <c r="P353" s="91"/>
      <c r="Q353" s="91"/>
      <c r="R353" s="9"/>
      <c r="S353" s="9"/>
      <c r="T353" s="91"/>
      <c r="U353" s="7"/>
      <c r="V353" s="91"/>
      <c r="W353" s="9"/>
      <c r="X353" s="9"/>
      <c r="Y353" s="91"/>
      <c r="Z353" s="7"/>
      <c r="AA353" s="91"/>
      <c r="AB353" s="9"/>
      <c r="AC353" s="9"/>
      <c r="AD353" s="48"/>
      <c r="AE353" s="49"/>
      <c r="AF353" s="91"/>
      <c r="AG353" s="9"/>
      <c r="AH353" s="9"/>
      <c r="AI353" s="91"/>
      <c r="AJ353" s="237"/>
      <c r="AK353" s="9"/>
      <c r="AL353" s="238"/>
      <c r="AM353" s="239"/>
      <c r="AN353" s="239"/>
      <c r="AO353" s="9"/>
      <c r="AP353" s="9"/>
      <c r="AQ353" s="240"/>
      <c r="AR353" s="241"/>
      <c r="AS353" s="241"/>
      <c r="AT353" s="66"/>
      <c r="AU353" s="9"/>
      <c r="AV353" s="238"/>
      <c r="AW353" s="239"/>
      <c r="AX353" s="239"/>
      <c r="AY353" s="9"/>
      <c r="AZ353" s="9"/>
      <c r="BA353" s="238"/>
      <c r="BB353" s="239"/>
      <c r="BC353" s="239"/>
      <c r="BD353" s="9"/>
      <c r="BE353" s="9"/>
      <c r="BF353" s="238"/>
      <c r="BG353" s="239"/>
      <c r="BH353" s="239"/>
      <c r="BI353" s="9"/>
      <c r="BJ353" s="9"/>
      <c r="BK353" s="240"/>
      <c r="BL353" s="241"/>
      <c r="BM353" s="241"/>
      <c r="BN353" s="66"/>
      <c r="BO353" s="9"/>
      <c r="BP353" s="238"/>
      <c r="BQ353" s="239"/>
      <c r="BR353" s="239"/>
      <c r="BS353" s="9"/>
    </row>
    <row r="354" spans="2:71" ht="15" x14ac:dyDescent="0.25">
      <c r="B354" s="9"/>
      <c r="C354" s="91"/>
      <c r="D354" s="161"/>
      <c r="E354" s="91"/>
      <c r="F354" s="9"/>
      <c r="G354" s="9"/>
      <c r="H354" s="91"/>
      <c r="I354" s="195"/>
      <c r="J354" s="49"/>
      <c r="K354" s="161"/>
      <c r="L354" s="47"/>
      <c r="M354" s="9"/>
      <c r="N354" s="9"/>
      <c r="O354" s="91"/>
      <c r="P354" s="91"/>
      <c r="Q354" s="91"/>
      <c r="R354" s="9"/>
      <c r="S354" s="9"/>
      <c r="T354" s="91"/>
      <c r="U354" s="7"/>
      <c r="V354" s="91"/>
      <c r="W354" s="9"/>
      <c r="X354" s="9"/>
      <c r="Y354" s="91"/>
      <c r="Z354" s="7"/>
      <c r="AA354" s="91"/>
      <c r="AB354" s="9"/>
      <c r="AC354" s="9"/>
      <c r="AD354" s="48"/>
      <c r="AE354" s="49"/>
      <c r="AF354" s="91"/>
      <c r="AG354" s="9"/>
      <c r="AH354" s="9"/>
      <c r="AI354" s="91"/>
      <c r="AJ354" s="237"/>
      <c r="AK354" s="9"/>
      <c r="AL354" s="238"/>
      <c r="AM354" s="239"/>
      <c r="AN354" s="239"/>
      <c r="AO354" s="9"/>
      <c r="AP354" s="9"/>
      <c r="AQ354" s="240"/>
      <c r="AR354" s="241"/>
      <c r="AS354" s="241"/>
      <c r="AT354" s="66"/>
      <c r="AU354" s="9"/>
      <c r="AV354" s="238"/>
      <c r="AW354" s="239"/>
      <c r="AX354" s="239"/>
      <c r="AY354" s="9"/>
      <c r="AZ354" s="9"/>
      <c r="BA354" s="238"/>
      <c r="BB354" s="239"/>
      <c r="BC354" s="239"/>
      <c r="BD354" s="9"/>
      <c r="BE354" s="9"/>
      <c r="BF354" s="238"/>
      <c r="BG354" s="239"/>
      <c r="BH354" s="239"/>
      <c r="BI354" s="9"/>
      <c r="BJ354" s="9"/>
      <c r="BK354" s="240"/>
      <c r="BL354" s="241"/>
      <c r="BM354" s="241"/>
      <c r="BN354" s="66"/>
      <c r="BO354" s="9"/>
      <c r="BP354" s="238"/>
      <c r="BQ354" s="239"/>
      <c r="BR354" s="239"/>
      <c r="BS354" s="9"/>
    </row>
    <row r="355" spans="2:71" ht="15" x14ac:dyDescent="0.25">
      <c r="B355" s="9"/>
      <c r="C355" s="91"/>
      <c r="D355" s="161"/>
      <c r="E355" s="91"/>
      <c r="F355" s="9"/>
      <c r="G355" s="9"/>
      <c r="H355" s="91"/>
      <c r="I355" s="195"/>
      <c r="J355" s="49"/>
      <c r="K355" s="161"/>
      <c r="L355" s="47"/>
      <c r="M355" s="9"/>
      <c r="N355" s="9"/>
      <c r="O355" s="91"/>
      <c r="P355" s="91"/>
      <c r="Q355" s="91"/>
      <c r="R355" s="9"/>
      <c r="S355" s="9"/>
      <c r="T355" s="91"/>
      <c r="U355" s="7"/>
      <c r="V355" s="91"/>
      <c r="W355" s="9"/>
      <c r="X355" s="9"/>
      <c r="Y355" s="91"/>
      <c r="Z355" s="7"/>
      <c r="AA355" s="91"/>
      <c r="AB355" s="9"/>
      <c r="AC355" s="9"/>
      <c r="AD355" s="48"/>
      <c r="AE355" s="49"/>
      <c r="AF355" s="91"/>
      <c r="AG355" s="9"/>
      <c r="AH355" s="9"/>
      <c r="AI355" s="91"/>
      <c r="AJ355" s="237"/>
      <c r="AK355" s="9"/>
      <c r="AL355" s="238"/>
      <c r="AM355" s="239"/>
      <c r="AN355" s="239"/>
      <c r="AO355" s="9"/>
      <c r="AP355" s="9"/>
      <c r="AQ355" s="240"/>
      <c r="AR355" s="241"/>
      <c r="AS355" s="241"/>
      <c r="AT355" s="66"/>
      <c r="AU355" s="9"/>
      <c r="AV355" s="238"/>
      <c r="AW355" s="239"/>
      <c r="AX355" s="239"/>
      <c r="AY355" s="9"/>
      <c r="AZ355" s="9"/>
      <c r="BA355" s="238"/>
      <c r="BB355" s="239"/>
      <c r="BC355" s="239"/>
      <c r="BD355" s="9"/>
      <c r="BE355" s="9"/>
      <c r="BF355" s="238"/>
      <c r="BG355" s="239"/>
      <c r="BH355" s="239"/>
      <c r="BI355" s="9"/>
      <c r="BJ355" s="9"/>
      <c r="BK355" s="240"/>
      <c r="BL355" s="241"/>
      <c r="BM355" s="241"/>
      <c r="BN355" s="66"/>
      <c r="BO355" s="9"/>
      <c r="BP355" s="238"/>
      <c r="BQ355" s="239"/>
      <c r="BR355" s="239"/>
      <c r="BS355" s="9"/>
    </row>
    <row r="356" spans="2:71" ht="15" x14ac:dyDescent="0.25">
      <c r="B356" s="9"/>
      <c r="C356" s="91"/>
      <c r="D356" s="161"/>
      <c r="E356" s="91"/>
      <c r="F356" s="9"/>
      <c r="G356" s="9"/>
      <c r="H356" s="91"/>
      <c r="I356" s="195"/>
      <c r="J356" s="49"/>
      <c r="K356" s="161"/>
      <c r="L356" s="47"/>
      <c r="M356" s="9"/>
      <c r="N356" s="9"/>
      <c r="O356" s="91"/>
      <c r="P356" s="91"/>
      <c r="Q356" s="91"/>
      <c r="R356" s="9"/>
      <c r="S356" s="9"/>
      <c r="T356" s="91"/>
      <c r="U356" s="7"/>
      <c r="V356" s="91"/>
      <c r="W356" s="9"/>
      <c r="X356" s="9"/>
      <c r="Y356" s="91"/>
      <c r="Z356" s="7"/>
      <c r="AA356" s="91"/>
      <c r="AB356" s="9"/>
      <c r="AC356" s="9"/>
      <c r="AD356" s="48"/>
      <c r="AE356" s="49"/>
      <c r="AF356" s="91"/>
      <c r="AG356" s="9"/>
      <c r="AH356" s="9"/>
      <c r="AI356" s="91"/>
      <c r="AJ356" s="237"/>
      <c r="AK356" s="9"/>
      <c r="AL356" s="238"/>
      <c r="AM356" s="239"/>
      <c r="AN356" s="239"/>
      <c r="AO356" s="9"/>
      <c r="AP356" s="9"/>
      <c r="AQ356" s="240"/>
      <c r="AR356" s="241"/>
      <c r="AS356" s="241"/>
      <c r="AT356" s="66"/>
      <c r="AU356" s="9"/>
      <c r="AV356" s="238"/>
      <c r="AW356" s="239"/>
      <c r="AX356" s="239"/>
      <c r="AY356" s="9"/>
      <c r="AZ356" s="9"/>
      <c r="BA356" s="238"/>
      <c r="BB356" s="239"/>
      <c r="BC356" s="239"/>
      <c r="BD356" s="9"/>
      <c r="BE356" s="9"/>
      <c r="BF356" s="238"/>
      <c r="BG356" s="239"/>
      <c r="BH356" s="239"/>
      <c r="BI356" s="9"/>
      <c r="BJ356" s="9"/>
      <c r="BK356" s="240"/>
      <c r="BL356" s="241"/>
      <c r="BM356" s="241"/>
      <c r="BN356" s="66"/>
      <c r="BO356" s="9"/>
      <c r="BP356" s="238"/>
      <c r="BQ356" s="239"/>
      <c r="BR356" s="239"/>
      <c r="BS356" s="9"/>
    </row>
    <row r="357" spans="2:71" ht="15" x14ac:dyDescent="0.25">
      <c r="B357" s="9"/>
      <c r="C357" s="91"/>
      <c r="D357" s="161"/>
      <c r="E357" s="91"/>
      <c r="F357" s="9"/>
      <c r="G357" s="9"/>
      <c r="H357" s="91"/>
      <c r="I357" s="195"/>
      <c r="J357" s="49"/>
      <c r="K357" s="161"/>
      <c r="L357" s="47"/>
      <c r="M357" s="9"/>
      <c r="N357" s="9"/>
      <c r="O357" s="91"/>
      <c r="P357" s="91"/>
      <c r="Q357" s="91"/>
      <c r="R357" s="9"/>
      <c r="S357" s="9"/>
      <c r="T357" s="91"/>
      <c r="U357" s="7"/>
      <c r="V357" s="91"/>
      <c r="W357" s="9"/>
      <c r="X357" s="9"/>
      <c r="Y357" s="91"/>
      <c r="Z357" s="7"/>
      <c r="AA357" s="91"/>
      <c r="AB357" s="9"/>
      <c r="AC357" s="9"/>
      <c r="AD357" s="48"/>
      <c r="AE357" s="49"/>
      <c r="AF357" s="91"/>
      <c r="AG357" s="9"/>
      <c r="AH357" s="9"/>
      <c r="AI357" s="91"/>
      <c r="AJ357" s="237"/>
      <c r="AK357" s="9"/>
      <c r="AL357" s="238"/>
      <c r="AM357" s="239"/>
      <c r="AN357" s="239"/>
      <c r="AO357" s="9"/>
      <c r="AP357" s="9"/>
      <c r="AQ357" s="240"/>
      <c r="AR357" s="241"/>
      <c r="AS357" s="241"/>
      <c r="AT357" s="66"/>
      <c r="AU357" s="9"/>
      <c r="AV357" s="238"/>
      <c r="AW357" s="239"/>
      <c r="AX357" s="239"/>
      <c r="AY357" s="9"/>
      <c r="AZ357" s="9"/>
      <c r="BA357" s="238"/>
      <c r="BB357" s="239"/>
      <c r="BC357" s="239"/>
      <c r="BD357" s="9"/>
      <c r="BE357" s="9"/>
      <c r="BF357" s="238"/>
      <c r="BG357" s="239"/>
      <c r="BH357" s="239"/>
      <c r="BI357" s="9"/>
      <c r="BJ357" s="9"/>
      <c r="BK357" s="240"/>
      <c r="BL357" s="241"/>
      <c r="BM357" s="241"/>
      <c r="BN357" s="66"/>
      <c r="BO357" s="9"/>
      <c r="BP357" s="238"/>
      <c r="BQ357" s="239"/>
      <c r="BR357" s="239"/>
      <c r="BS357" s="9"/>
    </row>
    <row r="358" spans="2:71" ht="15" x14ac:dyDescent="0.25">
      <c r="B358" s="9"/>
      <c r="C358" s="91"/>
      <c r="D358" s="161"/>
      <c r="E358" s="91"/>
      <c r="F358" s="9"/>
      <c r="G358" s="9"/>
      <c r="H358" s="91"/>
      <c r="I358" s="195"/>
      <c r="J358" s="49"/>
      <c r="K358" s="161"/>
      <c r="L358" s="47"/>
      <c r="M358" s="9"/>
      <c r="N358" s="9"/>
      <c r="O358" s="91"/>
      <c r="P358" s="91"/>
      <c r="Q358" s="91"/>
      <c r="R358" s="9"/>
      <c r="S358" s="9"/>
      <c r="T358" s="91"/>
      <c r="U358" s="7"/>
      <c r="V358" s="91"/>
      <c r="W358" s="9"/>
      <c r="X358" s="9"/>
      <c r="Y358" s="91"/>
      <c r="Z358" s="7"/>
      <c r="AA358" s="91"/>
      <c r="AB358" s="9"/>
      <c r="AC358" s="9"/>
      <c r="AD358" s="48"/>
      <c r="AE358" s="49"/>
      <c r="AF358" s="91"/>
      <c r="AG358" s="9"/>
      <c r="AH358" s="9"/>
      <c r="AI358" s="91"/>
      <c r="AJ358" s="237"/>
      <c r="AK358" s="9"/>
      <c r="AL358" s="238"/>
      <c r="AM358" s="239"/>
      <c r="AN358" s="239"/>
      <c r="AO358" s="9"/>
      <c r="AP358" s="9"/>
      <c r="AQ358" s="240"/>
      <c r="AR358" s="241"/>
      <c r="AS358" s="241"/>
      <c r="AT358" s="66"/>
      <c r="AU358" s="9"/>
      <c r="AV358" s="238"/>
      <c r="AW358" s="239"/>
      <c r="AX358" s="239"/>
      <c r="AY358" s="9"/>
      <c r="AZ358" s="9"/>
      <c r="BA358" s="238"/>
      <c r="BB358" s="239"/>
      <c r="BC358" s="239"/>
      <c r="BD358" s="9"/>
      <c r="BE358" s="9"/>
      <c r="BF358" s="238"/>
      <c r="BG358" s="239"/>
      <c r="BH358" s="239"/>
      <c r="BI358" s="9"/>
      <c r="BJ358" s="9"/>
      <c r="BK358" s="240"/>
      <c r="BL358" s="241"/>
      <c r="BM358" s="241"/>
      <c r="BN358" s="66"/>
      <c r="BO358" s="9"/>
      <c r="BP358" s="238"/>
      <c r="BQ358" s="239"/>
      <c r="BR358" s="239"/>
      <c r="BS358" s="9"/>
    </row>
    <row r="359" spans="2:71" ht="15" x14ac:dyDescent="0.25">
      <c r="B359" s="9"/>
      <c r="C359" s="91"/>
      <c r="D359" s="161"/>
      <c r="E359" s="91"/>
      <c r="F359" s="9"/>
      <c r="G359" s="9"/>
      <c r="H359" s="91"/>
      <c r="I359" s="195"/>
      <c r="J359" s="49"/>
      <c r="K359" s="161"/>
      <c r="L359" s="47"/>
      <c r="M359" s="9"/>
      <c r="N359" s="9"/>
      <c r="O359" s="91"/>
      <c r="P359" s="91"/>
      <c r="Q359" s="91"/>
      <c r="R359" s="9"/>
      <c r="S359" s="9"/>
      <c r="T359" s="91"/>
      <c r="U359" s="7"/>
      <c r="V359" s="91"/>
      <c r="W359" s="9"/>
      <c r="X359" s="9"/>
      <c r="Y359" s="91"/>
      <c r="Z359" s="7"/>
      <c r="AA359" s="91"/>
      <c r="AB359" s="9"/>
      <c r="AC359" s="9"/>
      <c r="AD359" s="48"/>
      <c r="AE359" s="49"/>
      <c r="AF359" s="91"/>
      <c r="AG359" s="9"/>
      <c r="AH359" s="9"/>
      <c r="AI359" s="91"/>
      <c r="AJ359" s="237"/>
      <c r="AK359" s="9"/>
      <c r="AL359" s="238"/>
      <c r="AM359" s="239"/>
      <c r="AN359" s="239"/>
      <c r="AO359" s="9"/>
      <c r="AP359" s="9"/>
      <c r="AQ359" s="240"/>
      <c r="AR359" s="241"/>
      <c r="AS359" s="241"/>
      <c r="AT359" s="66"/>
      <c r="AU359" s="9"/>
      <c r="AV359" s="238"/>
      <c r="AW359" s="239"/>
      <c r="AX359" s="239"/>
      <c r="AY359" s="9"/>
      <c r="AZ359" s="9"/>
      <c r="BA359" s="238"/>
      <c r="BB359" s="239"/>
      <c r="BC359" s="239"/>
      <c r="BD359" s="9"/>
      <c r="BE359" s="9"/>
      <c r="BF359" s="238"/>
      <c r="BG359" s="239"/>
      <c r="BH359" s="239"/>
      <c r="BI359" s="9"/>
      <c r="BJ359" s="9"/>
      <c r="BK359" s="240"/>
      <c r="BL359" s="241"/>
      <c r="BM359" s="241"/>
      <c r="BN359" s="66"/>
      <c r="BO359" s="9"/>
      <c r="BP359" s="238"/>
      <c r="BQ359" s="239"/>
      <c r="BR359" s="239"/>
      <c r="BS359" s="9"/>
    </row>
    <row r="360" spans="2:71" ht="15" x14ac:dyDescent="0.25">
      <c r="B360" s="9"/>
      <c r="C360" s="91"/>
      <c r="D360" s="161"/>
      <c r="E360" s="91"/>
      <c r="F360" s="9"/>
      <c r="G360" s="9"/>
      <c r="H360" s="91"/>
      <c r="I360" s="195"/>
      <c r="J360" s="49"/>
      <c r="K360" s="161"/>
      <c r="L360" s="47"/>
      <c r="M360" s="9"/>
      <c r="N360" s="9"/>
      <c r="O360" s="91"/>
      <c r="P360" s="91"/>
      <c r="Q360" s="91"/>
      <c r="R360" s="9"/>
      <c r="S360" s="9"/>
      <c r="T360" s="91"/>
      <c r="U360" s="7"/>
      <c r="V360" s="91"/>
      <c r="W360" s="9"/>
      <c r="X360" s="9"/>
      <c r="Y360" s="91"/>
      <c r="Z360" s="7"/>
      <c r="AA360" s="91"/>
      <c r="AB360" s="9"/>
      <c r="AC360" s="9"/>
      <c r="AD360" s="48"/>
      <c r="AE360" s="49"/>
      <c r="AF360" s="91"/>
      <c r="AG360" s="9"/>
      <c r="AH360" s="9"/>
      <c r="AI360" s="91"/>
      <c r="AJ360" s="237"/>
      <c r="AK360" s="9"/>
      <c r="AL360" s="238"/>
      <c r="AM360" s="239"/>
      <c r="AN360" s="239"/>
      <c r="AO360" s="9"/>
      <c r="AP360" s="9"/>
      <c r="AQ360" s="240"/>
      <c r="AR360" s="241"/>
      <c r="AS360" s="241"/>
      <c r="AT360" s="66"/>
      <c r="AU360" s="9"/>
      <c r="AV360" s="238"/>
      <c r="AW360" s="239"/>
      <c r="AX360" s="239"/>
      <c r="AY360" s="9"/>
      <c r="AZ360" s="9"/>
      <c r="BA360" s="238"/>
      <c r="BB360" s="239"/>
      <c r="BC360" s="239"/>
      <c r="BD360" s="9"/>
      <c r="BE360" s="9"/>
      <c r="BF360" s="238"/>
      <c r="BG360" s="239"/>
      <c r="BH360" s="239"/>
      <c r="BI360" s="9"/>
      <c r="BJ360" s="9"/>
      <c r="BK360" s="240"/>
      <c r="BL360" s="241"/>
      <c r="BM360" s="241"/>
      <c r="BN360" s="66"/>
      <c r="BO360" s="9"/>
      <c r="BP360" s="238"/>
      <c r="BQ360" s="239"/>
      <c r="BR360" s="239"/>
      <c r="BS360" s="9"/>
    </row>
    <row r="361" spans="2:71" ht="15" x14ac:dyDescent="0.25">
      <c r="B361" s="9"/>
      <c r="C361" s="91"/>
      <c r="D361" s="161"/>
      <c r="E361" s="91"/>
      <c r="F361" s="9"/>
      <c r="G361" s="9"/>
      <c r="H361" s="91"/>
      <c r="I361" s="195"/>
      <c r="J361" s="49"/>
      <c r="K361" s="161"/>
      <c r="L361" s="47"/>
      <c r="M361" s="9"/>
      <c r="N361" s="9"/>
      <c r="O361" s="91"/>
      <c r="P361" s="91"/>
      <c r="Q361" s="91"/>
      <c r="R361" s="9"/>
      <c r="S361" s="9"/>
      <c r="T361" s="91"/>
      <c r="U361" s="7"/>
      <c r="V361" s="91"/>
      <c r="W361" s="9"/>
      <c r="X361" s="9"/>
      <c r="Y361" s="91"/>
      <c r="Z361" s="7"/>
      <c r="AA361" s="91"/>
      <c r="AB361" s="9"/>
      <c r="AC361" s="9"/>
      <c r="AD361" s="48"/>
      <c r="AE361" s="49"/>
      <c r="AF361" s="91"/>
      <c r="AG361" s="9"/>
      <c r="AH361" s="9"/>
      <c r="AI361" s="91"/>
      <c r="AJ361" s="237"/>
      <c r="AK361" s="9"/>
      <c r="AL361" s="238"/>
      <c r="AM361" s="239"/>
      <c r="AN361" s="239"/>
      <c r="AO361" s="9"/>
      <c r="AP361" s="9"/>
      <c r="AQ361" s="240"/>
      <c r="AR361" s="241"/>
      <c r="AS361" s="241"/>
      <c r="AT361" s="66"/>
      <c r="AU361" s="9"/>
      <c r="AV361" s="238"/>
      <c r="AW361" s="239"/>
      <c r="AX361" s="239"/>
      <c r="AY361" s="9"/>
      <c r="AZ361" s="9"/>
      <c r="BA361" s="238"/>
      <c r="BB361" s="239"/>
      <c r="BC361" s="239"/>
      <c r="BD361" s="9"/>
      <c r="BE361" s="9"/>
      <c r="BF361" s="238"/>
      <c r="BG361" s="239"/>
      <c r="BH361" s="239"/>
      <c r="BI361" s="9"/>
      <c r="BJ361" s="9"/>
      <c r="BK361" s="240"/>
      <c r="BL361" s="241"/>
      <c r="BM361" s="241"/>
      <c r="BN361" s="66"/>
      <c r="BO361" s="9"/>
      <c r="BP361" s="238"/>
      <c r="BQ361" s="239"/>
      <c r="BR361" s="239"/>
      <c r="BS361" s="9"/>
    </row>
    <row r="362" spans="2:71" ht="15" x14ac:dyDescent="0.25">
      <c r="B362" s="9"/>
      <c r="C362" s="91"/>
      <c r="D362" s="161"/>
      <c r="E362" s="91"/>
      <c r="F362" s="9"/>
      <c r="G362" s="9"/>
      <c r="H362" s="91"/>
      <c r="I362" s="195"/>
      <c r="J362" s="49"/>
      <c r="K362" s="161"/>
      <c r="L362" s="47"/>
      <c r="M362" s="9"/>
      <c r="N362" s="9"/>
      <c r="O362" s="91"/>
      <c r="P362" s="91"/>
      <c r="Q362" s="91"/>
      <c r="R362" s="9"/>
      <c r="S362" s="9"/>
      <c r="T362" s="91"/>
      <c r="U362" s="7"/>
      <c r="V362" s="91"/>
      <c r="W362" s="9"/>
      <c r="X362" s="9"/>
      <c r="Y362" s="91"/>
      <c r="Z362" s="7"/>
      <c r="AA362" s="91"/>
      <c r="AB362" s="9"/>
      <c r="AC362" s="9"/>
      <c r="AD362" s="48"/>
      <c r="AE362" s="49"/>
      <c r="AF362" s="91"/>
      <c r="AG362" s="9"/>
      <c r="AH362" s="9"/>
      <c r="AI362" s="91"/>
      <c r="AJ362" s="237"/>
      <c r="AK362" s="9"/>
      <c r="AL362" s="238"/>
      <c r="AM362" s="239"/>
      <c r="AN362" s="239"/>
      <c r="AO362" s="9"/>
      <c r="AP362" s="9"/>
      <c r="AQ362" s="240"/>
      <c r="AR362" s="241"/>
      <c r="AS362" s="241"/>
      <c r="AT362" s="66"/>
      <c r="AU362" s="9"/>
      <c r="AV362" s="238"/>
      <c r="AW362" s="239"/>
      <c r="AX362" s="239"/>
      <c r="AY362" s="9"/>
      <c r="AZ362" s="9"/>
      <c r="BA362" s="238"/>
      <c r="BB362" s="239"/>
      <c r="BC362" s="239"/>
      <c r="BD362" s="9"/>
      <c r="BE362" s="9"/>
      <c r="BF362" s="238"/>
      <c r="BG362" s="239"/>
      <c r="BH362" s="239"/>
      <c r="BI362" s="9"/>
      <c r="BJ362" s="9"/>
      <c r="BK362" s="240"/>
      <c r="BL362" s="241"/>
      <c r="BM362" s="241"/>
      <c r="BN362" s="66"/>
      <c r="BO362" s="9"/>
      <c r="BP362" s="238"/>
      <c r="BQ362" s="239"/>
      <c r="BR362" s="239"/>
      <c r="BS362" s="9"/>
    </row>
    <row r="363" spans="2:71" ht="15" x14ac:dyDescent="0.25">
      <c r="B363" s="9"/>
      <c r="C363" s="91"/>
      <c r="D363" s="161"/>
      <c r="E363" s="91"/>
      <c r="F363" s="9"/>
      <c r="G363" s="9"/>
      <c r="H363" s="91"/>
      <c r="I363" s="195"/>
      <c r="J363" s="49"/>
      <c r="K363" s="161"/>
      <c r="L363" s="47"/>
      <c r="M363" s="9"/>
      <c r="N363" s="9"/>
      <c r="O363" s="91"/>
      <c r="P363" s="91"/>
      <c r="Q363" s="91"/>
      <c r="R363" s="9"/>
      <c r="S363" s="9"/>
      <c r="T363" s="91"/>
      <c r="U363" s="7"/>
      <c r="V363" s="91"/>
      <c r="W363" s="9"/>
      <c r="X363" s="9"/>
      <c r="Y363" s="91"/>
      <c r="Z363" s="7"/>
      <c r="AA363" s="91"/>
      <c r="AB363" s="9"/>
      <c r="AC363" s="9"/>
      <c r="AD363" s="48"/>
      <c r="AE363" s="49"/>
      <c r="AF363" s="91"/>
      <c r="AG363" s="9"/>
      <c r="AH363" s="9"/>
      <c r="AI363" s="91"/>
      <c r="AJ363" s="237"/>
      <c r="AK363" s="9"/>
      <c r="AL363" s="238"/>
      <c r="AM363" s="239"/>
      <c r="AN363" s="239"/>
      <c r="AO363" s="9"/>
      <c r="AP363" s="9"/>
      <c r="AQ363" s="240"/>
      <c r="AR363" s="241"/>
      <c r="AS363" s="241"/>
      <c r="AT363" s="66"/>
      <c r="AU363" s="9"/>
      <c r="AV363" s="238"/>
      <c r="AW363" s="239"/>
      <c r="AX363" s="239"/>
      <c r="AY363" s="9"/>
      <c r="AZ363" s="9"/>
      <c r="BA363" s="238"/>
      <c r="BB363" s="239"/>
      <c r="BC363" s="239"/>
      <c r="BD363" s="9"/>
      <c r="BE363" s="9"/>
      <c r="BF363" s="238"/>
      <c r="BG363" s="239"/>
      <c r="BH363" s="239"/>
      <c r="BI363" s="9"/>
      <c r="BJ363" s="9"/>
      <c r="BK363" s="240"/>
      <c r="BL363" s="241"/>
      <c r="BM363" s="241"/>
      <c r="BN363" s="66"/>
      <c r="BO363" s="9"/>
      <c r="BP363" s="238"/>
      <c r="BQ363" s="239"/>
      <c r="BR363" s="239"/>
      <c r="BS363" s="9"/>
    </row>
    <row r="364" spans="2:71" ht="15" x14ac:dyDescent="0.25">
      <c r="B364" s="9"/>
      <c r="C364" s="91"/>
      <c r="D364" s="161"/>
      <c r="E364" s="91"/>
      <c r="F364" s="9"/>
      <c r="G364" s="9"/>
      <c r="H364" s="91"/>
      <c r="I364" s="195"/>
      <c r="J364" s="49"/>
      <c r="K364" s="161"/>
      <c r="L364" s="47"/>
      <c r="M364" s="9"/>
      <c r="N364" s="9"/>
      <c r="O364" s="91"/>
      <c r="P364" s="91"/>
      <c r="Q364" s="91"/>
      <c r="R364" s="9"/>
      <c r="S364" s="9"/>
      <c r="T364" s="91"/>
      <c r="U364" s="7"/>
      <c r="V364" s="91"/>
      <c r="W364" s="9"/>
      <c r="X364" s="9"/>
      <c r="Y364" s="91"/>
      <c r="Z364" s="7"/>
      <c r="AA364" s="91"/>
      <c r="AB364" s="9"/>
      <c r="AC364" s="9"/>
      <c r="AD364" s="48"/>
      <c r="AE364" s="49"/>
      <c r="AF364" s="91"/>
      <c r="AG364" s="9"/>
      <c r="AH364" s="9"/>
      <c r="AI364" s="91"/>
      <c r="AJ364" s="237"/>
      <c r="AK364" s="9"/>
      <c r="AL364" s="238"/>
      <c r="AM364" s="239"/>
      <c r="AN364" s="239"/>
      <c r="AO364" s="9"/>
      <c r="AP364" s="9"/>
      <c r="AQ364" s="240"/>
      <c r="AR364" s="241"/>
      <c r="AS364" s="241"/>
      <c r="AT364" s="66"/>
      <c r="AU364" s="9"/>
      <c r="AV364" s="238"/>
      <c r="AW364" s="239"/>
      <c r="AX364" s="239"/>
      <c r="AY364" s="9"/>
      <c r="AZ364" s="9"/>
      <c r="BA364" s="238"/>
      <c r="BB364" s="239"/>
      <c r="BC364" s="239"/>
      <c r="BD364" s="9"/>
      <c r="BE364" s="9"/>
      <c r="BF364" s="238"/>
      <c r="BG364" s="239"/>
      <c r="BH364" s="239"/>
      <c r="BI364" s="9"/>
      <c r="BJ364" s="9"/>
      <c r="BK364" s="240"/>
      <c r="BL364" s="241"/>
      <c r="BM364" s="241"/>
      <c r="BN364" s="66"/>
      <c r="BO364" s="9"/>
      <c r="BP364" s="238"/>
      <c r="BQ364" s="239"/>
      <c r="BR364" s="239"/>
      <c r="BS364" s="9"/>
    </row>
    <row r="365" spans="2:71" ht="15" x14ac:dyDescent="0.25">
      <c r="B365" s="9"/>
      <c r="C365" s="91"/>
      <c r="D365" s="161"/>
      <c r="E365" s="91"/>
      <c r="F365" s="9"/>
      <c r="G365" s="9"/>
      <c r="H365" s="91"/>
      <c r="I365" s="195"/>
      <c r="J365" s="49"/>
      <c r="K365" s="161"/>
      <c r="L365" s="47"/>
      <c r="M365" s="9"/>
      <c r="N365" s="9"/>
      <c r="O365" s="91"/>
      <c r="P365" s="91"/>
      <c r="Q365" s="91"/>
      <c r="R365" s="9"/>
      <c r="S365" s="9"/>
      <c r="T365" s="91"/>
      <c r="U365" s="7"/>
      <c r="V365" s="91"/>
      <c r="W365" s="9"/>
      <c r="X365" s="9"/>
      <c r="Y365" s="91"/>
      <c r="Z365" s="7"/>
      <c r="AA365" s="91"/>
      <c r="AB365" s="9"/>
      <c r="AC365" s="9"/>
      <c r="AD365" s="48"/>
      <c r="AE365" s="49"/>
      <c r="AF365" s="91"/>
      <c r="AG365" s="9"/>
      <c r="AH365" s="9"/>
      <c r="AI365" s="91"/>
      <c r="AJ365" s="237"/>
      <c r="AK365" s="9"/>
      <c r="AL365" s="238"/>
      <c r="AM365" s="239"/>
      <c r="AN365" s="239"/>
      <c r="AO365" s="9"/>
      <c r="AP365" s="9"/>
      <c r="AQ365" s="240"/>
      <c r="AR365" s="241"/>
      <c r="AS365" s="241"/>
      <c r="AT365" s="66"/>
      <c r="AU365" s="9"/>
      <c r="AV365" s="238"/>
      <c r="AW365" s="239"/>
      <c r="AX365" s="239"/>
      <c r="AY365" s="9"/>
      <c r="AZ365" s="9"/>
      <c r="BA365" s="238"/>
      <c r="BB365" s="239"/>
      <c r="BC365" s="239"/>
      <c r="BD365" s="9"/>
      <c r="BE365" s="9"/>
      <c r="BF365" s="238"/>
      <c r="BG365" s="239"/>
      <c r="BH365" s="239"/>
      <c r="BI365" s="9"/>
      <c r="BJ365" s="9"/>
      <c r="BK365" s="240"/>
      <c r="BL365" s="241"/>
      <c r="BM365" s="241"/>
      <c r="BN365" s="66"/>
      <c r="BO365" s="9"/>
      <c r="BP365" s="238"/>
      <c r="BQ365" s="239"/>
      <c r="BR365" s="239"/>
      <c r="BS365" s="9"/>
    </row>
    <row r="366" spans="2:71" ht="15" x14ac:dyDescent="0.25">
      <c r="B366" s="9"/>
      <c r="C366" s="91"/>
      <c r="D366" s="161"/>
      <c r="E366" s="91"/>
      <c r="F366" s="9"/>
      <c r="G366" s="9"/>
      <c r="H366" s="91"/>
      <c r="I366" s="195"/>
      <c r="J366" s="49"/>
      <c r="K366" s="161"/>
      <c r="L366" s="47"/>
      <c r="M366" s="9"/>
      <c r="N366" s="9"/>
      <c r="O366" s="91"/>
      <c r="P366" s="91"/>
      <c r="Q366" s="91"/>
      <c r="R366" s="9"/>
      <c r="S366" s="9"/>
      <c r="T366" s="91"/>
      <c r="U366" s="7"/>
      <c r="V366" s="91"/>
      <c r="W366" s="9"/>
      <c r="X366" s="9"/>
      <c r="Y366" s="91"/>
      <c r="Z366" s="7"/>
      <c r="AA366" s="91"/>
      <c r="AB366" s="9"/>
      <c r="AC366" s="9"/>
      <c r="AD366" s="48"/>
      <c r="AE366" s="49"/>
      <c r="AF366" s="91"/>
      <c r="AG366" s="9"/>
      <c r="AH366" s="9"/>
      <c r="AI366" s="91"/>
      <c r="AJ366" s="237"/>
      <c r="AK366" s="9"/>
      <c r="AL366" s="238"/>
      <c r="AM366" s="239"/>
      <c r="AN366" s="239"/>
      <c r="AO366" s="9"/>
      <c r="AP366" s="9"/>
      <c r="AQ366" s="240"/>
      <c r="AR366" s="241"/>
      <c r="AS366" s="241"/>
      <c r="AT366" s="66"/>
      <c r="AU366" s="9"/>
      <c r="AV366" s="238"/>
      <c r="AW366" s="239"/>
      <c r="AX366" s="239"/>
      <c r="AY366" s="9"/>
      <c r="AZ366" s="9"/>
      <c r="BA366" s="238"/>
      <c r="BB366" s="239"/>
      <c r="BC366" s="239"/>
      <c r="BD366" s="9"/>
      <c r="BE366" s="9"/>
      <c r="BF366" s="238"/>
      <c r="BG366" s="239"/>
      <c r="BH366" s="239"/>
      <c r="BI366" s="9"/>
      <c r="BJ366" s="9"/>
      <c r="BK366" s="240"/>
      <c r="BL366" s="241"/>
      <c r="BM366" s="241"/>
      <c r="BN366" s="66"/>
      <c r="BO366" s="9"/>
      <c r="BP366" s="238"/>
      <c r="BQ366" s="239"/>
      <c r="BR366" s="239"/>
      <c r="BS366" s="9"/>
    </row>
    <row r="367" spans="2:71" ht="15" x14ac:dyDescent="0.25">
      <c r="B367" s="9"/>
      <c r="C367" s="91"/>
      <c r="D367" s="161"/>
      <c r="E367" s="91"/>
      <c r="F367" s="9"/>
      <c r="G367" s="9"/>
      <c r="H367" s="91"/>
      <c r="I367" s="195"/>
      <c r="J367" s="49"/>
      <c r="K367" s="161"/>
      <c r="L367" s="47"/>
      <c r="M367" s="9"/>
      <c r="N367" s="9"/>
      <c r="O367" s="91"/>
      <c r="P367" s="91"/>
      <c r="Q367" s="91"/>
      <c r="R367" s="9"/>
      <c r="S367" s="9"/>
      <c r="T367" s="91"/>
      <c r="U367" s="7"/>
      <c r="V367" s="91"/>
      <c r="W367" s="9"/>
      <c r="X367" s="9"/>
      <c r="Y367" s="91"/>
      <c r="Z367" s="7"/>
      <c r="AA367" s="91"/>
      <c r="AB367" s="9"/>
      <c r="AC367" s="9"/>
      <c r="AD367" s="48"/>
      <c r="AE367" s="49"/>
      <c r="AF367" s="91"/>
      <c r="AG367" s="9"/>
      <c r="AH367" s="9"/>
      <c r="AI367" s="91"/>
      <c r="AJ367" s="237"/>
      <c r="AK367" s="9"/>
      <c r="AL367" s="238"/>
      <c r="AM367" s="239"/>
      <c r="AN367" s="239"/>
      <c r="AO367" s="9"/>
      <c r="AP367" s="9"/>
      <c r="AQ367" s="240"/>
      <c r="AR367" s="241"/>
      <c r="AS367" s="241"/>
      <c r="AT367" s="66"/>
      <c r="AU367" s="9"/>
      <c r="AV367" s="238"/>
      <c r="AW367" s="239"/>
      <c r="AX367" s="239"/>
      <c r="AY367" s="9"/>
      <c r="AZ367" s="9"/>
      <c r="BA367" s="238"/>
      <c r="BB367" s="239"/>
      <c r="BC367" s="239"/>
      <c r="BD367" s="9"/>
      <c r="BE367" s="9"/>
      <c r="BF367" s="238"/>
      <c r="BG367" s="239"/>
      <c r="BH367" s="239"/>
      <c r="BI367" s="9"/>
      <c r="BJ367" s="9"/>
      <c r="BK367" s="240"/>
      <c r="BL367" s="241"/>
      <c r="BM367" s="241"/>
      <c r="BN367" s="66"/>
      <c r="BO367" s="9"/>
      <c r="BP367" s="238"/>
      <c r="BQ367" s="239"/>
      <c r="BR367" s="239"/>
      <c r="BS367" s="9"/>
    </row>
    <row r="368" spans="2:71" ht="15" x14ac:dyDescent="0.25">
      <c r="B368" s="9"/>
      <c r="C368" s="91"/>
      <c r="D368" s="161"/>
      <c r="E368" s="91"/>
      <c r="F368" s="9"/>
      <c r="G368" s="9"/>
      <c r="H368" s="91"/>
      <c r="I368" s="195"/>
      <c r="J368" s="49"/>
      <c r="K368" s="161"/>
      <c r="L368" s="47"/>
      <c r="M368" s="9"/>
      <c r="N368" s="9"/>
      <c r="O368" s="91"/>
      <c r="P368" s="91"/>
      <c r="Q368" s="91"/>
      <c r="R368" s="9"/>
      <c r="S368" s="9"/>
      <c r="T368" s="91"/>
      <c r="U368" s="7"/>
      <c r="V368" s="91"/>
      <c r="W368" s="9"/>
      <c r="X368" s="9"/>
      <c r="Y368" s="91"/>
      <c r="Z368" s="7"/>
      <c r="AA368" s="91"/>
      <c r="AB368" s="9"/>
      <c r="AC368" s="9"/>
      <c r="AD368" s="48"/>
      <c r="AE368" s="49"/>
      <c r="AF368" s="91"/>
      <c r="AG368" s="9"/>
      <c r="AH368" s="9"/>
      <c r="AI368" s="91"/>
      <c r="AJ368" s="237"/>
      <c r="AK368" s="9"/>
      <c r="AL368" s="238"/>
      <c r="AM368" s="239"/>
      <c r="AN368" s="239"/>
      <c r="AO368" s="9"/>
      <c r="AP368" s="9"/>
      <c r="AQ368" s="240"/>
      <c r="AR368" s="241"/>
      <c r="AS368" s="241"/>
      <c r="AT368" s="66"/>
      <c r="AU368" s="9"/>
      <c r="AV368" s="238"/>
      <c r="AW368" s="239"/>
      <c r="AX368" s="239"/>
      <c r="AY368" s="9"/>
      <c r="AZ368" s="9"/>
      <c r="BA368" s="238"/>
      <c r="BB368" s="239"/>
      <c r="BC368" s="239"/>
      <c r="BD368" s="9"/>
      <c r="BE368" s="9"/>
      <c r="BF368" s="238"/>
      <c r="BG368" s="239"/>
      <c r="BH368" s="239"/>
      <c r="BI368" s="9"/>
      <c r="BJ368" s="9"/>
      <c r="BK368" s="240"/>
      <c r="BL368" s="241"/>
      <c r="BM368" s="241"/>
      <c r="BN368" s="66"/>
      <c r="BO368" s="9"/>
      <c r="BP368" s="238"/>
      <c r="BQ368" s="239"/>
      <c r="BR368" s="239"/>
      <c r="BS368" s="9"/>
    </row>
    <row r="369" spans="2:71" ht="15" x14ac:dyDescent="0.25">
      <c r="B369" s="9"/>
      <c r="C369" s="91"/>
      <c r="D369" s="161"/>
      <c r="E369" s="91"/>
      <c r="F369" s="9"/>
      <c r="G369" s="9"/>
      <c r="H369" s="91"/>
      <c r="I369" s="195"/>
      <c r="J369" s="49"/>
      <c r="K369" s="161"/>
      <c r="L369" s="47"/>
      <c r="M369" s="9"/>
      <c r="N369" s="9"/>
      <c r="O369" s="91"/>
      <c r="P369" s="91"/>
      <c r="Q369" s="91"/>
      <c r="R369" s="9"/>
      <c r="S369" s="9"/>
      <c r="T369" s="91"/>
      <c r="U369" s="7"/>
      <c r="V369" s="91"/>
      <c r="W369" s="9"/>
      <c r="X369" s="9"/>
      <c r="Y369" s="91"/>
      <c r="Z369" s="7"/>
      <c r="AA369" s="91"/>
      <c r="AB369" s="9"/>
      <c r="AC369" s="9"/>
      <c r="AD369" s="48"/>
      <c r="AE369" s="49"/>
      <c r="AF369" s="91"/>
      <c r="AG369" s="9"/>
      <c r="AH369" s="9"/>
      <c r="AI369" s="91"/>
      <c r="AJ369" s="237"/>
      <c r="AK369" s="9"/>
      <c r="AL369" s="238"/>
      <c r="AM369" s="239"/>
      <c r="AN369" s="239"/>
      <c r="AO369" s="9"/>
      <c r="AP369" s="9"/>
      <c r="AQ369" s="240"/>
      <c r="AR369" s="241"/>
      <c r="AS369" s="241"/>
      <c r="AT369" s="66"/>
      <c r="AU369" s="9"/>
      <c r="AV369" s="238"/>
      <c r="AW369" s="239"/>
      <c r="AX369" s="239"/>
      <c r="AY369" s="9"/>
      <c r="AZ369" s="9"/>
      <c r="BA369" s="238"/>
      <c r="BB369" s="239"/>
      <c r="BC369" s="239"/>
      <c r="BD369" s="9"/>
      <c r="BE369" s="9"/>
      <c r="BF369" s="238"/>
      <c r="BG369" s="239"/>
      <c r="BH369" s="239"/>
      <c r="BI369" s="9"/>
      <c r="BJ369" s="9"/>
      <c r="BK369" s="240"/>
      <c r="BL369" s="241"/>
      <c r="BM369" s="241"/>
      <c r="BN369" s="66"/>
      <c r="BO369" s="9"/>
      <c r="BP369" s="238"/>
      <c r="BQ369" s="239"/>
      <c r="BR369" s="239"/>
      <c r="BS369" s="9"/>
    </row>
    <row r="370" spans="2:71" ht="15" x14ac:dyDescent="0.25">
      <c r="B370" s="9"/>
      <c r="C370" s="91"/>
      <c r="D370" s="161"/>
      <c r="E370" s="91"/>
      <c r="F370" s="9"/>
      <c r="G370" s="9"/>
      <c r="H370" s="91"/>
      <c r="I370" s="195"/>
      <c r="J370" s="49"/>
      <c r="K370" s="161"/>
      <c r="L370" s="47"/>
      <c r="M370" s="9"/>
      <c r="N370" s="9"/>
      <c r="O370" s="91"/>
      <c r="P370" s="91"/>
      <c r="Q370" s="91"/>
      <c r="R370" s="9"/>
      <c r="S370" s="9"/>
      <c r="T370" s="91"/>
      <c r="U370" s="7"/>
      <c r="V370" s="91"/>
      <c r="W370" s="9"/>
      <c r="X370" s="9"/>
      <c r="Y370" s="91"/>
      <c r="Z370" s="7"/>
      <c r="AA370" s="91"/>
      <c r="AB370" s="9"/>
      <c r="AC370" s="9"/>
      <c r="AD370" s="48"/>
      <c r="AE370" s="49"/>
      <c r="AF370" s="91"/>
      <c r="AG370" s="9"/>
      <c r="AH370" s="9"/>
      <c r="AI370" s="91"/>
      <c r="AJ370" s="237"/>
      <c r="AK370" s="9"/>
      <c r="AL370" s="238"/>
      <c r="AM370" s="239"/>
      <c r="AN370" s="239"/>
      <c r="AO370" s="9"/>
      <c r="AP370" s="9"/>
      <c r="AQ370" s="240"/>
      <c r="AR370" s="241"/>
      <c r="AS370" s="241"/>
      <c r="AT370" s="66"/>
      <c r="AU370" s="9"/>
      <c r="AV370" s="238"/>
      <c r="AW370" s="239"/>
      <c r="AX370" s="239"/>
      <c r="AY370" s="9"/>
      <c r="AZ370" s="9"/>
      <c r="BA370" s="238"/>
      <c r="BB370" s="239"/>
      <c r="BC370" s="239"/>
      <c r="BD370" s="9"/>
      <c r="BE370" s="9"/>
      <c r="BF370" s="238"/>
      <c r="BG370" s="239"/>
      <c r="BH370" s="239"/>
      <c r="BI370" s="9"/>
      <c r="BJ370" s="9"/>
      <c r="BK370" s="240"/>
      <c r="BL370" s="241"/>
      <c r="BM370" s="241"/>
      <c r="BN370" s="66"/>
      <c r="BO370" s="9"/>
      <c r="BP370" s="238"/>
      <c r="BQ370" s="239"/>
      <c r="BR370" s="239"/>
      <c r="BS370" s="9"/>
    </row>
    <row r="371" spans="2:71" ht="15" x14ac:dyDescent="0.25">
      <c r="B371" s="9"/>
      <c r="C371" s="91"/>
      <c r="D371" s="161"/>
      <c r="E371" s="91"/>
      <c r="F371" s="9"/>
      <c r="G371" s="9"/>
      <c r="H371" s="91"/>
      <c r="I371" s="195"/>
      <c r="J371" s="49"/>
      <c r="K371" s="161"/>
      <c r="L371" s="47"/>
      <c r="M371" s="9"/>
      <c r="N371" s="9"/>
      <c r="O371" s="91"/>
      <c r="P371" s="91"/>
      <c r="Q371" s="91"/>
      <c r="R371" s="9"/>
      <c r="S371" s="9"/>
      <c r="T371" s="91"/>
      <c r="U371" s="7"/>
      <c r="V371" s="91"/>
      <c r="W371" s="9"/>
      <c r="X371" s="9"/>
      <c r="Y371" s="91"/>
      <c r="Z371" s="7"/>
      <c r="AA371" s="91"/>
      <c r="AB371" s="9"/>
      <c r="AC371" s="9"/>
      <c r="AD371" s="48"/>
      <c r="AE371" s="49"/>
      <c r="AF371" s="91"/>
      <c r="AG371" s="9"/>
      <c r="AH371" s="9"/>
      <c r="AI371" s="91"/>
      <c r="AJ371" s="237"/>
      <c r="AK371" s="9"/>
      <c r="AL371" s="238"/>
      <c r="AM371" s="239"/>
      <c r="AN371" s="239"/>
      <c r="AO371" s="9"/>
      <c r="AP371" s="9"/>
      <c r="AQ371" s="240"/>
      <c r="AR371" s="241"/>
      <c r="AS371" s="241"/>
      <c r="AT371" s="66"/>
      <c r="AU371" s="9"/>
      <c r="AV371" s="238"/>
      <c r="AW371" s="239"/>
      <c r="AX371" s="239"/>
      <c r="AY371" s="9"/>
      <c r="AZ371" s="9"/>
      <c r="BA371" s="238"/>
      <c r="BB371" s="239"/>
      <c r="BC371" s="239"/>
      <c r="BD371" s="9"/>
      <c r="BE371" s="9"/>
      <c r="BF371" s="238"/>
      <c r="BG371" s="239"/>
      <c r="BH371" s="239"/>
      <c r="BI371" s="9"/>
      <c r="BJ371" s="9"/>
      <c r="BK371" s="240"/>
      <c r="BL371" s="241"/>
      <c r="BM371" s="241"/>
      <c r="BN371" s="66"/>
      <c r="BO371" s="9"/>
      <c r="BP371" s="238"/>
      <c r="BQ371" s="239"/>
      <c r="BR371" s="239"/>
      <c r="BS371" s="9"/>
    </row>
    <row r="372" spans="2:71" ht="15" x14ac:dyDescent="0.25">
      <c r="B372" s="9"/>
      <c r="C372" s="91"/>
      <c r="D372" s="161"/>
      <c r="E372" s="91"/>
      <c r="F372" s="9"/>
      <c r="G372" s="9"/>
      <c r="H372" s="91"/>
      <c r="I372" s="195"/>
      <c r="J372" s="49"/>
      <c r="K372" s="161"/>
      <c r="L372" s="47"/>
      <c r="M372" s="9"/>
      <c r="N372" s="9"/>
      <c r="O372" s="91"/>
      <c r="P372" s="91"/>
      <c r="Q372" s="91"/>
      <c r="R372" s="9"/>
      <c r="S372" s="9"/>
      <c r="T372" s="91"/>
      <c r="U372" s="7"/>
      <c r="V372" s="91"/>
      <c r="W372" s="9"/>
      <c r="X372" s="9"/>
      <c r="Y372" s="91"/>
      <c r="Z372" s="7"/>
      <c r="AA372" s="91"/>
      <c r="AB372" s="9"/>
      <c r="AC372" s="9"/>
      <c r="AD372" s="48"/>
      <c r="AE372" s="49"/>
      <c r="AF372" s="91"/>
      <c r="AG372" s="9"/>
      <c r="AH372" s="9"/>
      <c r="AI372" s="91"/>
      <c r="AJ372" s="237"/>
      <c r="AK372" s="9"/>
      <c r="AL372" s="238"/>
      <c r="AM372" s="239"/>
      <c r="AN372" s="239"/>
      <c r="AO372" s="9"/>
      <c r="AP372" s="9"/>
      <c r="AQ372" s="240"/>
      <c r="AR372" s="241"/>
      <c r="AS372" s="241"/>
      <c r="AT372" s="66"/>
      <c r="AU372" s="9"/>
      <c r="AV372" s="238"/>
      <c r="AW372" s="239"/>
      <c r="AX372" s="239"/>
      <c r="AY372" s="9"/>
      <c r="AZ372" s="9"/>
      <c r="BA372" s="238"/>
      <c r="BB372" s="239"/>
      <c r="BC372" s="239"/>
      <c r="BD372" s="9"/>
      <c r="BE372" s="9"/>
      <c r="BF372" s="238"/>
      <c r="BG372" s="239"/>
      <c r="BH372" s="239"/>
      <c r="BI372" s="9"/>
      <c r="BJ372" s="9"/>
      <c r="BK372" s="240"/>
      <c r="BL372" s="241"/>
      <c r="BM372" s="241"/>
      <c r="BN372" s="66"/>
      <c r="BO372" s="9"/>
      <c r="BP372" s="238"/>
      <c r="BQ372" s="239"/>
      <c r="BR372" s="239"/>
      <c r="BS372" s="9"/>
    </row>
    <row r="373" spans="2:71" ht="15" x14ac:dyDescent="0.25">
      <c r="B373" s="9"/>
      <c r="C373" s="91"/>
      <c r="D373" s="161"/>
      <c r="E373" s="91"/>
      <c r="F373" s="9"/>
      <c r="G373" s="9"/>
      <c r="H373" s="91"/>
      <c r="I373" s="195"/>
      <c r="J373" s="49"/>
      <c r="K373" s="161"/>
      <c r="L373" s="47"/>
      <c r="M373" s="9"/>
      <c r="N373" s="9"/>
      <c r="O373" s="91"/>
      <c r="P373" s="91"/>
      <c r="Q373" s="91"/>
      <c r="R373" s="9"/>
      <c r="S373" s="9"/>
      <c r="T373" s="91"/>
      <c r="U373" s="7"/>
      <c r="V373" s="91"/>
      <c r="W373" s="9"/>
      <c r="X373" s="9"/>
      <c r="Y373" s="91"/>
      <c r="Z373" s="7"/>
      <c r="AA373" s="91"/>
      <c r="AB373" s="9"/>
      <c r="AC373" s="9"/>
      <c r="AD373" s="48"/>
      <c r="AE373" s="49"/>
      <c r="AF373" s="91"/>
      <c r="AG373" s="9"/>
      <c r="AH373" s="9"/>
      <c r="AI373" s="91"/>
      <c r="AJ373" s="237"/>
      <c r="AK373" s="9"/>
      <c r="AL373" s="238"/>
      <c r="AM373" s="239"/>
      <c r="AN373" s="239"/>
      <c r="AO373" s="9"/>
      <c r="AP373" s="9"/>
      <c r="AQ373" s="240"/>
      <c r="AR373" s="241"/>
      <c r="AS373" s="241"/>
      <c r="AT373" s="66"/>
      <c r="AU373" s="9"/>
      <c r="AV373" s="238"/>
      <c r="AW373" s="239"/>
      <c r="AX373" s="239"/>
      <c r="AY373" s="9"/>
      <c r="AZ373" s="9"/>
      <c r="BA373" s="238"/>
      <c r="BB373" s="239"/>
      <c r="BC373" s="239"/>
      <c r="BD373" s="9"/>
      <c r="BE373" s="9"/>
      <c r="BF373" s="238"/>
      <c r="BG373" s="239"/>
      <c r="BH373" s="239"/>
      <c r="BI373" s="9"/>
      <c r="BJ373" s="9"/>
      <c r="BK373" s="240"/>
      <c r="BL373" s="241"/>
      <c r="BM373" s="241"/>
      <c r="BN373" s="66"/>
      <c r="BO373" s="9"/>
      <c r="BP373" s="238"/>
      <c r="BQ373" s="239"/>
      <c r="BR373" s="239"/>
      <c r="BS373" s="9"/>
    </row>
    <row r="374" spans="2:71" ht="15" x14ac:dyDescent="0.25">
      <c r="B374" s="9"/>
      <c r="C374" s="91"/>
      <c r="D374" s="161"/>
      <c r="E374" s="91"/>
      <c r="F374" s="9"/>
      <c r="G374" s="9"/>
      <c r="H374" s="91"/>
      <c r="I374" s="195"/>
      <c r="J374" s="49"/>
      <c r="K374" s="161"/>
      <c r="L374" s="47"/>
      <c r="M374" s="9"/>
      <c r="N374" s="9"/>
      <c r="O374" s="91"/>
      <c r="P374" s="91"/>
      <c r="Q374" s="91"/>
      <c r="R374" s="9"/>
      <c r="S374" s="9"/>
      <c r="T374" s="91"/>
      <c r="U374" s="7"/>
      <c r="V374" s="91"/>
      <c r="W374" s="9"/>
      <c r="X374" s="9"/>
      <c r="Y374" s="91"/>
      <c r="Z374" s="7"/>
      <c r="AA374" s="91"/>
      <c r="AB374" s="9"/>
      <c r="AC374" s="9"/>
      <c r="AD374" s="48"/>
      <c r="AE374" s="49"/>
      <c r="AF374" s="91"/>
      <c r="AG374" s="9"/>
      <c r="AH374" s="9"/>
      <c r="AI374" s="91"/>
      <c r="AJ374" s="237"/>
      <c r="AK374" s="9"/>
      <c r="AL374" s="238"/>
      <c r="AM374" s="239"/>
      <c r="AN374" s="239"/>
      <c r="AO374" s="9"/>
      <c r="AP374" s="9"/>
      <c r="AQ374" s="240"/>
      <c r="AR374" s="241"/>
      <c r="AS374" s="241"/>
      <c r="AT374" s="66"/>
      <c r="AU374" s="9"/>
      <c r="AV374" s="238"/>
      <c r="AW374" s="239"/>
      <c r="AX374" s="239"/>
      <c r="AY374" s="9"/>
      <c r="AZ374" s="9"/>
      <c r="BA374" s="238"/>
      <c r="BB374" s="239"/>
      <c r="BC374" s="239"/>
      <c r="BD374" s="9"/>
      <c r="BE374" s="9"/>
      <c r="BF374" s="238"/>
      <c r="BG374" s="239"/>
      <c r="BH374" s="239"/>
      <c r="BI374" s="9"/>
      <c r="BJ374" s="9"/>
      <c r="BK374" s="240"/>
      <c r="BL374" s="241"/>
      <c r="BM374" s="241"/>
      <c r="BN374" s="66"/>
      <c r="BO374" s="9"/>
      <c r="BP374" s="238"/>
      <c r="BQ374" s="239"/>
      <c r="BR374" s="239"/>
      <c r="BS374" s="9"/>
    </row>
    <row r="375" spans="2:71" ht="15" x14ac:dyDescent="0.25">
      <c r="B375" s="9"/>
      <c r="C375" s="91"/>
      <c r="D375" s="161"/>
      <c r="E375" s="91"/>
      <c r="F375" s="9"/>
      <c r="G375" s="9"/>
      <c r="H375" s="91"/>
      <c r="I375" s="195"/>
      <c r="J375" s="49"/>
      <c r="K375" s="161"/>
      <c r="L375" s="47"/>
      <c r="M375" s="9"/>
      <c r="N375" s="9"/>
      <c r="O375" s="91"/>
      <c r="P375" s="91"/>
      <c r="Q375" s="91"/>
      <c r="R375" s="9"/>
      <c r="S375" s="9"/>
      <c r="T375" s="91"/>
      <c r="U375" s="7"/>
      <c r="V375" s="91"/>
      <c r="W375" s="9"/>
      <c r="X375" s="9"/>
      <c r="Y375" s="91"/>
      <c r="Z375" s="7"/>
      <c r="AA375" s="91"/>
      <c r="AB375" s="9"/>
      <c r="AC375" s="9"/>
      <c r="AD375" s="48"/>
      <c r="AE375" s="49"/>
      <c r="AF375" s="91"/>
      <c r="AG375" s="9"/>
      <c r="AH375" s="9"/>
      <c r="AI375" s="91"/>
      <c r="AJ375" s="237"/>
      <c r="AK375" s="9"/>
      <c r="AL375" s="238"/>
      <c r="AM375" s="239"/>
      <c r="AN375" s="239"/>
      <c r="AO375" s="9"/>
      <c r="AP375" s="9"/>
      <c r="AQ375" s="240"/>
      <c r="AR375" s="241"/>
      <c r="AS375" s="241"/>
      <c r="AT375" s="66"/>
      <c r="AU375" s="9"/>
      <c r="AV375" s="238"/>
      <c r="AW375" s="239"/>
      <c r="AX375" s="239"/>
      <c r="AY375" s="9"/>
      <c r="AZ375" s="9"/>
      <c r="BA375" s="238"/>
      <c r="BB375" s="239"/>
      <c r="BC375" s="239"/>
      <c r="BD375" s="9"/>
      <c r="BE375" s="9"/>
      <c r="BF375" s="238"/>
      <c r="BG375" s="239"/>
      <c r="BH375" s="239"/>
      <c r="BI375" s="9"/>
      <c r="BJ375" s="9"/>
      <c r="BK375" s="240"/>
      <c r="BL375" s="241"/>
      <c r="BM375" s="241"/>
      <c r="BN375" s="66"/>
      <c r="BO375" s="9"/>
      <c r="BP375" s="238"/>
      <c r="BQ375" s="239"/>
      <c r="BR375" s="239"/>
      <c r="BS375" s="9"/>
    </row>
    <row r="376" spans="2:71" ht="15" x14ac:dyDescent="0.25">
      <c r="B376" s="9"/>
      <c r="C376" s="91"/>
      <c r="D376" s="161"/>
      <c r="E376" s="91"/>
      <c r="F376" s="9"/>
      <c r="G376" s="9"/>
      <c r="H376" s="91"/>
      <c r="I376" s="195"/>
      <c r="J376" s="49"/>
      <c r="K376" s="161"/>
      <c r="L376" s="47"/>
      <c r="M376" s="9"/>
      <c r="N376" s="9"/>
      <c r="O376" s="91"/>
      <c r="P376" s="91"/>
      <c r="Q376" s="91"/>
      <c r="R376" s="9"/>
      <c r="S376" s="9"/>
      <c r="T376" s="91"/>
      <c r="U376" s="7"/>
      <c r="V376" s="91"/>
      <c r="W376" s="9"/>
      <c r="X376" s="9"/>
      <c r="Y376" s="91"/>
      <c r="Z376" s="7"/>
      <c r="AA376" s="91"/>
      <c r="AB376" s="9"/>
      <c r="AC376" s="9"/>
      <c r="AD376" s="48"/>
      <c r="AE376" s="49"/>
      <c r="AF376" s="91"/>
      <c r="AG376" s="9"/>
      <c r="AH376" s="9"/>
      <c r="AI376" s="91"/>
      <c r="AJ376" s="237"/>
      <c r="AK376" s="9"/>
      <c r="AL376" s="238"/>
      <c r="AM376" s="239"/>
      <c r="AN376" s="239"/>
      <c r="AO376" s="9"/>
      <c r="AP376" s="9"/>
      <c r="AQ376" s="240"/>
      <c r="AR376" s="241"/>
      <c r="AS376" s="241"/>
      <c r="AT376" s="66"/>
      <c r="AU376" s="9"/>
      <c r="AV376" s="238"/>
      <c r="AW376" s="239"/>
      <c r="AX376" s="239"/>
      <c r="AY376" s="9"/>
      <c r="AZ376" s="9"/>
      <c r="BA376" s="238"/>
      <c r="BB376" s="239"/>
      <c r="BC376" s="239"/>
      <c r="BD376" s="9"/>
      <c r="BE376" s="9"/>
      <c r="BF376" s="238"/>
      <c r="BG376" s="239"/>
      <c r="BH376" s="239"/>
      <c r="BI376" s="9"/>
      <c r="BJ376" s="9"/>
      <c r="BK376" s="240"/>
      <c r="BL376" s="241"/>
      <c r="BM376" s="241"/>
      <c r="BN376" s="66"/>
      <c r="BO376" s="9"/>
      <c r="BP376" s="238"/>
      <c r="BQ376" s="239"/>
      <c r="BR376" s="239"/>
      <c r="BS376" s="9"/>
    </row>
    <row r="377" spans="2:71" ht="15" x14ac:dyDescent="0.25">
      <c r="B377" s="9"/>
      <c r="C377" s="91"/>
      <c r="D377" s="161"/>
      <c r="E377" s="91"/>
      <c r="F377" s="9"/>
      <c r="G377" s="9"/>
      <c r="H377" s="91"/>
      <c r="I377" s="195"/>
      <c r="J377" s="49"/>
      <c r="K377" s="161"/>
      <c r="L377" s="47"/>
      <c r="M377" s="9"/>
      <c r="N377" s="9"/>
      <c r="O377" s="91"/>
      <c r="P377" s="91"/>
      <c r="Q377" s="91"/>
      <c r="R377" s="9"/>
      <c r="S377" s="9"/>
      <c r="T377" s="91"/>
      <c r="U377" s="7"/>
      <c r="V377" s="91"/>
      <c r="W377" s="9"/>
      <c r="X377" s="9"/>
      <c r="Y377" s="91"/>
      <c r="Z377" s="7"/>
      <c r="AA377" s="91"/>
      <c r="AB377" s="9"/>
      <c r="AC377" s="9"/>
      <c r="AD377" s="48"/>
      <c r="AE377" s="49"/>
      <c r="AF377" s="91"/>
      <c r="AG377" s="9"/>
      <c r="AH377" s="9"/>
      <c r="AI377" s="91"/>
      <c r="AJ377" s="237"/>
      <c r="AK377" s="9"/>
      <c r="AL377" s="238"/>
      <c r="AM377" s="239"/>
      <c r="AN377" s="239"/>
      <c r="AO377" s="9"/>
      <c r="AP377" s="9"/>
      <c r="AQ377" s="240"/>
      <c r="AR377" s="241"/>
      <c r="AS377" s="241"/>
      <c r="AT377" s="66"/>
      <c r="AU377" s="9"/>
      <c r="AV377" s="238"/>
      <c r="AW377" s="239"/>
      <c r="AX377" s="239"/>
      <c r="AY377" s="9"/>
      <c r="AZ377" s="9"/>
      <c r="BA377" s="238"/>
      <c r="BB377" s="239"/>
      <c r="BC377" s="239"/>
      <c r="BD377" s="9"/>
      <c r="BE377" s="9"/>
      <c r="BF377" s="238"/>
      <c r="BG377" s="239"/>
      <c r="BH377" s="239"/>
      <c r="BI377" s="9"/>
      <c r="BJ377" s="9"/>
      <c r="BK377" s="240"/>
      <c r="BL377" s="241"/>
      <c r="BM377" s="241"/>
      <c r="BN377" s="66"/>
      <c r="BO377" s="9"/>
      <c r="BP377" s="238"/>
      <c r="BQ377" s="239"/>
      <c r="BR377" s="239"/>
      <c r="BS377" s="9"/>
    </row>
    <row r="378" spans="2:71" ht="15" x14ac:dyDescent="0.25">
      <c r="B378" s="9"/>
      <c r="C378" s="91"/>
      <c r="D378" s="161"/>
      <c r="E378" s="91"/>
      <c r="F378" s="9"/>
      <c r="G378" s="9"/>
      <c r="H378" s="91"/>
      <c r="I378" s="195"/>
      <c r="J378" s="49"/>
      <c r="K378" s="161"/>
      <c r="L378" s="47"/>
      <c r="M378" s="9"/>
      <c r="N378" s="9"/>
      <c r="O378" s="91"/>
      <c r="P378" s="91"/>
      <c r="Q378" s="91"/>
      <c r="R378" s="9"/>
      <c r="S378" s="9"/>
      <c r="T378" s="91"/>
      <c r="U378" s="7"/>
      <c r="V378" s="91"/>
      <c r="W378" s="9"/>
      <c r="X378" s="9"/>
      <c r="Y378" s="91"/>
      <c r="Z378" s="7"/>
      <c r="AA378" s="91"/>
      <c r="AB378" s="9"/>
      <c r="AC378" s="9"/>
      <c r="AD378" s="48"/>
      <c r="AE378" s="49"/>
      <c r="AF378" s="91"/>
      <c r="AG378" s="9"/>
      <c r="AH378" s="9"/>
      <c r="AI378" s="91"/>
      <c r="AJ378" s="237"/>
      <c r="AK378" s="9"/>
      <c r="AL378" s="238"/>
      <c r="AM378" s="239"/>
      <c r="AN378" s="239"/>
      <c r="AO378" s="9"/>
      <c r="AP378" s="9"/>
      <c r="AQ378" s="240"/>
      <c r="AR378" s="241"/>
      <c r="AS378" s="241"/>
      <c r="AT378" s="66"/>
      <c r="AU378" s="9"/>
      <c r="AV378" s="238"/>
      <c r="AW378" s="239"/>
      <c r="AX378" s="239"/>
      <c r="AY378" s="9"/>
      <c r="AZ378" s="9"/>
      <c r="BA378" s="238"/>
      <c r="BB378" s="239"/>
      <c r="BC378" s="239"/>
      <c r="BD378" s="9"/>
      <c r="BE378" s="9"/>
      <c r="BF378" s="238"/>
      <c r="BG378" s="239"/>
      <c r="BH378" s="239"/>
      <c r="BI378" s="9"/>
      <c r="BJ378" s="9"/>
      <c r="BK378" s="240"/>
      <c r="BL378" s="241"/>
      <c r="BM378" s="241"/>
      <c r="BN378" s="66"/>
      <c r="BO378" s="9"/>
      <c r="BP378" s="238"/>
      <c r="BQ378" s="239"/>
      <c r="BR378" s="239"/>
      <c r="BS378" s="9"/>
    </row>
    <row r="379" spans="2:71" ht="15" x14ac:dyDescent="0.25">
      <c r="B379" s="9"/>
      <c r="C379" s="91"/>
      <c r="D379" s="161"/>
      <c r="E379" s="91"/>
      <c r="F379" s="9"/>
      <c r="G379" s="9"/>
      <c r="H379" s="91"/>
      <c r="I379" s="195"/>
      <c r="J379" s="49"/>
      <c r="K379" s="161"/>
      <c r="L379" s="47"/>
      <c r="M379" s="9"/>
      <c r="N379" s="9"/>
      <c r="O379" s="91"/>
      <c r="P379" s="91"/>
      <c r="Q379" s="91"/>
      <c r="R379" s="9"/>
      <c r="S379" s="9"/>
      <c r="T379" s="91"/>
      <c r="U379" s="7"/>
      <c r="V379" s="91"/>
      <c r="W379" s="9"/>
      <c r="X379" s="9"/>
      <c r="Y379" s="91"/>
      <c r="Z379" s="7"/>
      <c r="AA379" s="91"/>
      <c r="AB379" s="9"/>
      <c r="AC379" s="9"/>
      <c r="AD379" s="48"/>
      <c r="AE379" s="49"/>
      <c r="AF379" s="91"/>
      <c r="AG379" s="9"/>
      <c r="AH379" s="9"/>
      <c r="AI379" s="91"/>
      <c r="AJ379" s="237"/>
      <c r="AK379" s="9"/>
      <c r="AL379" s="238"/>
      <c r="AM379" s="239"/>
      <c r="AN379" s="239"/>
      <c r="AO379" s="9"/>
      <c r="AP379" s="9"/>
      <c r="AQ379" s="240"/>
      <c r="AR379" s="241"/>
      <c r="AS379" s="241"/>
      <c r="AT379" s="66"/>
      <c r="AU379" s="9"/>
      <c r="AV379" s="238"/>
      <c r="AW379" s="239"/>
      <c r="AX379" s="239"/>
      <c r="AY379" s="9"/>
      <c r="AZ379" s="9"/>
      <c r="BA379" s="238"/>
      <c r="BB379" s="239"/>
      <c r="BC379" s="239"/>
      <c r="BD379" s="9"/>
      <c r="BE379" s="9"/>
      <c r="BF379" s="238"/>
      <c r="BG379" s="239"/>
      <c r="BH379" s="239"/>
      <c r="BI379" s="9"/>
      <c r="BJ379" s="9"/>
      <c r="BK379" s="240"/>
      <c r="BL379" s="241"/>
      <c r="BM379" s="241"/>
      <c r="BN379" s="66"/>
      <c r="BO379" s="9"/>
      <c r="BP379" s="238"/>
      <c r="BQ379" s="239"/>
      <c r="BR379" s="239"/>
      <c r="BS379" s="9"/>
    </row>
    <row r="380" spans="2:71" ht="15" x14ac:dyDescent="0.25">
      <c r="B380" s="9"/>
      <c r="C380" s="91"/>
      <c r="D380" s="161"/>
      <c r="E380" s="91"/>
      <c r="F380" s="9"/>
      <c r="G380" s="9"/>
      <c r="H380" s="91"/>
      <c r="I380" s="195"/>
      <c r="J380" s="49"/>
      <c r="K380" s="161"/>
      <c r="L380" s="47"/>
      <c r="M380" s="9"/>
      <c r="N380" s="9"/>
      <c r="O380" s="91"/>
      <c r="P380" s="91"/>
      <c r="Q380" s="91"/>
      <c r="R380" s="9"/>
      <c r="S380" s="9"/>
      <c r="T380" s="91"/>
      <c r="U380" s="7"/>
      <c r="V380" s="91"/>
      <c r="W380" s="9"/>
      <c r="X380" s="9"/>
      <c r="Y380" s="91"/>
      <c r="Z380" s="7"/>
      <c r="AA380" s="91"/>
      <c r="AB380" s="9"/>
      <c r="AC380" s="9"/>
      <c r="AD380" s="48"/>
      <c r="AE380" s="49"/>
      <c r="AF380" s="91"/>
      <c r="AG380" s="9"/>
      <c r="AH380" s="9"/>
      <c r="AI380" s="91"/>
      <c r="AJ380" s="237"/>
      <c r="AK380" s="9"/>
      <c r="AL380" s="238"/>
      <c r="AM380" s="239"/>
      <c r="AN380" s="239"/>
      <c r="AO380" s="9"/>
      <c r="AP380" s="9"/>
      <c r="AQ380" s="240"/>
      <c r="AR380" s="241"/>
      <c r="AS380" s="241"/>
      <c r="AT380" s="66"/>
      <c r="AU380" s="9"/>
      <c r="AV380" s="238"/>
      <c r="AW380" s="239"/>
      <c r="AX380" s="239"/>
      <c r="AY380" s="9"/>
      <c r="AZ380" s="9"/>
      <c r="BA380" s="238"/>
      <c r="BB380" s="239"/>
      <c r="BC380" s="239"/>
      <c r="BD380" s="9"/>
      <c r="BE380" s="9"/>
      <c r="BF380" s="238"/>
      <c r="BG380" s="239"/>
      <c r="BH380" s="239"/>
      <c r="BI380" s="9"/>
      <c r="BJ380" s="9"/>
      <c r="BK380" s="240"/>
      <c r="BL380" s="241"/>
      <c r="BM380" s="241"/>
      <c r="BN380" s="66"/>
      <c r="BO380" s="9"/>
      <c r="BP380" s="238"/>
      <c r="BQ380" s="239"/>
      <c r="BR380" s="239"/>
      <c r="BS380" s="9"/>
    </row>
    <row r="381" spans="2:71" ht="15" x14ac:dyDescent="0.25">
      <c r="B381" s="9"/>
      <c r="C381" s="91"/>
      <c r="D381" s="161"/>
      <c r="E381" s="91"/>
      <c r="F381" s="9"/>
      <c r="G381" s="9"/>
      <c r="H381" s="91"/>
      <c r="I381" s="195"/>
      <c r="J381" s="49"/>
      <c r="K381" s="161"/>
      <c r="L381" s="47"/>
      <c r="M381" s="9"/>
      <c r="N381" s="9"/>
      <c r="O381" s="91"/>
      <c r="P381" s="91"/>
      <c r="Q381" s="91"/>
      <c r="R381" s="9"/>
      <c r="S381" s="9"/>
      <c r="T381" s="91"/>
      <c r="U381" s="7"/>
      <c r="V381" s="91"/>
      <c r="W381" s="9"/>
      <c r="X381" s="9"/>
      <c r="Y381" s="91"/>
      <c r="Z381" s="7"/>
      <c r="AA381" s="91"/>
      <c r="AB381" s="9"/>
      <c r="AC381" s="9"/>
      <c r="AD381" s="48"/>
      <c r="AE381" s="49"/>
      <c r="AF381" s="91"/>
      <c r="AG381" s="9"/>
      <c r="AH381" s="9"/>
      <c r="AI381" s="91"/>
      <c r="AJ381" s="237"/>
      <c r="AK381" s="9"/>
      <c r="AL381" s="238"/>
      <c r="AM381" s="239"/>
      <c r="AN381" s="239"/>
      <c r="AO381" s="9"/>
      <c r="AP381" s="9"/>
      <c r="AQ381" s="240"/>
      <c r="AR381" s="241"/>
      <c r="AS381" s="241"/>
      <c r="AT381" s="66"/>
      <c r="AU381" s="9"/>
      <c r="AV381" s="238"/>
      <c r="AW381" s="239"/>
      <c r="AX381" s="239"/>
      <c r="AY381" s="9"/>
      <c r="AZ381" s="9"/>
      <c r="BA381" s="238"/>
      <c r="BB381" s="239"/>
      <c r="BC381" s="239"/>
      <c r="BD381" s="9"/>
      <c r="BE381" s="9"/>
      <c r="BF381" s="238"/>
      <c r="BG381" s="239"/>
      <c r="BH381" s="239"/>
      <c r="BI381" s="9"/>
      <c r="BJ381" s="9"/>
      <c r="BK381" s="240"/>
      <c r="BL381" s="241"/>
      <c r="BM381" s="241"/>
      <c r="BN381" s="66"/>
      <c r="BO381" s="9"/>
      <c r="BP381" s="238"/>
      <c r="BQ381" s="239"/>
      <c r="BR381" s="239"/>
      <c r="BS381" s="9"/>
    </row>
    <row r="382" spans="2:71" ht="15" x14ac:dyDescent="0.25">
      <c r="B382" s="9"/>
      <c r="C382" s="91"/>
      <c r="D382" s="161"/>
      <c r="E382" s="91"/>
      <c r="F382" s="9"/>
      <c r="G382" s="9"/>
      <c r="H382" s="91"/>
      <c r="I382" s="195"/>
      <c r="J382" s="49"/>
      <c r="K382" s="161"/>
      <c r="L382" s="47"/>
      <c r="M382" s="9"/>
      <c r="N382" s="9"/>
      <c r="O382" s="91"/>
      <c r="P382" s="91"/>
      <c r="Q382" s="91"/>
      <c r="R382" s="9"/>
      <c r="S382" s="9"/>
      <c r="T382" s="91"/>
      <c r="U382" s="7"/>
      <c r="V382" s="91"/>
      <c r="W382" s="9"/>
      <c r="X382" s="9"/>
      <c r="Y382" s="91"/>
      <c r="Z382" s="7"/>
      <c r="AA382" s="91"/>
      <c r="AB382" s="9"/>
      <c r="AC382" s="9"/>
      <c r="AD382" s="48"/>
      <c r="AE382" s="49"/>
      <c r="AF382" s="91"/>
      <c r="AG382" s="9"/>
      <c r="AH382" s="9"/>
      <c r="AI382" s="91"/>
      <c r="AJ382" s="237"/>
      <c r="AK382" s="9"/>
      <c r="AL382" s="238"/>
      <c r="AM382" s="239"/>
      <c r="AN382" s="239"/>
      <c r="AO382" s="9"/>
      <c r="AP382" s="9"/>
      <c r="AQ382" s="240"/>
      <c r="AR382" s="241"/>
      <c r="AS382" s="241"/>
      <c r="AT382" s="66"/>
      <c r="AU382" s="9"/>
      <c r="AV382" s="238"/>
      <c r="AW382" s="239"/>
      <c r="AX382" s="239"/>
      <c r="AY382" s="9"/>
      <c r="AZ382" s="9"/>
      <c r="BA382" s="238"/>
      <c r="BB382" s="239"/>
      <c r="BC382" s="239"/>
      <c r="BD382" s="9"/>
      <c r="BE382" s="9"/>
      <c r="BF382" s="238"/>
      <c r="BG382" s="239"/>
      <c r="BH382" s="239"/>
      <c r="BI382" s="9"/>
      <c r="BJ382" s="9"/>
      <c r="BK382" s="240"/>
      <c r="BL382" s="241"/>
      <c r="BM382" s="241"/>
      <c r="BN382" s="66"/>
      <c r="BO382" s="9"/>
      <c r="BP382" s="238"/>
      <c r="BQ382" s="239"/>
      <c r="BR382" s="239"/>
      <c r="BS382" s="9"/>
    </row>
    <row r="383" spans="2:71" ht="15" x14ac:dyDescent="0.25">
      <c r="B383" s="9"/>
      <c r="C383" s="91"/>
      <c r="D383" s="161"/>
      <c r="E383" s="91"/>
      <c r="F383" s="9"/>
      <c r="G383" s="9"/>
      <c r="H383" s="91"/>
      <c r="I383" s="195"/>
      <c r="J383" s="49"/>
      <c r="K383" s="161"/>
      <c r="L383" s="47"/>
      <c r="M383" s="9"/>
      <c r="N383" s="9"/>
      <c r="O383" s="91"/>
      <c r="P383" s="91"/>
      <c r="Q383" s="91"/>
      <c r="R383" s="9"/>
      <c r="S383" s="9"/>
      <c r="T383" s="91"/>
      <c r="U383" s="7"/>
      <c r="V383" s="91"/>
      <c r="W383" s="9"/>
      <c r="X383" s="9"/>
      <c r="Y383" s="91"/>
      <c r="Z383" s="7"/>
      <c r="AA383" s="91"/>
      <c r="AB383" s="9"/>
      <c r="AC383" s="9"/>
      <c r="AD383" s="48"/>
      <c r="AE383" s="49"/>
      <c r="AF383" s="91"/>
      <c r="AG383" s="9"/>
      <c r="AH383" s="9"/>
      <c r="AI383" s="91"/>
      <c r="AJ383" s="237"/>
      <c r="AK383" s="9"/>
      <c r="AL383" s="238"/>
      <c r="AM383" s="239"/>
      <c r="AN383" s="239"/>
      <c r="AO383" s="9"/>
      <c r="AP383" s="9"/>
      <c r="AQ383" s="240"/>
      <c r="AR383" s="241"/>
      <c r="AS383" s="241"/>
      <c r="AT383" s="66"/>
      <c r="AU383" s="9"/>
      <c r="AV383" s="238"/>
      <c r="AW383" s="239"/>
      <c r="AX383" s="239"/>
      <c r="AY383" s="9"/>
      <c r="AZ383" s="9"/>
      <c r="BA383" s="238"/>
      <c r="BB383" s="239"/>
      <c r="BC383" s="239"/>
      <c r="BD383" s="9"/>
      <c r="BE383" s="9"/>
      <c r="BF383" s="238"/>
      <c r="BG383" s="239"/>
      <c r="BH383" s="239"/>
      <c r="BI383" s="9"/>
      <c r="BJ383" s="9"/>
      <c r="BK383" s="240"/>
      <c r="BL383" s="241"/>
      <c r="BM383" s="241"/>
      <c r="BN383" s="66"/>
      <c r="BO383" s="9"/>
      <c r="BP383" s="238"/>
      <c r="BQ383" s="239"/>
      <c r="BR383" s="239"/>
      <c r="BS383" s="9"/>
    </row>
    <row r="384" spans="2:71" ht="15" x14ac:dyDescent="0.25">
      <c r="B384" s="9"/>
      <c r="C384" s="91"/>
      <c r="D384" s="161"/>
      <c r="E384" s="91"/>
      <c r="F384" s="9"/>
      <c r="G384" s="9"/>
      <c r="H384" s="91"/>
      <c r="I384" s="195"/>
      <c r="J384" s="49"/>
      <c r="K384" s="161"/>
      <c r="L384" s="47"/>
      <c r="M384" s="9"/>
      <c r="N384" s="9"/>
      <c r="O384" s="91"/>
      <c r="P384" s="91"/>
      <c r="Q384" s="91"/>
      <c r="R384" s="9"/>
      <c r="S384" s="9"/>
      <c r="T384" s="91"/>
      <c r="U384" s="7"/>
      <c r="V384" s="91"/>
      <c r="W384" s="9"/>
      <c r="X384" s="9"/>
      <c r="Y384" s="91"/>
      <c r="Z384" s="7"/>
      <c r="AA384" s="91"/>
      <c r="AB384" s="9"/>
      <c r="AC384" s="9"/>
      <c r="AD384" s="48"/>
      <c r="AE384" s="49"/>
      <c r="AF384" s="91"/>
      <c r="AG384" s="9"/>
      <c r="AH384" s="9"/>
      <c r="AI384" s="91"/>
      <c r="AJ384" s="237"/>
      <c r="AK384" s="9"/>
      <c r="AL384" s="238"/>
      <c r="AM384" s="239"/>
      <c r="AN384" s="239"/>
      <c r="AO384" s="9"/>
      <c r="AP384" s="9"/>
      <c r="AQ384" s="240"/>
      <c r="AR384" s="241"/>
      <c r="AS384" s="241"/>
      <c r="AT384" s="66"/>
      <c r="AU384" s="9"/>
      <c r="AV384" s="238"/>
      <c r="AW384" s="239"/>
      <c r="AX384" s="239"/>
      <c r="AY384" s="9"/>
      <c r="AZ384" s="9"/>
      <c r="BA384" s="238"/>
      <c r="BB384" s="239"/>
      <c r="BC384" s="239"/>
      <c r="BD384" s="9"/>
      <c r="BE384" s="9"/>
      <c r="BF384" s="238"/>
      <c r="BG384" s="239"/>
      <c r="BH384" s="239"/>
      <c r="BI384" s="9"/>
      <c r="BJ384" s="9"/>
      <c r="BK384" s="240"/>
      <c r="BL384" s="241"/>
      <c r="BM384" s="241"/>
      <c r="BN384" s="66"/>
      <c r="BO384" s="9"/>
      <c r="BP384" s="238"/>
      <c r="BQ384" s="239"/>
      <c r="BR384" s="239"/>
      <c r="BS384" s="9"/>
    </row>
    <row r="385" spans="2:71" ht="15" x14ac:dyDescent="0.25">
      <c r="B385" s="9"/>
      <c r="C385" s="91"/>
      <c r="D385" s="161"/>
      <c r="E385" s="91"/>
      <c r="F385" s="9"/>
      <c r="G385" s="9"/>
      <c r="H385" s="91"/>
      <c r="I385" s="195"/>
      <c r="J385" s="49"/>
      <c r="K385" s="161"/>
      <c r="L385" s="47"/>
      <c r="M385" s="9"/>
      <c r="N385" s="9"/>
      <c r="O385" s="91"/>
      <c r="P385" s="91"/>
      <c r="Q385" s="91"/>
      <c r="R385" s="9"/>
      <c r="S385" s="9"/>
      <c r="T385" s="91"/>
      <c r="U385" s="7"/>
      <c r="V385" s="91"/>
      <c r="W385" s="9"/>
      <c r="X385" s="9"/>
      <c r="Y385" s="91"/>
      <c r="Z385" s="7"/>
      <c r="AA385" s="91"/>
      <c r="AB385" s="9"/>
      <c r="AC385" s="9"/>
      <c r="AD385" s="48"/>
      <c r="AE385" s="49"/>
      <c r="AF385" s="91"/>
      <c r="AG385" s="9"/>
      <c r="AH385" s="9"/>
      <c r="AI385" s="91"/>
      <c r="AJ385" s="237"/>
      <c r="AK385" s="9"/>
      <c r="AL385" s="238"/>
      <c r="AM385" s="239"/>
      <c r="AN385" s="239"/>
      <c r="AO385" s="9"/>
      <c r="AP385" s="9"/>
      <c r="AQ385" s="240"/>
      <c r="AR385" s="241"/>
      <c r="AS385" s="241"/>
      <c r="AT385" s="66"/>
      <c r="AU385" s="9"/>
      <c r="AV385" s="238"/>
      <c r="AW385" s="239"/>
      <c r="AX385" s="239"/>
      <c r="AY385" s="9"/>
      <c r="AZ385" s="9"/>
      <c r="BA385" s="238"/>
      <c r="BB385" s="239"/>
      <c r="BC385" s="239"/>
      <c r="BD385" s="9"/>
      <c r="BE385" s="9"/>
      <c r="BF385" s="238"/>
      <c r="BG385" s="239"/>
      <c r="BH385" s="239"/>
      <c r="BI385" s="9"/>
      <c r="BJ385" s="9"/>
      <c r="BK385" s="240"/>
      <c r="BL385" s="241"/>
      <c r="BM385" s="241"/>
      <c r="BN385" s="66"/>
      <c r="BO385" s="9"/>
      <c r="BP385" s="238"/>
      <c r="BQ385" s="239"/>
      <c r="BR385" s="239"/>
      <c r="BS385" s="9"/>
    </row>
    <row r="386" spans="2:71" ht="15" x14ac:dyDescent="0.25">
      <c r="B386" s="9"/>
      <c r="C386" s="91"/>
      <c r="D386" s="161"/>
      <c r="E386" s="91"/>
      <c r="F386" s="9"/>
      <c r="G386" s="9"/>
      <c r="H386" s="91"/>
      <c r="I386" s="195"/>
      <c r="J386" s="49"/>
      <c r="K386" s="161"/>
      <c r="L386" s="47"/>
      <c r="M386" s="9"/>
      <c r="N386" s="9"/>
      <c r="O386" s="91"/>
      <c r="P386" s="91"/>
      <c r="Q386" s="91"/>
      <c r="R386" s="9"/>
      <c r="S386" s="9"/>
      <c r="T386" s="91"/>
      <c r="U386" s="7"/>
      <c r="V386" s="91"/>
      <c r="W386" s="9"/>
      <c r="X386" s="9"/>
      <c r="Y386" s="91"/>
      <c r="Z386" s="7"/>
      <c r="AA386" s="91"/>
      <c r="AB386" s="9"/>
      <c r="AC386" s="9"/>
      <c r="AD386" s="48"/>
      <c r="AE386" s="49"/>
      <c r="AF386" s="91"/>
      <c r="AG386" s="9"/>
      <c r="AH386" s="9"/>
      <c r="AI386" s="91"/>
      <c r="AJ386" s="237"/>
      <c r="AK386" s="9"/>
      <c r="AL386" s="238"/>
      <c r="AM386" s="239"/>
      <c r="AN386" s="239"/>
      <c r="AO386" s="9"/>
      <c r="AP386" s="9"/>
      <c r="AQ386" s="240"/>
      <c r="AR386" s="241"/>
      <c r="AS386" s="241"/>
      <c r="AT386" s="66"/>
      <c r="AU386" s="9"/>
      <c r="AV386" s="238"/>
      <c r="AW386" s="239"/>
      <c r="AX386" s="239"/>
      <c r="AY386" s="9"/>
      <c r="AZ386" s="9"/>
      <c r="BA386" s="238"/>
      <c r="BB386" s="239"/>
      <c r="BC386" s="239"/>
      <c r="BD386" s="9"/>
      <c r="BE386" s="9"/>
      <c r="BF386" s="238"/>
      <c r="BG386" s="239"/>
      <c r="BH386" s="239"/>
      <c r="BI386" s="9"/>
      <c r="BJ386" s="9"/>
      <c r="BK386" s="240"/>
      <c r="BL386" s="241"/>
      <c r="BM386" s="241"/>
      <c r="BN386" s="66"/>
      <c r="BO386" s="9"/>
      <c r="BP386" s="238"/>
      <c r="BQ386" s="239"/>
      <c r="BR386" s="239"/>
      <c r="BS386" s="9"/>
    </row>
    <row r="387" spans="2:71" ht="15" x14ac:dyDescent="0.25">
      <c r="B387" s="9"/>
      <c r="C387" s="91"/>
      <c r="D387" s="161"/>
      <c r="E387" s="91"/>
      <c r="F387" s="9"/>
      <c r="G387" s="9"/>
      <c r="H387" s="91"/>
      <c r="I387" s="195"/>
      <c r="J387" s="49"/>
      <c r="K387" s="161"/>
      <c r="L387" s="47"/>
      <c r="M387" s="9"/>
      <c r="N387" s="9"/>
      <c r="O387" s="91"/>
      <c r="P387" s="91"/>
      <c r="Q387" s="91"/>
      <c r="R387" s="9"/>
      <c r="S387" s="9"/>
      <c r="T387" s="91"/>
      <c r="U387" s="7"/>
      <c r="V387" s="91"/>
      <c r="W387" s="9"/>
      <c r="X387" s="9"/>
      <c r="Y387" s="91"/>
      <c r="Z387" s="7"/>
      <c r="AA387" s="91"/>
      <c r="AB387" s="9"/>
      <c r="AC387" s="9"/>
      <c r="AD387" s="48"/>
      <c r="AE387" s="49"/>
      <c r="AF387" s="91"/>
      <c r="AG387" s="9"/>
      <c r="AH387" s="9"/>
      <c r="AI387" s="91"/>
      <c r="AJ387" s="237"/>
      <c r="AK387" s="9"/>
      <c r="AL387" s="238"/>
      <c r="AM387" s="239"/>
      <c r="AN387" s="239"/>
      <c r="AO387" s="9"/>
      <c r="AP387" s="9"/>
      <c r="AQ387" s="240"/>
      <c r="AR387" s="241"/>
      <c r="AS387" s="241"/>
      <c r="AT387" s="66"/>
      <c r="AU387" s="9"/>
      <c r="AV387" s="238"/>
      <c r="AW387" s="239"/>
      <c r="AX387" s="239"/>
      <c r="AY387" s="9"/>
      <c r="AZ387" s="9"/>
      <c r="BA387" s="238"/>
      <c r="BB387" s="239"/>
      <c r="BC387" s="239"/>
      <c r="BD387" s="9"/>
      <c r="BE387" s="9"/>
      <c r="BF387" s="238"/>
      <c r="BG387" s="239"/>
      <c r="BH387" s="239"/>
      <c r="BI387" s="9"/>
      <c r="BJ387" s="9"/>
      <c r="BK387" s="240"/>
      <c r="BL387" s="241"/>
      <c r="BM387" s="241"/>
      <c r="BN387" s="66"/>
      <c r="BO387" s="9"/>
      <c r="BP387" s="238"/>
      <c r="BQ387" s="239"/>
      <c r="BR387" s="239"/>
      <c r="BS387" s="9"/>
    </row>
    <row r="388" spans="2:71" ht="15" x14ac:dyDescent="0.25">
      <c r="B388" s="9"/>
      <c r="C388" s="91"/>
      <c r="D388" s="161"/>
      <c r="E388" s="91"/>
      <c r="F388" s="9"/>
      <c r="G388" s="9"/>
      <c r="H388" s="91"/>
      <c r="I388" s="195"/>
      <c r="J388" s="49"/>
      <c r="K388" s="161"/>
      <c r="L388" s="47"/>
      <c r="M388" s="9"/>
      <c r="N388" s="9"/>
      <c r="O388" s="91"/>
      <c r="P388" s="91"/>
      <c r="Q388" s="91"/>
      <c r="R388" s="9"/>
      <c r="S388" s="9"/>
      <c r="T388" s="91"/>
      <c r="U388" s="7"/>
      <c r="V388" s="91"/>
      <c r="W388" s="9"/>
      <c r="X388" s="9"/>
      <c r="Y388" s="91"/>
      <c r="Z388" s="7"/>
      <c r="AA388" s="91"/>
      <c r="AB388" s="9"/>
      <c r="AC388" s="9"/>
      <c r="AD388" s="48"/>
      <c r="AE388" s="49"/>
      <c r="AF388" s="91"/>
      <c r="AG388" s="9"/>
      <c r="AH388" s="9"/>
      <c r="AI388" s="91"/>
      <c r="AJ388" s="237"/>
      <c r="AK388" s="9"/>
      <c r="AL388" s="238"/>
      <c r="AM388" s="239"/>
      <c r="AN388" s="239"/>
      <c r="AO388" s="9"/>
      <c r="AP388" s="9"/>
      <c r="AQ388" s="240"/>
      <c r="AR388" s="241"/>
      <c r="AS388" s="241"/>
      <c r="AT388" s="66"/>
      <c r="AU388" s="9"/>
      <c r="AV388" s="238"/>
      <c r="AW388" s="239"/>
      <c r="AX388" s="239"/>
      <c r="AY388" s="9"/>
      <c r="AZ388" s="9"/>
      <c r="BA388" s="238"/>
      <c r="BB388" s="239"/>
      <c r="BC388" s="239"/>
      <c r="BD388" s="9"/>
      <c r="BE388" s="9"/>
      <c r="BF388" s="238"/>
      <c r="BG388" s="239"/>
      <c r="BH388" s="239"/>
      <c r="BI388" s="9"/>
      <c r="BJ388" s="9"/>
      <c r="BK388" s="240"/>
      <c r="BL388" s="241"/>
      <c r="BM388" s="241"/>
      <c r="BN388" s="66"/>
      <c r="BO388" s="9"/>
      <c r="BP388" s="238"/>
      <c r="BQ388" s="239"/>
      <c r="BR388" s="239"/>
      <c r="BS388" s="9"/>
    </row>
    <row r="389" spans="2:71" ht="15" x14ac:dyDescent="0.25">
      <c r="B389" s="9"/>
      <c r="C389" s="91"/>
      <c r="D389" s="161"/>
      <c r="E389" s="91"/>
      <c r="F389" s="9"/>
      <c r="G389" s="9"/>
      <c r="H389" s="91"/>
      <c r="I389" s="195"/>
      <c r="J389" s="49"/>
      <c r="K389" s="161"/>
      <c r="L389" s="47"/>
      <c r="M389" s="9"/>
      <c r="N389" s="9"/>
      <c r="O389" s="91"/>
      <c r="P389" s="91"/>
      <c r="Q389" s="91"/>
      <c r="R389" s="9"/>
      <c r="S389" s="9"/>
      <c r="T389" s="91"/>
      <c r="U389" s="7"/>
      <c r="V389" s="91"/>
      <c r="W389" s="9"/>
      <c r="X389" s="9"/>
      <c r="Y389" s="91"/>
      <c r="Z389" s="7"/>
      <c r="AA389" s="91"/>
      <c r="AB389" s="9"/>
      <c r="AC389" s="9"/>
      <c r="AD389" s="48"/>
      <c r="AE389" s="49"/>
      <c r="AF389" s="91"/>
      <c r="AG389" s="9"/>
      <c r="AH389" s="9"/>
      <c r="AI389" s="91"/>
      <c r="AJ389" s="237"/>
      <c r="AK389" s="9"/>
      <c r="AL389" s="238"/>
      <c r="AM389" s="239"/>
      <c r="AN389" s="239"/>
      <c r="AO389" s="9"/>
      <c r="AP389" s="9"/>
      <c r="AQ389" s="240"/>
      <c r="AR389" s="241"/>
      <c r="AS389" s="241"/>
      <c r="AT389" s="66"/>
      <c r="AU389" s="9"/>
      <c r="AV389" s="238"/>
      <c r="AW389" s="239"/>
      <c r="AX389" s="239"/>
      <c r="AY389" s="9"/>
      <c r="AZ389" s="9"/>
      <c r="BA389" s="238"/>
      <c r="BB389" s="239"/>
      <c r="BC389" s="239"/>
      <c r="BD389" s="9"/>
      <c r="BE389" s="9"/>
      <c r="BF389" s="238"/>
      <c r="BG389" s="239"/>
      <c r="BH389" s="239"/>
      <c r="BI389" s="9"/>
      <c r="BJ389" s="9"/>
      <c r="BK389" s="240"/>
      <c r="BL389" s="241"/>
      <c r="BM389" s="241"/>
      <c r="BN389" s="66"/>
      <c r="BO389" s="9"/>
      <c r="BP389" s="238"/>
      <c r="BQ389" s="239"/>
      <c r="BR389" s="239"/>
      <c r="BS389" s="9"/>
    </row>
    <row r="390" spans="2:71" ht="15" x14ac:dyDescent="0.25">
      <c r="B390" s="9"/>
      <c r="C390" s="91"/>
      <c r="D390" s="161"/>
      <c r="E390" s="91"/>
      <c r="F390" s="9"/>
      <c r="G390" s="9"/>
      <c r="H390" s="91"/>
      <c r="I390" s="195"/>
      <c r="J390" s="49"/>
      <c r="K390" s="161"/>
      <c r="L390" s="47"/>
      <c r="M390" s="9"/>
      <c r="N390" s="9"/>
      <c r="O390" s="91"/>
      <c r="P390" s="91"/>
      <c r="Q390" s="91"/>
      <c r="R390" s="9"/>
      <c r="S390" s="9"/>
      <c r="T390" s="91"/>
      <c r="U390" s="7"/>
      <c r="V390" s="91"/>
      <c r="W390" s="9"/>
      <c r="X390" s="9"/>
      <c r="Y390" s="91"/>
      <c r="Z390" s="7"/>
      <c r="AA390" s="91"/>
      <c r="AB390" s="9"/>
      <c r="AC390" s="9"/>
      <c r="AD390" s="48"/>
      <c r="AE390" s="49"/>
      <c r="AF390" s="91"/>
      <c r="AG390" s="9"/>
      <c r="AH390" s="9"/>
      <c r="AI390" s="91"/>
      <c r="AJ390" s="237"/>
      <c r="AK390" s="9"/>
      <c r="AL390" s="238"/>
      <c r="AM390" s="239"/>
      <c r="AN390" s="239"/>
      <c r="AO390" s="9"/>
      <c r="AP390" s="9"/>
      <c r="AQ390" s="240"/>
      <c r="AR390" s="241"/>
      <c r="AS390" s="241"/>
      <c r="AT390" s="66"/>
      <c r="AU390" s="9"/>
      <c r="AV390" s="238"/>
      <c r="AW390" s="239"/>
      <c r="AX390" s="239"/>
      <c r="AY390" s="9"/>
      <c r="AZ390" s="9"/>
      <c r="BA390" s="238"/>
      <c r="BB390" s="239"/>
      <c r="BC390" s="239"/>
      <c r="BD390" s="9"/>
      <c r="BE390" s="9"/>
      <c r="BF390" s="238"/>
      <c r="BG390" s="239"/>
      <c r="BH390" s="239"/>
      <c r="BI390" s="9"/>
      <c r="BJ390" s="9"/>
      <c r="BK390" s="240"/>
      <c r="BL390" s="241"/>
      <c r="BM390" s="241"/>
      <c r="BN390" s="66"/>
      <c r="BO390" s="9"/>
      <c r="BP390" s="238"/>
      <c r="BQ390" s="239"/>
      <c r="BR390" s="239"/>
      <c r="BS390" s="9"/>
    </row>
    <row r="391" spans="2:71" ht="15" x14ac:dyDescent="0.25">
      <c r="B391" s="9"/>
      <c r="C391" s="91"/>
      <c r="D391" s="161"/>
      <c r="E391" s="91"/>
      <c r="F391" s="9"/>
      <c r="G391" s="9"/>
      <c r="H391" s="91"/>
      <c r="I391" s="195"/>
      <c r="J391" s="49"/>
      <c r="K391" s="161"/>
      <c r="L391" s="47"/>
      <c r="M391" s="9"/>
      <c r="N391" s="9"/>
      <c r="O391" s="91"/>
      <c r="P391" s="91"/>
      <c r="Q391" s="91"/>
      <c r="R391" s="9"/>
      <c r="S391" s="9"/>
      <c r="T391" s="91"/>
      <c r="U391" s="7"/>
      <c r="V391" s="91"/>
      <c r="W391" s="9"/>
      <c r="X391" s="9"/>
      <c r="Y391" s="91"/>
      <c r="Z391" s="7"/>
      <c r="AA391" s="91"/>
      <c r="AB391" s="9"/>
      <c r="AC391" s="9"/>
      <c r="AD391" s="48"/>
      <c r="AE391" s="49"/>
      <c r="AF391" s="91"/>
      <c r="AG391" s="9"/>
      <c r="AH391" s="9"/>
      <c r="AI391" s="91"/>
      <c r="AJ391" s="237"/>
      <c r="AK391" s="9"/>
      <c r="AL391" s="238"/>
      <c r="AM391" s="239"/>
      <c r="AN391" s="239"/>
      <c r="AO391" s="9"/>
      <c r="AP391" s="9"/>
      <c r="AQ391" s="240"/>
      <c r="AR391" s="241"/>
      <c r="AS391" s="241"/>
      <c r="AT391" s="66"/>
      <c r="AU391" s="9"/>
      <c r="AV391" s="238"/>
      <c r="AW391" s="239"/>
      <c r="AX391" s="239"/>
      <c r="AY391" s="9"/>
      <c r="AZ391" s="9"/>
      <c r="BA391" s="238"/>
      <c r="BB391" s="239"/>
      <c r="BC391" s="239"/>
      <c r="BD391" s="9"/>
      <c r="BE391" s="9"/>
      <c r="BF391" s="238"/>
      <c r="BG391" s="239"/>
      <c r="BH391" s="239"/>
      <c r="BI391" s="9"/>
      <c r="BJ391" s="9"/>
      <c r="BK391" s="240"/>
      <c r="BL391" s="241"/>
      <c r="BM391" s="241"/>
      <c r="BN391" s="66"/>
      <c r="BO391" s="9"/>
      <c r="BP391" s="238"/>
      <c r="BQ391" s="239"/>
      <c r="BR391" s="239"/>
      <c r="BS391" s="9"/>
    </row>
    <row r="392" spans="2:71" ht="15" x14ac:dyDescent="0.25">
      <c r="B392" s="9"/>
      <c r="C392" s="91"/>
      <c r="D392" s="161"/>
      <c r="E392" s="91"/>
      <c r="F392" s="9"/>
      <c r="G392" s="9"/>
      <c r="H392" s="91"/>
      <c r="I392" s="195"/>
      <c r="J392" s="49"/>
      <c r="K392" s="161"/>
      <c r="L392" s="47"/>
      <c r="M392" s="9"/>
      <c r="N392" s="9"/>
      <c r="O392" s="91"/>
      <c r="P392" s="91"/>
      <c r="Q392" s="91"/>
      <c r="R392" s="9"/>
      <c r="S392" s="9"/>
      <c r="T392" s="91"/>
      <c r="U392" s="7"/>
      <c r="V392" s="91"/>
      <c r="W392" s="9"/>
      <c r="X392" s="9"/>
      <c r="Y392" s="91"/>
      <c r="Z392" s="7"/>
      <c r="AA392" s="91"/>
      <c r="AB392" s="9"/>
      <c r="AC392" s="9"/>
      <c r="AD392" s="48"/>
      <c r="AE392" s="49"/>
      <c r="AF392" s="91"/>
      <c r="AG392" s="9"/>
      <c r="AH392" s="9"/>
      <c r="AI392" s="91"/>
      <c r="AJ392" s="237"/>
      <c r="AK392" s="9"/>
      <c r="AL392" s="238"/>
      <c r="AM392" s="239"/>
      <c r="AN392" s="239"/>
      <c r="AO392" s="9"/>
      <c r="AP392" s="9"/>
      <c r="AQ392" s="240"/>
      <c r="AR392" s="241"/>
      <c r="AS392" s="241"/>
      <c r="AT392" s="66"/>
      <c r="AU392" s="9"/>
      <c r="AV392" s="238"/>
      <c r="AW392" s="239"/>
      <c r="AX392" s="239"/>
      <c r="AY392" s="9"/>
      <c r="AZ392" s="9"/>
      <c r="BA392" s="238"/>
      <c r="BB392" s="239"/>
      <c r="BC392" s="239"/>
      <c r="BD392" s="9"/>
      <c r="BE392" s="9"/>
      <c r="BF392" s="238"/>
      <c r="BG392" s="239"/>
      <c r="BH392" s="239"/>
      <c r="BI392" s="9"/>
      <c r="BJ392" s="9"/>
      <c r="BK392" s="240"/>
      <c r="BL392" s="241"/>
      <c r="BM392" s="241"/>
      <c r="BN392" s="66"/>
      <c r="BO392" s="9"/>
      <c r="BP392" s="238"/>
      <c r="BQ392" s="239"/>
      <c r="BR392" s="239"/>
      <c r="BS392" s="9"/>
    </row>
    <row r="393" spans="2:71" ht="15" x14ac:dyDescent="0.25">
      <c r="B393" s="9"/>
      <c r="C393" s="91"/>
      <c r="D393" s="161"/>
      <c r="E393" s="91"/>
      <c r="F393" s="9"/>
      <c r="G393" s="9"/>
      <c r="H393" s="91"/>
      <c r="I393" s="195"/>
      <c r="J393" s="49"/>
      <c r="K393" s="161"/>
      <c r="L393" s="47"/>
      <c r="M393" s="9"/>
      <c r="N393" s="9"/>
      <c r="O393" s="91"/>
      <c r="P393" s="91"/>
      <c r="Q393" s="91"/>
      <c r="R393" s="9"/>
      <c r="S393" s="9"/>
      <c r="T393" s="91"/>
      <c r="U393" s="7"/>
      <c r="V393" s="91"/>
      <c r="W393" s="9"/>
      <c r="X393" s="9"/>
      <c r="Y393" s="91"/>
      <c r="Z393" s="7"/>
      <c r="AA393" s="91"/>
      <c r="AB393" s="9"/>
      <c r="AC393" s="9"/>
      <c r="AD393" s="48"/>
      <c r="AE393" s="49"/>
      <c r="AF393" s="91"/>
      <c r="AG393" s="9"/>
      <c r="AH393" s="9"/>
      <c r="AI393" s="91"/>
      <c r="AJ393" s="237"/>
      <c r="AK393" s="9"/>
      <c r="AL393" s="238"/>
      <c r="AM393" s="239"/>
      <c r="AN393" s="239"/>
      <c r="AO393" s="9"/>
      <c r="AP393" s="9"/>
      <c r="AQ393" s="240"/>
      <c r="AR393" s="241"/>
      <c r="AS393" s="241"/>
      <c r="AT393" s="66"/>
      <c r="AU393" s="9"/>
      <c r="AV393" s="238"/>
      <c r="AW393" s="239"/>
      <c r="AX393" s="239"/>
      <c r="AY393" s="9"/>
      <c r="AZ393" s="9"/>
      <c r="BA393" s="238"/>
      <c r="BB393" s="239"/>
      <c r="BC393" s="239"/>
      <c r="BD393" s="9"/>
      <c r="BE393" s="9"/>
      <c r="BF393" s="238"/>
      <c r="BG393" s="239"/>
      <c r="BH393" s="239"/>
      <c r="BI393" s="9"/>
      <c r="BJ393" s="9"/>
      <c r="BK393" s="240"/>
      <c r="BL393" s="241"/>
      <c r="BM393" s="241"/>
      <c r="BN393" s="66"/>
      <c r="BO393" s="9"/>
      <c r="BP393" s="238"/>
      <c r="BQ393" s="239"/>
      <c r="BR393" s="239"/>
      <c r="BS393" s="9"/>
    </row>
    <row r="394" spans="2:71" ht="15" x14ac:dyDescent="0.25">
      <c r="B394" s="9"/>
      <c r="C394" s="91"/>
      <c r="D394" s="161"/>
      <c r="E394" s="91"/>
      <c r="F394" s="9"/>
      <c r="G394" s="9"/>
      <c r="H394" s="91"/>
      <c r="I394" s="195"/>
      <c r="J394" s="49"/>
      <c r="K394" s="161"/>
      <c r="L394" s="47"/>
      <c r="M394" s="9"/>
      <c r="N394" s="9"/>
      <c r="O394" s="91"/>
      <c r="P394" s="91"/>
      <c r="Q394" s="91"/>
      <c r="R394" s="9"/>
      <c r="S394" s="9"/>
      <c r="T394" s="91"/>
      <c r="U394" s="7"/>
      <c r="V394" s="91"/>
      <c r="W394" s="9"/>
      <c r="X394" s="9"/>
      <c r="Y394" s="91"/>
      <c r="Z394" s="7"/>
      <c r="AA394" s="91"/>
      <c r="AB394" s="9"/>
      <c r="AC394" s="9"/>
      <c r="AD394" s="48"/>
      <c r="AE394" s="49"/>
      <c r="AF394" s="91"/>
      <c r="AG394" s="9"/>
      <c r="AH394" s="9"/>
      <c r="AI394" s="91"/>
      <c r="AJ394" s="237"/>
      <c r="AK394" s="9"/>
      <c r="AL394" s="238"/>
      <c r="AM394" s="239"/>
      <c r="AN394" s="239"/>
      <c r="AO394" s="9"/>
      <c r="AP394" s="9"/>
      <c r="AQ394" s="240"/>
      <c r="AR394" s="241"/>
      <c r="AS394" s="241"/>
      <c r="AT394" s="66"/>
      <c r="AU394" s="9"/>
      <c r="AV394" s="238"/>
      <c r="AW394" s="239"/>
      <c r="AX394" s="239"/>
      <c r="AY394" s="9"/>
      <c r="AZ394" s="9"/>
      <c r="BA394" s="238"/>
      <c r="BB394" s="239"/>
      <c r="BC394" s="239"/>
      <c r="BD394" s="9"/>
      <c r="BE394" s="9"/>
      <c r="BF394" s="238"/>
      <c r="BG394" s="239"/>
      <c r="BH394" s="239"/>
      <c r="BI394" s="9"/>
      <c r="BJ394" s="9"/>
      <c r="BK394" s="240"/>
      <c r="BL394" s="241"/>
      <c r="BM394" s="241"/>
      <c r="BN394" s="66"/>
      <c r="BO394" s="9"/>
      <c r="BP394" s="238"/>
      <c r="BQ394" s="239"/>
      <c r="BR394" s="239"/>
      <c r="BS394" s="9"/>
    </row>
    <row r="395" spans="2:71" ht="15" x14ac:dyDescent="0.25">
      <c r="B395" s="9"/>
      <c r="C395" s="91"/>
      <c r="D395" s="161"/>
      <c r="E395" s="91"/>
      <c r="F395" s="9"/>
      <c r="G395" s="9"/>
      <c r="H395" s="91"/>
      <c r="I395" s="195"/>
      <c r="J395" s="49"/>
      <c r="K395" s="161"/>
      <c r="L395" s="47"/>
      <c r="M395" s="9"/>
      <c r="N395" s="9"/>
      <c r="O395" s="91"/>
      <c r="P395" s="91"/>
      <c r="Q395" s="91"/>
      <c r="R395" s="9"/>
      <c r="S395" s="9"/>
      <c r="T395" s="91"/>
      <c r="U395" s="7"/>
      <c r="V395" s="91"/>
      <c r="W395" s="9"/>
      <c r="X395" s="9"/>
      <c r="Y395" s="91"/>
      <c r="Z395" s="7"/>
      <c r="AA395" s="91"/>
      <c r="AB395" s="9"/>
      <c r="AC395" s="9"/>
      <c r="AD395" s="48"/>
      <c r="AE395" s="49"/>
      <c r="AF395" s="91"/>
      <c r="AG395" s="9"/>
      <c r="AH395" s="9"/>
      <c r="AI395" s="91"/>
      <c r="AJ395" s="237"/>
      <c r="AK395" s="9"/>
      <c r="AL395" s="238"/>
      <c r="AM395" s="239"/>
      <c r="AN395" s="239"/>
      <c r="AO395" s="9"/>
      <c r="AP395" s="9"/>
      <c r="AQ395" s="240"/>
      <c r="AR395" s="241"/>
      <c r="AS395" s="241"/>
      <c r="AT395" s="66"/>
      <c r="AU395" s="9"/>
      <c r="AV395" s="238"/>
      <c r="AW395" s="239"/>
      <c r="AX395" s="239"/>
      <c r="AY395" s="9"/>
      <c r="AZ395" s="9"/>
      <c r="BA395" s="238"/>
      <c r="BB395" s="239"/>
      <c r="BC395" s="239"/>
      <c r="BD395" s="9"/>
      <c r="BE395" s="9"/>
      <c r="BF395" s="238"/>
      <c r="BG395" s="239"/>
      <c r="BH395" s="239"/>
      <c r="BI395" s="9"/>
      <c r="BJ395" s="9"/>
      <c r="BK395" s="240"/>
      <c r="BL395" s="241"/>
      <c r="BM395" s="241"/>
      <c r="BN395" s="66"/>
      <c r="BO395" s="9"/>
      <c r="BP395" s="238"/>
      <c r="BQ395" s="239"/>
      <c r="BR395" s="239"/>
      <c r="BS395" s="9"/>
    </row>
    <row r="396" spans="2:71" ht="15" x14ac:dyDescent="0.25">
      <c r="B396" s="9"/>
      <c r="C396" s="91"/>
      <c r="D396" s="161"/>
      <c r="E396" s="91"/>
      <c r="F396" s="9"/>
      <c r="G396" s="9"/>
      <c r="H396" s="91"/>
      <c r="I396" s="195"/>
      <c r="J396" s="49"/>
      <c r="K396" s="161"/>
      <c r="L396" s="47"/>
      <c r="M396" s="9"/>
      <c r="N396" s="9"/>
      <c r="O396" s="91"/>
      <c r="P396" s="91"/>
      <c r="Q396" s="91"/>
      <c r="R396" s="9"/>
      <c r="S396" s="9"/>
      <c r="T396" s="91"/>
      <c r="U396" s="7"/>
      <c r="V396" s="91"/>
      <c r="W396" s="9"/>
      <c r="X396" s="9"/>
      <c r="Y396" s="91"/>
      <c r="Z396" s="7"/>
      <c r="AA396" s="91"/>
      <c r="AB396" s="9"/>
      <c r="AC396" s="9"/>
      <c r="AD396" s="48"/>
      <c r="AE396" s="49"/>
      <c r="AF396" s="91"/>
      <c r="AG396" s="9"/>
      <c r="AH396" s="9"/>
      <c r="AI396" s="91"/>
      <c r="AJ396" s="237"/>
      <c r="AK396" s="9"/>
      <c r="AL396" s="238"/>
      <c r="AM396" s="239"/>
      <c r="AN396" s="239"/>
      <c r="AO396" s="9"/>
      <c r="AP396" s="9"/>
      <c r="AQ396" s="240"/>
      <c r="AR396" s="241"/>
      <c r="AS396" s="241"/>
      <c r="AT396" s="66"/>
      <c r="AU396" s="9"/>
      <c r="AV396" s="238"/>
      <c r="AW396" s="239"/>
      <c r="AX396" s="239"/>
      <c r="AY396" s="9"/>
      <c r="AZ396" s="9"/>
      <c r="BA396" s="238"/>
      <c r="BB396" s="239"/>
      <c r="BC396" s="239"/>
      <c r="BD396" s="9"/>
      <c r="BE396" s="9"/>
      <c r="BF396" s="238"/>
      <c r="BG396" s="239"/>
      <c r="BH396" s="239"/>
      <c r="BI396" s="9"/>
      <c r="BJ396" s="9"/>
      <c r="BK396" s="240"/>
      <c r="BL396" s="241"/>
      <c r="BM396" s="241"/>
      <c r="BN396" s="66"/>
      <c r="BO396" s="9"/>
      <c r="BP396" s="238"/>
      <c r="BQ396" s="239"/>
      <c r="BR396" s="239"/>
      <c r="BS396" s="9"/>
    </row>
    <row r="397" spans="2:71" ht="15" x14ac:dyDescent="0.25">
      <c r="B397" s="9"/>
      <c r="C397" s="91"/>
      <c r="D397" s="161"/>
      <c r="E397" s="91"/>
      <c r="F397" s="9"/>
      <c r="G397" s="9"/>
      <c r="H397" s="91"/>
      <c r="I397" s="195"/>
      <c r="J397" s="49"/>
      <c r="K397" s="161"/>
      <c r="L397" s="47"/>
      <c r="M397" s="9"/>
      <c r="N397" s="9"/>
      <c r="O397" s="91"/>
      <c r="P397" s="91"/>
      <c r="Q397" s="91"/>
      <c r="R397" s="9"/>
      <c r="S397" s="9"/>
      <c r="T397" s="91"/>
      <c r="U397" s="7"/>
      <c r="V397" s="91"/>
      <c r="W397" s="9"/>
      <c r="X397" s="9"/>
      <c r="Y397" s="91"/>
      <c r="Z397" s="7"/>
      <c r="AA397" s="91"/>
      <c r="AB397" s="9"/>
      <c r="AC397" s="9"/>
      <c r="AD397" s="48"/>
      <c r="AE397" s="49"/>
      <c r="AF397" s="91"/>
      <c r="AG397" s="9"/>
      <c r="AH397" s="9"/>
      <c r="AI397" s="91"/>
      <c r="AJ397" s="237"/>
      <c r="AK397" s="9"/>
      <c r="AL397" s="238"/>
      <c r="AM397" s="239"/>
      <c r="AN397" s="239"/>
      <c r="AO397" s="9"/>
      <c r="AP397" s="9"/>
      <c r="AQ397" s="240"/>
      <c r="AR397" s="241"/>
      <c r="AS397" s="241"/>
      <c r="AT397" s="66"/>
      <c r="AU397" s="9"/>
      <c r="AV397" s="238"/>
      <c r="AW397" s="239"/>
      <c r="AX397" s="239"/>
      <c r="AY397" s="9"/>
      <c r="AZ397" s="9"/>
      <c r="BA397" s="238"/>
      <c r="BB397" s="239"/>
      <c r="BC397" s="239"/>
      <c r="BD397" s="9"/>
      <c r="BE397" s="9"/>
      <c r="BF397" s="238"/>
      <c r="BG397" s="239"/>
      <c r="BH397" s="239"/>
      <c r="BI397" s="9"/>
      <c r="BJ397" s="9"/>
      <c r="BK397" s="240"/>
      <c r="BL397" s="241"/>
      <c r="BM397" s="241"/>
      <c r="BN397" s="66"/>
      <c r="BO397" s="9"/>
      <c r="BP397" s="238"/>
      <c r="BQ397" s="239"/>
      <c r="BR397" s="239"/>
      <c r="BS397" s="9"/>
    </row>
    <row r="398" spans="2:71" ht="15" x14ac:dyDescent="0.25">
      <c r="B398" s="9"/>
      <c r="C398" s="91"/>
      <c r="D398" s="161"/>
      <c r="E398" s="91"/>
      <c r="F398" s="9"/>
      <c r="G398" s="9"/>
      <c r="H398" s="91"/>
      <c r="I398" s="195"/>
      <c r="J398" s="49"/>
      <c r="K398" s="161"/>
      <c r="L398" s="47"/>
      <c r="M398" s="9"/>
      <c r="N398" s="9"/>
      <c r="O398" s="91"/>
      <c r="P398" s="91"/>
      <c r="Q398" s="91"/>
      <c r="R398" s="9"/>
      <c r="S398" s="9"/>
      <c r="T398" s="91"/>
      <c r="U398" s="7"/>
      <c r="V398" s="91"/>
      <c r="W398" s="9"/>
      <c r="X398" s="9"/>
      <c r="Y398" s="91"/>
      <c r="Z398" s="7"/>
      <c r="AA398" s="91"/>
      <c r="AB398" s="9"/>
      <c r="AC398" s="9"/>
      <c r="AD398" s="48"/>
      <c r="AE398" s="49"/>
      <c r="AF398" s="91"/>
      <c r="AG398" s="9"/>
      <c r="AH398" s="9"/>
      <c r="AI398" s="91"/>
      <c r="AJ398" s="237"/>
      <c r="AK398" s="9"/>
      <c r="AL398" s="238"/>
      <c r="AM398" s="239"/>
      <c r="AN398" s="239"/>
      <c r="AO398" s="9"/>
      <c r="AP398" s="9"/>
      <c r="AQ398" s="240"/>
      <c r="AR398" s="241"/>
      <c r="AS398" s="241"/>
      <c r="AT398" s="66"/>
      <c r="AU398" s="9"/>
      <c r="AV398" s="238"/>
      <c r="AW398" s="239"/>
      <c r="AX398" s="239"/>
      <c r="AY398" s="9"/>
      <c r="AZ398" s="9"/>
      <c r="BA398" s="238"/>
      <c r="BB398" s="239"/>
      <c r="BC398" s="239"/>
      <c r="BD398" s="9"/>
      <c r="BE398" s="9"/>
      <c r="BF398" s="238"/>
      <c r="BG398" s="239"/>
      <c r="BH398" s="239"/>
      <c r="BI398" s="9"/>
      <c r="BJ398" s="9"/>
      <c r="BK398" s="240"/>
      <c r="BL398" s="241"/>
      <c r="BM398" s="241"/>
      <c r="BN398" s="66"/>
      <c r="BO398" s="9"/>
      <c r="BP398" s="238"/>
      <c r="BQ398" s="239"/>
      <c r="BR398" s="239"/>
      <c r="BS398" s="9"/>
    </row>
    <row r="399" spans="2:71" ht="15" x14ac:dyDescent="0.25">
      <c r="B399" s="9"/>
      <c r="C399" s="91"/>
      <c r="D399" s="161"/>
      <c r="E399" s="91"/>
      <c r="F399" s="9"/>
      <c r="G399" s="9"/>
      <c r="H399" s="91"/>
      <c r="I399" s="195"/>
      <c r="J399" s="49"/>
      <c r="K399" s="161"/>
      <c r="L399" s="47"/>
      <c r="M399" s="9"/>
      <c r="N399" s="9"/>
      <c r="O399" s="91"/>
      <c r="P399" s="91"/>
      <c r="Q399" s="91"/>
      <c r="R399" s="9"/>
      <c r="S399" s="9"/>
      <c r="T399" s="91"/>
      <c r="U399" s="7"/>
      <c r="V399" s="91"/>
      <c r="W399" s="9"/>
      <c r="X399" s="9"/>
      <c r="Y399" s="91"/>
      <c r="Z399" s="7"/>
      <c r="AA399" s="91"/>
      <c r="AB399" s="9"/>
      <c r="AC399" s="9"/>
      <c r="AD399" s="48"/>
      <c r="AE399" s="49"/>
      <c r="AF399" s="91"/>
      <c r="AG399" s="9"/>
      <c r="AH399" s="9"/>
      <c r="AI399" s="91"/>
      <c r="AJ399" s="237"/>
      <c r="AK399" s="9"/>
      <c r="AL399" s="238"/>
      <c r="AM399" s="239"/>
      <c r="AN399" s="239"/>
      <c r="AO399" s="9"/>
      <c r="AP399" s="9"/>
      <c r="AQ399" s="240"/>
      <c r="AR399" s="241"/>
      <c r="AS399" s="241"/>
      <c r="AT399" s="66"/>
      <c r="AU399" s="9"/>
      <c r="AV399" s="238"/>
      <c r="AW399" s="239"/>
      <c r="AX399" s="239"/>
      <c r="AY399" s="9"/>
      <c r="AZ399" s="9"/>
      <c r="BA399" s="238"/>
      <c r="BB399" s="239"/>
      <c r="BC399" s="239"/>
      <c r="BD399" s="9"/>
      <c r="BE399" s="9"/>
      <c r="BF399" s="238"/>
      <c r="BG399" s="239"/>
      <c r="BH399" s="239"/>
      <c r="BI399" s="9"/>
      <c r="BJ399" s="9"/>
      <c r="BK399" s="240"/>
      <c r="BL399" s="241"/>
      <c r="BM399" s="241"/>
      <c r="BN399" s="66"/>
      <c r="BO399" s="9"/>
      <c r="BP399" s="238"/>
      <c r="BQ399" s="239"/>
      <c r="BR399" s="239"/>
      <c r="BS399" s="9"/>
    </row>
    <row r="400" spans="2:71" ht="15" x14ac:dyDescent="0.25">
      <c r="B400" s="9"/>
      <c r="C400" s="91"/>
      <c r="D400" s="161"/>
      <c r="E400" s="91"/>
      <c r="F400" s="9"/>
      <c r="G400" s="9"/>
      <c r="H400" s="91"/>
      <c r="I400" s="195"/>
      <c r="J400" s="49"/>
      <c r="K400" s="161"/>
      <c r="L400" s="47"/>
      <c r="M400" s="9"/>
      <c r="N400" s="9"/>
      <c r="O400" s="91"/>
      <c r="P400" s="91"/>
      <c r="Q400" s="91"/>
      <c r="R400" s="9"/>
      <c r="S400" s="9"/>
      <c r="T400" s="91"/>
      <c r="U400" s="7"/>
      <c r="V400" s="91"/>
      <c r="W400" s="9"/>
      <c r="X400" s="9"/>
      <c r="Y400" s="91"/>
      <c r="Z400" s="7"/>
      <c r="AA400" s="91"/>
      <c r="AB400" s="9"/>
      <c r="AC400" s="9"/>
      <c r="AD400" s="48"/>
      <c r="AE400" s="49"/>
      <c r="AF400" s="91"/>
      <c r="AG400" s="9"/>
      <c r="AH400" s="9"/>
      <c r="AI400" s="91"/>
      <c r="AJ400" s="237"/>
      <c r="AK400" s="9"/>
      <c r="AL400" s="238"/>
      <c r="AM400" s="239"/>
      <c r="AN400" s="239"/>
      <c r="AO400" s="9"/>
      <c r="AP400" s="9"/>
      <c r="AQ400" s="240"/>
      <c r="AR400" s="241"/>
      <c r="AS400" s="241"/>
      <c r="AT400" s="66"/>
      <c r="AU400" s="9"/>
      <c r="AV400" s="238"/>
      <c r="AW400" s="239"/>
      <c r="AX400" s="239"/>
      <c r="AY400" s="9"/>
      <c r="AZ400" s="9"/>
      <c r="BA400" s="238"/>
      <c r="BB400" s="239"/>
      <c r="BC400" s="239"/>
      <c r="BD400" s="9"/>
      <c r="BE400" s="9"/>
      <c r="BF400" s="238"/>
      <c r="BG400" s="239"/>
      <c r="BH400" s="239"/>
      <c r="BI400" s="9"/>
      <c r="BJ400" s="9"/>
      <c r="BK400" s="240"/>
      <c r="BL400" s="241"/>
      <c r="BM400" s="241"/>
      <c r="BN400" s="66"/>
      <c r="BO400" s="9"/>
      <c r="BP400" s="238"/>
      <c r="BQ400" s="239"/>
      <c r="BR400" s="239"/>
      <c r="BS400" s="9"/>
    </row>
    <row r="401" spans="2:71" ht="15" x14ac:dyDescent="0.25">
      <c r="B401" s="9"/>
      <c r="C401" s="91"/>
      <c r="D401" s="161"/>
      <c r="E401" s="91"/>
      <c r="F401" s="9"/>
      <c r="G401" s="9"/>
      <c r="H401" s="91"/>
      <c r="I401" s="195"/>
      <c r="J401" s="49"/>
      <c r="K401" s="161"/>
      <c r="L401" s="47"/>
      <c r="M401" s="9"/>
      <c r="N401" s="9"/>
      <c r="O401" s="91"/>
      <c r="P401" s="91"/>
      <c r="Q401" s="91"/>
      <c r="R401" s="9"/>
      <c r="S401" s="9"/>
      <c r="T401" s="91"/>
      <c r="U401" s="7"/>
      <c r="V401" s="91"/>
      <c r="W401" s="9"/>
      <c r="X401" s="9"/>
      <c r="Y401" s="91"/>
      <c r="Z401" s="7"/>
      <c r="AA401" s="91"/>
      <c r="AB401" s="9"/>
      <c r="AC401" s="9"/>
      <c r="AD401" s="48"/>
      <c r="AE401" s="49"/>
      <c r="AF401" s="91"/>
      <c r="AG401" s="9"/>
      <c r="AH401" s="9"/>
      <c r="AI401" s="91"/>
      <c r="AJ401" s="237"/>
      <c r="AK401" s="9"/>
      <c r="AL401" s="238"/>
      <c r="AM401" s="239"/>
      <c r="AN401" s="239"/>
      <c r="AO401" s="9"/>
      <c r="AP401" s="9"/>
      <c r="AQ401" s="240"/>
      <c r="AR401" s="241"/>
      <c r="AS401" s="241"/>
      <c r="AT401" s="66"/>
      <c r="AU401" s="9"/>
      <c r="AV401" s="238"/>
      <c r="AW401" s="239"/>
      <c r="AX401" s="239"/>
      <c r="AY401" s="9"/>
      <c r="AZ401" s="9"/>
      <c r="BA401" s="238"/>
      <c r="BB401" s="239"/>
      <c r="BC401" s="239"/>
      <c r="BD401" s="9"/>
      <c r="BE401" s="9"/>
      <c r="BF401" s="238"/>
      <c r="BG401" s="239"/>
      <c r="BH401" s="239"/>
      <c r="BI401" s="9"/>
      <c r="BJ401" s="9"/>
      <c r="BK401" s="240"/>
      <c r="BL401" s="241"/>
      <c r="BM401" s="241"/>
      <c r="BN401" s="66"/>
      <c r="BO401" s="9"/>
      <c r="BP401" s="238"/>
      <c r="BQ401" s="239"/>
      <c r="BR401" s="239"/>
      <c r="BS401" s="9"/>
    </row>
    <row r="402" spans="2:71" ht="15" x14ac:dyDescent="0.25">
      <c r="B402" s="9"/>
      <c r="C402" s="91"/>
      <c r="D402" s="161"/>
      <c r="E402" s="91"/>
      <c r="F402" s="9"/>
      <c r="G402" s="9"/>
      <c r="H402" s="91"/>
      <c r="I402" s="195"/>
      <c r="J402" s="49"/>
      <c r="K402" s="161"/>
      <c r="L402" s="47"/>
      <c r="M402" s="9"/>
      <c r="N402" s="9"/>
      <c r="O402" s="91"/>
      <c r="P402" s="91"/>
      <c r="Q402" s="91"/>
      <c r="R402" s="9"/>
      <c r="S402" s="9"/>
      <c r="T402" s="91"/>
      <c r="U402" s="7"/>
      <c r="V402" s="91"/>
      <c r="W402" s="9"/>
      <c r="X402" s="9"/>
      <c r="Y402" s="91"/>
      <c r="Z402" s="7"/>
      <c r="AA402" s="91"/>
      <c r="AB402" s="9"/>
      <c r="AC402" s="9"/>
      <c r="AD402" s="48"/>
      <c r="AE402" s="49"/>
      <c r="AF402" s="91"/>
      <c r="AG402" s="9"/>
      <c r="AH402" s="9"/>
      <c r="AI402" s="91"/>
      <c r="AJ402" s="237"/>
      <c r="AK402" s="9"/>
      <c r="AL402" s="238"/>
      <c r="AM402" s="239"/>
      <c r="AN402" s="239"/>
      <c r="AO402" s="9"/>
      <c r="AP402" s="9"/>
      <c r="AQ402" s="240"/>
      <c r="AR402" s="241"/>
      <c r="AS402" s="241"/>
      <c r="AT402" s="66"/>
      <c r="AU402" s="9"/>
      <c r="AV402" s="238"/>
      <c r="AW402" s="239"/>
      <c r="AX402" s="239"/>
      <c r="AY402" s="9"/>
      <c r="AZ402" s="9"/>
      <c r="BA402" s="238"/>
      <c r="BB402" s="239"/>
      <c r="BC402" s="239"/>
      <c r="BD402" s="9"/>
      <c r="BE402" s="9"/>
      <c r="BF402" s="238"/>
      <c r="BG402" s="239"/>
      <c r="BH402" s="239"/>
      <c r="BI402" s="9"/>
      <c r="BJ402" s="9"/>
      <c r="BK402" s="240"/>
      <c r="BL402" s="241"/>
      <c r="BM402" s="241"/>
      <c r="BN402" s="66"/>
      <c r="BO402" s="9"/>
      <c r="BP402" s="238"/>
      <c r="BQ402" s="239"/>
      <c r="BR402" s="239"/>
      <c r="BS402" s="9"/>
    </row>
    <row r="403" spans="2:71" ht="15" x14ac:dyDescent="0.25">
      <c r="B403" s="9"/>
      <c r="C403" s="91"/>
      <c r="D403" s="161"/>
      <c r="E403" s="91"/>
      <c r="F403" s="9"/>
      <c r="G403" s="9"/>
      <c r="H403" s="91"/>
      <c r="I403" s="195"/>
      <c r="J403" s="49"/>
      <c r="K403" s="161"/>
      <c r="L403" s="47"/>
      <c r="M403" s="9"/>
      <c r="N403" s="9"/>
      <c r="O403" s="91"/>
      <c r="P403" s="91"/>
      <c r="Q403" s="91"/>
      <c r="R403" s="9"/>
      <c r="S403" s="9"/>
      <c r="T403" s="91"/>
      <c r="U403" s="7"/>
      <c r="V403" s="91"/>
      <c r="W403" s="9"/>
      <c r="X403" s="9"/>
      <c r="Y403" s="91"/>
      <c r="Z403" s="7"/>
      <c r="AA403" s="91"/>
      <c r="AB403" s="9"/>
      <c r="AC403" s="9"/>
      <c r="AD403" s="48"/>
      <c r="AE403" s="49"/>
      <c r="AF403" s="91"/>
      <c r="AG403" s="9"/>
      <c r="AH403" s="9"/>
      <c r="AI403" s="91"/>
      <c r="AJ403" s="237"/>
      <c r="AK403" s="9"/>
      <c r="AL403" s="238"/>
      <c r="AM403" s="239"/>
      <c r="AN403" s="239"/>
      <c r="AO403" s="9"/>
      <c r="AP403" s="9"/>
      <c r="AQ403" s="240"/>
      <c r="AR403" s="241"/>
      <c r="AS403" s="241"/>
      <c r="AT403" s="66"/>
      <c r="AU403" s="9"/>
      <c r="AV403" s="238"/>
      <c r="AW403" s="239"/>
      <c r="AX403" s="239"/>
      <c r="AY403" s="9"/>
      <c r="AZ403" s="9"/>
      <c r="BA403" s="238"/>
      <c r="BB403" s="239"/>
      <c r="BC403" s="239"/>
      <c r="BD403" s="9"/>
      <c r="BE403" s="9"/>
      <c r="BF403" s="238"/>
      <c r="BG403" s="239"/>
      <c r="BH403" s="239"/>
      <c r="BI403" s="9"/>
      <c r="BJ403" s="9"/>
      <c r="BK403" s="240"/>
      <c r="BL403" s="241"/>
      <c r="BM403" s="241"/>
      <c r="BN403" s="66"/>
      <c r="BO403" s="9"/>
      <c r="BP403" s="238"/>
      <c r="BQ403" s="239"/>
      <c r="BR403" s="239"/>
      <c r="BS403" s="9"/>
    </row>
    <row r="404" spans="2:71" ht="15" x14ac:dyDescent="0.25">
      <c r="B404" s="9"/>
      <c r="C404" s="91"/>
      <c r="D404" s="161"/>
      <c r="E404" s="91"/>
      <c r="F404" s="9"/>
      <c r="G404" s="9"/>
      <c r="H404" s="91"/>
      <c r="I404" s="195"/>
      <c r="J404" s="49"/>
      <c r="K404" s="161"/>
      <c r="L404" s="47"/>
      <c r="M404" s="9"/>
      <c r="N404" s="9"/>
      <c r="O404" s="91"/>
      <c r="P404" s="91"/>
      <c r="Q404" s="91"/>
      <c r="R404" s="9"/>
      <c r="S404" s="9"/>
      <c r="T404" s="91"/>
      <c r="U404" s="7"/>
      <c r="V404" s="91"/>
      <c r="W404" s="9"/>
      <c r="X404" s="9"/>
      <c r="Y404" s="91"/>
      <c r="Z404" s="7"/>
      <c r="AA404" s="91"/>
      <c r="AB404" s="9"/>
      <c r="AC404" s="9"/>
      <c r="AD404" s="48"/>
      <c r="AE404" s="49"/>
      <c r="AF404" s="91"/>
      <c r="AG404" s="9"/>
      <c r="AH404" s="9"/>
      <c r="AI404" s="91"/>
      <c r="AJ404" s="237"/>
      <c r="AK404" s="9"/>
      <c r="AL404" s="238"/>
      <c r="AM404" s="239"/>
      <c r="AN404" s="239"/>
      <c r="AO404" s="9"/>
      <c r="AP404" s="9"/>
      <c r="AQ404" s="240"/>
      <c r="AR404" s="241"/>
      <c r="AS404" s="241"/>
      <c r="AT404" s="66"/>
      <c r="AU404" s="9"/>
      <c r="AV404" s="238"/>
      <c r="AW404" s="239"/>
      <c r="AX404" s="239"/>
      <c r="AY404" s="9"/>
      <c r="AZ404" s="9"/>
      <c r="BA404" s="238"/>
      <c r="BB404" s="239"/>
      <c r="BC404" s="239"/>
      <c r="BD404" s="9"/>
      <c r="BE404" s="9"/>
      <c r="BF404" s="238"/>
      <c r="BG404" s="239"/>
      <c r="BH404" s="239"/>
      <c r="BI404" s="9"/>
      <c r="BJ404" s="9"/>
      <c r="BK404" s="240"/>
      <c r="BL404" s="241"/>
      <c r="BM404" s="241"/>
      <c r="BN404" s="66"/>
      <c r="BO404" s="9"/>
      <c r="BP404" s="238"/>
      <c r="BQ404" s="239"/>
      <c r="BR404" s="239"/>
      <c r="BS404" s="9"/>
    </row>
    <row r="405" spans="2:71" ht="15" x14ac:dyDescent="0.25">
      <c r="B405" s="9"/>
      <c r="C405" s="91"/>
      <c r="D405" s="161"/>
      <c r="E405" s="91"/>
      <c r="F405" s="9"/>
      <c r="G405" s="9"/>
      <c r="H405" s="91"/>
      <c r="I405" s="195"/>
      <c r="J405" s="49"/>
      <c r="K405" s="161"/>
      <c r="L405" s="47"/>
      <c r="M405" s="9"/>
      <c r="N405" s="9"/>
      <c r="O405" s="91"/>
      <c r="P405" s="91"/>
      <c r="Q405" s="91"/>
      <c r="R405" s="9"/>
      <c r="S405" s="9"/>
      <c r="T405" s="91"/>
      <c r="U405" s="7"/>
      <c r="V405" s="91"/>
      <c r="W405" s="9"/>
      <c r="X405" s="9"/>
      <c r="Y405" s="91"/>
      <c r="Z405" s="7"/>
      <c r="AA405" s="91"/>
      <c r="AB405" s="9"/>
      <c r="AC405" s="9"/>
      <c r="AD405" s="48"/>
      <c r="AE405" s="49"/>
      <c r="AF405" s="91"/>
      <c r="AG405" s="9"/>
      <c r="AH405" s="9"/>
      <c r="AI405" s="91"/>
      <c r="AJ405" s="237"/>
      <c r="AK405" s="9"/>
      <c r="AL405" s="238"/>
      <c r="AM405" s="239"/>
      <c r="AN405" s="239"/>
      <c r="AO405" s="9"/>
      <c r="AP405" s="9"/>
      <c r="AQ405" s="240"/>
      <c r="AR405" s="241"/>
      <c r="AS405" s="241"/>
      <c r="AT405" s="66"/>
      <c r="AU405" s="9"/>
      <c r="AV405" s="238"/>
      <c r="AW405" s="239"/>
      <c r="AX405" s="239"/>
      <c r="AY405" s="9"/>
      <c r="AZ405" s="9"/>
      <c r="BA405" s="238"/>
      <c r="BB405" s="239"/>
      <c r="BC405" s="239"/>
      <c r="BD405" s="9"/>
      <c r="BE405" s="9"/>
      <c r="BF405" s="238"/>
      <c r="BG405" s="239"/>
      <c r="BH405" s="239"/>
      <c r="BI405" s="9"/>
      <c r="BJ405" s="9"/>
      <c r="BK405" s="240"/>
      <c r="BL405" s="241"/>
      <c r="BM405" s="241"/>
      <c r="BN405" s="66"/>
      <c r="BO405" s="9"/>
      <c r="BP405" s="238"/>
      <c r="BQ405" s="239"/>
      <c r="BR405" s="239"/>
      <c r="BS405" s="9"/>
    </row>
    <row r="406" spans="2:71" ht="15" x14ac:dyDescent="0.25">
      <c r="B406" s="9"/>
      <c r="C406" s="91"/>
      <c r="D406" s="161"/>
      <c r="E406" s="91"/>
      <c r="F406" s="9"/>
      <c r="G406" s="9"/>
      <c r="H406" s="91"/>
      <c r="I406" s="195"/>
      <c r="J406" s="49"/>
      <c r="K406" s="161"/>
      <c r="L406" s="47"/>
      <c r="M406" s="9"/>
      <c r="N406" s="9"/>
      <c r="O406" s="91"/>
      <c r="P406" s="91"/>
      <c r="Q406" s="91"/>
      <c r="R406" s="9"/>
      <c r="S406" s="9"/>
      <c r="T406" s="91"/>
      <c r="U406" s="7"/>
      <c r="V406" s="91"/>
      <c r="W406" s="9"/>
      <c r="X406" s="9"/>
      <c r="Y406" s="91"/>
      <c r="Z406" s="7"/>
      <c r="AA406" s="91"/>
      <c r="AB406" s="9"/>
      <c r="AC406" s="9"/>
      <c r="AD406" s="48"/>
      <c r="AE406" s="49"/>
      <c r="AF406" s="91"/>
      <c r="AG406" s="9"/>
      <c r="AH406" s="9"/>
      <c r="AI406" s="91"/>
      <c r="AJ406" s="237"/>
      <c r="AK406" s="9"/>
      <c r="AL406" s="238"/>
      <c r="AM406" s="239"/>
      <c r="AN406" s="239"/>
      <c r="AO406" s="9"/>
      <c r="AP406" s="9"/>
      <c r="AQ406" s="240"/>
      <c r="AR406" s="241"/>
      <c r="AS406" s="241"/>
      <c r="AT406" s="66"/>
      <c r="AU406" s="9"/>
      <c r="AV406" s="238"/>
      <c r="AW406" s="239"/>
      <c r="AX406" s="239"/>
      <c r="AY406" s="9"/>
      <c r="AZ406" s="9"/>
      <c r="BA406" s="238"/>
      <c r="BB406" s="239"/>
      <c r="BC406" s="239"/>
      <c r="BD406" s="9"/>
      <c r="BE406" s="9"/>
      <c r="BF406" s="238"/>
      <c r="BG406" s="239"/>
      <c r="BH406" s="239"/>
      <c r="BI406" s="9"/>
      <c r="BJ406" s="9"/>
      <c r="BK406" s="240"/>
      <c r="BL406" s="241"/>
      <c r="BM406" s="241"/>
      <c r="BN406" s="66"/>
      <c r="BO406" s="9"/>
      <c r="BP406" s="238"/>
      <c r="BQ406" s="239"/>
      <c r="BR406" s="239"/>
      <c r="BS406" s="9"/>
    </row>
    <row r="407" spans="2:71" ht="15" x14ac:dyDescent="0.25">
      <c r="B407" s="9"/>
      <c r="C407" s="91"/>
      <c r="D407" s="161"/>
      <c r="E407" s="91"/>
      <c r="F407" s="9"/>
      <c r="G407" s="9"/>
      <c r="H407" s="91"/>
      <c r="I407" s="195"/>
      <c r="J407" s="49"/>
      <c r="K407" s="161"/>
      <c r="L407" s="47"/>
      <c r="M407" s="9"/>
      <c r="N407" s="9"/>
      <c r="O407" s="91"/>
      <c r="P407" s="91"/>
      <c r="Q407" s="91"/>
      <c r="R407" s="9"/>
      <c r="S407" s="9"/>
      <c r="T407" s="91"/>
      <c r="U407" s="7"/>
      <c r="V407" s="91"/>
      <c r="W407" s="9"/>
      <c r="X407" s="9"/>
      <c r="Y407" s="91"/>
      <c r="Z407" s="7"/>
      <c r="AA407" s="91"/>
      <c r="AB407" s="9"/>
      <c r="AC407" s="9"/>
      <c r="AD407" s="48"/>
      <c r="AE407" s="49"/>
      <c r="AF407" s="91"/>
      <c r="AG407" s="9"/>
      <c r="AH407" s="9"/>
      <c r="AI407" s="91"/>
      <c r="AJ407" s="237"/>
      <c r="AK407" s="9"/>
      <c r="AL407" s="238"/>
      <c r="AM407" s="239"/>
      <c r="AN407" s="239"/>
      <c r="AO407" s="9"/>
      <c r="AP407" s="9"/>
      <c r="AQ407" s="240"/>
      <c r="AR407" s="241"/>
      <c r="AS407" s="241"/>
      <c r="AT407" s="66"/>
      <c r="AU407" s="9"/>
      <c r="AV407" s="238"/>
      <c r="AW407" s="239"/>
      <c r="AX407" s="239"/>
      <c r="AY407" s="9"/>
      <c r="AZ407" s="9"/>
      <c r="BA407" s="238"/>
      <c r="BB407" s="239"/>
      <c r="BC407" s="239"/>
      <c r="BD407" s="9"/>
      <c r="BE407" s="9"/>
      <c r="BF407" s="238"/>
      <c r="BG407" s="239"/>
      <c r="BH407" s="239"/>
      <c r="BI407" s="9"/>
      <c r="BJ407" s="9"/>
      <c r="BK407" s="240"/>
      <c r="BL407" s="241"/>
      <c r="BM407" s="241"/>
      <c r="BN407" s="66"/>
      <c r="BO407" s="9"/>
      <c r="BP407" s="238"/>
      <c r="BQ407" s="239"/>
      <c r="BR407" s="239"/>
      <c r="BS407" s="9"/>
    </row>
    <row r="408" spans="2:71" ht="15" x14ac:dyDescent="0.25">
      <c r="B408" s="9"/>
      <c r="C408" s="91"/>
      <c r="D408" s="161"/>
      <c r="E408" s="91"/>
      <c r="F408" s="9"/>
      <c r="G408" s="9"/>
      <c r="H408" s="91"/>
      <c r="I408" s="195"/>
      <c r="J408" s="49"/>
      <c r="K408" s="161"/>
      <c r="L408" s="47"/>
      <c r="M408" s="9"/>
      <c r="N408" s="9"/>
      <c r="O408" s="91"/>
      <c r="P408" s="91"/>
      <c r="Q408" s="91"/>
      <c r="R408" s="9"/>
      <c r="S408" s="9"/>
      <c r="T408" s="91"/>
      <c r="U408" s="7"/>
      <c r="V408" s="91"/>
      <c r="W408" s="9"/>
      <c r="X408" s="9"/>
      <c r="Y408" s="91"/>
      <c r="Z408" s="7"/>
      <c r="AA408" s="91"/>
      <c r="AB408" s="9"/>
      <c r="AC408" s="9"/>
      <c r="AD408" s="48"/>
      <c r="AE408" s="49"/>
      <c r="AF408" s="91"/>
      <c r="AG408" s="9"/>
      <c r="AH408" s="9"/>
      <c r="AI408" s="91"/>
      <c r="AJ408" s="237"/>
      <c r="AK408" s="9"/>
      <c r="AL408" s="238"/>
      <c r="AM408" s="239"/>
      <c r="AN408" s="239"/>
      <c r="AO408" s="9"/>
      <c r="AP408" s="9"/>
      <c r="AQ408" s="240"/>
      <c r="AR408" s="241"/>
      <c r="AS408" s="241"/>
      <c r="AT408" s="66"/>
      <c r="AU408" s="9"/>
      <c r="AV408" s="238"/>
      <c r="AW408" s="239"/>
      <c r="AX408" s="239"/>
      <c r="AY408" s="9"/>
      <c r="AZ408" s="9"/>
      <c r="BA408" s="238"/>
      <c r="BB408" s="239"/>
      <c r="BC408" s="239"/>
      <c r="BD408" s="9"/>
      <c r="BE408" s="9"/>
      <c r="BF408" s="238"/>
      <c r="BG408" s="239"/>
      <c r="BH408" s="239"/>
      <c r="BI408" s="9"/>
      <c r="BJ408" s="9"/>
      <c r="BK408" s="240"/>
      <c r="BL408" s="241"/>
      <c r="BM408" s="241"/>
      <c r="BN408" s="66"/>
      <c r="BO408" s="9"/>
      <c r="BP408" s="238"/>
      <c r="BQ408" s="239"/>
      <c r="BR408" s="239"/>
      <c r="BS408" s="9"/>
    </row>
    <row r="409" spans="2:71" ht="15" x14ac:dyDescent="0.25">
      <c r="B409" s="9"/>
      <c r="C409" s="91"/>
      <c r="D409" s="161"/>
      <c r="E409" s="91"/>
      <c r="F409" s="9"/>
      <c r="G409" s="9"/>
      <c r="H409" s="91"/>
      <c r="I409" s="195"/>
      <c r="J409" s="49"/>
      <c r="K409" s="161"/>
      <c r="L409" s="47"/>
      <c r="M409" s="9"/>
      <c r="N409" s="9"/>
      <c r="O409" s="91"/>
      <c r="P409" s="91"/>
      <c r="Q409" s="91"/>
      <c r="R409" s="9"/>
      <c r="S409" s="9"/>
      <c r="T409" s="91"/>
      <c r="U409" s="7"/>
      <c r="V409" s="91"/>
      <c r="W409" s="9"/>
      <c r="X409" s="9"/>
      <c r="Y409" s="91"/>
      <c r="Z409" s="7"/>
      <c r="AA409" s="91"/>
      <c r="AB409" s="9"/>
      <c r="AC409" s="9"/>
      <c r="AD409" s="48"/>
      <c r="AE409" s="49"/>
      <c r="AF409" s="91"/>
      <c r="AG409" s="9"/>
      <c r="AH409" s="9"/>
      <c r="AI409" s="91"/>
      <c r="AJ409" s="237"/>
      <c r="AK409" s="9"/>
      <c r="AL409" s="238"/>
      <c r="AM409" s="239"/>
      <c r="AN409" s="239"/>
      <c r="AO409" s="9"/>
      <c r="AP409" s="9"/>
      <c r="AQ409" s="240"/>
      <c r="AR409" s="241"/>
      <c r="AS409" s="241"/>
      <c r="AT409" s="66"/>
      <c r="AU409" s="9"/>
      <c r="AV409" s="238"/>
      <c r="AW409" s="239"/>
      <c r="AX409" s="239"/>
      <c r="AY409" s="9"/>
      <c r="AZ409" s="9"/>
      <c r="BA409" s="238"/>
      <c r="BB409" s="239"/>
      <c r="BC409" s="239"/>
      <c r="BD409" s="9"/>
      <c r="BE409" s="9"/>
      <c r="BF409" s="238"/>
      <c r="BG409" s="239"/>
      <c r="BH409" s="239"/>
      <c r="BI409" s="9"/>
      <c r="BJ409" s="9"/>
      <c r="BK409" s="240"/>
      <c r="BL409" s="241"/>
      <c r="BM409" s="241"/>
      <c r="BN409" s="66"/>
      <c r="BO409" s="9"/>
      <c r="BP409" s="238"/>
      <c r="BQ409" s="239"/>
      <c r="BR409" s="239"/>
      <c r="BS409" s="9"/>
    </row>
    <row r="410" spans="2:71" ht="15" x14ac:dyDescent="0.25">
      <c r="B410" s="9"/>
      <c r="C410" s="91"/>
      <c r="D410" s="161"/>
      <c r="E410" s="91"/>
      <c r="F410" s="9"/>
      <c r="G410" s="9"/>
      <c r="H410" s="91"/>
      <c r="I410" s="195"/>
      <c r="J410" s="49"/>
      <c r="K410" s="161"/>
      <c r="L410" s="47"/>
      <c r="M410" s="9"/>
      <c r="N410" s="9"/>
      <c r="O410" s="91"/>
      <c r="P410" s="91"/>
      <c r="Q410" s="91"/>
      <c r="R410" s="9"/>
      <c r="S410" s="9"/>
      <c r="T410" s="91"/>
      <c r="U410" s="7"/>
      <c r="V410" s="91"/>
      <c r="W410" s="9"/>
      <c r="X410" s="9"/>
      <c r="Y410" s="91"/>
      <c r="Z410" s="7"/>
      <c r="AA410" s="91"/>
      <c r="AB410" s="9"/>
      <c r="AC410" s="9"/>
      <c r="AD410" s="48"/>
      <c r="AE410" s="49"/>
      <c r="AF410" s="91"/>
      <c r="AG410" s="9"/>
      <c r="AH410" s="9"/>
      <c r="AI410" s="91"/>
      <c r="AJ410" s="237"/>
      <c r="AK410" s="9"/>
      <c r="AL410" s="238"/>
      <c r="AM410" s="239"/>
      <c r="AN410" s="239"/>
      <c r="AO410" s="9"/>
      <c r="AP410" s="9"/>
      <c r="AQ410" s="240"/>
      <c r="AR410" s="241"/>
      <c r="AS410" s="241"/>
      <c r="AT410" s="66"/>
      <c r="AU410" s="9"/>
      <c r="AV410" s="238"/>
      <c r="AW410" s="239"/>
      <c r="AX410" s="239"/>
      <c r="AY410" s="9"/>
      <c r="AZ410" s="9"/>
      <c r="BA410" s="238"/>
      <c r="BB410" s="239"/>
      <c r="BC410" s="239"/>
      <c r="BD410" s="9"/>
      <c r="BE410" s="9"/>
      <c r="BF410" s="238"/>
      <c r="BG410" s="239"/>
      <c r="BH410" s="239"/>
      <c r="BI410" s="9"/>
      <c r="BJ410" s="9"/>
      <c r="BK410" s="240"/>
      <c r="BL410" s="241"/>
      <c r="BM410" s="241"/>
      <c r="BN410" s="66"/>
      <c r="BO410" s="9"/>
      <c r="BP410" s="238"/>
      <c r="BQ410" s="239"/>
      <c r="BR410" s="239"/>
      <c r="BS410" s="9"/>
    </row>
    <row r="411" spans="2:71" ht="15" x14ac:dyDescent="0.25">
      <c r="B411" s="9"/>
      <c r="C411" s="91"/>
      <c r="D411" s="161"/>
      <c r="E411" s="91"/>
      <c r="F411" s="9"/>
      <c r="G411" s="9"/>
      <c r="H411" s="91"/>
      <c r="I411" s="195"/>
      <c r="J411" s="49"/>
      <c r="K411" s="161"/>
      <c r="L411" s="47"/>
      <c r="M411" s="9"/>
      <c r="N411" s="9"/>
      <c r="O411" s="91"/>
      <c r="P411" s="91"/>
      <c r="Q411" s="91"/>
      <c r="R411" s="9"/>
      <c r="S411" s="9"/>
      <c r="T411" s="91"/>
      <c r="U411" s="7"/>
      <c r="V411" s="91"/>
      <c r="W411" s="9"/>
      <c r="X411" s="9"/>
      <c r="Y411" s="91"/>
      <c r="Z411" s="7"/>
      <c r="AA411" s="91"/>
      <c r="AB411" s="9"/>
      <c r="AC411" s="9"/>
      <c r="AD411" s="48"/>
      <c r="AE411" s="49"/>
      <c r="AF411" s="91"/>
      <c r="AG411" s="9"/>
      <c r="AH411" s="9"/>
      <c r="AI411" s="91"/>
      <c r="AJ411" s="237"/>
      <c r="AK411" s="9"/>
      <c r="AL411" s="238"/>
      <c r="AM411" s="239"/>
      <c r="AN411" s="239"/>
      <c r="AO411" s="9"/>
      <c r="AP411" s="9"/>
      <c r="AQ411" s="240"/>
      <c r="AR411" s="241"/>
      <c r="AS411" s="241"/>
      <c r="AT411" s="66"/>
      <c r="AU411" s="9"/>
      <c r="AV411" s="238"/>
      <c r="AW411" s="239"/>
      <c r="AX411" s="239"/>
      <c r="AY411" s="9"/>
      <c r="AZ411" s="9"/>
      <c r="BA411" s="238"/>
      <c r="BB411" s="239"/>
      <c r="BC411" s="239"/>
      <c r="BD411" s="9"/>
      <c r="BE411" s="9"/>
      <c r="BF411" s="238"/>
      <c r="BG411" s="239"/>
      <c r="BH411" s="239"/>
      <c r="BI411" s="9"/>
      <c r="BJ411" s="9"/>
      <c r="BK411" s="240"/>
      <c r="BL411" s="241"/>
      <c r="BM411" s="241"/>
      <c r="BN411" s="66"/>
      <c r="BO411" s="9"/>
      <c r="BP411" s="238"/>
      <c r="BQ411" s="239"/>
      <c r="BR411" s="239"/>
      <c r="BS411" s="9"/>
    </row>
    <row r="412" spans="2:71" ht="15" x14ac:dyDescent="0.25">
      <c r="B412" s="9"/>
      <c r="C412" s="91"/>
      <c r="D412" s="161"/>
      <c r="E412" s="91"/>
      <c r="F412" s="9"/>
      <c r="G412" s="9"/>
      <c r="H412" s="91"/>
      <c r="I412" s="195"/>
      <c r="J412" s="49"/>
      <c r="K412" s="161"/>
      <c r="L412" s="47"/>
      <c r="M412" s="9"/>
      <c r="N412" s="9"/>
      <c r="O412" s="91"/>
      <c r="P412" s="91"/>
      <c r="Q412" s="91"/>
      <c r="R412" s="9"/>
      <c r="S412" s="9"/>
      <c r="T412" s="91"/>
      <c r="U412" s="7"/>
      <c r="V412" s="91"/>
      <c r="W412" s="9"/>
      <c r="X412" s="9"/>
      <c r="Y412" s="91"/>
      <c r="Z412" s="7"/>
      <c r="AA412" s="91"/>
      <c r="AB412" s="9"/>
      <c r="AC412" s="9"/>
      <c r="AD412" s="48"/>
      <c r="AE412" s="49"/>
      <c r="AF412" s="91"/>
      <c r="AG412" s="9"/>
      <c r="AH412" s="9"/>
      <c r="AI412" s="91"/>
      <c r="AJ412" s="237"/>
      <c r="AK412" s="9"/>
      <c r="AL412" s="238"/>
      <c r="AM412" s="239"/>
      <c r="AN412" s="239"/>
      <c r="AO412" s="9"/>
      <c r="AP412" s="9"/>
      <c r="AQ412" s="240"/>
      <c r="AR412" s="241"/>
      <c r="AS412" s="241"/>
      <c r="AT412" s="66"/>
      <c r="AU412" s="9"/>
      <c r="AV412" s="238"/>
      <c r="AW412" s="239"/>
      <c r="AX412" s="239"/>
      <c r="AY412" s="9"/>
      <c r="AZ412" s="9"/>
      <c r="BA412" s="238"/>
      <c r="BB412" s="239"/>
      <c r="BC412" s="239"/>
      <c r="BD412" s="9"/>
      <c r="BE412" s="9"/>
      <c r="BF412" s="238"/>
      <c r="BG412" s="239"/>
      <c r="BH412" s="239"/>
      <c r="BI412" s="9"/>
      <c r="BJ412" s="9"/>
      <c r="BK412" s="240"/>
      <c r="BL412" s="241"/>
      <c r="BM412" s="241"/>
      <c r="BN412" s="66"/>
      <c r="BO412" s="9"/>
      <c r="BP412" s="238"/>
      <c r="BQ412" s="239"/>
      <c r="BR412" s="239"/>
      <c r="BS412" s="9"/>
    </row>
    <row r="413" spans="2:71" ht="15" x14ac:dyDescent="0.25">
      <c r="B413" s="9"/>
      <c r="C413" s="91"/>
      <c r="D413" s="161"/>
      <c r="E413" s="91"/>
      <c r="F413" s="9"/>
      <c r="G413" s="9"/>
      <c r="H413" s="91"/>
      <c r="I413" s="195"/>
      <c r="J413" s="49"/>
      <c r="K413" s="161"/>
      <c r="L413" s="47"/>
      <c r="M413" s="9"/>
      <c r="N413" s="9"/>
      <c r="O413" s="91"/>
      <c r="P413" s="91"/>
      <c r="Q413" s="91"/>
      <c r="R413" s="9"/>
      <c r="S413" s="9"/>
      <c r="T413" s="91"/>
      <c r="U413" s="7"/>
      <c r="V413" s="91"/>
      <c r="W413" s="9"/>
      <c r="X413" s="9"/>
      <c r="Y413" s="91"/>
      <c r="Z413" s="7"/>
      <c r="AA413" s="91"/>
      <c r="AB413" s="9"/>
      <c r="AC413" s="9"/>
      <c r="AD413" s="48"/>
      <c r="AE413" s="49"/>
      <c r="AF413" s="91"/>
      <c r="AG413" s="9"/>
      <c r="AH413" s="9"/>
      <c r="AI413" s="91"/>
      <c r="AJ413" s="237"/>
      <c r="AK413" s="9"/>
      <c r="AL413" s="238"/>
      <c r="AM413" s="239"/>
      <c r="AN413" s="239"/>
      <c r="AO413" s="9"/>
      <c r="AP413" s="9"/>
      <c r="AQ413" s="240"/>
      <c r="AR413" s="241"/>
      <c r="AS413" s="241"/>
      <c r="AT413" s="66"/>
      <c r="AU413" s="9"/>
      <c r="AV413" s="238"/>
      <c r="AW413" s="239"/>
      <c r="AX413" s="239"/>
      <c r="AY413" s="9"/>
      <c r="AZ413" s="9"/>
      <c r="BA413" s="238"/>
      <c r="BB413" s="239"/>
      <c r="BC413" s="239"/>
      <c r="BD413" s="9"/>
      <c r="BE413" s="9"/>
      <c r="BF413" s="238"/>
      <c r="BG413" s="239"/>
      <c r="BH413" s="239"/>
      <c r="BI413" s="9"/>
      <c r="BJ413" s="9"/>
      <c r="BK413" s="240"/>
      <c r="BL413" s="241"/>
      <c r="BM413" s="241"/>
      <c r="BN413" s="66"/>
      <c r="BO413" s="9"/>
      <c r="BP413" s="238"/>
      <c r="BQ413" s="239"/>
      <c r="BR413" s="239"/>
      <c r="BS413" s="9"/>
    </row>
    <row r="414" spans="2:71" ht="15" x14ac:dyDescent="0.25">
      <c r="B414" s="9"/>
      <c r="C414" s="91"/>
      <c r="D414" s="161"/>
      <c r="E414" s="91"/>
      <c r="F414" s="9"/>
      <c r="G414" s="9"/>
      <c r="H414" s="91"/>
      <c r="I414" s="195"/>
      <c r="J414" s="49"/>
      <c r="K414" s="161"/>
      <c r="L414" s="47"/>
      <c r="M414" s="9"/>
      <c r="N414" s="9"/>
      <c r="O414" s="91"/>
      <c r="P414" s="91"/>
      <c r="Q414" s="91"/>
      <c r="R414" s="9"/>
      <c r="S414" s="9"/>
      <c r="T414" s="91"/>
      <c r="U414" s="7"/>
      <c r="V414" s="91"/>
      <c r="W414" s="9"/>
      <c r="X414" s="9"/>
      <c r="Y414" s="91"/>
      <c r="Z414" s="7"/>
      <c r="AA414" s="91"/>
      <c r="AB414" s="9"/>
      <c r="AC414" s="9"/>
      <c r="AD414" s="48"/>
      <c r="AE414" s="49"/>
      <c r="AF414" s="91"/>
      <c r="AG414" s="9"/>
      <c r="AH414" s="9"/>
      <c r="AI414" s="91"/>
      <c r="AJ414" s="237"/>
      <c r="AK414" s="9"/>
      <c r="AL414" s="238"/>
      <c r="AM414" s="239"/>
      <c r="AN414" s="239"/>
      <c r="AO414" s="9"/>
      <c r="AP414" s="9"/>
      <c r="AQ414" s="240"/>
      <c r="AR414" s="241"/>
      <c r="AS414" s="241"/>
      <c r="AT414" s="66"/>
      <c r="AU414" s="9"/>
      <c r="AV414" s="238"/>
      <c r="AW414" s="239"/>
      <c r="AX414" s="239"/>
      <c r="AY414" s="9"/>
      <c r="AZ414" s="9"/>
      <c r="BA414" s="238"/>
      <c r="BB414" s="239"/>
      <c r="BC414" s="239"/>
      <c r="BD414" s="9"/>
      <c r="BE414" s="9"/>
      <c r="BF414" s="238"/>
      <c r="BG414" s="239"/>
      <c r="BH414" s="239"/>
      <c r="BI414" s="9"/>
      <c r="BJ414" s="9"/>
      <c r="BK414" s="240"/>
      <c r="BL414" s="241"/>
      <c r="BM414" s="241"/>
      <c r="BN414" s="66"/>
      <c r="BO414" s="9"/>
      <c r="BP414" s="238"/>
      <c r="BQ414" s="239"/>
      <c r="BR414" s="239"/>
      <c r="BS414" s="9"/>
    </row>
    <row r="415" spans="2:71" ht="15" x14ac:dyDescent="0.25">
      <c r="B415" s="9"/>
      <c r="C415" s="91"/>
      <c r="D415" s="161"/>
      <c r="E415" s="91"/>
      <c r="F415" s="9"/>
      <c r="G415" s="9"/>
      <c r="H415" s="91"/>
      <c r="I415" s="195"/>
      <c r="J415" s="49"/>
      <c r="K415" s="161"/>
      <c r="L415" s="47"/>
      <c r="M415" s="9"/>
      <c r="N415" s="9"/>
      <c r="O415" s="91"/>
      <c r="P415" s="91"/>
      <c r="Q415" s="91"/>
      <c r="R415" s="9"/>
      <c r="S415" s="9"/>
      <c r="T415" s="91"/>
      <c r="U415" s="7"/>
      <c r="V415" s="91"/>
      <c r="W415" s="9"/>
      <c r="X415" s="9"/>
      <c r="Y415" s="91"/>
      <c r="Z415" s="7"/>
      <c r="AA415" s="91"/>
      <c r="AB415" s="9"/>
      <c r="AC415" s="9"/>
      <c r="AD415" s="48"/>
      <c r="AE415" s="49"/>
      <c r="AF415" s="91"/>
      <c r="AG415" s="9"/>
      <c r="AH415" s="9"/>
      <c r="AI415" s="91"/>
      <c r="AJ415" s="237"/>
      <c r="AK415" s="9"/>
      <c r="AL415" s="238"/>
      <c r="AM415" s="239"/>
      <c r="AN415" s="239"/>
      <c r="AO415" s="9"/>
      <c r="AP415" s="9"/>
      <c r="AQ415" s="240"/>
      <c r="AR415" s="241"/>
      <c r="AS415" s="241"/>
      <c r="AT415" s="66"/>
      <c r="AU415" s="9"/>
      <c r="AV415" s="238"/>
      <c r="AW415" s="239"/>
      <c r="AX415" s="239"/>
      <c r="AY415" s="9"/>
      <c r="AZ415" s="9"/>
      <c r="BA415" s="238"/>
      <c r="BB415" s="239"/>
      <c r="BC415" s="239"/>
      <c r="BD415" s="9"/>
      <c r="BE415" s="9"/>
      <c r="BF415" s="238"/>
      <c r="BG415" s="239"/>
      <c r="BH415" s="239"/>
      <c r="BI415" s="9"/>
      <c r="BJ415" s="9"/>
      <c r="BK415" s="240"/>
      <c r="BL415" s="241"/>
      <c r="BM415" s="241"/>
      <c r="BN415" s="66"/>
      <c r="BO415" s="9"/>
      <c r="BP415" s="238"/>
      <c r="BQ415" s="239"/>
      <c r="BR415" s="239"/>
      <c r="BS415" s="9"/>
    </row>
    <row r="416" spans="2:71" ht="15" x14ac:dyDescent="0.25">
      <c r="B416" s="9"/>
      <c r="C416" s="91"/>
      <c r="D416" s="161"/>
      <c r="E416" s="91"/>
      <c r="F416" s="9"/>
      <c r="G416" s="9"/>
      <c r="H416" s="91"/>
      <c r="I416" s="195"/>
      <c r="J416" s="49"/>
      <c r="K416" s="161"/>
      <c r="L416" s="47"/>
      <c r="M416" s="9"/>
      <c r="N416" s="9"/>
      <c r="O416" s="91"/>
      <c r="P416" s="91"/>
      <c r="Q416" s="91"/>
      <c r="R416" s="9"/>
      <c r="S416" s="9"/>
      <c r="T416" s="91"/>
      <c r="U416" s="7"/>
      <c r="V416" s="91"/>
      <c r="W416" s="9"/>
      <c r="X416" s="9"/>
      <c r="Y416" s="91"/>
      <c r="Z416" s="7"/>
      <c r="AA416" s="91"/>
      <c r="AB416" s="9"/>
      <c r="AC416" s="9"/>
      <c r="AD416" s="48"/>
      <c r="AE416" s="49"/>
      <c r="AF416" s="91"/>
      <c r="AG416" s="9"/>
      <c r="AH416" s="9"/>
      <c r="AI416" s="91"/>
      <c r="AJ416" s="237"/>
      <c r="AK416" s="9"/>
      <c r="AL416" s="238"/>
      <c r="AM416" s="239"/>
      <c r="AN416" s="239"/>
      <c r="AO416" s="9"/>
      <c r="AP416" s="9"/>
      <c r="AQ416" s="240"/>
      <c r="AR416" s="241"/>
      <c r="AS416" s="241"/>
      <c r="AT416" s="66"/>
      <c r="AU416" s="9"/>
      <c r="AV416" s="238"/>
      <c r="AW416" s="239"/>
      <c r="AX416" s="239"/>
      <c r="AY416" s="9"/>
      <c r="AZ416" s="9"/>
      <c r="BA416" s="238"/>
      <c r="BB416" s="239"/>
      <c r="BC416" s="239"/>
      <c r="BD416" s="9"/>
      <c r="BE416" s="9"/>
      <c r="BF416" s="238"/>
      <c r="BG416" s="239"/>
      <c r="BH416" s="239"/>
      <c r="BI416" s="9"/>
      <c r="BJ416" s="9"/>
      <c r="BK416" s="240"/>
      <c r="BL416" s="241"/>
      <c r="BM416" s="241"/>
      <c r="BN416" s="66"/>
      <c r="BO416" s="9"/>
      <c r="BP416" s="238"/>
      <c r="BQ416" s="239"/>
      <c r="BR416" s="239"/>
      <c r="BS416" s="9"/>
    </row>
    <row r="417" spans="2:71" ht="15" x14ac:dyDescent="0.25">
      <c r="B417" s="9"/>
      <c r="C417" s="91"/>
      <c r="D417" s="161"/>
      <c r="E417" s="91"/>
      <c r="F417" s="9"/>
      <c r="G417" s="9"/>
      <c r="H417" s="91"/>
      <c r="I417" s="195"/>
      <c r="J417" s="49"/>
      <c r="K417" s="161"/>
      <c r="L417" s="47"/>
      <c r="M417" s="9"/>
      <c r="N417" s="9"/>
      <c r="O417" s="91"/>
      <c r="P417" s="91"/>
      <c r="Q417" s="91"/>
      <c r="R417" s="9"/>
      <c r="S417" s="9"/>
      <c r="T417" s="91"/>
      <c r="U417" s="7"/>
      <c r="V417" s="91"/>
      <c r="W417" s="9"/>
      <c r="X417" s="9"/>
      <c r="Y417" s="91"/>
      <c r="Z417" s="7"/>
      <c r="AA417" s="91"/>
      <c r="AB417" s="9"/>
      <c r="AC417" s="9"/>
      <c r="AD417" s="48"/>
      <c r="AE417" s="49"/>
      <c r="AF417" s="91"/>
      <c r="AG417" s="9"/>
      <c r="AH417" s="9"/>
      <c r="AI417" s="91"/>
      <c r="AJ417" s="237"/>
      <c r="AK417" s="9"/>
      <c r="AL417" s="238"/>
      <c r="AM417" s="239"/>
      <c r="AN417" s="239"/>
      <c r="AO417" s="9"/>
      <c r="AP417" s="9"/>
      <c r="AQ417" s="240"/>
      <c r="AR417" s="241"/>
      <c r="AS417" s="241"/>
      <c r="AT417" s="66"/>
      <c r="AU417" s="9"/>
      <c r="AV417" s="238"/>
      <c r="AW417" s="239"/>
      <c r="AX417" s="239"/>
      <c r="AY417" s="9"/>
      <c r="AZ417" s="9"/>
      <c r="BA417" s="238"/>
      <c r="BB417" s="239"/>
      <c r="BC417" s="239"/>
      <c r="BD417" s="9"/>
      <c r="BE417" s="9"/>
      <c r="BF417" s="238"/>
      <c r="BG417" s="239"/>
      <c r="BH417" s="239"/>
      <c r="BI417" s="9"/>
      <c r="BJ417" s="9"/>
      <c r="BK417" s="240"/>
      <c r="BL417" s="241"/>
      <c r="BM417" s="241"/>
      <c r="BN417" s="66"/>
      <c r="BO417" s="9"/>
      <c r="BP417" s="238"/>
      <c r="BQ417" s="239"/>
      <c r="BR417" s="239"/>
      <c r="BS417" s="9"/>
    </row>
    <row r="418" spans="2:71" ht="15" x14ac:dyDescent="0.25">
      <c r="B418" s="9"/>
      <c r="C418" s="91"/>
      <c r="D418" s="161"/>
      <c r="E418" s="91"/>
      <c r="F418" s="9"/>
      <c r="G418" s="9"/>
      <c r="H418" s="91"/>
      <c r="I418" s="195"/>
      <c r="J418" s="49"/>
      <c r="K418" s="161"/>
      <c r="L418" s="47"/>
      <c r="M418" s="9"/>
      <c r="N418" s="9"/>
      <c r="O418" s="91"/>
      <c r="P418" s="91"/>
      <c r="Q418" s="91"/>
      <c r="R418" s="9"/>
      <c r="S418" s="9"/>
      <c r="T418" s="91"/>
      <c r="U418" s="7"/>
      <c r="V418" s="91"/>
      <c r="W418" s="9"/>
      <c r="X418" s="9"/>
      <c r="Y418" s="91"/>
      <c r="Z418" s="7"/>
      <c r="AA418" s="91"/>
      <c r="AB418" s="9"/>
      <c r="AC418" s="9"/>
      <c r="AD418" s="48"/>
      <c r="AE418" s="49"/>
      <c r="AF418" s="91"/>
      <c r="AG418" s="9"/>
      <c r="AH418" s="9"/>
      <c r="AI418" s="91"/>
      <c r="AJ418" s="237"/>
      <c r="AK418" s="9"/>
      <c r="AL418" s="238"/>
      <c r="AM418" s="239"/>
      <c r="AN418" s="239"/>
      <c r="AO418" s="9"/>
      <c r="AP418" s="9"/>
      <c r="AQ418" s="240"/>
      <c r="AR418" s="241"/>
      <c r="AS418" s="241"/>
      <c r="AT418" s="66"/>
      <c r="AU418" s="9"/>
      <c r="AV418" s="238"/>
      <c r="AW418" s="239"/>
      <c r="AX418" s="239"/>
      <c r="AY418" s="9"/>
      <c r="AZ418" s="9"/>
      <c r="BA418" s="238"/>
      <c r="BB418" s="239"/>
      <c r="BC418" s="239"/>
      <c r="BD418" s="9"/>
      <c r="BE418" s="9"/>
      <c r="BF418" s="238"/>
      <c r="BG418" s="239"/>
      <c r="BH418" s="239"/>
      <c r="BI418" s="9"/>
      <c r="BJ418" s="9"/>
      <c r="BK418" s="240"/>
      <c r="BL418" s="241"/>
      <c r="BM418" s="241"/>
      <c r="BN418" s="66"/>
      <c r="BO418" s="9"/>
      <c r="BP418" s="238"/>
      <c r="BQ418" s="239"/>
      <c r="BR418" s="239"/>
      <c r="BS418" s="9"/>
    </row>
    <row r="419" spans="2:71" ht="15" x14ac:dyDescent="0.25">
      <c r="B419" s="9"/>
      <c r="C419" s="91"/>
      <c r="D419" s="161"/>
      <c r="E419" s="91"/>
      <c r="F419" s="9"/>
      <c r="G419" s="9"/>
      <c r="H419" s="91"/>
      <c r="I419" s="195"/>
      <c r="J419" s="49"/>
      <c r="K419" s="161"/>
      <c r="L419" s="47"/>
      <c r="M419" s="9"/>
      <c r="N419" s="9"/>
      <c r="O419" s="91"/>
      <c r="P419" s="91"/>
      <c r="Q419" s="91"/>
      <c r="R419" s="9"/>
      <c r="S419" s="9"/>
      <c r="T419" s="91"/>
      <c r="U419" s="7"/>
      <c r="V419" s="91"/>
      <c r="W419" s="9"/>
      <c r="X419" s="9"/>
      <c r="Y419" s="91"/>
      <c r="Z419" s="7"/>
      <c r="AA419" s="91"/>
      <c r="AB419" s="9"/>
      <c r="AC419" s="9"/>
      <c r="AD419" s="48"/>
      <c r="AE419" s="49"/>
      <c r="AF419" s="91"/>
      <c r="AG419" s="9"/>
      <c r="AH419" s="9"/>
      <c r="AI419" s="91"/>
      <c r="AJ419" s="237"/>
      <c r="AK419" s="9"/>
      <c r="AL419" s="238"/>
      <c r="AM419" s="239"/>
      <c r="AN419" s="239"/>
      <c r="AO419" s="9"/>
      <c r="AP419" s="9"/>
      <c r="AQ419" s="240"/>
      <c r="AR419" s="241"/>
      <c r="AS419" s="241"/>
      <c r="AT419" s="66"/>
      <c r="AU419" s="9"/>
      <c r="AV419" s="238"/>
      <c r="AW419" s="239"/>
      <c r="AX419" s="239"/>
      <c r="AY419" s="9"/>
      <c r="AZ419" s="9"/>
      <c r="BA419" s="238"/>
      <c r="BB419" s="239"/>
      <c r="BC419" s="239"/>
      <c r="BD419" s="9"/>
      <c r="BE419" s="9"/>
      <c r="BF419" s="238"/>
      <c r="BG419" s="239"/>
      <c r="BH419" s="239"/>
      <c r="BI419" s="9"/>
      <c r="BJ419" s="9"/>
      <c r="BK419" s="240"/>
      <c r="BL419" s="241"/>
      <c r="BM419" s="241"/>
      <c r="BN419" s="66"/>
      <c r="BO419" s="9"/>
      <c r="BP419" s="238"/>
      <c r="BQ419" s="239"/>
      <c r="BR419" s="239"/>
      <c r="BS419" s="9"/>
    </row>
    <row r="420" spans="2:71" ht="15" x14ac:dyDescent="0.25">
      <c r="B420" s="9"/>
      <c r="C420" s="91"/>
      <c r="D420" s="161"/>
      <c r="E420" s="91"/>
      <c r="F420" s="9"/>
      <c r="G420" s="9"/>
      <c r="H420" s="91"/>
      <c r="I420" s="195"/>
      <c r="J420" s="49"/>
      <c r="K420" s="161"/>
      <c r="L420" s="47"/>
      <c r="M420" s="9"/>
      <c r="N420" s="9"/>
      <c r="O420" s="91"/>
      <c r="P420" s="91"/>
      <c r="Q420" s="91"/>
      <c r="R420" s="9"/>
      <c r="S420" s="9"/>
      <c r="T420" s="91"/>
      <c r="U420" s="7"/>
      <c r="V420" s="91"/>
      <c r="W420" s="9"/>
      <c r="X420" s="9"/>
      <c r="Y420" s="91"/>
      <c r="Z420" s="7"/>
      <c r="AA420" s="91"/>
      <c r="AB420" s="9"/>
      <c r="AC420" s="9"/>
      <c r="AD420" s="48"/>
      <c r="AE420" s="49"/>
      <c r="AF420" s="91"/>
      <c r="AG420" s="9"/>
      <c r="AH420" s="9"/>
      <c r="AI420" s="91"/>
      <c r="AJ420" s="237"/>
      <c r="AK420" s="9"/>
      <c r="AL420" s="238"/>
      <c r="AM420" s="239"/>
      <c r="AN420" s="239"/>
      <c r="AO420" s="9"/>
      <c r="AP420" s="9"/>
      <c r="AQ420" s="240"/>
      <c r="AR420" s="241"/>
      <c r="AS420" s="241"/>
      <c r="AT420" s="66"/>
      <c r="AU420" s="9"/>
      <c r="AV420" s="238"/>
      <c r="AW420" s="239"/>
      <c r="AX420" s="239"/>
      <c r="AY420" s="9"/>
      <c r="AZ420" s="9"/>
      <c r="BA420" s="238"/>
      <c r="BB420" s="239"/>
      <c r="BC420" s="239"/>
      <c r="BD420" s="9"/>
      <c r="BE420" s="9"/>
      <c r="BF420" s="238"/>
      <c r="BG420" s="239"/>
      <c r="BH420" s="239"/>
      <c r="BI420" s="9"/>
      <c r="BJ420" s="9"/>
      <c r="BK420" s="240"/>
      <c r="BL420" s="241"/>
      <c r="BM420" s="241"/>
      <c r="BN420" s="66"/>
      <c r="BO420" s="9"/>
      <c r="BP420" s="238"/>
      <c r="BQ420" s="239"/>
      <c r="BR420" s="239"/>
      <c r="BS420" s="9"/>
    </row>
    <row r="421" spans="2:71" ht="15" x14ac:dyDescent="0.25">
      <c r="B421" s="9"/>
      <c r="C421" s="91"/>
      <c r="D421" s="161"/>
      <c r="E421" s="91"/>
      <c r="F421" s="9"/>
      <c r="G421" s="9"/>
      <c r="H421" s="91"/>
      <c r="I421" s="195"/>
      <c r="J421" s="49"/>
      <c r="K421" s="161"/>
      <c r="L421" s="47"/>
      <c r="M421" s="9"/>
      <c r="N421" s="9"/>
      <c r="O421" s="91"/>
      <c r="P421" s="91"/>
      <c r="Q421" s="91"/>
      <c r="R421" s="9"/>
      <c r="S421" s="9"/>
      <c r="T421" s="91"/>
      <c r="U421" s="7"/>
      <c r="V421" s="91"/>
      <c r="W421" s="9"/>
      <c r="X421" s="9"/>
      <c r="Y421" s="91"/>
      <c r="Z421" s="7"/>
      <c r="AA421" s="91"/>
      <c r="AB421" s="9"/>
      <c r="AC421" s="9"/>
      <c r="AD421" s="48"/>
      <c r="AE421" s="49"/>
      <c r="AF421" s="91"/>
      <c r="AG421" s="9"/>
      <c r="AH421" s="9"/>
      <c r="AI421" s="91"/>
      <c r="AJ421" s="237"/>
      <c r="AK421" s="9"/>
      <c r="AL421" s="238"/>
      <c r="AM421" s="239"/>
      <c r="AN421" s="239"/>
      <c r="AO421" s="9"/>
      <c r="AP421" s="9"/>
      <c r="AQ421" s="240"/>
      <c r="AR421" s="241"/>
      <c r="AS421" s="241"/>
      <c r="AT421" s="66"/>
      <c r="AU421" s="9"/>
      <c r="AV421" s="238"/>
      <c r="AW421" s="239"/>
      <c r="AX421" s="239"/>
      <c r="AY421" s="9"/>
      <c r="AZ421" s="9"/>
      <c r="BA421" s="238"/>
      <c r="BB421" s="239"/>
      <c r="BC421" s="239"/>
      <c r="BD421" s="9"/>
      <c r="BE421" s="9"/>
      <c r="BF421" s="238"/>
      <c r="BG421" s="239"/>
      <c r="BH421" s="239"/>
      <c r="BI421" s="9"/>
      <c r="BJ421" s="9"/>
      <c r="BK421" s="240"/>
      <c r="BL421" s="241"/>
      <c r="BM421" s="241"/>
      <c r="BN421" s="66"/>
      <c r="BO421" s="9"/>
      <c r="BP421" s="238"/>
      <c r="BQ421" s="239"/>
      <c r="BR421" s="239"/>
      <c r="BS421" s="9"/>
    </row>
    <row r="422" spans="2:71" ht="15" x14ac:dyDescent="0.25">
      <c r="B422" s="9"/>
      <c r="C422" s="91"/>
      <c r="D422" s="161"/>
      <c r="E422" s="91"/>
      <c r="F422" s="9"/>
      <c r="G422" s="9"/>
      <c r="H422" s="91"/>
      <c r="I422" s="195"/>
      <c r="J422" s="49"/>
      <c r="K422" s="161"/>
      <c r="L422" s="47"/>
      <c r="M422" s="9"/>
      <c r="N422" s="9"/>
      <c r="O422" s="91"/>
      <c r="P422" s="91"/>
      <c r="Q422" s="91"/>
      <c r="R422" s="9"/>
      <c r="S422" s="9"/>
      <c r="T422" s="91"/>
      <c r="U422" s="7"/>
      <c r="V422" s="91"/>
      <c r="W422" s="9"/>
      <c r="X422" s="9"/>
      <c r="Y422" s="91"/>
      <c r="Z422" s="7"/>
      <c r="AA422" s="91"/>
      <c r="AB422" s="9"/>
      <c r="AC422" s="9"/>
      <c r="AD422" s="48"/>
      <c r="AE422" s="49"/>
      <c r="AF422" s="91"/>
      <c r="AG422" s="9"/>
      <c r="AH422" s="9"/>
      <c r="AI422" s="91"/>
      <c r="AJ422" s="237"/>
      <c r="AK422" s="9"/>
      <c r="AL422" s="238"/>
      <c r="AM422" s="239"/>
      <c r="AN422" s="239"/>
      <c r="AO422" s="9"/>
      <c r="AP422" s="9"/>
      <c r="AQ422" s="240"/>
      <c r="AR422" s="241"/>
      <c r="AS422" s="241"/>
      <c r="AT422" s="66"/>
      <c r="AU422" s="9"/>
      <c r="AV422" s="238"/>
      <c r="AW422" s="239"/>
      <c r="AX422" s="239"/>
      <c r="AY422" s="9"/>
      <c r="AZ422" s="9"/>
      <c r="BA422" s="238"/>
      <c r="BB422" s="239"/>
      <c r="BC422" s="239"/>
      <c r="BD422" s="9"/>
      <c r="BE422" s="9"/>
      <c r="BF422" s="238"/>
      <c r="BG422" s="239"/>
      <c r="BH422" s="239"/>
      <c r="BI422" s="9"/>
      <c r="BJ422" s="9"/>
      <c r="BK422" s="240"/>
      <c r="BL422" s="241"/>
      <c r="BM422" s="241"/>
      <c r="BN422" s="66"/>
      <c r="BO422" s="9"/>
      <c r="BP422" s="238"/>
      <c r="BQ422" s="239"/>
      <c r="BR422" s="239"/>
      <c r="BS422" s="9"/>
    </row>
    <row r="423" spans="2:71" ht="15" x14ac:dyDescent="0.25">
      <c r="B423" s="9"/>
      <c r="C423" s="91"/>
      <c r="D423" s="161"/>
      <c r="E423" s="91"/>
      <c r="F423" s="9"/>
      <c r="G423" s="9"/>
      <c r="H423" s="91"/>
      <c r="I423" s="195"/>
      <c r="J423" s="49"/>
      <c r="K423" s="161"/>
      <c r="L423" s="47"/>
      <c r="M423" s="9"/>
      <c r="N423" s="9"/>
      <c r="O423" s="91"/>
      <c r="P423" s="91"/>
      <c r="Q423" s="91"/>
      <c r="R423" s="9"/>
      <c r="S423" s="9"/>
      <c r="T423" s="91"/>
      <c r="U423" s="7"/>
      <c r="V423" s="91"/>
      <c r="W423" s="9"/>
      <c r="X423" s="9"/>
      <c r="Y423" s="91"/>
      <c r="Z423" s="7"/>
      <c r="AA423" s="91"/>
      <c r="AB423" s="9"/>
      <c r="AC423" s="9"/>
      <c r="AD423" s="48"/>
      <c r="AE423" s="49"/>
      <c r="AF423" s="91"/>
      <c r="AG423" s="9"/>
      <c r="AH423" s="9"/>
      <c r="AI423" s="91"/>
      <c r="AJ423" s="237"/>
      <c r="AK423" s="9"/>
      <c r="AL423" s="238"/>
      <c r="AM423" s="239"/>
      <c r="AN423" s="239"/>
      <c r="AO423" s="9"/>
      <c r="AP423" s="9"/>
      <c r="AQ423" s="240"/>
      <c r="AR423" s="241"/>
      <c r="AS423" s="241"/>
      <c r="AT423" s="66"/>
      <c r="AU423" s="9"/>
      <c r="AV423" s="238"/>
      <c r="AW423" s="239"/>
      <c r="AX423" s="239"/>
      <c r="AY423" s="9"/>
      <c r="AZ423" s="9"/>
      <c r="BA423" s="238"/>
      <c r="BB423" s="239"/>
      <c r="BC423" s="239"/>
      <c r="BD423" s="9"/>
      <c r="BE423" s="9"/>
      <c r="BF423" s="238"/>
      <c r="BG423" s="239"/>
      <c r="BH423" s="239"/>
      <c r="BI423" s="9"/>
      <c r="BJ423" s="9"/>
      <c r="BK423" s="240"/>
      <c r="BL423" s="241"/>
      <c r="BM423" s="241"/>
      <c r="BN423" s="66"/>
      <c r="BO423" s="9"/>
      <c r="BP423" s="238"/>
      <c r="BQ423" s="239"/>
      <c r="BR423" s="239"/>
      <c r="BS423" s="9"/>
    </row>
    <row r="424" spans="2:71" ht="15" x14ac:dyDescent="0.25">
      <c r="B424" s="9"/>
      <c r="C424" s="91"/>
      <c r="D424" s="161"/>
      <c r="E424" s="91"/>
      <c r="F424" s="9"/>
      <c r="G424" s="9"/>
      <c r="H424" s="91"/>
      <c r="I424" s="195"/>
      <c r="J424" s="49"/>
      <c r="K424" s="161"/>
      <c r="L424" s="47"/>
      <c r="M424" s="9"/>
      <c r="N424" s="9"/>
      <c r="O424" s="91"/>
      <c r="P424" s="91"/>
      <c r="Q424" s="91"/>
      <c r="R424" s="9"/>
      <c r="S424" s="9"/>
      <c r="T424" s="91"/>
      <c r="U424" s="7"/>
      <c r="V424" s="91"/>
      <c r="W424" s="9"/>
      <c r="X424" s="9"/>
      <c r="Y424" s="91"/>
      <c r="Z424" s="7"/>
      <c r="AA424" s="91"/>
      <c r="AB424" s="9"/>
      <c r="AC424" s="9"/>
      <c r="AD424" s="48"/>
      <c r="AE424" s="49"/>
      <c r="AF424" s="91"/>
      <c r="AG424" s="9"/>
      <c r="AH424" s="9"/>
      <c r="AI424" s="91"/>
      <c r="AJ424" s="237"/>
      <c r="AK424" s="9"/>
      <c r="AL424" s="238"/>
      <c r="AM424" s="239"/>
      <c r="AN424" s="239"/>
      <c r="AO424" s="9"/>
      <c r="AP424" s="9"/>
      <c r="AQ424" s="240"/>
      <c r="AR424" s="241"/>
      <c r="AS424" s="241"/>
      <c r="AT424" s="66"/>
      <c r="AU424" s="9"/>
      <c r="AV424" s="238"/>
      <c r="AW424" s="239"/>
      <c r="AX424" s="239"/>
      <c r="AY424" s="9"/>
      <c r="AZ424" s="9"/>
      <c r="BA424" s="238"/>
      <c r="BB424" s="239"/>
      <c r="BC424" s="239"/>
      <c r="BD424" s="9"/>
      <c r="BE424" s="9"/>
      <c r="BF424" s="238"/>
      <c r="BG424" s="239"/>
      <c r="BH424" s="239"/>
      <c r="BI424" s="9"/>
      <c r="BJ424" s="9"/>
      <c r="BK424" s="240"/>
      <c r="BL424" s="241"/>
      <c r="BM424" s="241"/>
      <c r="BN424" s="66"/>
      <c r="BO424" s="9"/>
      <c r="BP424" s="238"/>
      <c r="BQ424" s="239"/>
      <c r="BR424" s="239"/>
      <c r="BS424" s="9"/>
    </row>
    <row r="425" spans="2:71" ht="15" x14ac:dyDescent="0.25">
      <c r="B425" s="9"/>
      <c r="C425" s="91"/>
      <c r="D425" s="161"/>
      <c r="E425" s="91"/>
      <c r="F425" s="9"/>
      <c r="G425" s="9"/>
      <c r="H425" s="91"/>
      <c r="I425" s="195"/>
      <c r="J425" s="49"/>
      <c r="K425" s="161"/>
      <c r="L425" s="47"/>
      <c r="M425" s="9"/>
      <c r="N425" s="9"/>
      <c r="O425" s="91"/>
      <c r="P425" s="91"/>
      <c r="Q425" s="91"/>
      <c r="R425" s="9"/>
      <c r="S425" s="9"/>
      <c r="T425" s="91"/>
      <c r="U425" s="7"/>
      <c r="V425" s="91"/>
      <c r="W425" s="9"/>
      <c r="X425" s="9"/>
      <c r="Y425" s="91"/>
      <c r="Z425" s="7"/>
      <c r="AA425" s="91"/>
      <c r="AB425" s="9"/>
      <c r="AC425" s="9"/>
      <c r="AD425" s="48"/>
      <c r="AE425" s="49"/>
      <c r="AF425" s="91"/>
      <c r="AG425" s="9"/>
      <c r="AH425" s="9"/>
      <c r="AI425" s="91"/>
      <c r="AJ425" s="237"/>
      <c r="AK425" s="9"/>
      <c r="AL425" s="238"/>
      <c r="AM425" s="239"/>
      <c r="AN425" s="239"/>
      <c r="AO425" s="9"/>
      <c r="AP425" s="9"/>
      <c r="AQ425" s="240"/>
      <c r="AR425" s="241"/>
      <c r="AS425" s="241"/>
      <c r="AT425" s="66"/>
      <c r="AU425" s="9"/>
      <c r="AV425" s="238"/>
      <c r="AW425" s="239"/>
      <c r="AX425" s="239"/>
      <c r="AY425" s="9"/>
      <c r="AZ425" s="9"/>
      <c r="BA425" s="238"/>
      <c r="BB425" s="239"/>
      <c r="BC425" s="239"/>
      <c r="BD425" s="9"/>
      <c r="BE425" s="9"/>
      <c r="BF425" s="238"/>
      <c r="BG425" s="239"/>
      <c r="BH425" s="239"/>
      <c r="BI425" s="9"/>
      <c r="BJ425" s="9"/>
      <c r="BK425" s="240"/>
      <c r="BL425" s="241"/>
      <c r="BM425" s="241"/>
      <c r="BN425" s="66"/>
      <c r="BO425" s="9"/>
      <c r="BP425" s="238"/>
      <c r="BQ425" s="239"/>
      <c r="BR425" s="239"/>
      <c r="BS425" s="9"/>
    </row>
    <row r="426" spans="2:71" ht="15" x14ac:dyDescent="0.25">
      <c r="B426" s="9"/>
      <c r="C426" s="91"/>
      <c r="D426" s="161"/>
      <c r="E426" s="91"/>
      <c r="F426" s="9"/>
      <c r="G426" s="9"/>
      <c r="H426" s="91"/>
      <c r="I426" s="195"/>
      <c r="J426" s="49"/>
      <c r="K426" s="161"/>
      <c r="L426" s="47"/>
      <c r="M426" s="9"/>
      <c r="N426" s="9"/>
      <c r="O426" s="91"/>
      <c r="P426" s="91"/>
      <c r="Q426" s="91"/>
      <c r="R426" s="9"/>
      <c r="S426" s="9"/>
      <c r="T426" s="91"/>
      <c r="U426" s="7"/>
      <c r="V426" s="91"/>
      <c r="W426" s="9"/>
      <c r="X426" s="9"/>
      <c r="Y426" s="91"/>
      <c r="Z426" s="7"/>
      <c r="AA426" s="91"/>
      <c r="AB426" s="9"/>
      <c r="AC426" s="9"/>
      <c r="AD426" s="48"/>
      <c r="AE426" s="49"/>
      <c r="AF426" s="91"/>
      <c r="AG426" s="9"/>
      <c r="AH426" s="9"/>
      <c r="AI426" s="91"/>
      <c r="AJ426" s="237"/>
      <c r="AK426" s="9"/>
      <c r="AL426" s="238"/>
      <c r="AM426" s="239"/>
      <c r="AN426" s="239"/>
      <c r="AO426" s="9"/>
      <c r="AP426" s="9"/>
      <c r="AQ426" s="240"/>
      <c r="AR426" s="241"/>
      <c r="AS426" s="241"/>
      <c r="AT426" s="66"/>
      <c r="AU426" s="9"/>
      <c r="AV426" s="238"/>
      <c r="AW426" s="239"/>
      <c r="AX426" s="239"/>
      <c r="AY426" s="9"/>
      <c r="AZ426" s="9"/>
      <c r="BA426" s="238"/>
      <c r="BB426" s="239"/>
      <c r="BC426" s="239"/>
      <c r="BD426" s="9"/>
      <c r="BE426" s="9"/>
      <c r="BF426" s="238"/>
      <c r="BG426" s="239"/>
      <c r="BH426" s="239"/>
      <c r="BI426" s="9"/>
      <c r="BJ426" s="9"/>
      <c r="BK426" s="240"/>
      <c r="BL426" s="241"/>
      <c r="BM426" s="241"/>
      <c r="BN426" s="66"/>
      <c r="BO426" s="9"/>
      <c r="BP426" s="238"/>
      <c r="BQ426" s="239"/>
      <c r="BR426" s="239"/>
      <c r="BS426" s="9"/>
    </row>
    <row r="427" spans="2:71" ht="15" x14ac:dyDescent="0.25">
      <c r="B427" s="9"/>
      <c r="C427" s="91"/>
      <c r="D427" s="161"/>
      <c r="E427" s="91"/>
      <c r="F427" s="9"/>
      <c r="G427" s="9"/>
      <c r="H427" s="91"/>
      <c r="I427" s="195"/>
      <c r="J427" s="49"/>
      <c r="K427" s="161"/>
      <c r="L427" s="47"/>
      <c r="M427" s="9"/>
      <c r="N427" s="9"/>
      <c r="O427" s="91"/>
      <c r="P427" s="91"/>
      <c r="Q427" s="91"/>
      <c r="R427" s="9"/>
      <c r="S427" s="9"/>
      <c r="T427" s="91"/>
      <c r="U427" s="7"/>
      <c r="V427" s="91"/>
      <c r="W427" s="9"/>
      <c r="X427" s="9"/>
      <c r="Y427" s="91"/>
      <c r="Z427" s="7"/>
      <c r="AA427" s="91"/>
      <c r="AB427" s="9"/>
      <c r="AC427" s="9"/>
      <c r="AD427" s="48"/>
      <c r="AE427" s="49"/>
      <c r="AF427" s="91"/>
      <c r="AG427" s="9"/>
      <c r="AH427" s="9"/>
      <c r="AI427" s="91"/>
      <c r="AJ427" s="237"/>
      <c r="AK427" s="9"/>
      <c r="AL427" s="238"/>
      <c r="AM427" s="239"/>
      <c r="AN427" s="239"/>
      <c r="AO427" s="9"/>
      <c r="AP427" s="9"/>
      <c r="AQ427" s="240"/>
      <c r="AR427" s="241"/>
      <c r="AS427" s="241"/>
      <c r="AT427" s="66"/>
      <c r="AU427" s="9"/>
      <c r="AV427" s="238"/>
      <c r="AW427" s="239"/>
      <c r="AX427" s="239"/>
      <c r="AY427" s="9"/>
      <c r="AZ427" s="9"/>
      <c r="BA427" s="238"/>
      <c r="BB427" s="239"/>
      <c r="BC427" s="239"/>
      <c r="BD427" s="9"/>
      <c r="BE427" s="9"/>
      <c r="BF427" s="238"/>
      <c r="BG427" s="239"/>
      <c r="BH427" s="239"/>
      <c r="BI427" s="9"/>
      <c r="BJ427" s="9"/>
      <c r="BK427" s="240"/>
      <c r="BL427" s="241"/>
      <c r="BM427" s="241"/>
      <c r="BN427" s="66"/>
      <c r="BO427" s="9"/>
      <c r="BP427" s="238"/>
      <c r="BQ427" s="239"/>
      <c r="BR427" s="239"/>
      <c r="BS427" s="9"/>
    </row>
    <row r="428" spans="2:71" ht="15" x14ac:dyDescent="0.25">
      <c r="B428" s="9"/>
      <c r="C428" s="91"/>
      <c r="D428" s="161"/>
      <c r="E428" s="91"/>
      <c r="F428" s="9"/>
      <c r="G428" s="9"/>
      <c r="H428" s="91"/>
      <c r="I428" s="195"/>
      <c r="J428" s="49"/>
      <c r="K428" s="161"/>
      <c r="L428" s="47"/>
      <c r="M428" s="9"/>
      <c r="N428" s="9"/>
      <c r="O428" s="91"/>
      <c r="P428" s="91"/>
      <c r="Q428" s="91"/>
      <c r="R428" s="9"/>
      <c r="S428" s="9"/>
      <c r="T428" s="91"/>
      <c r="U428" s="7"/>
      <c r="V428" s="91"/>
      <c r="W428" s="9"/>
      <c r="X428" s="9"/>
      <c r="Y428" s="91"/>
      <c r="Z428" s="7"/>
      <c r="AA428" s="91"/>
      <c r="AB428" s="9"/>
      <c r="AC428" s="9"/>
      <c r="AD428" s="48"/>
      <c r="AE428" s="49"/>
      <c r="AF428" s="91"/>
      <c r="AG428" s="9"/>
      <c r="AH428" s="9"/>
      <c r="AI428" s="91"/>
      <c r="AJ428" s="237"/>
      <c r="AK428" s="9"/>
      <c r="AL428" s="238"/>
      <c r="AM428" s="239"/>
      <c r="AN428" s="239"/>
      <c r="AO428" s="9"/>
      <c r="AP428" s="9"/>
      <c r="AQ428" s="240"/>
      <c r="AR428" s="241"/>
      <c r="AS428" s="241"/>
      <c r="AT428" s="66"/>
      <c r="AU428" s="9"/>
      <c r="AV428" s="238"/>
      <c r="AW428" s="239"/>
      <c r="AX428" s="239"/>
      <c r="AY428" s="9"/>
      <c r="AZ428" s="9"/>
      <c r="BA428" s="238"/>
      <c r="BB428" s="239"/>
      <c r="BC428" s="239"/>
      <c r="BD428" s="9"/>
      <c r="BE428" s="9"/>
      <c r="BF428" s="238"/>
      <c r="BG428" s="239"/>
      <c r="BH428" s="239"/>
      <c r="BI428" s="9"/>
      <c r="BJ428" s="9"/>
      <c r="BK428" s="240"/>
      <c r="BL428" s="241"/>
      <c r="BM428" s="241"/>
      <c r="BN428" s="66"/>
      <c r="BO428" s="9"/>
      <c r="BP428" s="238"/>
      <c r="BQ428" s="239"/>
      <c r="BR428" s="239"/>
      <c r="BS428" s="9"/>
    </row>
    <row r="429" spans="2:71" ht="15" x14ac:dyDescent="0.25">
      <c r="B429" s="9"/>
      <c r="C429" s="91"/>
      <c r="D429" s="161"/>
      <c r="E429" s="91"/>
      <c r="F429" s="9"/>
      <c r="G429" s="9"/>
      <c r="H429" s="91"/>
      <c r="I429" s="195"/>
      <c r="J429" s="49"/>
      <c r="K429" s="161"/>
      <c r="L429" s="47"/>
      <c r="M429" s="9"/>
      <c r="N429" s="9"/>
      <c r="O429" s="91"/>
      <c r="P429" s="91"/>
      <c r="Q429" s="91"/>
      <c r="R429" s="9"/>
      <c r="S429" s="9"/>
      <c r="T429" s="91"/>
      <c r="U429" s="7"/>
      <c r="V429" s="91"/>
      <c r="W429" s="9"/>
      <c r="X429" s="9"/>
      <c r="Y429" s="91"/>
      <c r="Z429" s="7"/>
      <c r="AA429" s="91"/>
      <c r="AB429" s="9"/>
      <c r="AC429" s="9"/>
      <c r="AD429" s="48"/>
      <c r="AE429" s="49"/>
      <c r="AF429" s="91"/>
      <c r="AG429" s="9"/>
      <c r="AH429" s="9"/>
      <c r="AI429" s="91"/>
      <c r="AJ429" s="237"/>
      <c r="AK429" s="9"/>
      <c r="AL429" s="238"/>
      <c r="AM429" s="239"/>
      <c r="AN429" s="239"/>
      <c r="AO429" s="9"/>
      <c r="AP429" s="9"/>
      <c r="AQ429" s="240"/>
      <c r="AR429" s="241"/>
      <c r="AS429" s="241"/>
      <c r="AT429" s="66"/>
      <c r="AU429" s="9"/>
      <c r="AV429" s="238"/>
      <c r="AW429" s="239"/>
      <c r="AX429" s="239"/>
      <c r="AY429" s="9"/>
      <c r="AZ429" s="9"/>
      <c r="BA429" s="238"/>
      <c r="BB429" s="239"/>
      <c r="BC429" s="239"/>
      <c r="BD429" s="9"/>
      <c r="BE429" s="9"/>
      <c r="BF429" s="238"/>
      <c r="BG429" s="239"/>
      <c r="BH429" s="239"/>
      <c r="BI429" s="9"/>
      <c r="BJ429" s="9"/>
      <c r="BK429" s="240"/>
      <c r="BL429" s="241"/>
      <c r="BM429" s="241"/>
      <c r="BN429" s="66"/>
      <c r="BO429" s="9"/>
      <c r="BP429" s="238"/>
      <c r="BQ429" s="239"/>
      <c r="BR429" s="239"/>
      <c r="BS429" s="9"/>
    </row>
    <row r="430" spans="2:71" ht="15" x14ac:dyDescent="0.25">
      <c r="B430" s="9"/>
      <c r="C430" s="91"/>
      <c r="D430" s="161"/>
      <c r="E430" s="91"/>
      <c r="F430" s="9"/>
      <c r="G430" s="9"/>
      <c r="H430" s="91"/>
      <c r="I430" s="195"/>
      <c r="J430" s="49"/>
      <c r="K430" s="161"/>
      <c r="L430" s="47"/>
      <c r="M430" s="9"/>
      <c r="N430" s="9"/>
      <c r="O430" s="91"/>
      <c r="P430" s="91"/>
      <c r="Q430" s="91"/>
      <c r="R430" s="9"/>
      <c r="S430" s="9"/>
      <c r="T430" s="91"/>
      <c r="U430" s="7"/>
      <c r="V430" s="91"/>
      <c r="W430" s="9"/>
      <c r="X430" s="9"/>
      <c r="Y430" s="91"/>
      <c r="Z430" s="7"/>
      <c r="AA430" s="91"/>
      <c r="AB430" s="9"/>
      <c r="AC430" s="9"/>
      <c r="AD430" s="48"/>
      <c r="AE430" s="49"/>
      <c r="AF430" s="91"/>
      <c r="AG430" s="9"/>
      <c r="AH430" s="9"/>
      <c r="AI430" s="91"/>
      <c r="AJ430" s="237"/>
      <c r="AK430" s="9"/>
      <c r="AL430" s="238"/>
      <c r="AM430" s="239"/>
      <c r="AN430" s="239"/>
      <c r="AO430" s="9"/>
      <c r="AP430" s="9"/>
      <c r="AQ430" s="240"/>
      <c r="AR430" s="241"/>
      <c r="AS430" s="241"/>
      <c r="AT430" s="66"/>
      <c r="AU430" s="9"/>
      <c r="AV430" s="238"/>
      <c r="AW430" s="239"/>
      <c r="AX430" s="239"/>
      <c r="AY430" s="9"/>
      <c r="AZ430" s="9"/>
      <c r="BA430" s="238"/>
      <c r="BB430" s="239"/>
      <c r="BC430" s="239"/>
      <c r="BD430" s="9"/>
      <c r="BE430" s="9"/>
      <c r="BF430" s="238"/>
      <c r="BG430" s="239"/>
      <c r="BH430" s="239"/>
      <c r="BI430" s="9"/>
      <c r="BJ430" s="9"/>
      <c r="BK430" s="240"/>
      <c r="BL430" s="241"/>
      <c r="BM430" s="241"/>
      <c r="BN430" s="66"/>
      <c r="BO430" s="9"/>
      <c r="BP430" s="238"/>
      <c r="BQ430" s="239"/>
      <c r="BR430" s="239"/>
      <c r="BS430" s="9"/>
    </row>
    <row r="431" spans="2:71" ht="15" x14ac:dyDescent="0.25">
      <c r="B431" s="9"/>
      <c r="C431" s="91"/>
      <c r="D431" s="161"/>
      <c r="E431" s="91"/>
      <c r="F431" s="9"/>
      <c r="G431" s="9"/>
      <c r="H431" s="91"/>
      <c r="I431" s="195"/>
      <c r="J431" s="49"/>
      <c r="K431" s="161"/>
      <c r="L431" s="47"/>
      <c r="M431" s="9"/>
      <c r="N431" s="9"/>
      <c r="O431" s="91"/>
      <c r="P431" s="91"/>
      <c r="Q431" s="91"/>
      <c r="R431" s="9"/>
      <c r="S431" s="9"/>
      <c r="T431" s="91"/>
      <c r="U431" s="7"/>
      <c r="V431" s="91"/>
      <c r="W431" s="9"/>
      <c r="X431" s="9"/>
      <c r="Y431" s="91"/>
      <c r="Z431" s="7"/>
      <c r="AA431" s="91"/>
      <c r="AB431" s="9"/>
      <c r="AC431" s="9"/>
      <c r="AD431" s="48"/>
      <c r="AE431" s="49"/>
      <c r="AF431" s="91"/>
      <c r="AG431" s="9"/>
      <c r="AH431" s="9"/>
      <c r="AI431" s="91"/>
      <c r="AJ431" s="237"/>
      <c r="AK431" s="9"/>
      <c r="AL431" s="238"/>
      <c r="AM431" s="239"/>
      <c r="AN431" s="239"/>
      <c r="AO431" s="9"/>
      <c r="AP431" s="9"/>
      <c r="AQ431" s="240"/>
      <c r="AR431" s="241"/>
      <c r="AS431" s="241"/>
      <c r="AT431" s="66"/>
      <c r="AU431" s="9"/>
      <c r="AV431" s="238"/>
      <c r="AW431" s="239"/>
      <c r="AX431" s="239"/>
      <c r="AY431" s="9"/>
      <c r="AZ431" s="9"/>
      <c r="BA431" s="238"/>
      <c r="BB431" s="239"/>
      <c r="BC431" s="239"/>
      <c r="BD431" s="9"/>
      <c r="BE431" s="9"/>
      <c r="BF431" s="238"/>
      <c r="BG431" s="239"/>
      <c r="BH431" s="239"/>
      <c r="BI431" s="9"/>
      <c r="BJ431" s="9"/>
      <c r="BK431" s="240"/>
      <c r="BL431" s="241"/>
      <c r="BM431" s="241"/>
      <c r="BN431" s="66"/>
      <c r="BO431" s="9"/>
      <c r="BP431" s="238"/>
      <c r="BQ431" s="239"/>
      <c r="BR431" s="239"/>
      <c r="BS431" s="9"/>
    </row>
    <row r="432" spans="2:71" ht="15" x14ac:dyDescent="0.25">
      <c r="B432" s="9"/>
      <c r="C432" s="91"/>
      <c r="D432" s="161"/>
      <c r="E432" s="91"/>
      <c r="F432" s="9"/>
      <c r="G432" s="9"/>
      <c r="H432" s="91"/>
      <c r="I432" s="195"/>
      <c r="J432" s="49"/>
      <c r="K432" s="161"/>
      <c r="L432" s="47"/>
      <c r="M432" s="9"/>
      <c r="N432" s="9"/>
      <c r="O432" s="91"/>
      <c r="P432" s="91"/>
      <c r="Q432" s="91"/>
      <c r="R432" s="9"/>
      <c r="S432" s="9"/>
      <c r="T432" s="91"/>
      <c r="U432" s="7"/>
      <c r="V432" s="91"/>
      <c r="W432" s="9"/>
      <c r="X432" s="9"/>
      <c r="Y432" s="91"/>
      <c r="Z432" s="7"/>
      <c r="AA432" s="91"/>
      <c r="AB432" s="9"/>
      <c r="AC432" s="9"/>
      <c r="AD432" s="48"/>
      <c r="AE432" s="49"/>
      <c r="AF432" s="91"/>
      <c r="AG432" s="9"/>
      <c r="AH432" s="9"/>
      <c r="AI432" s="91"/>
      <c r="AJ432" s="237"/>
      <c r="AK432" s="9"/>
      <c r="AL432" s="238"/>
      <c r="AM432" s="239"/>
      <c r="AN432" s="239"/>
      <c r="AO432" s="9"/>
      <c r="AP432" s="9"/>
      <c r="AQ432" s="240"/>
      <c r="AR432" s="241"/>
      <c r="AS432" s="241"/>
      <c r="AT432" s="66"/>
      <c r="AU432" s="9"/>
      <c r="AV432" s="238"/>
      <c r="AW432" s="239"/>
      <c r="AX432" s="239"/>
      <c r="AY432" s="9"/>
      <c r="AZ432" s="9"/>
      <c r="BA432" s="238"/>
      <c r="BB432" s="239"/>
      <c r="BC432" s="239"/>
      <c r="BD432" s="9"/>
      <c r="BE432" s="9"/>
      <c r="BF432" s="238"/>
      <c r="BG432" s="239"/>
      <c r="BH432" s="239"/>
      <c r="BI432" s="9"/>
      <c r="BJ432" s="9"/>
      <c r="BK432" s="240"/>
      <c r="BL432" s="241"/>
      <c r="BM432" s="241"/>
      <c r="BN432" s="66"/>
      <c r="BO432" s="9"/>
      <c r="BP432" s="238"/>
      <c r="BQ432" s="239"/>
      <c r="BR432" s="239"/>
      <c r="BS432" s="9"/>
    </row>
    <row r="433" spans="2:71" ht="15" x14ac:dyDescent="0.25">
      <c r="B433" s="9"/>
      <c r="C433" s="91"/>
      <c r="D433" s="161"/>
      <c r="E433" s="91"/>
      <c r="F433" s="9"/>
      <c r="G433" s="9"/>
      <c r="H433" s="91"/>
      <c r="I433" s="195"/>
      <c r="J433" s="49"/>
      <c r="K433" s="161"/>
      <c r="L433" s="47"/>
      <c r="M433" s="9"/>
      <c r="N433" s="9"/>
      <c r="O433" s="91"/>
      <c r="P433" s="91"/>
      <c r="Q433" s="91"/>
      <c r="R433" s="9"/>
      <c r="S433" s="9"/>
      <c r="T433" s="91"/>
      <c r="U433" s="7"/>
      <c r="V433" s="91"/>
      <c r="W433" s="9"/>
      <c r="X433" s="9"/>
      <c r="Y433" s="91"/>
      <c r="Z433" s="7"/>
      <c r="AA433" s="91"/>
      <c r="AB433" s="9"/>
      <c r="AC433" s="9"/>
      <c r="AD433" s="48"/>
      <c r="AE433" s="49"/>
      <c r="AF433" s="91"/>
      <c r="AG433" s="9"/>
      <c r="AH433" s="9"/>
      <c r="AI433" s="91"/>
      <c r="AJ433" s="237"/>
      <c r="AK433" s="9"/>
      <c r="AL433" s="238"/>
      <c r="AM433" s="239"/>
      <c r="AN433" s="239"/>
      <c r="AO433" s="9"/>
      <c r="AP433" s="9"/>
      <c r="AQ433" s="240"/>
      <c r="AR433" s="241"/>
      <c r="AS433" s="241"/>
      <c r="AT433" s="66"/>
      <c r="AU433" s="9"/>
      <c r="AV433" s="238"/>
      <c r="AW433" s="239"/>
      <c r="AX433" s="239"/>
      <c r="AY433" s="9"/>
      <c r="AZ433" s="9"/>
      <c r="BA433" s="238"/>
      <c r="BB433" s="239"/>
      <c r="BC433" s="239"/>
      <c r="BD433" s="9"/>
      <c r="BE433" s="9"/>
      <c r="BF433" s="238"/>
      <c r="BG433" s="239"/>
      <c r="BH433" s="239"/>
      <c r="BI433" s="9"/>
      <c r="BJ433" s="9"/>
      <c r="BK433" s="240"/>
      <c r="BL433" s="241"/>
      <c r="BM433" s="241"/>
      <c r="BN433" s="66"/>
      <c r="BO433" s="9"/>
      <c r="BP433" s="238"/>
      <c r="BQ433" s="239"/>
      <c r="BR433" s="239"/>
      <c r="BS433" s="9"/>
    </row>
    <row r="434" spans="2:71" ht="15" x14ac:dyDescent="0.25">
      <c r="B434" s="9"/>
      <c r="C434" s="91"/>
      <c r="D434" s="161"/>
      <c r="E434" s="91"/>
      <c r="F434" s="9"/>
      <c r="G434" s="9"/>
      <c r="H434" s="91"/>
      <c r="I434" s="195"/>
      <c r="J434" s="49"/>
      <c r="K434" s="161"/>
      <c r="L434" s="47"/>
      <c r="M434" s="9"/>
      <c r="N434" s="9"/>
      <c r="O434" s="91"/>
      <c r="P434" s="91"/>
      <c r="Q434" s="91"/>
      <c r="R434" s="9"/>
      <c r="S434" s="9"/>
      <c r="T434" s="91"/>
      <c r="U434" s="7"/>
      <c r="V434" s="91"/>
      <c r="W434" s="9"/>
      <c r="X434" s="9"/>
      <c r="Y434" s="91"/>
      <c r="Z434" s="7"/>
      <c r="AA434" s="91"/>
      <c r="AB434" s="9"/>
      <c r="AC434" s="9"/>
      <c r="AD434" s="48"/>
      <c r="AE434" s="49"/>
      <c r="AF434" s="91"/>
      <c r="AG434" s="9"/>
      <c r="AH434" s="9"/>
      <c r="AI434" s="91"/>
      <c r="AJ434" s="237"/>
      <c r="AK434" s="9"/>
      <c r="AL434" s="238"/>
      <c r="AM434" s="239"/>
      <c r="AN434" s="239"/>
      <c r="AO434" s="9"/>
      <c r="AP434" s="9"/>
      <c r="AQ434" s="240"/>
      <c r="AR434" s="241"/>
      <c r="AS434" s="241"/>
      <c r="AT434" s="66"/>
      <c r="AU434" s="9"/>
      <c r="AV434" s="238"/>
      <c r="AW434" s="239"/>
      <c r="AX434" s="239"/>
      <c r="AY434" s="9"/>
      <c r="AZ434" s="9"/>
      <c r="BA434" s="238"/>
      <c r="BB434" s="239"/>
      <c r="BC434" s="239"/>
      <c r="BD434" s="9"/>
      <c r="BE434" s="9"/>
      <c r="BF434" s="238"/>
      <c r="BG434" s="239"/>
      <c r="BH434" s="239"/>
      <c r="BI434" s="9"/>
      <c r="BJ434" s="9"/>
      <c r="BK434" s="240"/>
      <c r="BL434" s="241"/>
      <c r="BM434" s="241"/>
      <c r="BN434" s="66"/>
      <c r="BO434" s="9"/>
      <c r="BP434" s="238"/>
      <c r="BQ434" s="239"/>
      <c r="BR434" s="239"/>
      <c r="BS434" s="9"/>
    </row>
    <row r="435" spans="2:71" ht="15" x14ac:dyDescent="0.25">
      <c r="B435" s="9"/>
      <c r="C435" s="91"/>
      <c r="D435" s="161"/>
      <c r="E435" s="91"/>
      <c r="F435" s="9"/>
      <c r="G435" s="9"/>
      <c r="H435" s="91"/>
      <c r="I435" s="195"/>
      <c r="J435" s="49"/>
      <c r="K435" s="161"/>
      <c r="L435" s="47"/>
      <c r="M435" s="9"/>
      <c r="N435" s="9"/>
      <c r="O435" s="91"/>
      <c r="P435" s="91"/>
      <c r="Q435" s="91"/>
      <c r="R435" s="9"/>
      <c r="S435" s="9"/>
      <c r="T435" s="91"/>
      <c r="U435" s="7"/>
      <c r="V435" s="91"/>
      <c r="W435" s="9"/>
      <c r="X435" s="9"/>
      <c r="Y435" s="91"/>
      <c r="Z435" s="7"/>
      <c r="AA435" s="91"/>
      <c r="AB435" s="9"/>
      <c r="AC435" s="9"/>
      <c r="AD435" s="48"/>
      <c r="AE435" s="49"/>
      <c r="AF435" s="91"/>
      <c r="AG435" s="9"/>
      <c r="AH435" s="9"/>
      <c r="AI435" s="91"/>
      <c r="AJ435" s="237"/>
      <c r="AK435" s="9"/>
      <c r="AL435" s="238"/>
      <c r="AM435" s="239"/>
      <c r="AN435" s="239"/>
      <c r="AO435" s="9"/>
      <c r="AP435" s="9"/>
      <c r="AQ435" s="240"/>
      <c r="AR435" s="241"/>
      <c r="AS435" s="241"/>
      <c r="AT435" s="66"/>
      <c r="AU435" s="9"/>
      <c r="AV435" s="238"/>
      <c r="AW435" s="239"/>
      <c r="AX435" s="239"/>
      <c r="AY435" s="9"/>
      <c r="AZ435" s="9"/>
      <c r="BA435" s="238"/>
      <c r="BB435" s="239"/>
      <c r="BC435" s="239"/>
      <c r="BD435" s="9"/>
      <c r="BE435" s="9"/>
      <c r="BF435" s="238"/>
      <c r="BG435" s="239"/>
      <c r="BH435" s="239"/>
      <c r="BI435" s="9"/>
      <c r="BJ435" s="9"/>
      <c r="BK435" s="240"/>
      <c r="BL435" s="241"/>
      <c r="BM435" s="241"/>
      <c r="BN435" s="66"/>
      <c r="BO435" s="9"/>
      <c r="BP435" s="238"/>
      <c r="BQ435" s="239"/>
      <c r="BR435" s="239"/>
      <c r="BS435" s="9"/>
    </row>
    <row r="436" spans="2:71" ht="15" x14ac:dyDescent="0.25">
      <c r="B436" s="9"/>
      <c r="C436" s="91"/>
      <c r="D436" s="161"/>
      <c r="E436" s="91"/>
      <c r="F436" s="9"/>
      <c r="G436" s="9"/>
      <c r="H436" s="91"/>
      <c r="I436" s="195"/>
      <c r="J436" s="49"/>
      <c r="K436" s="161"/>
      <c r="L436" s="47"/>
      <c r="M436" s="9"/>
      <c r="N436" s="9"/>
      <c r="O436" s="91"/>
      <c r="P436" s="91"/>
      <c r="Q436" s="91"/>
      <c r="R436" s="9"/>
      <c r="S436" s="9"/>
      <c r="T436" s="91"/>
      <c r="U436" s="7"/>
      <c r="V436" s="91"/>
      <c r="W436" s="9"/>
      <c r="X436" s="9"/>
      <c r="Y436" s="91"/>
      <c r="Z436" s="7"/>
      <c r="AA436" s="91"/>
      <c r="AB436" s="9"/>
      <c r="AC436" s="9"/>
      <c r="AD436" s="48"/>
      <c r="AE436" s="49"/>
      <c r="AF436" s="91"/>
      <c r="AG436" s="9"/>
      <c r="AH436" s="9"/>
      <c r="AI436" s="91"/>
      <c r="AJ436" s="237"/>
      <c r="AK436" s="9"/>
      <c r="AL436" s="238"/>
      <c r="AM436" s="239"/>
      <c r="AN436" s="239"/>
      <c r="AO436" s="9"/>
      <c r="AP436" s="9"/>
      <c r="AQ436" s="240"/>
      <c r="AR436" s="241"/>
      <c r="AS436" s="241"/>
      <c r="AT436" s="66"/>
      <c r="AU436" s="9"/>
      <c r="AV436" s="238"/>
      <c r="AW436" s="239"/>
      <c r="AX436" s="239"/>
      <c r="AY436" s="9"/>
      <c r="AZ436" s="9"/>
      <c r="BA436" s="238"/>
      <c r="BB436" s="239"/>
      <c r="BC436" s="239"/>
      <c r="BD436" s="9"/>
      <c r="BE436" s="9"/>
      <c r="BF436" s="238"/>
      <c r="BG436" s="239"/>
      <c r="BH436" s="239"/>
      <c r="BI436" s="9"/>
      <c r="BJ436" s="9"/>
      <c r="BK436" s="240"/>
      <c r="BL436" s="241"/>
      <c r="BM436" s="241"/>
      <c r="BN436" s="66"/>
      <c r="BO436" s="9"/>
      <c r="BP436" s="238"/>
      <c r="BQ436" s="239"/>
      <c r="BR436" s="239"/>
      <c r="BS436" s="9"/>
    </row>
    <row r="437" spans="2:71" ht="15" x14ac:dyDescent="0.25">
      <c r="B437" s="9"/>
      <c r="C437" s="91"/>
      <c r="D437" s="161"/>
      <c r="E437" s="91"/>
      <c r="F437" s="9"/>
      <c r="G437" s="9"/>
      <c r="H437" s="91"/>
      <c r="I437" s="195"/>
      <c r="J437" s="49"/>
      <c r="K437" s="161"/>
      <c r="L437" s="47"/>
      <c r="M437" s="9"/>
      <c r="N437" s="9"/>
      <c r="O437" s="91"/>
      <c r="P437" s="91"/>
      <c r="Q437" s="91"/>
      <c r="R437" s="9"/>
      <c r="S437" s="9"/>
      <c r="T437" s="91"/>
      <c r="U437" s="7"/>
      <c r="V437" s="91"/>
      <c r="W437" s="9"/>
      <c r="X437" s="9"/>
      <c r="Y437" s="91"/>
      <c r="Z437" s="7"/>
      <c r="AA437" s="91"/>
      <c r="AB437" s="9"/>
      <c r="AC437" s="9"/>
      <c r="AD437" s="48"/>
      <c r="AE437" s="49"/>
      <c r="AF437" s="91"/>
      <c r="AG437" s="9"/>
      <c r="AH437" s="9"/>
      <c r="AI437" s="91"/>
      <c r="AJ437" s="237"/>
      <c r="AK437" s="9"/>
      <c r="AL437" s="238"/>
      <c r="AM437" s="239"/>
      <c r="AN437" s="239"/>
      <c r="AO437" s="9"/>
      <c r="AP437" s="9"/>
      <c r="AQ437" s="240"/>
      <c r="AR437" s="241"/>
      <c r="AS437" s="241"/>
      <c r="AT437" s="66"/>
      <c r="AU437" s="9"/>
      <c r="AV437" s="238"/>
      <c r="AW437" s="239"/>
      <c r="AX437" s="239"/>
      <c r="AY437" s="9"/>
      <c r="AZ437" s="9"/>
      <c r="BA437" s="238"/>
      <c r="BB437" s="239"/>
      <c r="BC437" s="239"/>
      <c r="BD437" s="9"/>
      <c r="BE437" s="9"/>
      <c r="BF437" s="238"/>
      <c r="BG437" s="239"/>
      <c r="BH437" s="239"/>
      <c r="BI437" s="9"/>
      <c r="BJ437" s="9"/>
      <c r="BK437" s="240"/>
      <c r="BL437" s="241"/>
      <c r="BM437" s="241"/>
      <c r="BN437" s="66"/>
      <c r="BO437" s="9"/>
      <c r="BP437" s="238"/>
      <c r="BQ437" s="239"/>
      <c r="BR437" s="239"/>
      <c r="BS437" s="9"/>
    </row>
    <row r="438" spans="2:71" ht="15" x14ac:dyDescent="0.25">
      <c r="B438" s="9"/>
      <c r="C438" s="91"/>
      <c r="D438" s="161"/>
      <c r="E438" s="91"/>
      <c r="F438" s="9"/>
      <c r="G438" s="9"/>
      <c r="H438" s="91"/>
      <c r="I438" s="195"/>
      <c r="J438" s="49"/>
      <c r="K438" s="161"/>
      <c r="L438" s="47"/>
      <c r="M438" s="9"/>
      <c r="N438" s="9"/>
      <c r="O438" s="91"/>
      <c r="P438" s="91"/>
      <c r="Q438" s="91"/>
      <c r="R438" s="9"/>
      <c r="S438" s="9"/>
      <c r="T438" s="91"/>
      <c r="U438" s="7"/>
      <c r="V438" s="91"/>
      <c r="W438" s="9"/>
      <c r="X438" s="9"/>
      <c r="Y438" s="91"/>
      <c r="Z438" s="7"/>
      <c r="AA438" s="91"/>
      <c r="AB438" s="9"/>
      <c r="AC438" s="9"/>
      <c r="AD438" s="48"/>
      <c r="AE438" s="49"/>
      <c r="AF438" s="91"/>
      <c r="AG438" s="9"/>
      <c r="AH438" s="9"/>
      <c r="AI438" s="91"/>
      <c r="AJ438" s="237"/>
      <c r="AK438" s="9"/>
      <c r="AL438" s="238"/>
      <c r="AM438" s="239"/>
      <c r="AN438" s="239"/>
      <c r="AO438" s="9"/>
      <c r="AP438" s="9"/>
      <c r="AQ438" s="240"/>
      <c r="AR438" s="241"/>
      <c r="AS438" s="241"/>
      <c r="AT438" s="66"/>
      <c r="AU438" s="9"/>
      <c r="AV438" s="238"/>
      <c r="AW438" s="239"/>
      <c r="AX438" s="239"/>
      <c r="AY438" s="9"/>
      <c r="AZ438" s="9"/>
      <c r="BA438" s="238"/>
      <c r="BB438" s="239"/>
      <c r="BC438" s="239"/>
      <c r="BD438" s="9"/>
      <c r="BE438" s="9"/>
      <c r="BF438" s="238"/>
      <c r="BG438" s="239"/>
      <c r="BH438" s="239"/>
      <c r="BI438" s="9"/>
      <c r="BJ438" s="9"/>
      <c r="BK438" s="240"/>
      <c r="BL438" s="241"/>
      <c r="BM438" s="241"/>
      <c r="BN438" s="66"/>
      <c r="BO438" s="9"/>
      <c r="BP438" s="238"/>
      <c r="BQ438" s="239"/>
      <c r="BR438" s="239"/>
      <c r="BS438" s="9"/>
    </row>
    <row r="439" spans="2:71" ht="15" x14ac:dyDescent="0.25">
      <c r="B439" s="9"/>
      <c r="C439" s="91"/>
      <c r="D439" s="161"/>
      <c r="E439" s="91"/>
      <c r="F439" s="9"/>
      <c r="G439" s="9"/>
      <c r="H439" s="91"/>
      <c r="I439" s="195"/>
      <c r="J439" s="49"/>
      <c r="K439" s="161"/>
      <c r="L439" s="47"/>
      <c r="M439" s="9"/>
      <c r="N439" s="9"/>
      <c r="O439" s="91"/>
      <c r="P439" s="91"/>
      <c r="Q439" s="91"/>
      <c r="R439" s="9"/>
      <c r="S439" s="9"/>
      <c r="T439" s="91"/>
      <c r="U439" s="7"/>
      <c r="V439" s="91"/>
      <c r="W439" s="9"/>
      <c r="X439" s="9"/>
      <c r="Y439" s="91"/>
      <c r="Z439" s="7"/>
      <c r="AA439" s="91"/>
      <c r="AB439" s="9"/>
      <c r="AC439" s="9"/>
      <c r="AD439" s="48"/>
      <c r="AE439" s="49"/>
      <c r="AF439" s="91"/>
      <c r="AG439" s="9"/>
      <c r="AH439" s="9"/>
      <c r="AI439" s="91"/>
      <c r="AJ439" s="237"/>
      <c r="AK439" s="9"/>
      <c r="AL439" s="238"/>
      <c r="AM439" s="239"/>
      <c r="AN439" s="239"/>
      <c r="AO439" s="9"/>
      <c r="AP439" s="9"/>
      <c r="AQ439" s="240"/>
      <c r="AR439" s="241"/>
      <c r="AS439" s="241"/>
      <c r="AT439" s="66"/>
      <c r="AU439" s="9"/>
      <c r="AV439" s="238"/>
      <c r="AW439" s="239"/>
      <c r="AX439" s="239"/>
      <c r="AY439" s="9"/>
      <c r="AZ439" s="9"/>
      <c r="BA439" s="238"/>
      <c r="BB439" s="239"/>
      <c r="BC439" s="239"/>
      <c r="BD439" s="9"/>
      <c r="BE439" s="9"/>
      <c r="BF439" s="238"/>
      <c r="BG439" s="239"/>
      <c r="BH439" s="239"/>
      <c r="BI439" s="9"/>
      <c r="BJ439" s="9"/>
      <c r="BK439" s="240"/>
      <c r="BL439" s="241"/>
      <c r="BM439" s="241"/>
      <c r="BN439" s="66"/>
      <c r="BO439" s="9"/>
      <c r="BP439" s="238"/>
      <c r="BQ439" s="239"/>
      <c r="BR439" s="239"/>
      <c r="BS439" s="9"/>
    </row>
    <row r="440" spans="2:71" ht="15" x14ac:dyDescent="0.25">
      <c r="B440" s="9"/>
      <c r="C440" s="91"/>
      <c r="D440" s="161"/>
      <c r="E440" s="91"/>
      <c r="F440" s="9"/>
      <c r="G440" s="9"/>
      <c r="H440" s="91"/>
      <c r="I440" s="195"/>
      <c r="J440" s="49"/>
      <c r="K440" s="161"/>
      <c r="L440" s="47"/>
      <c r="M440" s="9"/>
      <c r="N440" s="9"/>
      <c r="O440" s="91"/>
      <c r="P440" s="91"/>
      <c r="Q440" s="91"/>
      <c r="R440" s="9"/>
      <c r="S440" s="9"/>
      <c r="T440" s="91"/>
      <c r="U440" s="7"/>
      <c r="V440" s="91"/>
      <c r="W440" s="9"/>
      <c r="X440" s="9"/>
      <c r="Y440" s="91"/>
      <c r="Z440" s="7"/>
      <c r="AA440" s="91"/>
      <c r="AB440" s="9"/>
      <c r="AC440" s="9"/>
      <c r="AD440" s="48"/>
      <c r="AE440" s="49"/>
      <c r="AF440" s="91"/>
      <c r="AG440" s="9"/>
      <c r="AH440" s="9"/>
      <c r="AI440" s="91"/>
      <c r="AJ440" s="237"/>
      <c r="AK440" s="9"/>
      <c r="AL440" s="238"/>
      <c r="AM440" s="239"/>
      <c r="AN440" s="239"/>
      <c r="AO440" s="9"/>
      <c r="AP440" s="9"/>
      <c r="AQ440" s="240"/>
      <c r="AR440" s="241"/>
      <c r="AS440" s="241"/>
      <c r="AT440" s="66"/>
      <c r="AU440" s="9"/>
      <c r="AV440" s="238"/>
      <c r="AW440" s="239"/>
      <c r="AX440" s="239"/>
      <c r="AY440" s="9"/>
      <c r="AZ440" s="9"/>
      <c r="BA440" s="238"/>
      <c r="BB440" s="239"/>
      <c r="BC440" s="239"/>
      <c r="BD440" s="9"/>
      <c r="BE440" s="9"/>
      <c r="BF440" s="238"/>
      <c r="BG440" s="239"/>
      <c r="BH440" s="239"/>
      <c r="BI440" s="9"/>
      <c r="BJ440" s="9"/>
      <c r="BK440" s="240"/>
      <c r="BL440" s="241"/>
      <c r="BM440" s="241"/>
      <c r="BN440" s="66"/>
      <c r="BO440" s="9"/>
      <c r="BP440" s="238"/>
      <c r="BQ440" s="239"/>
      <c r="BR440" s="239"/>
      <c r="BS440" s="9"/>
    </row>
    <row r="441" spans="2:71" ht="15" x14ac:dyDescent="0.25">
      <c r="B441" s="9"/>
      <c r="C441" s="91"/>
      <c r="D441" s="161"/>
      <c r="E441" s="91"/>
      <c r="F441" s="9"/>
      <c r="G441" s="9"/>
      <c r="H441" s="91"/>
      <c r="I441" s="195"/>
      <c r="J441" s="49"/>
      <c r="K441" s="161"/>
      <c r="L441" s="47"/>
      <c r="M441" s="9"/>
      <c r="N441" s="9"/>
      <c r="O441" s="91"/>
      <c r="P441" s="91"/>
      <c r="Q441" s="91"/>
      <c r="R441" s="9"/>
      <c r="S441" s="9"/>
      <c r="T441" s="91"/>
      <c r="U441" s="7"/>
      <c r="V441" s="91"/>
      <c r="W441" s="9"/>
      <c r="X441" s="9"/>
      <c r="Y441" s="91"/>
      <c r="Z441" s="7"/>
      <c r="AA441" s="91"/>
      <c r="AB441" s="9"/>
      <c r="AC441" s="9"/>
      <c r="AD441" s="48"/>
      <c r="AE441" s="49"/>
      <c r="AF441" s="91"/>
      <c r="AG441" s="9"/>
      <c r="AH441" s="9"/>
      <c r="AI441" s="91"/>
      <c r="AJ441" s="237"/>
      <c r="AK441" s="9"/>
      <c r="AL441" s="238"/>
      <c r="AM441" s="239"/>
      <c r="AN441" s="239"/>
      <c r="AO441" s="9"/>
      <c r="AP441" s="9"/>
      <c r="AQ441" s="240"/>
      <c r="AR441" s="241"/>
      <c r="AS441" s="241"/>
      <c r="AT441" s="66"/>
      <c r="AU441" s="9"/>
      <c r="AV441" s="238"/>
      <c r="AW441" s="239"/>
      <c r="AX441" s="239"/>
      <c r="AY441" s="9"/>
      <c r="AZ441" s="9"/>
      <c r="BA441" s="238"/>
      <c r="BB441" s="239"/>
      <c r="BC441" s="239"/>
      <c r="BD441" s="9"/>
      <c r="BE441" s="9"/>
      <c r="BF441" s="238"/>
      <c r="BG441" s="239"/>
      <c r="BH441" s="239"/>
      <c r="BI441" s="9"/>
      <c r="BJ441" s="9"/>
      <c r="BK441" s="240"/>
      <c r="BL441" s="241"/>
      <c r="BM441" s="241"/>
      <c r="BN441" s="66"/>
      <c r="BO441" s="9"/>
      <c r="BP441" s="238"/>
      <c r="BQ441" s="239"/>
      <c r="BR441" s="239"/>
      <c r="BS441" s="9"/>
    </row>
    <row r="442" spans="2:71" ht="15" x14ac:dyDescent="0.25">
      <c r="B442" s="9"/>
      <c r="C442" s="91"/>
      <c r="D442" s="161"/>
      <c r="E442" s="91"/>
      <c r="F442" s="9"/>
      <c r="G442" s="9"/>
      <c r="H442" s="91"/>
      <c r="I442" s="195"/>
      <c r="J442" s="49"/>
      <c r="K442" s="161"/>
      <c r="L442" s="47"/>
      <c r="M442" s="9"/>
      <c r="N442" s="9"/>
      <c r="O442" s="91"/>
      <c r="P442" s="91"/>
      <c r="Q442" s="91"/>
      <c r="R442" s="9"/>
      <c r="S442" s="9"/>
      <c r="T442" s="91"/>
      <c r="U442" s="7"/>
      <c r="V442" s="91"/>
      <c r="W442" s="9"/>
      <c r="X442" s="9"/>
      <c r="Y442" s="91"/>
      <c r="Z442" s="7"/>
      <c r="AA442" s="91"/>
      <c r="AB442" s="9"/>
      <c r="AC442" s="9"/>
      <c r="AD442" s="48"/>
      <c r="AE442" s="49"/>
      <c r="AF442" s="91"/>
      <c r="AG442" s="9"/>
      <c r="AH442" s="9"/>
      <c r="AI442" s="91"/>
      <c r="AJ442" s="237"/>
      <c r="AK442" s="9"/>
      <c r="AL442" s="238"/>
      <c r="AM442" s="239"/>
      <c r="AN442" s="239"/>
      <c r="AO442" s="9"/>
      <c r="AP442" s="9"/>
      <c r="AQ442" s="240"/>
      <c r="AR442" s="241"/>
      <c r="AS442" s="241"/>
      <c r="AT442" s="66"/>
      <c r="AU442" s="9"/>
      <c r="AV442" s="238"/>
      <c r="AW442" s="239"/>
      <c r="AX442" s="239"/>
      <c r="AY442" s="9"/>
      <c r="AZ442" s="9"/>
      <c r="BA442" s="238"/>
      <c r="BB442" s="239"/>
      <c r="BC442" s="239"/>
      <c r="BD442" s="9"/>
      <c r="BE442" s="9"/>
      <c r="BF442" s="238"/>
      <c r="BG442" s="239"/>
      <c r="BH442" s="239"/>
      <c r="BI442" s="9"/>
      <c r="BJ442" s="9"/>
      <c r="BK442" s="240"/>
      <c r="BL442" s="241"/>
      <c r="BM442" s="241"/>
      <c r="BN442" s="66"/>
      <c r="BO442" s="9"/>
      <c r="BP442" s="238"/>
      <c r="BQ442" s="239"/>
      <c r="BR442" s="239"/>
      <c r="BS442" s="9"/>
    </row>
    <row r="443" spans="2:71" ht="15" x14ac:dyDescent="0.25">
      <c r="B443" s="9"/>
      <c r="C443" s="91"/>
      <c r="D443" s="161"/>
      <c r="E443" s="91"/>
      <c r="F443" s="9"/>
      <c r="G443" s="9"/>
      <c r="H443" s="91"/>
      <c r="I443" s="195"/>
      <c r="J443" s="49"/>
      <c r="K443" s="161"/>
      <c r="L443" s="47"/>
      <c r="M443" s="9"/>
      <c r="N443" s="9"/>
      <c r="O443" s="91"/>
      <c r="P443" s="91"/>
      <c r="Q443" s="91"/>
      <c r="R443" s="9"/>
      <c r="S443" s="9"/>
      <c r="T443" s="91"/>
      <c r="U443" s="7"/>
      <c r="V443" s="91"/>
      <c r="W443" s="9"/>
      <c r="X443" s="9"/>
      <c r="Y443" s="91"/>
      <c r="Z443" s="7"/>
      <c r="AA443" s="91"/>
      <c r="AB443" s="9"/>
      <c r="AC443" s="9"/>
      <c r="AD443" s="48"/>
      <c r="AE443" s="49"/>
      <c r="AF443" s="91"/>
      <c r="AG443" s="9"/>
      <c r="AH443" s="9"/>
      <c r="AI443" s="91"/>
      <c r="AJ443" s="237"/>
      <c r="AK443" s="9"/>
      <c r="AL443" s="238"/>
      <c r="AM443" s="239"/>
      <c r="AN443" s="239"/>
      <c r="AO443" s="9"/>
      <c r="AP443" s="9"/>
      <c r="AQ443" s="240"/>
      <c r="AR443" s="241"/>
      <c r="AS443" s="241"/>
      <c r="AT443" s="66"/>
      <c r="AU443" s="9"/>
      <c r="AV443" s="238"/>
      <c r="AW443" s="239"/>
      <c r="AX443" s="239"/>
      <c r="AY443" s="9"/>
      <c r="AZ443" s="9"/>
      <c r="BA443" s="238"/>
      <c r="BB443" s="239"/>
      <c r="BC443" s="239"/>
      <c r="BD443" s="9"/>
      <c r="BE443" s="9"/>
      <c r="BF443" s="238"/>
      <c r="BG443" s="239"/>
      <c r="BH443" s="239"/>
      <c r="BI443" s="9"/>
      <c r="BJ443" s="9"/>
      <c r="BK443" s="240"/>
      <c r="BL443" s="241"/>
      <c r="BM443" s="241"/>
      <c r="BN443" s="66"/>
      <c r="BO443" s="9"/>
      <c r="BP443" s="238"/>
      <c r="BQ443" s="239"/>
      <c r="BR443" s="239"/>
      <c r="BS443" s="9"/>
    </row>
    <row r="444" spans="2:71" ht="15" x14ac:dyDescent="0.25">
      <c r="B444" s="9"/>
      <c r="C444" s="91"/>
      <c r="D444" s="161"/>
      <c r="E444" s="91"/>
      <c r="F444" s="9"/>
      <c r="G444" s="9"/>
      <c r="H444" s="91"/>
      <c r="I444" s="195"/>
      <c r="J444" s="49"/>
      <c r="K444" s="161"/>
      <c r="L444" s="47"/>
      <c r="M444" s="9"/>
      <c r="N444" s="9"/>
      <c r="O444" s="91"/>
      <c r="P444" s="91"/>
      <c r="Q444" s="91"/>
      <c r="R444" s="9"/>
      <c r="S444" s="9"/>
      <c r="T444" s="91"/>
      <c r="U444" s="7"/>
      <c r="V444" s="91"/>
      <c r="W444" s="9"/>
      <c r="X444" s="9"/>
      <c r="Y444" s="91"/>
      <c r="Z444" s="7"/>
      <c r="AA444" s="91"/>
      <c r="AB444" s="9"/>
      <c r="AC444" s="9"/>
      <c r="AD444" s="48"/>
      <c r="AE444" s="49"/>
      <c r="AF444" s="91"/>
      <c r="AG444" s="9"/>
      <c r="AH444" s="9"/>
      <c r="AI444" s="91"/>
      <c r="AJ444" s="237"/>
      <c r="AK444" s="9"/>
      <c r="AL444" s="238"/>
      <c r="AM444" s="239"/>
      <c r="AN444" s="239"/>
      <c r="AO444" s="9"/>
      <c r="AP444" s="9"/>
      <c r="AQ444" s="240"/>
      <c r="AR444" s="241"/>
      <c r="AS444" s="241"/>
      <c r="AT444" s="66"/>
      <c r="AU444" s="9"/>
      <c r="AV444" s="238"/>
      <c r="AW444" s="239"/>
      <c r="AX444" s="239"/>
      <c r="AY444" s="9"/>
      <c r="AZ444" s="9"/>
      <c r="BA444" s="238"/>
      <c r="BB444" s="239"/>
      <c r="BC444" s="239"/>
      <c r="BD444" s="9"/>
      <c r="BE444" s="9"/>
      <c r="BF444" s="238"/>
      <c r="BG444" s="239"/>
      <c r="BH444" s="239"/>
      <c r="BI444" s="9"/>
      <c r="BJ444" s="9"/>
      <c r="BK444" s="240"/>
      <c r="BL444" s="241"/>
      <c r="BM444" s="241"/>
      <c r="BN444" s="66"/>
      <c r="BO444" s="9"/>
      <c r="BP444" s="238"/>
      <c r="BQ444" s="239"/>
      <c r="BR444" s="239"/>
      <c r="BS444" s="9"/>
    </row>
    <row r="445" spans="2:71" ht="15" x14ac:dyDescent="0.25">
      <c r="B445" s="9"/>
      <c r="C445" s="91"/>
      <c r="D445" s="161"/>
      <c r="E445" s="91"/>
      <c r="F445" s="9"/>
      <c r="G445" s="9"/>
      <c r="H445" s="91"/>
      <c r="I445" s="195"/>
      <c r="J445" s="49"/>
      <c r="K445" s="161"/>
      <c r="L445" s="47"/>
      <c r="M445" s="9"/>
      <c r="N445" s="9"/>
      <c r="O445" s="91"/>
      <c r="P445" s="91"/>
      <c r="Q445" s="91"/>
      <c r="R445" s="9"/>
      <c r="S445" s="9"/>
      <c r="T445" s="91"/>
      <c r="U445" s="7"/>
      <c r="V445" s="91"/>
      <c r="W445" s="9"/>
      <c r="X445" s="9"/>
      <c r="Y445" s="91"/>
      <c r="Z445" s="7"/>
      <c r="AA445" s="91"/>
      <c r="AB445" s="9"/>
      <c r="AC445" s="9"/>
      <c r="AD445" s="48"/>
      <c r="AE445" s="49"/>
      <c r="AF445" s="91"/>
      <c r="AG445" s="9"/>
      <c r="AH445" s="9"/>
      <c r="AI445" s="91"/>
      <c r="AJ445" s="237"/>
      <c r="AK445" s="9"/>
      <c r="AL445" s="238"/>
      <c r="AM445" s="239"/>
      <c r="AN445" s="239"/>
      <c r="AO445" s="9"/>
      <c r="AP445" s="9"/>
      <c r="AQ445" s="240"/>
      <c r="AR445" s="241"/>
      <c r="AS445" s="241"/>
      <c r="AT445" s="66"/>
      <c r="AU445" s="9"/>
      <c r="AV445" s="238"/>
      <c r="AW445" s="239"/>
      <c r="AX445" s="239"/>
      <c r="AY445" s="9"/>
      <c r="AZ445" s="9"/>
      <c r="BA445" s="238"/>
      <c r="BB445" s="239"/>
      <c r="BC445" s="239"/>
      <c r="BD445" s="9"/>
      <c r="BE445" s="9"/>
      <c r="BF445" s="238"/>
      <c r="BG445" s="239"/>
      <c r="BH445" s="239"/>
      <c r="BI445" s="9"/>
      <c r="BJ445" s="9"/>
      <c r="BK445" s="240"/>
      <c r="BL445" s="241"/>
      <c r="BM445" s="241"/>
      <c r="BN445" s="66"/>
      <c r="BO445" s="9"/>
      <c r="BP445" s="238"/>
      <c r="BQ445" s="239"/>
      <c r="BR445" s="239"/>
      <c r="BS445" s="9"/>
    </row>
    <row r="446" spans="2:71" ht="15" x14ac:dyDescent="0.25">
      <c r="B446" s="9"/>
      <c r="C446" s="91"/>
      <c r="D446" s="161"/>
      <c r="E446" s="91"/>
      <c r="F446" s="9"/>
      <c r="G446" s="9"/>
      <c r="H446" s="91"/>
      <c r="I446" s="195"/>
      <c r="J446" s="49"/>
      <c r="K446" s="161"/>
      <c r="L446" s="47"/>
      <c r="M446" s="9"/>
      <c r="N446" s="9"/>
      <c r="O446" s="91"/>
      <c r="P446" s="91"/>
      <c r="Q446" s="91"/>
      <c r="R446" s="9"/>
      <c r="S446" s="9"/>
      <c r="T446" s="91"/>
      <c r="U446" s="7"/>
      <c r="V446" s="91"/>
      <c r="W446" s="9"/>
      <c r="X446" s="9"/>
      <c r="Y446" s="91"/>
      <c r="Z446" s="7"/>
      <c r="AA446" s="91"/>
      <c r="AB446" s="9"/>
      <c r="AC446" s="9"/>
      <c r="AD446" s="48"/>
      <c r="AE446" s="49"/>
      <c r="AF446" s="91"/>
      <c r="AG446" s="9"/>
      <c r="AH446" s="9"/>
      <c r="AI446" s="91"/>
      <c r="AJ446" s="237"/>
      <c r="AK446" s="9"/>
      <c r="AL446" s="238"/>
      <c r="AM446" s="239"/>
      <c r="AN446" s="239"/>
      <c r="AO446" s="9"/>
      <c r="AP446" s="9"/>
      <c r="AQ446" s="240"/>
      <c r="AR446" s="241"/>
      <c r="AS446" s="241"/>
      <c r="AT446" s="66"/>
      <c r="AU446" s="9"/>
      <c r="AV446" s="238"/>
      <c r="AW446" s="239"/>
      <c r="AX446" s="239"/>
      <c r="AY446" s="9"/>
      <c r="AZ446" s="9"/>
      <c r="BA446" s="238"/>
      <c r="BB446" s="239"/>
      <c r="BC446" s="239"/>
      <c r="BD446" s="9"/>
      <c r="BE446" s="9"/>
      <c r="BF446" s="238"/>
      <c r="BG446" s="239"/>
      <c r="BH446" s="239"/>
      <c r="BI446" s="9"/>
      <c r="BJ446" s="9"/>
      <c r="BK446" s="240"/>
      <c r="BL446" s="241"/>
      <c r="BM446" s="241"/>
      <c r="BN446" s="66"/>
      <c r="BO446" s="9"/>
      <c r="BP446" s="238"/>
      <c r="BQ446" s="239"/>
      <c r="BR446" s="239"/>
      <c r="BS446" s="9"/>
    </row>
    <row r="447" spans="2:71" ht="15" x14ac:dyDescent="0.25">
      <c r="B447" s="9"/>
      <c r="C447" s="91"/>
      <c r="D447" s="161"/>
      <c r="E447" s="91"/>
      <c r="F447" s="9"/>
      <c r="G447" s="9"/>
      <c r="H447" s="91"/>
      <c r="I447" s="195"/>
      <c r="J447" s="49"/>
      <c r="K447" s="161"/>
      <c r="L447" s="47"/>
      <c r="M447" s="9"/>
      <c r="N447" s="9"/>
      <c r="O447" s="91"/>
      <c r="P447" s="91"/>
      <c r="Q447" s="91"/>
      <c r="R447" s="9"/>
      <c r="S447" s="9"/>
      <c r="T447" s="91"/>
      <c r="U447" s="7"/>
      <c r="V447" s="91"/>
      <c r="W447" s="9"/>
      <c r="X447" s="9"/>
      <c r="Y447" s="91"/>
      <c r="Z447" s="7"/>
      <c r="AA447" s="91"/>
      <c r="AB447" s="9"/>
      <c r="AC447" s="9"/>
      <c r="AD447" s="48"/>
      <c r="AE447" s="49"/>
      <c r="AF447" s="91"/>
      <c r="AG447" s="9"/>
      <c r="AH447" s="9"/>
      <c r="AI447" s="91"/>
      <c r="AJ447" s="237"/>
      <c r="AK447" s="9"/>
      <c r="AL447" s="238"/>
      <c r="AM447" s="239"/>
      <c r="AN447" s="239"/>
      <c r="AO447" s="9"/>
      <c r="AP447" s="9"/>
      <c r="AQ447" s="240"/>
      <c r="AR447" s="241"/>
      <c r="AS447" s="241"/>
      <c r="AT447" s="66"/>
      <c r="AU447" s="9"/>
      <c r="AV447" s="238"/>
      <c r="AW447" s="239"/>
      <c r="AX447" s="239"/>
      <c r="AY447" s="9"/>
      <c r="AZ447" s="9"/>
      <c r="BA447" s="238"/>
      <c r="BB447" s="239"/>
      <c r="BC447" s="239"/>
      <c r="BD447" s="9"/>
      <c r="BE447" s="9"/>
      <c r="BF447" s="238"/>
      <c r="BG447" s="239"/>
      <c r="BH447" s="239"/>
      <c r="BI447" s="9"/>
      <c r="BJ447" s="9"/>
      <c r="BK447" s="240"/>
      <c r="BL447" s="241"/>
      <c r="BM447" s="241"/>
      <c r="BN447" s="66"/>
      <c r="BO447" s="9"/>
      <c r="BP447" s="238"/>
      <c r="BQ447" s="239"/>
      <c r="BR447" s="239"/>
      <c r="BS447" s="9"/>
    </row>
    <row r="448" spans="2:71" ht="15" x14ac:dyDescent="0.25">
      <c r="B448" s="9"/>
      <c r="C448" s="91"/>
      <c r="D448" s="161"/>
      <c r="E448" s="91"/>
      <c r="F448" s="9"/>
      <c r="G448" s="9"/>
      <c r="H448" s="91"/>
      <c r="I448" s="195"/>
      <c r="J448" s="49"/>
      <c r="K448" s="161"/>
      <c r="L448" s="47"/>
      <c r="M448" s="9"/>
      <c r="N448" s="9"/>
      <c r="O448" s="91"/>
      <c r="P448" s="91"/>
      <c r="Q448" s="91"/>
      <c r="R448" s="9"/>
      <c r="S448" s="9"/>
      <c r="T448" s="91"/>
      <c r="U448" s="7"/>
      <c r="V448" s="91"/>
      <c r="W448" s="9"/>
      <c r="X448" s="9"/>
      <c r="Y448" s="91"/>
      <c r="Z448" s="7"/>
      <c r="AA448" s="91"/>
      <c r="AB448" s="9"/>
      <c r="AC448" s="9"/>
      <c r="AD448" s="48"/>
      <c r="AE448" s="49"/>
      <c r="AF448" s="91"/>
      <c r="AG448" s="9"/>
      <c r="AH448" s="9"/>
      <c r="AI448" s="91"/>
      <c r="AJ448" s="237"/>
      <c r="AK448" s="9"/>
      <c r="AL448" s="238"/>
      <c r="AM448" s="239"/>
      <c r="AN448" s="239"/>
      <c r="AO448" s="9"/>
      <c r="AP448" s="9"/>
      <c r="AQ448" s="240"/>
      <c r="AR448" s="241"/>
      <c r="AS448" s="241"/>
      <c r="AT448" s="66"/>
      <c r="AU448" s="9"/>
      <c r="AV448" s="238"/>
      <c r="AW448" s="239"/>
      <c r="AX448" s="239"/>
      <c r="AY448" s="9"/>
      <c r="AZ448" s="9"/>
      <c r="BA448" s="238"/>
      <c r="BB448" s="239"/>
      <c r="BC448" s="239"/>
      <c r="BD448" s="9"/>
      <c r="BE448" s="9"/>
      <c r="BF448" s="238"/>
      <c r="BG448" s="239"/>
      <c r="BH448" s="239"/>
      <c r="BI448" s="9"/>
      <c r="BJ448" s="9"/>
      <c r="BK448" s="240"/>
      <c r="BL448" s="241"/>
      <c r="BM448" s="241"/>
      <c r="BN448" s="66"/>
      <c r="BO448" s="9"/>
      <c r="BP448" s="238"/>
      <c r="BQ448" s="239"/>
      <c r="BR448" s="239"/>
      <c r="BS448" s="9"/>
    </row>
    <row r="449" spans="2:71" ht="15" x14ac:dyDescent="0.25">
      <c r="B449" s="9"/>
      <c r="C449" s="91"/>
      <c r="D449" s="161"/>
      <c r="E449" s="91"/>
      <c r="F449" s="9"/>
      <c r="G449" s="9"/>
      <c r="H449" s="91"/>
      <c r="I449" s="195"/>
      <c r="J449" s="49"/>
      <c r="K449" s="161"/>
      <c r="L449" s="47"/>
      <c r="M449" s="9"/>
      <c r="N449" s="9"/>
      <c r="O449" s="91"/>
      <c r="P449" s="91"/>
      <c r="Q449" s="91"/>
      <c r="R449" s="9"/>
      <c r="S449" s="9"/>
      <c r="T449" s="91"/>
      <c r="U449" s="7"/>
      <c r="V449" s="91"/>
      <c r="W449" s="9"/>
      <c r="X449" s="9"/>
      <c r="Y449" s="91"/>
      <c r="Z449" s="7"/>
      <c r="AA449" s="91"/>
      <c r="AB449" s="9"/>
      <c r="AC449" s="9"/>
      <c r="AD449" s="48"/>
      <c r="AE449" s="49"/>
      <c r="AF449" s="91"/>
      <c r="AG449" s="9"/>
      <c r="AH449" s="9"/>
      <c r="AI449" s="91"/>
      <c r="AJ449" s="237"/>
      <c r="AK449" s="9"/>
      <c r="AL449" s="238"/>
      <c r="AM449" s="239"/>
      <c r="AN449" s="239"/>
      <c r="AO449" s="9"/>
      <c r="AP449" s="9"/>
      <c r="AQ449" s="240"/>
      <c r="AR449" s="241"/>
      <c r="AS449" s="241"/>
      <c r="AT449" s="66"/>
      <c r="AU449" s="9"/>
      <c r="AV449" s="238"/>
      <c r="AW449" s="239"/>
      <c r="AX449" s="239"/>
      <c r="AY449" s="9"/>
      <c r="AZ449" s="9"/>
      <c r="BA449" s="238"/>
      <c r="BB449" s="239"/>
      <c r="BC449" s="239"/>
      <c r="BD449" s="9"/>
      <c r="BE449" s="9"/>
      <c r="BF449" s="238"/>
      <c r="BG449" s="239"/>
      <c r="BH449" s="239"/>
      <c r="BI449" s="9"/>
      <c r="BJ449" s="9"/>
      <c r="BK449" s="240"/>
      <c r="BL449" s="241"/>
      <c r="BM449" s="241"/>
      <c r="BN449" s="66"/>
      <c r="BO449" s="9"/>
      <c r="BP449" s="238"/>
      <c r="BQ449" s="239"/>
      <c r="BR449" s="239"/>
      <c r="BS449" s="9"/>
    </row>
    <row r="450" spans="2:71" ht="15" x14ac:dyDescent="0.25">
      <c r="B450" s="9"/>
      <c r="C450" s="91"/>
      <c r="D450" s="161"/>
      <c r="E450" s="91"/>
      <c r="F450" s="9"/>
      <c r="G450" s="9"/>
      <c r="H450" s="91"/>
      <c r="I450" s="195"/>
      <c r="J450" s="49"/>
      <c r="K450" s="161"/>
      <c r="L450" s="47"/>
      <c r="M450" s="9"/>
      <c r="N450" s="9"/>
      <c r="O450" s="91"/>
      <c r="P450" s="91"/>
      <c r="Q450" s="91"/>
      <c r="R450" s="9"/>
      <c r="S450" s="9"/>
      <c r="T450" s="91"/>
      <c r="U450" s="7"/>
      <c r="V450" s="91"/>
      <c r="W450" s="9"/>
      <c r="X450" s="9"/>
      <c r="Y450" s="91"/>
      <c r="Z450" s="7"/>
      <c r="AA450" s="91"/>
      <c r="AB450" s="9"/>
      <c r="AC450" s="9"/>
      <c r="AD450" s="48"/>
      <c r="AE450" s="49"/>
      <c r="AF450" s="91"/>
      <c r="AG450" s="9"/>
      <c r="AH450" s="9"/>
      <c r="AI450" s="91"/>
      <c r="AJ450" s="237"/>
      <c r="AK450" s="9"/>
      <c r="AL450" s="238"/>
      <c r="AM450" s="239"/>
      <c r="AN450" s="239"/>
      <c r="AO450" s="9"/>
      <c r="AP450" s="9"/>
      <c r="AQ450" s="240"/>
      <c r="AR450" s="241"/>
      <c r="AS450" s="241"/>
      <c r="AT450" s="66"/>
      <c r="AU450" s="9"/>
      <c r="AV450" s="238"/>
      <c r="AW450" s="239"/>
      <c r="AX450" s="239"/>
      <c r="AY450" s="9"/>
      <c r="AZ450" s="9"/>
      <c r="BA450" s="238"/>
      <c r="BB450" s="239"/>
      <c r="BC450" s="239"/>
      <c r="BD450" s="9"/>
      <c r="BE450" s="9"/>
      <c r="BF450" s="238"/>
      <c r="BG450" s="239"/>
      <c r="BH450" s="239"/>
      <c r="BI450" s="9"/>
      <c r="BJ450" s="9"/>
      <c r="BK450" s="240"/>
      <c r="BL450" s="241"/>
      <c r="BM450" s="241"/>
      <c r="BN450" s="66"/>
      <c r="BO450" s="9"/>
      <c r="BP450" s="238"/>
      <c r="BQ450" s="239"/>
      <c r="BR450" s="239"/>
      <c r="BS450" s="9"/>
    </row>
    <row r="451" spans="2:71" ht="15" x14ac:dyDescent="0.25">
      <c r="B451" s="9"/>
      <c r="C451" s="91"/>
      <c r="D451" s="161"/>
      <c r="E451" s="91"/>
      <c r="F451" s="9"/>
      <c r="G451" s="9"/>
      <c r="H451" s="91"/>
      <c r="I451" s="195"/>
      <c r="J451" s="49"/>
      <c r="K451" s="161"/>
      <c r="L451" s="47"/>
      <c r="M451" s="9"/>
      <c r="N451" s="9"/>
      <c r="O451" s="91"/>
      <c r="P451" s="91"/>
      <c r="Q451" s="91"/>
      <c r="R451" s="9"/>
      <c r="S451" s="9"/>
      <c r="T451" s="91"/>
      <c r="U451" s="7"/>
      <c r="V451" s="91"/>
      <c r="W451" s="9"/>
      <c r="X451" s="9"/>
      <c r="Y451" s="91"/>
      <c r="Z451" s="7"/>
      <c r="AA451" s="91"/>
      <c r="AB451" s="9"/>
      <c r="AC451" s="9"/>
      <c r="AD451" s="48"/>
      <c r="AE451" s="49"/>
      <c r="AF451" s="91"/>
      <c r="AG451" s="9"/>
      <c r="AH451" s="9"/>
      <c r="AI451" s="91"/>
      <c r="AJ451" s="237"/>
      <c r="AK451" s="9"/>
      <c r="AL451" s="238"/>
      <c r="AM451" s="239"/>
      <c r="AN451" s="239"/>
      <c r="AO451" s="9"/>
      <c r="AP451" s="9"/>
      <c r="AQ451" s="240"/>
      <c r="AR451" s="241"/>
      <c r="AS451" s="241"/>
      <c r="AT451" s="66"/>
      <c r="AU451" s="9"/>
      <c r="AV451" s="238"/>
      <c r="AW451" s="239"/>
      <c r="AX451" s="239"/>
      <c r="AY451" s="9"/>
      <c r="AZ451" s="9"/>
      <c r="BA451" s="238"/>
      <c r="BB451" s="239"/>
      <c r="BC451" s="239"/>
      <c r="BD451" s="9"/>
      <c r="BE451" s="9"/>
      <c r="BF451" s="238"/>
      <c r="BG451" s="239"/>
      <c r="BH451" s="239"/>
      <c r="BI451" s="9"/>
      <c r="BJ451" s="9"/>
      <c r="BK451" s="240"/>
      <c r="BL451" s="241"/>
      <c r="BM451" s="241"/>
      <c r="BN451" s="66"/>
      <c r="BO451" s="9"/>
      <c r="BP451" s="238"/>
      <c r="BQ451" s="239"/>
      <c r="BR451" s="239"/>
      <c r="BS451" s="9"/>
    </row>
    <row r="452" spans="2:71" ht="15" x14ac:dyDescent="0.25">
      <c r="B452" s="9"/>
      <c r="C452" s="91"/>
      <c r="D452" s="161"/>
      <c r="E452" s="91"/>
      <c r="F452" s="9"/>
      <c r="G452" s="9"/>
      <c r="H452" s="91"/>
      <c r="I452" s="195"/>
      <c r="J452" s="49"/>
      <c r="K452" s="161"/>
      <c r="L452" s="47"/>
      <c r="M452" s="9"/>
      <c r="N452" s="9"/>
      <c r="O452" s="91"/>
      <c r="P452" s="91"/>
      <c r="Q452" s="91"/>
      <c r="R452" s="9"/>
      <c r="S452" s="9"/>
      <c r="T452" s="91"/>
      <c r="U452" s="7"/>
      <c r="V452" s="91"/>
      <c r="W452" s="9"/>
      <c r="X452" s="9"/>
      <c r="Y452" s="91"/>
      <c r="Z452" s="7"/>
      <c r="AA452" s="91"/>
      <c r="AB452" s="9"/>
      <c r="AC452" s="9"/>
      <c r="AD452" s="48"/>
      <c r="AE452" s="49"/>
      <c r="AF452" s="91"/>
      <c r="AG452" s="9"/>
      <c r="AH452" s="9"/>
      <c r="AI452" s="91"/>
      <c r="AJ452" s="237"/>
      <c r="AK452" s="9"/>
      <c r="AL452" s="238"/>
      <c r="AM452" s="239"/>
      <c r="AN452" s="239"/>
      <c r="AO452" s="9"/>
      <c r="AP452" s="9"/>
      <c r="AQ452" s="240"/>
      <c r="AR452" s="241"/>
      <c r="AS452" s="241"/>
      <c r="AT452" s="66"/>
      <c r="AU452" s="9"/>
      <c r="AV452" s="238"/>
      <c r="AW452" s="239"/>
      <c r="AX452" s="239"/>
      <c r="AY452" s="9"/>
      <c r="AZ452" s="9"/>
      <c r="BA452" s="238"/>
      <c r="BB452" s="239"/>
      <c r="BC452" s="239"/>
      <c r="BD452" s="9"/>
      <c r="BE452" s="9"/>
      <c r="BF452" s="238"/>
      <c r="BG452" s="239"/>
      <c r="BH452" s="239"/>
      <c r="BI452" s="9"/>
      <c r="BJ452" s="9"/>
      <c r="BK452" s="240"/>
      <c r="BL452" s="241"/>
      <c r="BM452" s="241"/>
      <c r="BN452" s="66"/>
      <c r="BO452" s="9"/>
      <c r="BP452" s="238"/>
      <c r="BQ452" s="239"/>
      <c r="BR452" s="239"/>
      <c r="BS452" s="9"/>
    </row>
    <row r="453" spans="2:71" ht="15" x14ac:dyDescent="0.25">
      <c r="B453" s="9"/>
      <c r="C453" s="91"/>
      <c r="D453" s="161"/>
      <c r="E453" s="91"/>
      <c r="F453" s="9"/>
      <c r="G453" s="9"/>
      <c r="H453" s="91"/>
      <c r="I453" s="195"/>
      <c r="J453" s="49"/>
      <c r="K453" s="161"/>
      <c r="L453" s="47"/>
      <c r="M453" s="9"/>
      <c r="N453" s="9"/>
      <c r="O453" s="91"/>
      <c r="P453" s="91"/>
      <c r="Q453" s="91"/>
      <c r="R453" s="9"/>
      <c r="S453" s="9"/>
      <c r="T453" s="91"/>
      <c r="U453" s="7"/>
      <c r="V453" s="91"/>
      <c r="W453" s="9"/>
      <c r="X453" s="9"/>
      <c r="Y453" s="91"/>
      <c r="Z453" s="7"/>
      <c r="AA453" s="91"/>
      <c r="AB453" s="9"/>
      <c r="AC453" s="9"/>
      <c r="AD453" s="48"/>
      <c r="AE453" s="49"/>
      <c r="AF453" s="91"/>
      <c r="AG453" s="9"/>
      <c r="AH453" s="9"/>
      <c r="AI453" s="91"/>
      <c r="AJ453" s="237"/>
      <c r="AK453" s="9"/>
      <c r="AL453" s="238"/>
      <c r="AM453" s="239"/>
      <c r="AN453" s="239"/>
      <c r="AO453" s="9"/>
      <c r="AP453" s="9"/>
      <c r="AQ453" s="240"/>
      <c r="AR453" s="241"/>
      <c r="AS453" s="241"/>
      <c r="AT453" s="66"/>
      <c r="AU453" s="9"/>
      <c r="AV453" s="238"/>
      <c r="AW453" s="239"/>
      <c r="AX453" s="239"/>
      <c r="AY453" s="9"/>
      <c r="AZ453" s="9"/>
      <c r="BA453" s="238"/>
      <c r="BB453" s="239"/>
      <c r="BC453" s="239"/>
      <c r="BD453" s="9"/>
      <c r="BE453" s="9"/>
      <c r="BF453" s="238"/>
      <c r="BG453" s="239"/>
      <c r="BH453" s="239"/>
      <c r="BI453" s="9"/>
      <c r="BJ453" s="9"/>
      <c r="BK453" s="240"/>
      <c r="BL453" s="241"/>
      <c r="BM453" s="241"/>
      <c r="BN453" s="66"/>
      <c r="BO453" s="9"/>
      <c r="BP453" s="238"/>
      <c r="BQ453" s="239"/>
      <c r="BR453" s="239"/>
      <c r="BS453" s="9"/>
    </row>
    <row r="454" spans="2:71" ht="15" x14ac:dyDescent="0.25">
      <c r="B454" s="9"/>
      <c r="C454" s="91"/>
      <c r="D454" s="161"/>
      <c r="E454" s="91"/>
      <c r="F454" s="9"/>
      <c r="G454" s="9"/>
      <c r="H454" s="91"/>
      <c r="I454" s="195"/>
      <c r="J454" s="49"/>
      <c r="K454" s="161"/>
      <c r="L454" s="47"/>
      <c r="M454" s="9"/>
      <c r="N454" s="9"/>
      <c r="O454" s="91"/>
      <c r="P454" s="91"/>
      <c r="Q454" s="91"/>
      <c r="R454" s="9"/>
      <c r="S454" s="9"/>
      <c r="T454" s="91"/>
      <c r="U454" s="7"/>
      <c r="V454" s="91"/>
      <c r="W454" s="9"/>
      <c r="X454" s="9"/>
      <c r="Y454" s="91"/>
      <c r="Z454" s="7"/>
      <c r="AA454" s="91"/>
      <c r="AB454" s="9"/>
      <c r="AC454" s="9"/>
      <c r="AD454" s="48"/>
      <c r="AE454" s="49"/>
      <c r="AF454" s="91"/>
      <c r="AG454" s="9"/>
      <c r="AH454" s="9"/>
      <c r="AI454" s="91"/>
      <c r="AJ454" s="237"/>
      <c r="AK454" s="9"/>
      <c r="AL454" s="238"/>
      <c r="AM454" s="239"/>
      <c r="AN454" s="239"/>
      <c r="AO454" s="9"/>
      <c r="AP454" s="9"/>
      <c r="AQ454" s="240"/>
      <c r="AR454" s="241"/>
      <c r="AS454" s="241"/>
      <c r="AT454" s="66"/>
      <c r="AU454" s="9"/>
      <c r="AV454" s="238"/>
      <c r="AW454" s="239"/>
      <c r="AX454" s="239"/>
      <c r="AY454" s="9"/>
      <c r="AZ454" s="9"/>
      <c r="BA454" s="238"/>
      <c r="BB454" s="239"/>
      <c r="BC454" s="239"/>
      <c r="BD454" s="9"/>
      <c r="BE454" s="9"/>
      <c r="BF454" s="238"/>
      <c r="BG454" s="239"/>
      <c r="BH454" s="239"/>
      <c r="BI454" s="9"/>
      <c r="BJ454" s="9"/>
      <c r="BK454" s="240"/>
      <c r="BL454" s="241"/>
      <c r="BM454" s="241"/>
      <c r="BN454" s="66"/>
      <c r="BO454" s="9"/>
      <c r="BP454" s="238"/>
      <c r="BQ454" s="239"/>
      <c r="BR454" s="239"/>
      <c r="BS454" s="9"/>
    </row>
    <row r="455" spans="2:71" ht="15" x14ac:dyDescent="0.25">
      <c r="B455" s="9"/>
      <c r="C455" s="91"/>
      <c r="D455" s="161"/>
      <c r="E455" s="91"/>
      <c r="F455" s="9"/>
      <c r="G455" s="9"/>
      <c r="H455" s="91"/>
      <c r="I455" s="195"/>
      <c r="J455" s="49"/>
      <c r="K455" s="161"/>
      <c r="L455" s="47"/>
      <c r="M455" s="9"/>
      <c r="N455" s="9"/>
      <c r="O455" s="91"/>
      <c r="P455" s="91"/>
      <c r="Q455" s="91"/>
      <c r="R455" s="9"/>
      <c r="S455" s="9"/>
      <c r="T455" s="91"/>
      <c r="U455" s="7"/>
      <c r="V455" s="91"/>
      <c r="W455" s="9"/>
      <c r="X455" s="9"/>
      <c r="Y455" s="91"/>
      <c r="Z455" s="7"/>
      <c r="AA455" s="91"/>
      <c r="AB455" s="9"/>
      <c r="AC455" s="9"/>
      <c r="AD455" s="48"/>
      <c r="AE455" s="49"/>
      <c r="AF455" s="91"/>
      <c r="AG455" s="9"/>
      <c r="AH455" s="9"/>
      <c r="AI455" s="91"/>
      <c r="AJ455" s="237"/>
      <c r="AK455" s="9"/>
      <c r="AL455" s="238"/>
      <c r="AM455" s="239"/>
      <c r="AN455" s="239"/>
      <c r="AO455" s="9"/>
      <c r="AP455" s="9"/>
      <c r="AQ455" s="240"/>
      <c r="AR455" s="241"/>
      <c r="AS455" s="241"/>
      <c r="AT455" s="66"/>
      <c r="AU455" s="9"/>
      <c r="AV455" s="238"/>
      <c r="AW455" s="239"/>
      <c r="AX455" s="239"/>
      <c r="AY455" s="9"/>
      <c r="AZ455" s="9"/>
      <c r="BA455" s="238"/>
      <c r="BB455" s="239"/>
      <c r="BC455" s="239"/>
      <c r="BD455" s="9"/>
      <c r="BE455" s="9"/>
      <c r="BF455" s="238"/>
      <c r="BG455" s="239"/>
      <c r="BH455" s="239"/>
      <c r="BI455" s="9"/>
      <c r="BJ455" s="9"/>
      <c r="BK455" s="240"/>
      <c r="BL455" s="241"/>
      <c r="BM455" s="241"/>
      <c r="BN455" s="66"/>
      <c r="BO455" s="9"/>
      <c r="BP455" s="238"/>
      <c r="BQ455" s="239"/>
      <c r="BR455" s="239"/>
      <c r="BS455" s="9"/>
    </row>
    <row r="456" spans="2:71" ht="15" x14ac:dyDescent="0.25">
      <c r="B456" s="9"/>
      <c r="C456" s="91"/>
      <c r="D456" s="161"/>
      <c r="E456" s="91"/>
      <c r="F456" s="9"/>
      <c r="G456" s="9"/>
      <c r="H456" s="91"/>
      <c r="I456" s="195"/>
      <c r="J456" s="49"/>
      <c r="K456" s="161"/>
      <c r="L456" s="47"/>
      <c r="M456" s="9"/>
      <c r="N456" s="9"/>
      <c r="O456" s="91"/>
      <c r="P456" s="91"/>
      <c r="Q456" s="91"/>
      <c r="R456" s="9"/>
      <c r="S456" s="9"/>
      <c r="T456" s="91"/>
      <c r="U456" s="7"/>
      <c r="V456" s="91"/>
      <c r="W456" s="9"/>
      <c r="X456" s="9"/>
      <c r="Y456" s="91"/>
      <c r="Z456" s="7"/>
      <c r="AA456" s="91"/>
      <c r="AB456" s="9"/>
      <c r="AC456" s="9"/>
      <c r="AD456" s="48"/>
      <c r="AE456" s="49"/>
      <c r="AF456" s="91"/>
      <c r="AG456" s="9"/>
      <c r="AH456" s="9"/>
      <c r="AI456" s="91"/>
      <c r="AJ456" s="237"/>
      <c r="AK456" s="9"/>
      <c r="AL456" s="238"/>
      <c r="AM456" s="239"/>
      <c r="AN456" s="239"/>
      <c r="AO456" s="9"/>
      <c r="AP456" s="9"/>
      <c r="AQ456" s="240"/>
      <c r="AR456" s="241"/>
      <c r="AS456" s="241"/>
      <c r="AT456" s="66"/>
      <c r="AU456" s="9"/>
      <c r="AV456" s="238"/>
      <c r="AW456" s="239"/>
      <c r="AX456" s="239"/>
      <c r="AY456" s="9"/>
      <c r="AZ456" s="9"/>
      <c r="BA456" s="238"/>
      <c r="BB456" s="239"/>
      <c r="BC456" s="239"/>
      <c r="BD456" s="9"/>
      <c r="BE456" s="9"/>
      <c r="BF456" s="238"/>
      <c r="BG456" s="239"/>
      <c r="BH456" s="239"/>
      <c r="BI456" s="9"/>
      <c r="BJ456" s="9"/>
      <c r="BK456" s="240"/>
      <c r="BL456" s="241"/>
      <c r="BM456" s="241"/>
      <c r="BN456" s="66"/>
      <c r="BO456" s="9"/>
      <c r="BP456" s="238"/>
      <c r="BQ456" s="239"/>
      <c r="BR456" s="239"/>
      <c r="BS456" s="9"/>
    </row>
    <row r="457" spans="2:71" ht="15" x14ac:dyDescent="0.25">
      <c r="B457" s="9"/>
      <c r="C457" s="91"/>
      <c r="D457" s="161"/>
      <c r="E457" s="91"/>
      <c r="F457" s="9"/>
      <c r="G457" s="9"/>
      <c r="H457" s="91"/>
      <c r="I457" s="195"/>
      <c r="J457" s="49"/>
      <c r="K457" s="161"/>
      <c r="L457" s="47"/>
      <c r="M457" s="9"/>
      <c r="N457" s="9"/>
      <c r="O457" s="91"/>
      <c r="P457" s="91"/>
      <c r="Q457" s="91"/>
      <c r="R457" s="9"/>
      <c r="S457" s="9"/>
      <c r="T457" s="91"/>
      <c r="U457" s="7"/>
      <c r="V457" s="91"/>
      <c r="W457" s="9"/>
      <c r="X457" s="9"/>
      <c r="Y457" s="91"/>
      <c r="Z457" s="7"/>
      <c r="AA457" s="91"/>
      <c r="AB457" s="9"/>
      <c r="AC457" s="9"/>
      <c r="AD457" s="48"/>
      <c r="AE457" s="49"/>
      <c r="AF457" s="91"/>
      <c r="AG457" s="9"/>
      <c r="AH457" s="9"/>
      <c r="AI457" s="91"/>
      <c r="AJ457" s="237"/>
      <c r="AK457" s="9"/>
      <c r="AL457" s="238"/>
      <c r="AM457" s="239"/>
      <c r="AN457" s="239"/>
      <c r="AO457" s="9"/>
      <c r="AP457" s="9"/>
      <c r="AQ457" s="240"/>
      <c r="AR457" s="241"/>
      <c r="AS457" s="241"/>
      <c r="AT457" s="66"/>
      <c r="AU457" s="9"/>
      <c r="AV457" s="238"/>
      <c r="AW457" s="239"/>
      <c r="AX457" s="239"/>
      <c r="AY457" s="9"/>
      <c r="AZ457" s="9"/>
      <c r="BA457" s="238"/>
      <c r="BB457" s="239"/>
      <c r="BC457" s="239"/>
      <c r="BD457" s="9"/>
      <c r="BE457" s="9"/>
      <c r="BF457" s="238"/>
      <c r="BG457" s="239"/>
      <c r="BH457" s="239"/>
      <c r="BI457" s="9"/>
      <c r="BJ457" s="9"/>
      <c r="BK457" s="240"/>
      <c r="BL457" s="241"/>
      <c r="BM457" s="241"/>
      <c r="BN457" s="66"/>
      <c r="BO457" s="9"/>
      <c r="BP457" s="238"/>
      <c r="BQ457" s="239"/>
      <c r="BR457" s="239"/>
      <c r="BS457" s="9"/>
    </row>
    <row r="458" spans="2:71" ht="15" x14ac:dyDescent="0.25">
      <c r="B458" s="9"/>
      <c r="C458" s="91"/>
      <c r="D458" s="161"/>
      <c r="E458" s="91"/>
      <c r="F458" s="9"/>
      <c r="G458" s="9"/>
      <c r="H458" s="91"/>
      <c r="I458" s="195"/>
      <c r="J458" s="49"/>
      <c r="K458" s="161"/>
      <c r="L458" s="47"/>
      <c r="M458" s="9"/>
      <c r="N458" s="9"/>
      <c r="O458" s="91"/>
      <c r="P458" s="91"/>
      <c r="Q458" s="91"/>
      <c r="R458" s="9"/>
      <c r="S458" s="9"/>
      <c r="T458" s="91"/>
      <c r="U458" s="7"/>
      <c r="V458" s="91"/>
      <c r="W458" s="9"/>
      <c r="X458" s="9"/>
      <c r="Y458" s="91"/>
      <c r="Z458" s="7"/>
      <c r="AA458" s="91"/>
      <c r="AB458" s="9"/>
      <c r="AC458" s="9"/>
      <c r="AD458" s="48"/>
      <c r="AE458" s="49"/>
      <c r="AF458" s="91"/>
      <c r="AG458" s="9"/>
      <c r="AH458" s="9"/>
      <c r="AI458" s="91"/>
      <c r="AJ458" s="237"/>
      <c r="AK458" s="9"/>
      <c r="AL458" s="238"/>
      <c r="AM458" s="239"/>
      <c r="AN458" s="239"/>
      <c r="AO458" s="9"/>
      <c r="AP458" s="9"/>
      <c r="AQ458" s="240"/>
      <c r="AR458" s="241"/>
      <c r="AS458" s="241"/>
      <c r="AT458" s="66"/>
      <c r="AU458" s="9"/>
      <c r="AV458" s="238"/>
      <c r="AW458" s="239"/>
      <c r="AX458" s="239"/>
      <c r="AY458" s="9"/>
      <c r="AZ458" s="9"/>
      <c r="BA458" s="238"/>
      <c r="BB458" s="239"/>
      <c r="BC458" s="239"/>
      <c r="BD458" s="9"/>
      <c r="BE458" s="9"/>
      <c r="BF458" s="238"/>
      <c r="BG458" s="239"/>
      <c r="BH458" s="239"/>
      <c r="BI458" s="9"/>
      <c r="BJ458" s="9"/>
      <c r="BK458" s="240"/>
      <c r="BL458" s="241"/>
      <c r="BM458" s="241"/>
      <c r="BN458" s="66"/>
      <c r="BO458" s="9"/>
      <c r="BP458" s="238"/>
      <c r="BQ458" s="239"/>
      <c r="BR458" s="239"/>
      <c r="BS458" s="9"/>
    </row>
    <row r="459" spans="2:71" ht="15" x14ac:dyDescent="0.25">
      <c r="B459" s="9"/>
      <c r="C459" s="91"/>
      <c r="D459" s="161"/>
      <c r="E459" s="91"/>
      <c r="F459" s="9"/>
      <c r="G459" s="9"/>
      <c r="H459" s="91"/>
      <c r="I459" s="195"/>
      <c r="J459" s="49"/>
      <c r="K459" s="161"/>
      <c r="L459" s="47"/>
      <c r="M459" s="9"/>
      <c r="N459" s="9"/>
      <c r="O459" s="91"/>
      <c r="P459" s="91"/>
      <c r="Q459" s="91"/>
      <c r="R459" s="9"/>
      <c r="S459" s="9"/>
      <c r="T459" s="91"/>
      <c r="U459" s="7"/>
      <c r="V459" s="91"/>
      <c r="W459" s="9"/>
      <c r="X459" s="9"/>
      <c r="Y459" s="91"/>
      <c r="Z459" s="7"/>
      <c r="AA459" s="91"/>
      <c r="AB459" s="9"/>
      <c r="AC459" s="9"/>
      <c r="AD459" s="48"/>
      <c r="AE459" s="49"/>
      <c r="AF459" s="91"/>
      <c r="AG459" s="9"/>
      <c r="AH459" s="9"/>
      <c r="AI459" s="91"/>
      <c r="AJ459" s="237"/>
      <c r="AK459" s="9"/>
      <c r="AL459" s="238"/>
      <c r="AM459" s="239"/>
      <c r="AN459" s="239"/>
      <c r="AO459" s="9"/>
      <c r="AP459" s="9"/>
      <c r="AQ459" s="240"/>
      <c r="AR459" s="241"/>
      <c r="AS459" s="241"/>
      <c r="AT459" s="66"/>
      <c r="AU459" s="9"/>
      <c r="AV459" s="238"/>
      <c r="AW459" s="239"/>
      <c r="AX459" s="239"/>
      <c r="AY459" s="9"/>
      <c r="AZ459" s="9"/>
      <c r="BA459" s="238"/>
      <c r="BB459" s="239"/>
      <c r="BC459" s="239"/>
      <c r="BD459" s="9"/>
      <c r="BE459" s="9"/>
      <c r="BF459" s="238"/>
      <c r="BG459" s="239"/>
      <c r="BH459" s="239"/>
      <c r="BI459" s="9"/>
      <c r="BJ459" s="9"/>
      <c r="BK459" s="240"/>
      <c r="BL459" s="241"/>
      <c r="BM459" s="241"/>
      <c r="BN459" s="66"/>
      <c r="BO459" s="9"/>
      <c r="BP459" s="238"/>
      <c r="BQ459" s="239"/>
      <c r="BR459" s="239"/>
      <c r="BS459" s="9"/>
    </row>
    <row r="460" spans="2:71" ht="15" x14ac:dyDescent="0.25">
      <c r="B460" s="9"/>
      <c r="C460" s="91"/>
      <c r="D460" s="161"/>
      <c r="E460" s="91"/>
      <c r="F460" s="9"/>
      <c r="G460" s="9"/>
      <c r="H460" s="91"/>
      <c r="I460" s="195"/>
      <c r="J460" s="49"/>
      <c r="K460" s="161"/>
      <c r="L460" s="47"/>
      <c r="M460" s="9"/>
      <c r="N460" s="9"/>
      <c r="O460" s="91"/>
      <c r="P460" s="91"/>
      <c r="Q460" s="91"/>
      <c r="R460" s="9"/>
      <c r="S460" s="9"/>
      <c r="T460" s="91"/>
      <c r="U460" s="7"/>
      <c r="V460" s="91"/>
      <c r="W460" s="9"/>
      <c r="X460" s="9"/>
      <c r="Y460" s="91"/>
      <c r="Z460" s="7"/>
      <c r="AA460" s="91"/>
      <c r="AB460" s="9"/>
      <c r="AC460" s="9"/>
      <c r="AD460" s="48"/>
      <c r="AE460" s="49"/>
      <c r="AF460" s="91"/>
      <c r="AG460" s="9"/>
      <c r="AH460" s="9"/>
      <c r="AI460" s="91"/>
      <c r="AJ460" s="237"/>
      <c r="AK460" s="9"/>
      <c r="AL460" s="238"/>
      <c r="AM460" s="239"/>
      <c r="AN460" s="239"/>
      <c r="AO460" s="9"/>
      <c r="AP460" s="9"/>
      <c r="AQ460" s="240"/>
      <c r="AR460" s="241"/>
      <c r="AS460" s="241"/>
      <c r="AT460" s="66"/>
      <c r="AU460" s="9"/>
      <c r="AV460" s="238"/>
      <c r="AW460" s="239"/>
      <c r="AX460" s="239"/>
      <c r="AY460" s="9"/>
      <c r="AZ460" s="9"/>
      <c r="BA460" s="238"/>
      <c r="BB460" s="239"/>
      <c r="BC460" s="239"/>
      <c r="BD460" s="9"/>
      <c r="BE460" s="9"/>
      <c r="BF460" s="238"/>
      <c r="BG460" s="239"/>
      <c r="BH460" s="239"/>
      <c r="BI460" s="9"/>
      <c r="BJ460" s="9"/>
      <c r="BK460" s="240"/>
      <c r="BL460" s="241"/>
      <c r="BM460" s="241"/>
      <c r="BN460" s="66"/>
      <c r="BO460" s="9"/>
      <c r="BP460" s="238"/>
      <c r="BQ460" s="239"/>
      <c r="BR460" s="239"/>
      <c r="BS460" s="9"/>
    </row>
    <row r="461" spans="2:71" ht="15" x14ac:dyDescent="0.25">
      <c r="B461" s="9"/>
      <c r="C461" s="91"/>
      <c r="D461" s="161"/>
      <c r="E461" s="91"/>
      <c r="F461" s="9"/>
      <c r="G461" s="9"/>
      <c r="H461" s="91"/>
      <c r="I461" s="195"/>
      <c r="J461" s="49"/>
      <c r="K461" s="161"/>
      <c r="L461" s="47"/>
      <c r="M461" s="9"/>
      <c r="N461" s="9"/>
      <c r="O461" s="91"/>
      <c r="P461" s="91"/>
      <c r="Q461" s="91"/>
      <c r="R461" s="9"/>
      <c r="S461" s="9"/>
      <c r="T461" s="91"/>
      <c r="U461" s="7"/>
      <c r="V461" s="91"/>
      <c r="W461" s="9"/>
      <c r="X461" s="9"/>
      <c r="Y461" s="91"/>
      <c r="Z461" s="7"/>
      <c r="AA461" s="91"/>
      <c r="AB461" s="9"/>
      <c r="AC461" s="9"/>
      <c r="AD461" s="48"/>
      <c r="AE461" s="49"/>
      <c r="AF461" s="91"/>
      <c r="AG461" s="9"/>
      <c r="AH461" s="9"/>
      <c r="AI461" s="91"/>
      <c r="AJ461" s="237"/>
      <c r="AK461" s="9"/>
      <c r="AL461" s="238"/>
      <c r="AM461" s="239"/>
      <c r="AN461" s="239"/>
      <c r="AO461" s="9"/>
      <c r="AP461" s="9"/>
      <c r="AQ461" s="240"/>
      <c r="AR461" s="241"/>
      <c r="AS461" s="241"/>
      <c r="AT461" s="66"/>
      <c r="AU461" s="9"/>
      <c r="AV461" s="238"/>
      <c r="AW461" s="239"/>
      <c r="AX461" s="239"/>
      <c r="AY461" s="9"/>
      <c r="AZ461" s="9"/>
      <c r="BA461" s="238"/>
      <c r="BB461" s="239"/>
      <c r="BC461" s="239"/>
      <c r="BD461" s="9"/>
      <c r="BE461" s="9"/>
      <c r="BF461" s="238"/>
      <c r="BG461" s="239"/>
      <c r="BH461" s="239"/>
      <c r="BI461" s="9"/>
      <c r="BJ461" s="9"/>
      <c r="BK461" s="240"/>
      <c r="BL461" s="241"/>
      <c r="BM461" s="241"/>
      <c r="BN461" s="66"/>
      <c r="BO461" s="9"/>
      <c r="BP461" s="238"/>
      <c r="BQ461" s="239"/>
      <c r="BR461" s="239"/>
      <c r="BS461" s="9"/>
    </row>
    <row r="462" spans="2:71" ht="15" x14ac:dyDescent="0.25">
      <c r="B462" s="9"/>
      <c r="C462" s="91"/>
      <c r="D462" s="161"/>
      <c r="E462" s="91"/>
      <c r="F462" s="9"/>
      <c r="G462" s="9"/>
      <c r="H462" s="91"/>
      <c r="I462" s="195"/>
      <c r="J462" s="49"/>
      <c r="K462" s="161"/>
      <c r="L462" s="47"/>
      <c r="M462" s="9"/>
      <c r="N462" s="9"/>
      <c r="O462" s="91"/>
      <c r="P462" s="91"/>
      <c r="Q462" s="91"/>
      <c r="R462" s="9"/>
      <c r="S462" s="9"/>
      <c r="T462" s="91"/>
      <c r="U462" s="7"/>
      <c r="V462" s="91"/>
      <c r="W462" s="9"/>
      <c r="X462" s="9"/>
      <c r="Y462" s="91"/>
      <c r="Z462" s="7"/>
      <c r="AA462" s="91"/>
      <c r="AB462" s="9"/>
      <c r="AC462" s="9"/>
      <c r="AD462" s="48"/>
      <c r="AE462" s="49"/>
      <c r="AF462" s="91"/>
      <c r="AG462" s="9"/>
      <c r="AH462" s="9"/>
      <c r="AI462" s="91"/>
      <c r="AJ462" s="237"/>
      <c r="AK462" s="9"/>
      <c r="AL462" s="238"/>
      <c r="AM462" s="239"/>
      <c r="AN462" s="239"/>
      <c r="AO462" s="9"/>
      <c r="AP462" s="9"/>
      <c r="AQ462" s="240"/>
      <c r="AR462" s="241"/>
      <c r="AS462" s="241"/>
      <c r="AT462" s="66"/>
      <c r="AU462" s="9"/>
      <c r="AV462" s="238"/>
      <c r="AW462" s="239"/>
      <c r="AX462" s="239"/>
      <c r="AY462" s="9"/>
      <c r="AZ462" s="9"/>
      <c r="BA462" s="238"/>
      <c r="BB462" s="239"/>
      <c r="BC462" s="239"/>
      <c r="BD462" s="9"/>
      <c r="BE462" s="9"/>
      <c r="BF462" s="238"/>
      <c r="BG462" s="239"/>
      <c r="BH462" s="239"/>
      <c r="BI462" s="9"/>
      <c r="BJ462" s="9"/>
      <c r="BK462" s="240"/>
      <c r="BL462" s="241"/>
      <c r="BM462" s="241"/>
      <c r="BN462" s="66"/>
      <c r="BO462" s="9"/>
      <c r="BP462" s="238"/>
      <c r="BQ462" s="239"/>
      <c r="BR462" s="239"/>
      <c r="BS462" s="9"/>
    </row>
    <row r="463" spans="2:71" ht="15" x14ac:dyDescent="0.25">
      <c r="B463" s="9"/>
      <c r="C463" s="91"/>
      <c r="D463" s="161"/>
      <c r="E463" s="91"/>
      <c r="F463" s="9"/>
      <c r="G463" s="9"/>
      <c r="H463" s="91"/>
      <c r="I463" s="195"/>
      <c r="J463" s="49"/>
      <c r="K463" s="161"/>
      <c r="L463" s="47"/>
      <c r="M463" s="9"/>
      <c r="N463" s="9"/>
      <c r="O463" s="91"/>
      <c r="P463" s="91"/>
      <c r="Q463" s="91"/>
      <c r="R463" s="9"/>
      <c r="S463" s="9"/>
      <c r="T463" s="91"/>
      <c r="U463" s="7"/>
      <c r="V463" s="91"/>
      <c r="W463" s="9"/>
      <c r="X463" s="9"/>
      <c r="Y463" s="91"/>
      <c r="Z463" s="7"/>
      <c r="AA463" s="91"/>
      <c r="AB463" s="9"/>
      <c r="AC463" s="9"/>
      <c r="AD463" s="48"/>
      <c r="AE463" s="49"/>
      <c r="AF463" s="91"/>
      <c r="AG463" s="9"/>
      <c r="AH463" s="9"/>
      <c r="AI463" s="91"/>
      <c r="AJ463" s="237"/>
      <c r="AK463" s="9"/>
      <c r="AL463" s="238"/>
      <c r="AM463" s="239"/>
      <c r="AN463" s="239"/>
      <c r="AO463" s="9"/>
      <c r="AP463" s="9"/>
      <c r="AQ463" s="240"/>
      <c r="AR463" s="241"/>
      <c r="AS463" s="241"/>
      <c r="AT463" s="66"/>
      <c r="AU463" s="9"/>
      <c r="AV463" s="238"/>
      <c r="AW463" s="239"/>
      <c r="AX463" s="239"/>
      <c r="AY463" s="9"/>
      <c r="AZ463" s="9"/>
      <c r="BA463" s="238"/>
      <c r="BB463" s="239"/>
      <c r="BC463" s="239"/>
      <c r="BD463" s="9"/>
      <c r="BE463" s="9"/>
      <c r="BF463" s="238"/>
      <c r="BG463" s="239"/>
      <c r="BH463" s="239"/>
      <c r="BI463" s="9"/>
      <c r="BJ463" s="9"/>
      <c r="BK463" s="240"/>
      <c r="BL463" s="241"/>
      <c r="BM463" s="241"/>
      <c r="BN463" s="66"/>
      <c r="BO463" s="9"/>
      <c r="BP463" s="238"/>
      <c r="BQ463" s="239"/>
      <c r="BR463" s="239"/>
      <c r="BS463" s="9"/>
    </row>
    <row r="464" spans="2:71" ht="15" x14ac:dyDescent="0.25">
      <c r="B464" s="9"/>
      <c r="C464" s="91"/>
      <c r="D464" s="161"/>
      <c r="E464" s="91"/>
      <c r="F464" s="9"/>
      <c r="G464" s="9"/>
      <c r="H464" s="91"/>
      <c r="I464" s="195"/>
      <c r="J464" s="49"/>
      <c r="K464" s="161"/>
      <c r="L464" s="47"/>
      <c r="M464" s="9"/>
      <c r="N464" s="9"/>
      <c r="O464" s="91"/>
      <c r="P464" s="91"/>
      <c r="Q464" s="91"/>
      <c r="R464" s="9"/>
      <c r="S464" s="9"/>
      <c r="T464" s="91"/>
      <c r="U464" s="7"/>
      <c r="V464" s="91"/>
      <c r="W464" s="9"/>
      <c r="X464" s="9"/>
      <c r="Y464" s="91"/>
      <c r="Z464" s="7"/>
      <c r="AA464" s="91"/>
      <c r="AB464" s="9"/>
      <c r="AC464" s="9"/>
      <c r="AD464" s="48"/>
      <c r="AE464" s="49"/>
      <c r="AF464" s="91"/>
      <c r="AG464" s="9"/>
      <c r="AH464" s="9"/>
      <c r="AI464" s="91"/>
      <c r="AJ464" s="237"/>
      <c r="AK464" s="9"/>
      <c r="AL464" s="238"/>
      <c r="AM464" s="239"/>
      <c r="AN464" s="239"/>
      <c r="AO464" s="9"/>
      <c r="AP464" s="9"/>
      <c r="AQ464" s="240"/>
      <c r="AR464" s="241"/>
      <c r="AS464" s="241"/>
      <c r="AT464" s="66"/>
      <c r="AU464" s="9"/>
      <c r="AV464" s="238"/>
      <c r="AW464" s="239"/>
      <c r="AX464" s="239"/>
      <c r="AY464" s="9"/>
      <c r="AZ464" s="9"/>
      <c r="BA464" s="238"/>
      <c r="BB464" s="239"/>
      <c r="BC464" s="239"/>
      <c r="BD464" s="9"/>
      <c r="BE464" s="9"/>
      <c r="BF464" s="238"/>
      <c r="BG464" s="239"/>
      <c r="BH464" s="239"/>
      <c r="BI464" s="9"/>
      <c r="BJ464" s="9"/>
      <c r="BK464" s="240"/>
      <c r="BL464" s="241"/>
      <c r="BM464" s="241"/>
      <c r="BN464" s="66"/>
      <c r="BO464" s="9"/>
      <c r="BP464" s="238"/>
      <c r="BQ464" s="239"/>
      <c r="BR464" s="239"/>
      <c r="BS464" s="9"/>
    </row>
    <row r="465" spans="2:71" ht="15" x14ac:dyDescent="0.25">
      <c r="B465" s="9"/>
      <c r="C465" s="91"/>
      <c r="D465" s="161"/>
      <c r="E465" s="91"/>
      <c r="F465" s="9"/>
      <c r="G465" s="9"/>
      <c r="H465" s="91"/>
      <c r="I465" s="195"/>
      <c r="J465" s="49"/>
      <c r="K465" s="161"/>
      <c r="L465" s="47"/>
      <c r="M465" s="9"/>
      <c r="N465" s="9"/>
      <c r="O465" s="91"/>
      <c r="P465" s="91"/>
      <c r="Q465" s="91"/>
      <c r="R465" s="9"/>
      <c r="S465" s="9"/>
      <c r="T465" s="91"/>
      <c r="U465" s="7"/>
      <c r="V465" s="91"/>
      <c r="W465" s="9"/>
      <c r="X465" s="9"/>
      <c r="Y465" s="91"/>
      <c r="Z465" s="7"/>
      <c r="AA465" s="91"/>
      <c r="AB465" s="9"/>
      <c r="AC465" s="9"/>
      <c r="AD465" s="48"/>
      <c r="AE465" s="49"/>
      <c r="AF465" s="91"/>
      <c r="AG465" s="9"/>
      <c r="AH465" s="9"/>
      <c r="AI465" s="91"/>
      <c r="AJ465" s="237"/>
      <c r="AK465" s="9"/>
      <c r="AL465" s="238"/>
      <c r="AM465" s="239"/>
      <c r="AN465" s="239"/>
      <c r="AO465" s="9"/>
      <c r="AP465" s="9"/>
      <c r="AQ465" s="240"/>
      <c r="AR465" s="241"/>
      <c r="AS465" s="241"/>
      <c r="AT465" s="66"/>
      <c r="AU465" s="9"/>
      <c r="AV465" s="238"/>
      <c r="AW465" s="239"/>
      <c r="AX465" s="239"/>
      <c r="AY465" s="9"/>
      <c r="AZ465" s="9"/>
      <c r="BA465" s="238"/>
      <c r="BB465" s="239"/>
      <c r="BC465" s="239"/>
      <c r="BD465" s="9"/>
      <c r="BE465" s="9"/>
      <c r="BF465" s="238"/>
      <c r="BG465" s="239"/>
      <c r="BH465" s="239"/>
      <c r="BI465" s="9"/>
      <c r="BJ465" s="9"/>
      <c r="BK465" s="240"/>
      <c r="BL465" s="241"/>
      <c r="BM465" s="241"/>
      <c r="BN465" s="66"/>
      <c r="BO465" s="9"/>
      <c r="BP465" s="238"/>
      <c r="BQ465" s="239"/>
      <c r="BR465" s="239"/>
      <c r="BS465" s="9"/>
    </row>
    <row r="466" spans="2:71" ht="15" x14ac:dyDescent="0.25">
      <c r="B466" s="9"/>
      <c r="C466" s="91"/>
      <c r="D466" s="161"/>
      <c r="E466" s="91"/>
      <c r="F466" s="9"/>
      <c r="G466" s="9"/>
      <c r="H466" s="91"/>
      <c r="I466" s="195"/>
      <c r="J466" s="49"/>
      <c r="K466" s="161"/>
      <c r="L466" s="47"/>
      <c r="M466" s="9"/>
      <c r="N466" s="9"/>
      <c r="O466" s="91"/>
      <c r="P466" s="91"/>
      <c r="Q466" s="91"/>
      <c r="R466" s="9"/>
      <c r="S466" s="9"/>
      <c r="T466" s="91"/>
      <c r="U466" s="7"/>
      <c r="V466" s="91"/>
      <c r="W466" s="9"/>
      <c r="X466" s="9"/>
      <c r="Y466" s="91"/>
      <c r="Z466" s="7"/>
      <c r="AA466" s="91"/>
      <c r="AB466" s="9"/>
      <c r="AC466" s="9"/>
      <c r="AD466" s="48"/>
      <c r="AE466" s="49"/>
      <c r="AF466" s="91"/>
      <c r="AG466" s="9"/>
      <c r="AH466" s="9"/>
      <c r="AI466" s="91"/>
      <c r="AJ466" s="237"/>
      <c r="AK466" s="9"/>
      <c r="AL466" s="238"/>
      <c r="AM466" s="239"/>
      <c r="AN466" s="239"/>
      <c r="AO466" s="9"/>
      <c r="AP466" s="9"/>
      <c r="AQ466" s="240"/>
      <c r="AR466" s="241"/>
      <c r="AS466" s="241"/>
      <c r="AT466" s="66"/>
      <c r="AU466" s="9"/>
      <c r="AV466" s="238"/>
      <c r="AW466" s="239"/>
      <c r="AX466" s="239"/>
      <c r="AY466" s="9"/>
      <c r="AZ466" s="9"/>
      <c r="BA466" s="238"/>
      <c r="BB466" s="239"/>
      <c r="BC466" s="239"/>
      <c r="BD466" s="9"/>
      <c r="BE466" s="9"/>
      <c r="BF466" s="238"/>
      <c r="BG466" s="239"/>
      <c r="BH466" s="239"/>
      <c r="BI466" s="9"/>
      <c r="BJ466" s="9"/>
      <c r="BK466" s="240"/>
      <c r="BL466" s="241"/>
      <c r="BM466" s="241"/>
      <c r="BN466" s="66"/>
      <c r="BO466" s="9"/>
      <c r="BP466" s="238"/>
      <c r="BQ466" s="239"/>
      <c r="BR466" s="239"/>
      <c r="BS466" s="9"/>
    </row>
    <row r="467" spans="2:71" ht="15" x14ac:dyDescent="0.25">
      <c r="B467" s="9"/>
      <c r="C467" s="91"/>
      <c r="D467" s="161"/>
      <c r="E467" s="91"/>
      <c r="F467" s="9"/>
      <c r="G467" s="9"/>
      <c r="H467" s="91"/>
      <c r="I467" s="195"/>
      <c r="J467" s="49"/>
      <c r="K467" s="161"/>
      <c r="L467" s="47"/>
      <c r="M467" s="9"/>
      <c r="N467" s="9"/>
      <c r="O467" s="91"/>
      <c r="P467" s="91"/>
      <c r="Q467" s="91"/>
      <c r="R467" s="9"/>
      <c r="S467" s="9"/>
      <c r="T467" s="91"/>
      <c r="U467" s="7"/>
      <c r="V467" s="91"/>
      <c r="W467" s="9"/>
      <c r="X467" s="9"/>
      <c r="Y467" s="91"/>
      <c r="Z467" s="7"/>
      <c r="AA467" s="91"/>
      <c r="AB467" s="9"/>
      <c r="AC467" s="9"/>
      <c r="AD467" s="48"/>
      <c r="AE467" s="49"/>
      <c r="AF467" s="91"/>
      <c r="AG467" s="9"/>
      <c r="AH467" s="9"/>
      <c r="AI467" s="91"/>
      <c r="AJ467" s="237"/>
      <c r="AK467" s="9"/>
      <c r="AL467" s="238"/>
      <c r="AM467" s="239"/>
      <c r="AN467" s="239"/>
      <c r="AO467" s="9"/>
      <c r="AP467" s="9"/>
      <c r="AQ467" s="240"/>
      <c r="AR467" s="241"/>
      <c r="AS467" s="241"/>
      <c r="AT467" s="66"/>
      <c r="AU467" s="9"/>
      <c r="AV467" s="238"/>
      <c r="AW467" s="239"/>
      <c r="AX467" s="239"/>
      <c r="AY467" s="9"/>
      <c r="AZ467" s="9"/>
      <c r="BA467" s="238"/>
      <c r="BB467" s="239"/>
      <c r="BC467" s="239"/>
      <c r="BD467" s="9"/>
      <c r="BE467" s="9"/>
      <c r="BF467" s="238"/>
      <c r="BG467" s="239"/>
      <c r="BH467" s="239"/>
      <c r="BI467" s="9"/>
      <c r="BJ467" s="9"/>
      <c r="BK467" s="240"/>
      <c r="BL467" s="241"/>
      <c r="BM467" s="241"/>
      <c r="BN467" s="66"/>
      <c r="BO467" s="9"/>
      <c r="BP467" s="238"/>
      <c r="BQ467" s="239"/>
      <c r="BR467" s="239"/>
      <c r="BS467" s="9"/>
    </row>
    <row r="468" spans="2:71" ht="15" x14ac:dyDescent="0.25">
      <c r="B468" s="9"/>
      <c r="C468" s="91"/>
      <c r="D468" s="161"/>
      <c r="E468" s="91"/>
      <c r="F468" s="9"/>
      <c r="G468" s="9"/>
      <c r="H468" s="91"/>
      <c r="I468" s="195"/>
      <c r="J468" s="49"/>
      <c r="K468" s="161"/>
      <c r="L468" s="47"/>
      <c r="M468" s="9"/>
      <c r="N468" s="9"/>
      <c r="O468" s="91"/>
      <c r="P468" s="91"/>
      <c r="Q468" s="91"/>
      <c r="R468" s="9"/>
      <c r="S468" s="9"/>
      <c r="T468" s="91"/>
      <c r="U468" s="7"/>
      <c r="V468" s="91"/>
      <c r="W468" s="9"/>
      <c r="X468" s="9"/>
      <c r="Y468" s="91"/>
      <c r="Z468" s="7"/>
      <c r="AA468" s="91"/>
      <c r="AB468" s="9"/>
      <c r="AC468" s="9"/>
      <c r="AD468" s="48"/>
      <c r="AE468" s="49"/>
      <c r="AF468" s="91"/>
      <c r="AG468" s="9"/>
      <c r="AH468" s="9"/>
      <c r="AI468" s="91"/>
      <c r="AJ468" s="237"/>
      <c r="AK468" s="9"/>
      <c r="AL468" s="238"/>
      <c r="AM468" s="239"/>
      <c r="AN468" s="239"/>
      <c r="AO468" s="9"/>
      <c r="AP468" s="9"/>
      <c r="AQ468" s="240"/>
      <c r="AR468" s="241"/>
      <c r="AS468" s="241"/>
      <c r="AT468" s="66"/>
      <c r="AU468" s="9"/>
      <c r="AV468" s="238"/>
      <c r="AW468" s="239"/>
      <c r="AX468" s="239"/>
      <c r="AY468" s="9"/>
      <c r="AZ468" s="9"/>
      <c r="BA468" s="238"/>
      <c r="BB468" s="239"/>
      <c r="BC468" s="239"/>
      <c r="BD468" s="9"/>
      <c r="BE468" s="9"/>
      <c r="BF468" s="238"/>
      <c r="BG468" s="239"/>
      <c r="BH468" s="239"/>
      <c r="BI468" s="9"/>
      <c r="BJ468" s="9"/>
      <c r="BK468" s="240"/>
      <c r="BL468" s="241"/>
      <c r="BM468" s="241"/>
      <c r="BN468" s="66"/>
      <c r="BO468" s="9"/>
      <c r="BP468" s="238"/>
      <c r="BQ468" s="239"/>
      <c r="BR468" s="239"/>
      <c r="BS468" s="9"/>
    </row>
    <row r="469" spans="2:71" ht="15" x14ac:dyDescent="0.25">
      <c r="B469" s="9"/>
      <c r="C469" s="91"/>
      <c r="D469" s="161"/>
      <c r="E469" s="91"/>
      <c r="F469" s="9"/>
      <c r="G469" s="9"/>
      <c r="H469" s="91"/>
      <c r="I469" s="195"/>
      <c r="J469" s="49"/>
      <c r="K469" s="161"/>
      <c r="L469" s="47"/>
      <c r="M469" s="9"/>
      <c r="N469" s="9"/>
      <c r="O469" s="91"/>
      <c r="P469" s="91"/>
      <c r="Q469" s="91"/>
      <c r="R469" s="9"/>
      <c r="S469" s="9"/>
      <c r="T469" s="91"/>
      <c r="U469" s="7"/>
      <c r="V469" s="91"/>
      <c r="W469" s="9"/>
      <c r="X469" s="9"/>
      <c r="Y469" s="91"/>
      <c r="Z469" s="7"/>
      <c r="AA469" s="91"/>
      <c r="AB469" s="9"/>
      <c r="AC469" s="9"/>
      <c r="AD469" s="48"/>
      <c r="AE469" s="49"/>
      <c r="AF469" s="91"/>
      <c r="AG469" s="9"/>
      <c r="AH469" s="9"/>
      <c r="AI469" s="91"/>
      <c r="AJ469" s="237"/>
      <c r="AK469" s="9"/>
      <c r="AL469" s="238"/>
      <c r="AM469" s="239"/>
      <c r="AN469" s="239"/>
      <c r="AO469" s="9"/>
      <c r="AP469" s="9"/>
      <c r="AQ469" s="240"/>
      <c r="AR469" s="241"/>
      <c r="AS469" s="241"/>
      <c r="AT469" s="66"/>
      <c r="AU469" s="9"/>
      <c r="AV469" s="238"/>
      <c r="AW469" s="239"/>
      <c r="AX469" s="239"/>
      <c r="AY469" s="9"/>
      <c r="AZ469" s="9"/>
      <c r="BA469" s="238"/>
      <c r="BB469" s="239"/>
      <c r="BC469" s="239"/>
      <c r="BD469" s="9"/>
      <c r="BE469" s="9"/>
      <c r="BF469" s="238"/>
      <c r="BG469" s="239"/>
      <c r="BH469" s="239"/>
      <c r="BI469" s="9"/>
      <c r="BJ469" s="9"/>
      <c r="BK469" s="240"/>
      <c r="BL469" s="241"/>
      <c r="BM469" s="241"/>
      <c r="BN469" s="66"/>
      <c r="BO469" s="9"/>
      <c r="BP469" s="238"/>
      <c r="BQ469" s="239"/>
      <c r="BR469" s="239"/>
      <c r="BS469" s="9"/>
    </row>
    <row r="470" spans="2:71" ht="15" x14ac:dyDescent="0.25">
      <c r="B470" s="9"/>
      <c r="C470" s="91"/>
      <c r="D470" s="161"/>
      <c r="E470" s="91"/>
      <c r="F470" s="9"/>
      <c r="G470" s="9"/>
      <c r="H470" s="91"/>
      <c r="I470" s="195"/>
      <c r="J470" s="49"/>
      <c r="K470" s="161"/>
      <c r="L470" s="47"/>
      <c r="M470" s="9"/>
      <c r="N470" s="9"/>
      <c r="O470" s="91"/>
      <c r="P470" s="91"/>
      <c r="Q470" s="91"/>
      <c r="R470" s="9"/>
      <c r="S470" s="9"/>
      <c r="T470" s="91"/>
      <c r="U470" s="7"/>
      <c r="V470" s="91"/>
      <c r="W470" s="9"/>
      <c r="X470" s="9"/>
      <c r="Y470" s="91"/>
      <c r="Z470" s="7"/>
      <c r="AA470" s="91"/>
      <c r="AB470" s="9"/>
      <c r="AC470" s="9"/>
      <c r="AD470" s="48"/>
      <c r="AE470" s="49"/>
      <c r="AF470" s="91"/>
      <c r="AG470" s="9"/>
      <c r="AH470" s="9"/>
      <c r="AI470" s="91"/>
      <c r="AJ470" s="237"/>
      <c r="AK470" s="9"/>
      <c r="AL470" s="238"/>
      <c r="AM470" s="239"/>
      <c r="AN470" s="239"/>
      <c r="AO470" s="9"/>
      <c r="AP470" s="9"/>
      <c r="AQ470" s="240"/>
      <c r="AR470" s="241"/>
      <c r="AS470" s="241"/>
      <c r="AT470" s="66"/>
      <c r="AU470" s="9"/>
      <c r="AV470" s="238"/>
      <c r="AW470" s="239"/>
      <c r="AX470" s="239"/>
      <c r="AY470" s="9"/>
      <c r="AZ470" s="9"/>
      <c r="BA470" s="238"/>
      <c r="BB470" s="239"/>
      <c r="BC470" s="239"/>
      <c r="BD470" s="9"/>
      <c r="BE470" s="9"/>
      <c r="BF470" s="238"/>
      <c r="BG470" s="239"/>
      <c r="BH470" s="239"/>
      <c r="BI470" s="9"/>
      <c r="BJ470" s="9"/>
      <c r="BK470" s="240"/>
      <c r="BL470" s="241"/>
      <c r="BM470" s="241"/>
      <c r="BN470" s="66"/>
      <c r="BO470" s="9"/>
      <c r="BP470" s="238"/>
      <c r="BQ470" s="239"/>
      <c r="BR470" s="239"/>
      <c r="BS470" s="9"/>
    </row>
    <row r="471" spans="2:71" ht="15" x14ac:dyDescent="0.25">
      <c r="B471" s="9"/>
      <c r="C471" s="91"/>
      <c r="D471" s="161"/>
      <c r="E471" s="91"/>
      <c r="F471" s="9"/>
      <c r="G471" s="9"/>
      <c r="H471" s="91"/>
      <c r="I471" s="195"/>
      <c r="J471" s="49"/>
      <c r="K471" s="161"/>
      <c r="L471" s="47"/>
      <c r="M471" s="9"/>
      <c r="N471" s="9"/>
      <c r="O471" s="91"/>
      <c r="P471" s="91"/>
      <c r="Q471" s="91"/>
      <c r="R471" s="9"/>
      <c r="S471" s="9"/>
      <c r="T471" s="91"/>
      <c r="U471" s="7"/>
      <c r="V471" s="91"/>
      <c r="W471" s="9"/>
      <c r="X471" s="9"/>
      <c r="Y471" s="91"/>
      <c r="Z471" s="7"/>
      <c r="AA471" s="91"/>
      <c r="AB471" s="9"/>
      <c r="AC471" s="9"/>
      <c r="AD471" s="48"/>
      <c r="AE471" s="49"/>
      <c r="AF471" s="91"/>
      <c r="AG471" s="9"/>
      <c r="AH471" s="9"/>
      <c r="AI471" s="91"/>
      <c r="AJ471" s="237"/>
      <c r="AK471" s="9"/>
      <c r="AL471" s="238"/>
      <c r="AM471" s="239"/>
      <c r="AN471" s="239"/>
      <c r="AO471" s="9"/>
      <c r="AP471" s="9"/>
      <c r="AQ471" s="240"/>
      <c r="AR471" s="241"/>
      <c r="AS471" s="241"/>
      <c r="AT471" s="66"/>
      <c r="AU471" s="9"/>
      <c r="AV471" s="238"/>
      <c r="AW471" s="239"/>
      <c r="AX471" s="239"/>
      <c r="AY471" s="9"/>
      <c r="AZ471" s="9"/>
      <c r="BA471" s="238"/>
      <c r="BB471" s="239"/>
      <c r="BC471" s="239"/>
      <c r="BD471" s="9"/>
      <c r="BE471" s="9"/>
      <c r="BF471" s="238"/>
      <c r="BG471" s="239"/>
      <c r="BH471" s="239"/>
      <c r="BI471" s="9"/>
      <c r="BJ471" s="9"/>
      <c r="BK471" s="240"/>
      <c r="BL471" s="241"/>
      <c r="BM471" s="241"/>
      <c r="BN471" s="66"/>
      <c r="BO471" s="9"/>
      <c r="BP471" s="238"/>
      <c r="BQ471" s="239"/>
      <c r="BR471" s="239"/>
      <c r="BS471" s="9"/>
    </row>
    <row r="472" spans="2:71" ht="15" x14ac:dyDescent="0.25">
      <c r="B472" s="9"/>
      <c r="C472" s="91"/>
      <c r="D472" s="161"/>
      <c r="E472" s="91"/>
      <c r="F472" s="9"/>
      <c r="G472" s="9"/>
      <c r="H472" s="91"/>
      <c r="I472" s="195"/>
      <c r="J472" s="49"/>
      <c r="K472" s="161"/>
      <c r="L472" s="47"/>
      <c r="M472" s="9"/>
      <c r="N472" s="9"/>
      <c r="O472" s="91"/>
      <c r="P472" s="91"/>
      <c r="Q472" s="91"/>
      <c r="R472" s="9"/>
      <c r="S472" s="9"/>
      <c r="T472" s="91"/>
      <c r="U472" s="7"/>
      <c r="V472" s="91"/>
      <c r="W472" s="9"/>
      <c r="X472" s="9"/>
      <c r="Y472" s="91"/>
      <c r="Z472" s="7"/>
      <c r="AA472" s="91"/>
      <c r="AB472" s="9"/>
      <c r="AC472" s="9"/>
      <c r="AD472" s="48"/>
      <c r="AE472" s="49"/>
      <c r="AF472" s="91"/>
      <c r="AG472" s="9"/>
      <c r="AH472" s="9"/>
      <c r="AI472" s="91"/>
      <c r="AJ472" s="237"/>
      <c r="AK472" s="9"/>
      <c r="AL472" s="238"/>
      <c r="AM472" s="239"/>
      <c r="AN472" s="239"/>
      <c r="AO472" s="9"/>
      <c r="AP472" s="9"/>
      <c r="AQ472" s="240"/>
      <c r="AR472" s="241"/>
      <c r="AS472" s="241"/>
      <c r="AT472" s="66"/>
      <c r="AU472" s="9"/>
      <c r="AV472" s="238"/>
      <c r="AW472" s="239"/>
      <c r="AX472" s="239"/>
      <c r="AY472" s="9"/>
      <c r="AZ472" s="9"/>
      <c r="BA472" s="238"/>
      <c r="BB472" s="239"/>
      <c r="BC472" s="239"/>
      <c r="BD472" s="9"/>
      <c r="BE472" s="9"/>
      <c r="BF472" s="238"/>
      <c r="BG472" s="239"/>
      <c r="BH472" s="239"/>
      <c r="BI472" s="9"/>
      <c r="BJ472" s="9"/>
      <c r="BK472" s="240"/>
      <c r="BL472" s="241"/>
      <c r="BM472" s="241"/>
      <c r="BN472" s="66"/>
      <c r="BO472" s="9"/>
      <c r="BP472" s="238"/>
      <c r="BQ472" s="239"/>
      <c r="BR472" s="239"/>
      <c r="BS472" s="9"/>
    </row>
    <row r="473" spans="2:71" ht="15" x14ac:dyDescent="0.25">
      <c r="B473" s="9"/>
      <c r="C473" s="91"/>
      <c r="D473" s="161"/>
      <c r="E473" s="91"/>
      <c r="F473" s="9"/>
      <c r="G473" s="9"/>
      <c r="H473" s="91"/>
      <c r="I473" s="195"/>
      <c r="J473" s="49"/>
      <c r="K473" s="161"/>
      <c r="L473" s="47"/>
      <c r="M473" s="9"/>
      <c r="N473" s="9"/>
      <c r="O473" s="91"/>
      <c r="P473" s="91"/>
      <c r="Q473" s="91"/>
      <c r="R473" s="9"/>
      <c r="S473" s="9"/>
      <c r="T473" s="91"/>
      <c r="U473" s="7"/>
      <c r="V473" s="91"/>
      <c r="W473" s="9"/>
      <c r="X473" s="9"/>
      <c r="Y473" s="91"/>
      <c r="Z473" s="7"/>
      <c r="AA473" s="91"/>
      <c r="AB473" s="9"/>
      <c r="AC473" s="9"/>
      <c r="AD473" s="48"/>
      <c r="AE473" s="49"/>
      <c r="AF473" s="91"/>
      <c r="AG473" s="9"/>
      <c r="AH473" s="9"/>
      <c r="AI473" s="91"/>
      <c r="AJ473" s="237"/>
      <c r="AK473" s="9"/>
      <c r="AL473" s="238"/>
      <c r="AM473" s="239"/>
      <c r="AN473" s="239"/>
      <c r="AO473" s="9"/>
      <c r="AP473" s="9"/>
      <c r="AQ473" s="240"/>
      <c r="AR473" s="241"/>
      <c r="AS473" s="241"/>
      <c r="AT473" s="66"/>
      <c r="AU473" s="9"/>
      <c r="AV473" s="238"/>
      <c r="AW473" s="239"/>
      <c r="AX473" s="239"/>
      <c r="AY473" s="9"/>
      <c r="AZ473" s="9"/>
      <c r="BA473" s="238"/>
      <c r="BB473" s="239"/>
      <c r="BC473" s="239"/>
      <c r="BD473" s="9"/>
      <c r="BE473" s="9"/>
      <c r="BF473" s="238"/>
      <c r="BG473" s="239"/>
      <c r="BH473" s="239"/>
      <c r="BI473" s="9"/>
      <c r="BJ473" s="9"/>
      <c r="BK473" s="240"/>
      <c r="BL473" s="241"/>
      <c r="BM473" s="241"/>
      <c r="BN473" s="66"/>
      <c r="BO473" s="9"/>
      <c r="BP473" s="238"/>
      <c r="BQ473" s="239"/>
      <c r="BR473" s="239"/>
      <c r="BS473" s="9"/>
    </row>
    <row r="474" spans="2:71" ht="15" x14ac:dyDescent="0.25">
      <c r="B474" s="9"/>
      <c r="C474" s="91"/>
      <c r="D474" s="161"/>
      <c r="E474" s="91"/>
      <c r="F474" s="9"/>
      <c r="G474" s="9"/>
      <c r="H474" s="91"/>
      <c r="I474" s="195"/>
      <c r="J474" s="49"/>
      <c r="K474" s="161"/>
      <c r="L474" s="47"/>
      <c r="M474" s="9"/>
      <c r="N474" s="9"/>
      <c r="O474" s="91"/>
      <c r="P474" s="91"/>
      <c r="Q474" s="91"/>
      <c r="R474" s="9"/>
      <c r="S474" s="9"/>
      <c r="T474" s="91"/>
      <c r="U474" s="7"/>
      <c r="V474" s="91"/>
      <c r="W474" s="9"/>
      <c r="X474" s="9"/>
      <c r="Y474" s="91"/>
      <c r="Z474" s="7"/>
      <c r="AA474" s="91"/>
      <c r="AB474" s="9"/>
      <c r="AC474" s="9"/>
      <c r="AD474" s="48"/>
      <c r="AE474" s="49"/>
      <c r="AF474" s="91"/>
      <c r="AG474" s="9"/>
      <c r="AH474" s="9"/>
      <c r="AI474" s="91"/>
      <c r="AJ474" s="237"/>
      <c r="AK474" s="9"/>
      <c r="AL474" s="238"/>
      <c r="AM474" s="239"/>
      <c r="AN474" s="239"/>
      <c r="AO474" s="9"/>
      <c r="AP474" s="9"/>
      <c r="AQ474" s="240"/>
      <c r="AR474" s="241"/>
      <c r="AS474" s="241"/>
      <c r="AT474" s="66"/>
      <c r="AU474" s="9"/>
      <c r="AV474" s="238"/>
      <c r="AW474" s="239"/>
      <c r="AX474" s="239"/>
      <c r="AY474" s="9"/>
      <c r="AZ474" s="9"/>
      <c r="BA474" s="238"/>
      <c r="BB474" s="239"/>
      <c r="BC474" s="239"/>
      <c r="BD474" s="9"/>
      <c r="BE474" s="9"/>
      <c r="BF474" s="238"/>
      <c r="BG474" s="239"/>
      <c r="BH474" s="239"/>
      <c r="BI474" s="9"/>
      <c r="BJ474" s="9"/>
      <c r="BK474" s="240"/>
      <c r="BL474" s="241"/>
      <c r="BM474" s="241"/>
      <c r="BN474" s="66"/>
      <c r="BO474" s="9"/>
      <c r="BP474" s="238"/>
      <c r="BQ474" s="239"/>
      <c r="BR474" s="239"/>
      <c r="BS474" s="9"/>
    </row>
    <row r="475" spans="2:71" ht="15" x14ac:dyDescent="0.25">
      <c r="B475" s="9"/>
      <c r="C475" s="91"/>
      <c r="D475" s="161"/>
      <c r="E475" s="91"/>
      <c r="F475" s="9"/>
      <c r="G475" s="9"/>
      <c r="H475" s="91"/>
      <c r="I475" s="195"/>
      <c r="J475" s="49"/>
      <c r="K475" s="161"/>
      <c r="L475" s="47"/>
      <c r="M475" s="9"/>
      <c r="N475" s="9"/>
      <c r="O475" s="91"/>
      <c r="P475" s="91"/>
      <c r="Q475" s="91"/>
      <c r="R475" s="9"/>
      <c r="S475" s="9"/>
      <c r="T475" s="91"/>
      <c r="U475" s="7"/>
      <c r="V475" s="91"/>
      <c r="W475" s="9"/>
      <c r="X475" s="9"/>
      <c r="Y475" s="91"/>
      <c r="Z475" s="7"/>
      <c r="AA475" s="91"/>
      <c r="AB475" s="9"/>
      <c r="AC475" s="9"/>
      <c r="AD475" s="48"/>
      <c r="AE475" s="49"/>
      <c r="AF475" s="91"/>
      <c r="AG475" s="9"/>
      <c r="AH475" s="9"/>
      <c r="AI475" s="91"/>
      <c r="AJ475" s="237"/>
      <c r="AK475" s="9"/>
      <c r="AL475" s="238"/>
      <c r="AM475" s="239"/>
      <c r="AN475" s="239"/>
      <c r="AO475" s="9"/>
      <c r="AP475" s="9"/>
      <c r="AQ475" s="240"/>
      <c r="AR475" s="241"/>
      <c r="AS475" s="241"/>
      <c r="AT475" s="66"/>
      <c r="AU475" s="9"/>
      <c r="AV475" s="238"/>
      <c r="AW475" s="239"/>
      <c r="AX475" s="239"/>
      <c r="AY475" s="9"/>
      <c r="AZ475" s="9"/>
      <c r="BA475" s="238"/>
      <c r="BB475" s="239"/>
      <c r="BC475" s="239"/>
      <c r="BD475" s="9"/>
      <c r="BE475" s="9"/>
      <c r="BF475" s="238"/>
      <c r="BG475" s="239"/>
      <c r="BH475" s="239"/>
      <c r="BI475" s="9"/>
      <c r="BJ475" s="9"/>
      <c r="BK475" s="240"/>
      <c r="BL475" s="241"/>
      <c r="BM475" s="241"/>
      <c r="BN475" s="66"/>
      <c r="BO475" s="9"/>
      <c r="BP475" s="238"/>
      <c r="BQ475" s="239"/>
      <c r="BR475" s="239"/>
      <c r="BS475" s="9"/>
    </row>
    <row r="476" spans="2:71" ht="15" x14ac:dyDescent="0.25">
      <c r="B476" s="9"/>
      <c r="C476" s="91"/>
      <c r="D476" s="161"/>
      <c r="E476" s="91"/>
      <c r="F476" s="9"/>
      <c r="G476" s="9"/>
      <c r="H476" s="91"/>
      <c r="I476" s="195"/>
      <c r="J476" s="49"/>
      <c r="K476" s="161"/>
      <c r="L476" s="47"/>
      <c r="M476" s="9"/>
      <c r="N476" s="9"/>
      <c r="O476" s="91"/>
      <c r="P476" s="91"/>
      <c r="Q476" s="91"/>
      <c r="R476" s="9"/>
      <c r="S476" s="9"/>
      <c r="T476" s="91"/>
      <c r="U476" s="7"/>
      <c r="V476" s="91"/>
      <c r="W476" s="9"/>
      <c r="X476" s="9"/>
      <c r="Y476" s="91"/>
      <c r="Z476" s="7"/>
      <c r="AA476" s="91"/>
      <c r="AB476" s="9"/>
      <c r="AC476" s="9"/>
      <c r="AD476" s="48"/>
      <c r="AE476" s="49"/>
      <c r="AF476" s="91"/>
      <c r="AG476" s="9"/>
      <c r="AH476" s="9"/>
      <c r="AI476" s="91"/>
      <c r="AJ476" s="237"/>
      <c r="AK476" s="9"/>
      <c r="AL476" s="238"/>
      <c r="AM476" s="239"/>
      <c r="AN476" s="239"/>
      <c r="AO476" s="9"/>
      <c r="AP476" s="9"/>
      <c r="AQ476" s="240"/>
      <c r="AR476" s="241"/>
      <c r="AS476" s="241"/>
      <c r="AT476" s="66"/>
      <c r="AU476" s="9"/>
      <c r="AV476" s="238"/>
      <c r="AW476" s="239"/>
      <c r="AX476" s="239"/>
      <c r="AY476" s="9"/>
      <c r="AZ476" s="9"/>
      <c r="BA476" s="238"/>
      <c r="BB476" s="239"/>
      <c r="BC476" s="239"/>
      <c r="BD476" s="9"/>
      <c r="BE476" s="9"/>
      <c r="BF476" s="238"/>
      <c r="BG476" s="239"/>
      <c r="BH476" s="239"/>
      <c r="BI476" s="9"/>
      <c r="BJ476" s="9"/>
      <c r="BK476" s="240"/>
      <c r="BL476" s="241"/>
      <c r="BM476" s="241"/>
      <c r="BN476" s="66"/>
      <c r="BO476" s="9"/>
      <c r="BP476" s="238"/>
      <c r="BQ476" s="239"/>
      <c r="BR476" s="239"/>
      <c r="BS476" s="9"/>
    </row>
    <row r="477" spans="2:71" ht="15" x14ac:dyDescent="0.25">
      <c r="B477" s="9"/>
      <c r="C477" s="91"/>
      <c r="D477" s="161"/>
      <c r="E477" s="91"/>
      <c r="F477" s="9"/>
      <c r="G477" s="9"/>
      <c r="H477" s="91"/>
      <c r="I477" s="195"/>
      <c r="J477" s="49"/>
      <c r="K477" s="161"/>
      <c r="L477" s="47"/>
      <c r="M477" s="9"/>
      <c r="N477" s="9"/>
      <c r="O477" s="91"/>
      <c r="P477" s="91"/>
      <c r="Q477" s="91"/>
      <c r="R477" s="9"/>
      <c r="S477" s="9"/>
      <c r="T477" s="91"/>
      <c r="U477" s="7"/>
      <c r="V477" s="91"/>
      <c r="W477" s="9"/>
      <c r="X477" s="9"/>
      <c r="Y477" s="91"/>
      <c r="Z477" s="7"/>
      <c r="AA477" s="91"/>
      <c r="AB477" s="9"/>
      <c r="AC477" s="9"/>
      <c r="AD477" s="48"/>
      <c r="AE477" s="49"/>
      <c r="AF477" s="91"/>
      <c r="AG477" s="9"/>
      <c r="AH477" s="9"/>
      <c r="AI477" s="91"/>
      <c r="AJ477" s="237"/>
      <c r="AK477" s="9"/>
      <c r="AL477" s="238"/>
      <c r="AM477" s="239"/>
      <c r="AN477" s="239"/>
      <c r="AO477" s="9"/>
      <c r="AP477" s="9"/>
      <c r="AQ477" s="240"/>
      <c r="AR477" s="241"/>
      <c r="AS477" s="241"/>
      <c r="AT477" s="66"/>
      <c r="AU477" s="9"/>
      <c r="AV477" s="238"/>
      <c r="AW477" s="239"/>
      <c r="AX477" s="239"/>
      <c r="AY477" s="9"/>
      <c r="AZ477" s="9"/>
      <c r="BA477" s="238"/>
      <c r="BB477" s="239"/>
      <c r="BC477" s="239"/>
      <c r="BD477" s="9"/>
      <c r="BE477" s="9"/>
      <c r="BF477" s="238"/>
      <c r="BG477" s="239"/>
      <c r="BH477" s="239"/>
      <c r="BI477" s="9"/>
      <c r="BJ477" s="9"/>
      <c r="BK477" s="240"/>
      <c r="BL477" s="241"/>
      <c r="BM477" s="241"/>
      <c r="BN477" s="66"/>
      <c r="BO477" s="9"/>
      <c r="BP477" s="238"/>
      <c r="BQ477" s="239"/>
      <c r="BR477" s="239"/>
      <c r="BS477" s="9"/>
    </row>
    <row r="478" spans="2:71" ht="15" x14ac:dyDescent="0.25">
      <c r="B478" s="9"/>
      <c r="C478" s="91"/>
      <c r="D478" s="161"/>
      <c r="E478" s="91"/>
      <c r="F478" s="9"/>
      <c r="G478" s="9"/>
      <c r="H478" s="91"/>
      <c r="I478" s="195"/>
      <c r="J478" s="49"/>
      <c r="K478" s="161"/>
      <c r="L478" s="47"/>
      <c r="M478" s="9"/>
      <c r="N478" s="9"/>
      <c r="O478" s="91"/>
      <c r="P478" s="91"/>
      <c r="Q478" s="91"/>
      <c r="R478" s="9"/>
      <c r="S478" s="9"/>
      <c r="T478" s="91"/>
      <c r="U478" s="7"/>
      <c r="V478" s="91"/>
      <c r="W478" s="9"/>
      <c r="X478" s="9"/>
      <c r="Y478" s="91"/>
      <c r="Z478" s="7"/>
      <c r="AA478" s="91"/>
      <c r="AB478" s="9"/>
      <c r="AC478" s="9"/>
      <c r="AD478" s="48"/>
      <c r="AE478" s="49"/>
      <c r="AF478" s="91"/>
      <c r="AG478" s="9"/>
      <c r="AH478" s="9"/>
      <c r="AI478" s="91"/>
      <c r="AJ478" s="237"/>
      <c r="AK478" s="9"/>
      <c r="AL478" s="238"/>
      <c r="AM478" s="239"/>
      <c r="AN478" s="239"/>
      <c r="AO478" s="9"/>
      <c r="AP478" s="9"/>
      <c r="AQ478" s="240"/>
      <c r="AR478" s="241"/>
      <c r="AS478" s="241"/>
      <c r="AT478" s="66"/>
      <c r="AU478" s="9"/>
      <c r="AV478" s="238"/>
      <c r="AW478" s="239"/>
      <c r="AX478" s="239"/>
      <c r="AY478" s="9"/>
      <c r="AZ478" s="9"/>
      <c r="BA478" s="238"/>
      <c r="BB478" s="239"/>
      <c r="BC478" s="239"/>
      <c r="BD478" s="9"/>
      <c r="BE478" s="9"/>
      <c r="BF478" s="238"/>
      <c r="BG478" s="239"/>
      <c r="BH478" s="239"/>
      <c r="BI478" s="9"/>
      <c r="BJ478" s="9"/>
      <c r="BK478" s="240"/>
      <c r="BL478" s="241"/>
      <c r="BM478" s="241"/>
      <c r="BN478" s="66"/>
      <c r="BO478" s="9"/>
      <c r="BP478" s="238"/>
      <c r="BQ478" s="239"/>
      <c r="BR478" s="239"/>
      <c r="BS478" s="9"/>
    </row>
    <row r="479" spans="2:71" ht="15" x14ac:dyDescent="0.25">
      <c r="B479" s="9"/>
      <c r="C479" s="91"/>
      <c r="D479" s="161"/>
      <c r="E479" s="91"/>
      <c r="F479" s="9"/>
      <c r="G479" s="9"/>
      <c r="H479" s="91"/>
      <c r="I479" s="195"/>
      <c r="J479" s="49"/>
      <c r="K479" s="161"/>
      <c r="L479" s="47"/>
      <c r="M479" s="9"/>
      <c r="N479" s="9"/>
      <c r="O479" s="91"/>
      <c r="P479" s="91"/>
      <c r="Q479" s="91"/>
      <c r="R479" s="9"/>
      <c r="S479" s="9"/>
      <c r="T479" s="91"/>
      <c r="U479" s="7"/>
      <c r="V479" s="91"/>
      <c r="W479" s="9"/>
      <c r="X479" s="9"/>
      <c r="Y479" s="91"/>
      <c r="Z479" s="7"/>
      <c r="AA479" s="91"/>
      <c r="AB479" s="9"/>
      <c r="AC479" s="9"/>
      <c r="AD479" s="48"/>
      <c r="AE479" s="49"/>
      <c r="AF479" s="91"/>
      <c r="AG479" s="9"/>
      <c r="AH479" s="9"/>
      <c r="AI479" s="91"/>
      <c r="AJ479" s="237"/>
      <c r="AK479" s="9"/>
      <c r="AL479" s="238"/>
      <c r="AM479" s="239"/>
      <c r="AN479" s="239"/>
      <c r="AO479" s="9"/>
      <c r="AP479" s="9"/>
      <c r="AQ479" s="240"/>
      <c r="AR479" s="241"/>
      <c r="AS479" s="241"/>
      <c r="AT479" s="66"/>
      <c r="AU479" s="9"/>
      <c r="AV479" s="238"/>
      <c r="AW479" s="239"/>
      <c r="AX479" s="239"/>
      <c r="AY479" s="9"/>
      <c r="AZ479" s="9"/>
      <c r="BA479" s="238"/>
      <c r="BB479" s="239"/>
      <c r="BC479" s="239"/>
      <c r="BD479" s="9"/>
      <c r="BE479" s="9"/>
      <c r="BF479" s="238"/>
      <c r="BG479" s="239"/>
      <c r="BH479" s="239"/>
      <c r="BI479" s="9"/>
      <c r="BJ479" s="9"/>
      <c r="BK479" s="240"/>
      <c r="BL479" s="241"/>
      <c r="BM479" s="241"/>
      <c r="BN479" s="66"/>
      <c r="BO479" s="9"/>
      <c r="BP479" s="238"/>
      <c r="BQ479" s="239"/>
      <c r="BR479" s="239"/>
      <c r="BS479" s="9"/>
    </row>
    <row r="480" spans="2:71" ht="15" x14ac:dyDescent="0.25">
      <c r="B480" s="9"/>
      <c r="C480" s="91"/>
      <c r="D480" s="161"/>
      <c r="E480" s="91"/>
      <c r="F480" s="9"/>
      <c r="G480" s="9"/>
      <c r="H480" s="91"/>
      <c r="I480" s="195"/>
      <c r="J480" s="49"/>
      <c r="K480" s="161"/>
      <c r="L480" s="47"/>
      <c r="M480" s="9"/>
      <c r="N480" s="9"/>
      <c r="O480" s="91"/>
      <c r="P480" s="91"/>
      <c r="Q480" s="91"/>
      <c r="R480" s="9"/>
      <c r="S480" s="9"/>
      <c r="T480" s="91"/>
      <c r="U480" s="7"/>
      <c r="V480" s="91"/>
      <c r="W480" s="9"/>
      <c r="X480" s="9"/>
      <c r="Y480" s="91"/>
      <c r="Z480" s="7"/>
      <c r="AA480" s="91"/>
      <c r="AB480" s="9"/>
      <c r="AC480" s="9"/>
      <c r="AD480" s="48"/>
      <c r="AE480" s="49"/>
      <c r="AF480" s="91"/>
      <c r="AG480" s="9"/>
      <c r="AH480" s="9"/>
      <c r="AI480" s="91"/>
      <c r="AJ480" s="237"/>
      <c r="AK480" s="9"/>
      <c r="AL480" s="238"/>
      <c r="AM480" s="239"/>
      <c r="AN480" s="239"/>
      <c r="AO480" s="9"/>
      <c r="AP480" s="9"/>
      <c r="AQ480" s="240"/>
      <c r="AR480" s="241"/>
      <c r="AS480" s="241"/>
      <c r="AT480" s="66"/>
      <c r="AU480" s="9"/>
      <c r="AV480" s="238"/>
      <c r="AW480" s="239"/>
      <c r="AX480" s="239"/>
      <c r="AY480" s="9"/>
      <c r="AZ480" s="9"/>
      <c r="BA480" s="238"/>
      <c r="BB480" s="239"/>
      <c r="BC480" s="239"/>
      <c r="BD480" s="9"/>
      <c r="BE480" s="9"/>
      <c r="BF480" s="238"/>
      <c r="BG480" s="239"/>
      <c r="BH480" s="239"/>
      <c r="BI480" s="9"/>
      <c r="BJ480" s="9"/>
      <c r="BK480" s="240"/>
      <c r="BL480" s="241"/>
      <c r="BM480" s="241"/>
      <c r="BN480" s="66"/>
      <c r="BO480" s="9"/>
      <c r="BP480" s="238"/>
      <c r="BQ480" s="239"/>
      <c r="BR480" s="239"/>
      <c r="BS480" s="9"/>
    </row>
    <row r="481" spans="2:71" ht="15" x14ac:dyDescent="0.25">
      <c r="B481" s="9"/>
      <c r="C481" s="91"/>
      <c r="D481" s="161"/>
      <c r="E481" s="91"/>
      <c r="F481" s="9"/>
      <c r="G481" s="9"/>
      <c r="H481" s="91"/>
      <c r="I481" s="195"/>
      <c r="J481" s="49"/>
      <c r="K481" s="161"/>
      <c r="L481" s="47"/>
      <c r="M481" s="9"/>
      <c r="N481" s="9"/>
      <c r="O481" s="91"/>
      <c r="P481" s="91"/>
      <c r="Q481" s="91"/>
      <c r="R481" s="9"/>
      <c r="S481" s="9"/>
      <c r="T481" s="91"/>
      <c r="U481" s="7"/>
      <c r="V481" s="91"/>
      <c r="W481" s="9"/>
      <c r="X481" s="9"/>
      <c r="Y481" s="91"/>
      <c r="Z481" s="7"/>
      <c r="AA481" s="91"/>
      <c r="AB481" s="9"/>
      <c r="AC481" s="9"/>
      <c r="AD481" s="48"/>
      <c r="AE481" s="49"/>
      <c r="AF481" s="91"/>
      <c r="AG481" s="9"/>
      <c r="AH481" s="9"/>
      <c r="AI481" s="91"/>
      <c r="AJ481" s="237"/>
      <c r="AK481" s="9"/>
      <c r="AL481" s="238"/>
      <c r="AM481" s="239"/>
      <c r="AN481" s="239"/>
      <c r="AO481" s="9"/>
      <c r="AP481" s="9"/>
      <c r="AQ481" s="240"/>
      <c r="AR481" s="241"/>
      <c r="AS481" s="241"/>
      <c r="AT481" s="66"/>
      <c r="AU481" s="9"/>
      <c r="AV481" s="238"/>
      <c r="AW481" s="239"/>
      <c r="AX481" s="239"/>
      <c r="AY481" s="9"/>
      <c r="AZ481" s="9"/>
      <c r="BA481" s="238"/>
      <c r="BB481" s="239"/>
      <c r="BC481" s="239"/>
      <c r="BD481" s="9"/>
      <c r="BE481" s="9"/>
      <c r="BF481" s="238"/>
      <c r="BG481" s="239"/>
      <c r="BH481" s="239"/>
      <c r="BI481" s="9"/>
      <c r="BJ481" s="9"/>
      <c r="BK481" s="240"/>
      <c r="BL481" s="241"/>
      <c r="BM481" s="241"/>
      <c r="BN481" s="66"/>
      <c r="BO481" s="9"/>
      <c r="BP481" s="238"/>
      <c r="BQ481" s="239"/>
      <c r="BR481" s="239"/>
      <c r="BS481" s="9"/>
    </row>
    <row r="482" spans="2:71" ht="15" x14ac:dyDescent="0.25">
      <c r="B482" s="9"/>
      <c r="C482" s="91"/>
      <c r="D482" s="161"/>
      <c r="E482" s="91"/>
      <c r="F482" s="9"/>
      <c r="G482" s="9"/>
      <c r="H482" s="91"/>
      <c r="I482" s="195"/>
      <c r="J482" s="49"/>
      <c r="K482" s="161"/>
      <c r="L482" s="47"/>
      <c r="M482" s="9"/>
      <c r="N482" s="9"/>
      <c r="O482" s="91"/>
      <c r="P482" s="91"/>
      <c r="Q482" s="91"/>
      <c r="R482" s="9"/>
      <c r="S482" s="9"/>
      <c r="T482" s="91"/>
      <c r="U482" s="7"/>
      <c r="V482" s="91"/>
      <c r="W482" s="9"/>
      <c r="X482" s="9"/>
      <c r="Y482" s="91"/>
      <c r="Z482" s="7"/>
      <c r="AA482" s="91"/>
      <c r="AB482" s="9"/>
      <c r="AC482" s="9"/>
      <c r="AD482" s="48"/>
      <c r="AE482" s="49"/>
      <c r="AF482" s="91"/>
      <c r="AG482" s="9"/>
      <c r="AH482" s="9"/>
      <c r="AI482" s="91"/>
      <c r="AJ482" s="237"/>
      <c r="AK482" s="9"/>
      <c r="AL482" s="238"/>
      <c r="AM482" s="239"/>
      <c r="AN482" s="239"/>
      <c r="AO482" s="9"/>
      <c r="AP482" s="9"/>
      <c r="AQ482" s="240"/>
      <c r="AR482" s="241"/>
      <c r="AS482" s="241"/>
      <c r="AT482" s="66"/>
      <c r="AU482" s="9"/>
      <c r="AV482" s="238"/>
      <c r="AW482" s="239"/>
      <c r="AX482" s="239"/>
      <c r="AY482" s="9"/>
      <c r="AZ482" s="9"/>
      <c r="BA482" s="238"/>
      <c r="BB482" s="239"/>
      <c r="BC482" s="239"/>
      <c r="BD482" s="9"/>
      <c r="BE482" s="9"/>
      <c r="BF482" s="238"/>
      <c r="BG482" s="239"/>
      <c r="BH482" s="239"/>
      <c r="BI482" s="9"/>
      <c r="BJ482" s="9"/>
      <c r="BK482" s="240"/>
      <c r="BL482" s="241"/>
      <c r="BM482" s="241"/>
      <c r="BN482" s="66"/>
      <c r="BO482" s="9"/>
      <c r="BP482" s="238"/>
      <c r="BQ482" s="239"/>
      <c r="BR482" s="239"/>
      <c r="BS482" s="9"/>
    </row>
    <row r="483" spans="2:71" ht="15" x14ac:dyDescent="0.25">
      <c r="B483" s="9"/>
      <c r="C483" s="91"/>
      <c r="D483" s="161"/>
      <c r="E483" s="91"/>
      <c r="F483" s="9"/>
      <c r="G483" s="9"/>
      <c r="H483" s="91"/>
      <c r="I483" s="195"/>
      <c r="J483" s="49"/>
      <c r="K483" s="161"/>
      <c r="L483" s="47"/>
      <c r="M483" s="9"/>
      <c r="N483" s="9"/>
      <c r="O483" s="91"/>
      <c r="P483" s="91"/>
      <c r="Q483" s="91"/>
      <c r="R483" s="9"/>
      <c r="S483" s="9"/>
      <c r="T483" s="91"/>
      <c r="U483" s="7"/>
      <c r="V483" s="91"/>
      <c r="W483" s="9"/>
      <c r="X483" s="9"/>
      <c r="Y483" s="91"/>
      <c r="Z483" s="7"/>
      <c r="AA483" s="91"/>
      <c r="AB483" s="9"/>
      <c r="AC483" s="9"/>
      <c r="AD483" s="48"/>
      <c r="AE483" s="49"/>
      <c r="AF483" s="91"/>
      <c r="AG483" s="9"/>
      <c r="AH483" s="9"/>
      <c r="AI483" s="91"/>
      <c r="AJ483" s="237"/>
      <c r="AK483" s="9"/>
      <c r="AL483" s="238"/>
      <c r="AM483" s="239"/>
      <c r="AN483" s="239"/>
      <c r="AO483" s="9"/>
      <c r="AP483" s="9"/>
      <c r="AQ483" s="240"/>
      <c r="AR483" s="241"/>
      <c r="AS483" s="241"/>
      <c r="AT483" s="66"/>
      <c r="AU483" s="9"/>
      <c r="AV483" s="238"/>
      <c r="AW483" s="239"/>
      <c r="AX483" s="239"/>
      <c r="AY483" s="9"/>
      <c r="AZ483" s="9"/>
      <c r="BA483" s="238"/>
      <c r="BB483" s="239"/>
      <c r="BC483" s="239"/>
      <c r="BD483" s="9"/>
      <c r="BE483" s="9"/>
      <c r="BF483" s="238"/>
      <c r="BG483" s="239"/>
      <c r="BH483" s="239"/>
      <c r="BI483" s="9"/>
      <c r="BJ483" s="9"/>
      <c r="BK483" s="240"/>
      <c r="BL483" s="241"/>
      <c r="BM483" s="241"/>
      <c r="BN483" s="66"/>
      <c r="BO483" s="9"/>
      <c r="BP483" s="238"/>
      <c r="BQ483" s="239"/>
      <c r="BR483" s="239"/>
      <c r="BS483" s="9"/>
    </row>
    <row r="484" spans="2:71" ht="15" x14ac:dyDescent="0.25">
      <c r="B484" s="9"/>
      <c r="C484" s="91"/>
      <c r="D484" s="161"/>
      <c r="E484" s="91"/>
      <c r="F484" s="9"/>
      <c r="G484" s="9"/>
      <c r="H484" s="91"/>
      <c r="I484" s="195"/>
      <c r="J484" s="49"/>
      <c r="K484" s="161"/>
      <c r="L484" s="47"/>
      <c r="M484" s="9"/>
      <c r="N484" s="9"/>
      <c r="O484" s="91"/>
      <c r="P484" s="91"/>
      <c r="Q484" s="91"/>
      <c r="R484" s="9"/>
      <c r="S484" s="9"/>
      <c r="T484" s="91"/>
      <c r="U484" s="7"/>
      <c r="V484" s="91"/>
      <c r="W484" s="9"/>
      <c r="X484" s="9"/>
      <c r="Y484" s="91"/>
      <c r="Z484" s="7"/>
      <c r="AA484" s="91"/>
      <c r="AB484" s="9"/>
      <c r="AC484" s="9"/>
      <c r="AD484" s="48"/>
      <c r="AE484" s="49"/>
      <c r="AF484" s="91"/>
      <c r="AG484" s="9"/>
      <c r="AH484" s="9"/>
      <c r="AI484" s="91"/>
      <c r="AJ484" s="237"/>
      <c r="AK484" s="9"/>
      <c r="AL484" s="238"/>
      <c r="AM484" s="239"/>
      <c r="AN484" s="239"/>
      <c r="AO484" s="9"/>
      <c r="AP484" s="9"/>
      <c r="AQ484" s="240"/>
      <c r="AR484" s="241"/>
      <c r="AS484" s="241"/>
      <c r="AT484" s="66"/>
      <c r="AU484" s="9"/>
      <c r="AV484" s="238"/>
      <c r="AW484" s="239"/>
      <c r="AX484" s="239"/>
      <c r="AY484" s="9"/>
      <c r="AZ484" s="9"/>
      <c r="BA484" s="238"/>
      <c r="BB484" s="239"/>
      <c r="BC484" s="239"/>
      <c r="BD484" s="9"/>
      <c r="BE484" s="9"/>
      <c r="BF484" s="238"/>
      <c r="BG484" s="239"/>
      <c r="BH484" s="239"/>
      <c r="BI484" s="9"/>
      <c r="BJ484" s="9"/>
      <c r="BK484" s="240"/>
      <c r="BL484" s="241"/>
      <c r="BM484" s="241"/>
      <c r="BN484" s="66"/>
      <c r="BO484" s="9"/>
      <c r="BP484" s="238"/>
      <c r="BQ484" s="239"/>
      <c r="BR484" s="239"/>
      <c r="BS484" s="9"/>
    </row>
    <row r="485" spans="2:71" ht="15" x14ac:dyDescent="0.25">
      <c r="B485" s="9"/>
      <c r="C485" s="91"/>
      <c r="D485" s="161"/>
      <c r="E485" s="91"/>
      <c r="F485" s="9"/>
      <c r="G485" s="9"/>
      <c r="H485" s="91"/>
      <c r="I485" s="195"/>
      <c r="J485" s="49"/>
      <c r="K485" s="161"/>
      <c r="L485" s="47"/>
      <c r="M485" s="9"/>
      <c r="N485" s="9"/>
      <c r="O485" s="91"/>
      <c r="P485" s="91"/>
      <c r="Q485" s="91"/>
      <c r="R485" s="9"/>
      <c r="S485" s="9"/>
      <c r="T485" s="91"/>
      <c r="U485" s="7"/>
      <c r="V485" s="91"/>
      <c r="W485" s="9"/>
      <c r="X485" s="9"/>
      <c r="Y485" s="91"/>
      <c r="Z485" s="7"/>
      <c r="AA485" s="91"/>
      <c r="AB485" s="9"/>
      <c r="AC485" s="9"/>
      <c r="AD485" s="48"/>
      <c r="AE485" s="49"/>
      <c r="AF485" s="91"/>
      <c r="AG485" s="9"/>
      <c r="AH485" s="9"/>
      <c r="AI485" s="91"/>
      <c r="AJ485" s="237"/>
      <c r="AK485" s="9"/>
      <c r="AL485" s="238"/>
      <c r="AM485" s="239"/>
      <c r="AN485" s="239"/>
      <c r="AO485" s="9"/>
      <c r="AP485" s="9"/>
      <c r="AQ485" s="240"/>
      <c r="AR485" s="241"/>
      <c r="AS485" s="241"/>
      <c r="AT485" s="66"/>
      <c r="AU485" s="9"/>
      <c r="AV485" s="238"/>
      <c r="AW485" s="239"/>
      <c r="AX485" s="239"/>
      <c r="AY485" s="9"/>
      <c r="AZ485" s="9"/>
      <c r="BA485" s="238"/>
      <c r="BB485" s="239"/>
      <c r="BC485" s="239"/>
      <c r="BD485" s="9"/>
      <c r="BE485" s="9"/>
      <c r="BF485" s="238"/>
      <c r="BG485" s="239"/>
      <c r="BH485" s="239"/>
      <c r="BI485" s="9"/>
      <c r="BJ485" s="9"/>
      <c r="BK485" s="240"/>
      <c r="BL485" s="241"/>
      <c r="BM485" s="241"/>
      <c r="BN485" s="66"/>
      <c r="BO485" s="9"/>
      <c r="BP485" s="238"/>
      <c r="BQ485" s="239"/>
      <c r="BR485" s="239"/>
      <c r="BS485" s="9"/>
    </row>
    <row r="486" spans="2:71" ht="15" x14ac:dyDescent="0.25">
      <c r="B486" s="9"/>
      <c r="C486" s="91"/>
      <c r="D486" s="161"/>
      <c r="E486" s="91"/>
      <c r="F486" s="9"/>
      <c r="G486" s="9"/>
      <c r="H486" s="91"/>
      <c r="I486" s="195"/>
      <c r="J486" s="49"/>
      <c r="K486" s="161"/>
      <c r="L486" s="47"/>
      <c r="M486" s="9"/>
      <c r="N486" s="9"/>
      <c r="O486" s="91"/>
      <c r="P486" s="91"/>
      <c r="Q486" s="91"/>
      <c r="R486" s="9"/>
      <c r="S486" s="9"/>
      <c r="T486" s="91"/>
      <c r="U486" s="7"/>
      <c r="V486" s="91"/>
      <c r="W486" s="9"/>
      <c r="X486" s="9"/>
      <c r="Y486" s="91"/>
      <c r="Z486" s="7"/>
      <c r="AA486" s="91"/>
      <c r="AB486" s="9"/>
      <c r="AC486" s="9"/>
      <c r="AD486" s="48"/>
      <c r="AE486" s="49"/>
      <c r="AF486" s="91"/>
      <c r="AG486" s="9"/>
      <c r="AH486" s="9"/>
      <c r="AI486" s="91"/>
      <c r="AJ486" s="237"/>
      <c r="AK486" s="9"/>
      <c r="AL486" s="238"/>
      <c r="AM486" s="239"/>
      <c r="AN486" s="239"/>
      <c r="AO486" s="9"/>
      <c r="AP486" s="9"/>
      <c r="AQ486" s="240"/>
      <c r="AR486" s="241"/>
      <c r="AS486" s="241"/>
      <c r="AT486" s="66"/>
      <c r="AU486" s="9"/>
      <c r="AV486" s="238"/>
      <c r="AW486" s="239"/>
      <c r="AX486" s="239"/>
      <c r="AY486" s="9"/>
      <c r="AZ486" s="9"/>
      <c r="BA486" s="238"/>
      <c r="BB486" s="239"/>
      <c r="BC486" s="239"/>
      <c r="BD486" s="9"/>
      <c r="BE486" s="9"/>
      <c r="BF486" s="238"/>
      <c r="BG486" s="239"/>
      <c r="BH486" s="239"/>
      <c r="BI486" s="9"/>
      <c r="BJ486" s="9"/>
      <c r="BK486" s="240"/>
      <c r="BL486" s="241"/>
      <c r="BM486" s="241"/>
      <c r="BN486" s="66"/>
      <c r="BO486" s="9"/>
      <c r="BP486" s="238"/>
      <c r="BQ486" s="239"/>
      <c r="BR486" s="239"/>
      <c r="BS486" s="9"/>
    </row>
    <row r="487" spans="2:71" ht="15" x14ac:dyDescent="0.25">
      <c r="B487" s="9"/>
      <c r="C487" s="91"/>
      <c r="D487" s="161"/>
      <c r="E487" s="91"/>
      <c r="F487" s="9"/>
      <c r="G487" s="9"/>
      <c r="H487" s="91"/>
      <c r="I487" s="195"/>
      <c r="J487" s="49"/>
      <c r="K487" s="161"/>
      <c r="L487" s="47"/>
      <c r="M487" s="9"/>
      <c r="N487" s="9"/>
      <c r="O487" s="91"/>
      <c r="P487" s="91"/>
      <c r="Q487" s="91"/>
      <c r="R487" s="9"/>
      <c r="S487" s="9"/>
      <c r="T487" s="91"/>
      <c r="U487" s="7"/>
      <c r="V487" s="91"/>
      <c r="W487" s="9"/>
      <c r="X487" s="9"/>
      <c r="Y487" s="91"/>
      <c r="Z487" s="7"/>
      <c r="AA487" s="91"/>
      <c r="AB487" s="9"/>
      <c r="AC487" s="9"/>
      <c r="AD487" s="48"/>
      <c r="AE487" s="49"/>
      <c r="AF487" s="91"/>
      <c r="AG487" s="9"/>
      <c r="AH487" s="9"/>
      <c r="AI487" s="91"/>
      <c r="AJ487" s="237"/>
      <c r="AK487" s="9"/>
      <c r="AL487" s="238"/>
      <c r="AM487" s="239"/>
      <c r="AN487" s="239"/>
      <c r="AO487" s="9"/>
      <c r="AP487" s="9"/>
      <c r="AQ487" s="240"/>
      <c r="AR487" s="241"/>
      <c r="AS487" s="241"/>
      <c r="AT487" s="66"/>
      <c r="AU487" s="9"/>
      <c r="AV487" s="238"/>
      <c r="AW487" s="239"/>
      <c r="AX487" s="239"/>
      <c r="AY487" s="9"/>
      <c r="AZ487" s="9"/>
      <c r="BA487" s="238"/>
      <c r="BB487" s="239"/>
      <c r="BC487" s="239"/>
      <c r="BD487" s="9"/>
      <c r="BE487" s="9"/>
      <c r="BF487" s="238"/>
      <c r="BG487" s="239"/>
      <c r="BH487" s="239"/>
      <c r="BI487" s="9"/>
      <c r="BJ487" s="9"/>
      <c r="BK487" s="240"/>
      <c r="BL487" s="241"/>
      <c r="BM487" s="241"/>
      <c r="BN487" s="66"/>
      <c r="BO487" s="9"/>
      <c r="BP487" s="238"/>
      <c r="BQ487" s="239"/>
      <c r="BR487" s="239"/>
      <c r="BS487" s="9"/>
    </row>
    <row r="488" spans="2:71" ht="15" x14ac:dyDescent="0.25">
      <c r="B488" s="9"/>
      <c r="C488" s="91"/>
      <c r="D488" s="161"/>
      <c r="E488" s="91"/>
      <c r="F488" s="9"/>
      <c r="G488" s="9"/>
      <c r="H488" s="91"/>
      <c r="I488" s="195"/>
      <c r="J488" s="49"/>
      <c r="K488" s="161"/>
      <c r="L488" s="47"/>
      <c r="M488" s="9"/>
      <c r="N488" s="9"/>
      <c r="O488" s="91"/>
      <c r="P488" s="91"/>
      <c r="Q488" s="91"/>
      <c r="R488" s="9"/>
      <c r="S488" s="9"/>
      <c r="T488" s="91"/>
      <c r="U488" s="7"/>
      <c r="V488" s="91"/>
      <c r="W488" s="9"/>
      <c r="X488" s="9"/>
      <c r="Y488" s="91"/>
      <c r="Z488" s="7"/>
      <c r="AA488" s="91"/>
      <c r="AB488" s="9"/>
      <c r="AC488" s="9"/>
      <c r="AD488" s="48"/>
      <c r="AE488" s="49"/>
      <c r="AF488" s="91"/>
      <c r="AG488" s="9"/>
      <c r="AH488" s="9"/>
      <c r="AI488" s="91"/>
      <c r="AJ488" s="237"/>
      <c r="AK488" s="9"/>
      <c r="AL488" s="238"/>
      <c r="AM488" s="239"/>
      <c r="AN488" s="239"/>
      <c r="AO488" s="9"/>
      <c r="AP488" s="9"/>
      <c r="AQ488" s="240"/>
      <c r="AR488" s="241"/>
      <c r="AS488" s="241"/>
      <c r="AT488" s="66"/>
      <c r="AU488" s="9"/>
      <c r="AV488" s="238"/>
      <c r="AW488" s="239"/>
      <c r="AX488" s="239"/>
      <c r="AY488" s="9"/>
      <c r="AZ488" s="9"/>
      <c r="BA488" s="238"/>
      <c r="BB488" s="239"/>
      <c r="BC488" s="239"/>
      <c r="BD488" s="9"/>
      <c r="BE488" s="9"/>
      <c r="BF488" s="238"/>
      <c r="BG488" s="239"/>
      <c r="BH488" s="239"/>
      <c r="BI488" s="9"/>
      <c r="BJ488" s="9"/>
      <c r="BK488" s="240"/>
      <c r="BL488" s="241"/>
      <c r="BM488" s="241"/>
      <c r="BN488" s="66"/>
      <c r="BO488" s="9"/>
      <c r="BP488" s="238"/>
      <c r="BQ488" s="239"/>
      <c r="BR488" s="239"/>
      <c r="BS488" s="9"/>
    </row>
    <row r="489" spans="2:71" ht="15" x14ac:dyDescent="0.25">
      <c r="B489" s="9"/>
      <c r="C489" s="91"/>
      <c r="D489" s="161"/>
      <c r="E489" s="91"/>
      <c r="F489" s="9"/>
      <c r="G489" s="9"/>
      <c r="H489" s="91"/>
      <c r="I489" s="195"/>
      <c r="J489" s="49"/>
      <c r="K489" s="161"/>
      <c r="L489" s="47"/>
      <c r="M489" s="9"/>
      <c r="N489" s="9"/>
      <c r="O489" s="91"/>
      <c r="P489" s="91"/>
      <c r="Q489" s="91"/>
      <c r="R489" s="9"/>
      <c r="S489" s="9"/>
      <c r="T489" s="91"/>
      <c r="U489" s="7"/>
      <c r="V489" s="91"/>
      <c r="W489" s="9"/>
      <c r="X489" s="9"/>
      <c r="Y489" s="91"/>
      <c r="Z489" s="7"/>
      <c r="AA489" s="91"/>
      <c r="AB489" s="9"/>
      <c r="AC489" s="9"/>
      <c r="AD489" s="48"/>
      <c r="AE489" s="49"/>
      <c r="AF489" s="91"/>
      <c r="AG489" s="9"/>
      <c r="AH489" s="9"/>
      <c r="AI489" s="91"/>
      <c r="AJ489" s="237"/>
      <c r="AK489" s="9"/>
      <c r="AL489" s="238"/>
      <c r="AM489" s="239"/>
      <c r="AN489" s="239"/>
      <c r="AO489" s="9"/>
      <c r="AP489" s="9"/>
      <c r="AQ489" s="240"/>
      <c r="AR489" s="241"/>
      <c r="AS489" s="241"/>
      <c r="AT489" s="66"/>
      <c r="AU489" s="9"/>
      <c r="AV489" s="238"/>
      <c r="AW489" s="239"/>
      <c r="AX489" s="239"/>
      <c r="AY489" s="9"/>
      <c r="AZ489" s="9"/>
      <c r="BA489" s="238"/>
      <c r="BB489" s="239"/>
      <c r="BC489" s="239"/>
      <c r="BD489" s="9"/>
      <c r="BE489" s="9"/>
      <c r="BF489" s="238"/>
      <c r="BG489" s="239"/>
      <c r="BH489" s="239"/>
      <c r="BI489" s="9"/>
      <c r="BJ489" s="9"/>
      <c r="BK489" s="240"/>
      <c r="BL489" s="241"/>
      <c r="BM489" s="241"/>
      <c r="BN489" s="66"/>
      <c r="BO489" s="9"/>
      <c r="BP489" s="238"/>
      <c r="BQ489" s="239"/>
      <c r="BR489" s="239"/>
      <c r="BS489" s="9"/>
    </row>
    <row r="490" spans="2:71" ht="15" x14ac:dyDescent="0.25">
      <c r="B490" s="9"/>
      <c r="C490" s="91"/>
      <c r="D490" s="161"/>
      <c r="E490" s="91"/>
      <c r="F490" s="9"/>
      <c r="G490" s="9"/>
      <c r="H490" s="91"/>
      <c r="I490" s="195"/>
      <c r="J490" s="49"/>
      <c r="K490" s="161"/>
      <c r="L490" s="47"/>
      <c r="M490" s="9"/>
      <c r="N490" s="9"/>
      <c r="O490" s="91"/>
      <c r="P490" s="91"/>
      <c r="Q490" s="91"/>
      <c r="R490" s="9"/>
      <c r="S490" s="9"/>
      <c r="T490" s="91"/>
      <c r="U490" s="7"/>
      <c r="V490" s="91"/>
      <c r="W490" s="9"/>
      <c r="X490" s="9"/>
      <c r="Y490" s="91"/>
      <c r="Z490" s="7"/>
      <c r="AA490" s="91"/>
      <c r="AB490" s="9"/>
      <c r="AC490" s="9"/>
      <c r="AD490" s="48"/>
      <c r="AE490" s="49"/>
      <c r="AF490" s="91"/>
      <c r="AG490" s="9"/>
      <c r="AH490" s="9"/>
      <c r="AI490" s="91"/>
      <c r="AJ490" s="237"/>
      <c r="AK490" s="9"/>
      <c r="AL490" s="238"/>
      <c r="AM490" s="239"/>
      <c r="AN490" s="239"/>
      <c r="AO490" s="9"/>
      <c r="AP490" s="9"/>
      <c r="AQ490" s="240"/>
      <c r="AR490" s="241"/>
      <c r="AS490" s="241"/>
      <c r="AT490" s="66"/>
      <c r="AU490" s="9"/>
      <c r="AV490" s="238"/>
      <c r="AW490" s="239"/>
      <c r="AX490" s="239"/>
      <c r="AY490" s="9"/>
      <c r="AZ490" s="9"/>
      <c r="BA490" s="238"/>
      <c r="BB490" s="239"/>
      <c r="BC490" s="239"/>
      <c r="BD490" s="9"/>
      <c r="BE490" s="9"/>
      <c r="BF490" s="238"/>
      <c r="BG490" s="239"/>
      <c r="BH490" s="239"/>
      <c r="BI490" s="9"/>
      <c r="BJ490" s="9"/>
      <c r="BK490" s="240"/>
      <c r="BL490" s="241"/>
      <c r="BM490" s="241"/>
      <c r="BN490" s="66"/>
      <c r="BO490" s="9"/>
      <c r="BP490" s="238"/>
      <c r="BQ490" s="239"/>
      <c r="BR490" s="239"/>
      <c r="BS490" s="9"/>
    </row>
    <row r="491" spans="2:71" ht="15" x14ac:dyDescent="0.25">
      <c r="B491" s="9"/>
      <c r="C491" s="91"/>
      <c r="D491" s="161"/>
      <c r="E491" s="91"/>
      <c r="F491" s="9"/>
      <c r="G491" s="9"/>
      <c r="H491" s="91"/>
      <c r="I491" s="195"/>
      <c r="J491" s="49"/>
      <c r="K491" s="161"/>
      <c r="L491" s="47"/>
      <c r="M491" s="9"/>
      <c r="N491" s="9"/>
      <c r="O491" s="91"/>
      <c r="P491" s="91"/>
      <c r="Q491" s="91"/>
      <c r="R491" s="9"/>
      <c r="S491" s="9"/>
      <c r="T491" s="91"/>
      <c r="U491" s="7"/>
      <c r="V491" s="91"/>
      <c r="W491" s="9"/>
      <c r="X491" s="9"/>
      <c r="Y491" s="91"/>
      <c r="Z491" s="7"/>
      <c r="AA491" s="91"/>
      <c r="AB491" s="9"/>
      <c r="AC491" s="9"/>
      <c r="AD491" s="48"/>
      <c r="AE491" s="49"/>
      <c r="AF491" s="91"/>
      <c r="AG491" s="9"/>
      <c r="AH491" s="9"/>
      <c r="AI491" s="91"/>
      <c r="AJ491" s="237"/>
      <c r="AK491" s="9"/>
      <c r="AL491" s="238"/>
      <c r="AM491" s="239"/>
      <c r="AN491" s="239"/>
      <c r="AO491" s="9"/>
      <c r="AP491" s="9"/>
      <c r="AQ491" s="240"/>
      <c r="AR491" s="241"/>
      <c r="AS491" s="241"/>
      <c r="AT491" s="66"/>
      <c r="AU491" s="9"/>
      <c r="AV491" s="238"/>
      <c r="AW491" s="239"/>
      <c r="AX491" s="239"/>
      <c r="AY491" s="9"/>
      <c r="AZ491" s="9"/>
      <c r="BA491" s="238"/>
      <c r="BB491" s="239"/>
      <c r="BC491" s="239"/>
      <c r="BD491" s="9"/>
      <c r="BE491" s="9"/>
      <c r="BF491" s="238"/>
      <c r="BG491" s="239"/>
      <c r="BH491" s="239"/>
      <c r="BI491" s="9"/>
      <c r="BJ491" s="9"/>
      <c r="BK491" s="240"/>
      <c r="BL491" s="241"/>
      <c r="BM491" s="241"/>
      <c r="BN491" s="66"/>
      <c r="BO491" s="9"/>
      <c r="BP491" s="238"/>
      <c r="BQ491" s="239"/>
      <c r="BR491" s="239"/>
      <c r="BS491" s="9"/>
    </row>
    <row r="492" spans="2:71" ht="15" x14ac:dyDescent="0.25">
      <c r="B492" s="9"/>
      <c r="C492" s="91"/>
      <c r="D492" s="161"/>
      <c r="E492" s="91"/>
      <c r="F492" s="9"/>
      <c r="G492" s="9"/>
      <c r="H492" s="91"/>
      <c r="I492" s="195"/>
      <c r="J492" s="49"/>
      <c r="K492" s="161"/>
      <c r="L492" s="47"/>
      <c r="M492" s="9"/>
      <c r="N492" s="9"/>
      <c r="O492" s="91"/>
      <c r="P492" s="91"/>
      <c r="Q492" s="91"/>
      <c r="R492" s="9"/>
      <c r="S492" s="9"/>
      <c r="T492" s="91"/>
      <c r="U492" s="7"/>
      <c r="V492" s="91"/>
      <c r="W492" s="9"/>
      <c r="X492" s="9"/>
      <c r="Y492" s="91"/>
      <c r="Z492" s="7"/>
      <c r="AA492" s="91"/>
      <c r="AB492" s="9"/>
      <c r="AC492" s="9"/>
      <c r="AD492" s="48"/>
      <c r="AE492" s="49"/>
      <c r="AF492" s="91"/>
      <c r="AG492" s="9"/>
      <c r="AH492" s="9"/>
      <c r="AI492" s="91"/>
      <c r="AJ492" s="237"/>
      <c r="AK492" s="9"/>
      <c r="AL492" s="238"/>
      <c r="AM492" s="239"/>
      <c r="AN492" s="239"/>
      <c r="AO492" s="9"/>
      <c r="AP492" s="9"/>
      <c r="AQ492" s="240"/>
      <c r="AR492" s="241"/>
      <c r="AS492" s="241"/>
      <c r="AT492" s="66"/>
      <c r="AU492" s="9"/>
      <c r="AV492" s="238"/>
      <c r="AW492" s="239"/>
      <c r="AX492" s="239"/>
      <c r="AY492" s="9"/>
      <c r="AZ492" s="9"/>
      <c r="BA492" s="238"/>
      <c r="BB492" s="239"/>
      <c r="BC492" s="239"/>
      <c r="BD492" s="9"/>
      <c r="BE492" s="9"/>
      <c r="BF492" s="238"/>
      <c r="BG492" s="239"/>
      <c r="BH492" s="239"/>
      <c r="BI492" s="9"/>
      <c r="BJ492" s="9"/>
      <c r="BK492" s="240"/>
      <c r="BL492" s="241"/>
      <c r="BM492" s="241"/>
      <c r="BN492" s="66"/>
      <c r="BO492" s="9"/>
      <c r="BP492" s="238"/>
      <c r="BQ492" s="239"/>
      <c r="BR492" s="239"/>
      <c r="BS492" s="9"/>
    </row>
    <row r="493" spans="2:71" ht="15" x14ac:dyDescent="0.25">
      <c r="B493" s="9"/>
      <c r="C493" s="91"/>
      <c r="D493" s="161"/>
      <c r="E493" s="91"/>
      <c r="F493" s="9"/>
      <c r="G493" s="9"/>
      <c r="H493" s="91"/>
      <c r="I493" s="195"/>
      <c r="J493" s="49"/>
      <c r="K493" s="161"/>
      <c r="L493" s="47"/>
      <c r="M493" s="9"/>
      <c r="N493" s="9"/>
      <c r="O493" s="91"/>
      <c r="P493" s="91"/>
      <c r="Q493" s="91"/>
      <c r="R493" s="9"/>
      <c r="S493" s="9"/>
      <c r="T493" s="91"/>
      <c r="U493" s="7"/>
      <c r="V493" s="91"/>
      <c r="W493" s="9"/>
      <c r="X493" s="9"/>
      <c r="Y493" s="91"/>
      <c r="Z493" s="7"/>
      <c r="AA493" s="91"/>
      <c r="AB493" s="9"/>
      <c r="AC493" s="9"/>
      <c r="AD493" s="48"/>
      <c r="AE493" s="49"/>
      <c r="AF493" s="91"/>
      <c r="AG493" s="9"/>
      <c r="AH493" s="9"/>
      <c r="AI493" s="91"/>
      <c r="AJ493" s="237"/>
      <c r="AK493" s="9"/>
      <c r="AL493" s="238"/>
      <c r="AM493" s="239"/>
      <c r="AN493" s="239"/>
      <c r="AO493" s="9"/>
      <c r="AP493" s="9"/>
      <c r="AQ493" s="240"/>
      <c r="AR493" s="241"/>
      <c r="AS493" s="241"/>
      <c r="AT493" s="66"/>
      <c r="AU493" s="9"/>
      <c r="AV493" s="238"/>
      <c r="AW493" s="239"/>
      <c r="AX493" s="239"/>
      <c r="AY493" s="9"/>
      <c r="AZ493" s="9"/>
      <c r="BA493" s="238"/>
      <c r="BB493" s="239"/>
      <c r="BC493" s="239"/>
      <c r="BD493" s="9"/>
      <c r="BE493" s="9"/>
      <c r="BF493" s="238"/>
      <c r="BG493" s="239"/>
      <c r="BH493" s="239"/>
      <c r="BI493" s="9"/>
      <c r="BJ493" s="9"/>
      <c r="BK493" s="240"/>
      <c r="BL493" s="241"/>
      <c r="BM493" s="241"/>
      <c r="BN493" s="66"/>
      <c r="BO493" s="9"/>
      <c r="BP493" s="238"/>
      <c r="BQ493" s="239"/>
      <c r="BR493" s="239"/>
      <c r="BS493" s="9"/>
    </row>
    <row r="494" spans="2:71" ht="15" x14ac:dyDescent="0.25">
      <c r="B494" s="9"/>
      <c r="C494" s="91"/>
      <c r="D494" s="161"/>
      <c r="E494" s="91"/>
      <c r="F494" s="9"/>
      <c r="G494" s="9"/>
      <c r="H494" s="91"/>
      <c r="I494" s="195"/>
      <c r="J494" s="49"/>
      <c r="K494" s="161"/>
      <c r="L494" s="47"/>
      <c r="M494" s="9"/>
      <c r="N494" s="9"/>
      <c r="O494" s="91"/>
      <c r="P494" s="91"/>
      <c r="Q494" s="91"/>
      <c r="R494" s="9"/>
      <c r="S494" s="9"/>
      <c r="T494" s="91"/>
      <c r="U494" s="7"/>
      <c r="V494" s="91"/>
      <c r="W494" s="9"/>
      <c r="X494" s="9"/>
      <c r="Y494" s="91"/>
      <c r="Z494" s="7"/>
      <c r="AA494" s="91"/>
      <c r="AB494" s="9"/>
      <c r="AC494" s="9"/>
      <c r="AD494" s="48"/>
      <c r="AE494" s="49"/>
      <c r="AF494" s="91"/>
      <c r="AG494" s="9"/>
      <c r="AH494" s="9"/>
      <c r="AI494" s="91"/>
      <c r="AJ494" s="237"/>
      <c r="AK494" s="9"/>
      <c r="AL494" s="238"/>
      <c r="AM494" s="239"/>
      <c r="AN494" s="239"/>
      <c r="AO494" s="9"/>
      <c r="AP494" s="9"/>
      <c r="AQ494" s="240"/>
      <c r="AR494" s="241"/>
      <c r="AS494" s="241"/>
      <c r="AT494" s="66"/>
      <c r="AU494" s="9"/>
      <c r="AV494" s="238"/>
      <c r="AW494" s="239"/>
      <c r="AX494" s="239"/>
      <c r="AY494" s="9"/>
      <c r="AZ494" s="9"/>
      <c r="BA494" s="238"/>
      <c r="BB494" s="239"/>
      <c r="BC494" s="239"/>
      <c r="BD494" s="9"/>
      <c r="BE494" s="9"/>
      <c r="BF494" s="238"/>
      <c r="BG494" s="239"/>
      <c r="BH494" s="239"/>
      <c r="BI494" s="9"/>
      <c r="BJ494" s="9"/>
      <c r="BK494" s="240"/>
      <c r="BL494" s="241"/>
      <c r="BM494" s="241"/>
      <c r="BN494" s="66"/>
      <c r="BO494" s="9"/>
      <c r="BP494" s="238"/>
      <c r="BQ494" s="239"/>
      <c r="BR494" s="239"/>
      <c r="BS494" s="9"/>
    </row>
    <row r="495" spans="2:71" ht="15" x14ac:dyDescent="0.25">
      <c r="B495" s="9"/>
      <c r="C495" s="91"/>
      <c r="D495" s="161"/>
      <c r="E495" s="91"/>
      <c r="F495" s="9"/>
      <c r="G495" s="9"/>
      <c r="H495" s="91"/>
      <c r="I495" s="195"/>
      <c r="J495" s="49"/>
      <c r="K495" s="161"/>
      <c r="L495" s="47"/>
      <c r="M495" s="9"/>
      <c r="N495" s="9"/>
      <c r="O495" s="91"/>
      <c r="P495" s="91"/>
      <c r="Q495" s="91"/>
      <c r="R495" s="9"/>
      <c r="S495" s="9"/>
      <c r="T495" s="91"/>
      <c r="U495" s="7"/>
      <c r="V495" s="91"/>
      <c r="W495" s="9"/>
      <c r="X495" s="9"/>
      <c r="Y495" s="91"/>
      <c r="Z495" s="7"/>
      <c r="AA495" s="91"/>
      <c r="AB495" s="9"/>
      <c r="AC495" s="9"/>
      <c r="AD495" s="48"/>
      <c r="AE495" s="49"/>
      <c r="AF495" s="91"/>
      <c r="AG495" s="9"/>
      <c r="AH495" s="9"/>
      <c r="AI495" s="91"/>
      <c r="AJ495" s="237"/>
      <c r="AK495" s="9"/>
      <c r="AL495" s="238"/>
      <c r="AM495" s="239"/>
      <c r="AN495" s="239"/>
      <c r="AO495" s="9"/>
      <c r="AP495" s="9"/>
      <c r="AQ495" s="240"/>
      <c r="AR495" s="241"/>
      <c r="AS495" s="241"/>
      <c r="AT495" s="66"/>
      <c r="AU495" s="9"/>
      <c r="AV495" s="238"/>
      <c r="AW495" s="239"/>
      <c r="AX495" s="239"/>
      <c r="AY495" s="9"/>
      <c r="AZ495" s="9"/>
      <c r="BA495" s="238"/>
      <c r="BB495" s="239"/>
      <c r="BC495" s="239"/>
      <c r="BD495" s="9"/>
      <c r="BE495" s="9"/>
      <c r="BF495" s="238"/>
      <c r="BG495" s="239"/>
      <c r="BH495" s="239"/>
      <c r="BI495" s="9"/>
      <c r="BJ495" s="9"/>
      <c r="BK495" s="240"/>
      <c r="BL495" s="241"/>
      <c r="BM495" s="241"/>
      <c r="BN495" s="66"/>
      <c r="BO495" s="9"/>
      <c r="BP495" s="238"/>
      <c r="BQ495" s="239"/>
      <c r="BR495" s="239"/>
      <c r="BS495" s="9"/>
    </row>
    <row r="496" spans="2:71" ht="15" x14ac:dyDescent="0.25">
      <c r="B496" s="9"/>
      <c r="C496" s="91"/>
      <c r="D496" s="161"/>
      <c r="E496" s="91"/>
      <c r="F496" s="9"/>
      <c r="G496" s="9"/>
      <c r="H496" s="91"/>
      <c r="I496" s="195"/>
      <c r="J496" s="49"/>
      <c r="K496" s="161"/>
      <c r="L496" s="47"/>
      <c r="M496" s="9"/>
      <c r="N496" s="9"/>
      <c r="O496" s="91"/>
      <c r="P496" s="91"/>
      <c r="Q496" s="91"/>
      <c r="R496" s="9"/>
      <c r="S496" s="9"/>
      <c r="T496" s="91"/>
      <c r="U496" s="7"/>
      <c r="V496" s="91"/>
      <c r="W496" s="9"/>
      <c r="X496" s="9"/>
      <c r="Y496" s="91"/>
      <c r="Z496" s="7"/>
      <c r="AA496" s="91"/>
      <c r="AB496" s="9"/>
      <c r="AC496" s="9"/>
      <c r="AD496" s="48"/>
      <c r="AE496" s="49"/>
      <c r="AF496" s="91"/>
      <c r="AG496" s="9"/>
      <c r="AH496" s="9"/>
      <c r="AI496" s="91"/>
      <c r="AJ496" s="237"/>
      <c r="AK496" s="9"/>
      <c r="AL496" s="238"/>
      <c r="AM496" s="239"/>
      <c r="AN496" s="239"/>
      <c r="AO496" s="9"/>
      <c r="AP496" s="9"/>
      <c r="AQ496" s="240"/>
      <c r="AR496" s="241"/>
      <c r="AS496" s="241"/>
      <c r="AT496" s="66"/>
      <c r="AU496" s="9"/>
      <c r="AV496" s="238"/>
      <c r="AW496" s="239"/>
      <c r="AX496" s="239"/>
      <c r="AY496" s="9"/>
      <c r="AZ496" s="9"/>
      <c r="BA496" s="238"/>
      <c r="BB496" s="239"/>
      <c r="BC496" s="239"/>
      <c r="BD496" s="9"/>
      <c r="BE496" s="9"/>
      <c r="BF496" s="238"/>
      <c r="BG496" s="239"/>
      <c r="BH496" s="239"/>
      <c r="BI496" s="9"/>
      <c r="BJ496" s="9"/>
      <c r="BK496" s="240"/>
      <c r="BL496" s="241"/>
      <c r="BM496" s="241"/>
      <c r="BN496" s="66"/>
      <c r="BO496" s="9"/>
      <c r="BP496" s="238"/>
      <c r="BQ496" s="239"/>
      <c r="BR496" s="239"/>
      <c r="BS496" s="9"/>
    </row>
    <row r="497" spans="2:71" ht="15" x14ac:dyDescent="0.25">
      <c r="B497" s="9"/>
      <c r="C497" s="91"/>
      <c r="D497" s="161"/>
      <c r="E497" s="91"/>
      <c r="F497" s="9"/>
      <c r="G497" s="9"/>
      <c r="H497" s="91"/>
      <c r="I497" s="195"/>
      <c r="J497" s="49"/>
      <c r="K497" s="161"/>
      <c r="L497" s="47"/>
      <c r="M497" s="9"/>
      <c r="N497" s="9"/>
      <c r="O497" s="91"/>
      <c r="P497" s="91"/>
      <c r="Q497" s="91"/>
      <c r="R497" s="9"/>
      <c r="S497" s="9"/>
      <c r="T497" s="91"/>
      <c r="U497" s="7"/>
      <c r="V497" s="91"/>
      <c r="W497" s="9"/>
      <c r="X497" s="9"/>
      <c r="Y497" s="91"/>
      <c r="Z497" s="7"/>
      <c r="AA497" s="91"/>
      <c r="AB497" s="9"/>
      <c r="AC497" s="9"/>
      <c r="AD497" s="48"/>
      <c r="AE497" s="49"/>
      <c r="AF497" s="91"/>
      <c r="AG497" s="9"/>
      <c r="AH497" s="9"/>
      <c r="AI497" s="91"/>
      <c r="AJ497" s="237"/>
      <c r="AK497" s="9"/>
      <c r="AL497" s="238"/>
      <c r="AM497" s="239"/>
      <c r="AN497" s="239"/>
      <c r="AO497" s="9"/>
      <c r="AP497" s="9"/>
      <c r="AQ497" s="240"/>
      <c r="AR497" s="241"/>
      <c r="AS497" s="241"/>
      <c r="AT497" s="66"/>
      <c r="AU497" s="9"/>
      <c r="AV497" s="238"/>
      <c r="AW497" s="239"/>
      <c r="AX497" s="239"/>
      <c r="AY497" s="9"/>
      <c r="AZ497" s="9"/>
      <c r="BA497" s="238"/>
      <c r="BB497" s="239"/>
      <c r="BC497" s="239"/>
      <c r="BD497" s="9"/>
      <c r="BE497" s="9"/>
      <c r="BF497" s="238"/>
      <c r="BG497" s="239"/>
      <c r="BH497" s="239"/>
      <c r="BI497" s="9"/>
      <c r="BJ497" s="9"/>
      <c r="BK497" s="240"/>
      <c r="BL497" s="241"/>
      <c r="BM497" s="241"/>
      <c r="BN497" s="66"/>
      <c r="BO497" s="9"/>
      <c r="BP497" s="238"/>
      <c r="BQ497" s="239"/>
      <c r="BR497" s="239"/>
      <c r="BS497" s="9"/>
    </row>
    <row r="498" spans="2:71" ht="15" x14ac:dyDescent="0.25">
      <c r="B498" s="9"/>
      <c r="C498" s="91"/>
      <c r="D498" s="161"/>
      <c r="E498" s="91"/>
      <c r="F498" s="9"/>
      <c r="G498" s="9"/>
      <c r="H498" s="91"/>
      <c r="I498" s="195"/>
      <c r="J498" s="49"/>
      <c r="K498" s="161"/>
      <c r="L498" s="47"/>
      <c r="M498" s="9"/>
      <c r="N498" s="9"/>
      <c r="O498" s="91"/>
      <c r="P498" s="91"/>
      <c r="Q498" s="91"/>
      <c r="R498" s="9"/>
      <c r="S498" s="9"/>
      <c r="T498" s="91"/>
      <c r="U498" s="7"/>
      <c r="V498" s="91"/>
      <c r="W498" s="9"/>
      <c r="X498" s="9"/>
      <c r="Y498" s="91"/>
      <c r="Z498" s="7"/>
      <c r="AA498" s="91"/>
      <c r="AB498" s="9"/>
      <c r="AC498" s="9"/>
      <c r="AD498" s="48"/>
      <c r="AE498" s="49"/>
      <c r="AF498" s="91"/>
      <c r="AG498" s="9"/>
      <c r="AH498" s="9"/>
      <c r="AI498" s="91"/>
      <c r="AJ498" s="237"/>
      <c r="AK498" s="9"/>
      <c r="AL498" s="238"/>
      <c r="AM498" s="239"/>
      <c r="AN498" s="239"/>
      <c r="AO498" s="9"/>
      <c r="AP498" s="9"/>
      <c r="AQ498" s="240"/>
      <c r="AR498" s="241"/>
      <c r="AS498" s="241"/>
      <c r="AT498" s="66"/>
      <c r="AU498" s="9"/>
      <c r="AV498" s="238"/>
      <c r="AW498" s="239"/>
      <c r="AX498" s="239"/>
      <c r="AY498" s="9"/>
      <c r="AZ498" s="9"/>
      <c r="BA498" s="238"/>
      <c r="BB498" s="239"/>
      <c r="BC498" s="239"/>
      <c r="BD498" s="9"/>
      <c r="BE498" s="9"/>
      <c r="BF498" s="238"/>
      <c r="BG498" s="239"/>
      <c r="BH498" s="239"/>
      <c r="BI498" s="9"/>
      <c r="BJ498" s="9"/>
      <c r="BK498" s="240"/>
      <c r="BL498" s="241"/>
      <c r="BM498" s="241"/>
      <c r="BN498" s="66"/>
      <c r="BO498" s="9"/>
      <c r="BP498" s="238"/>
      <c r="BQ498" s="239"/>
      <c r="BR498" s="239"/>
      <c r="BS498" s="9"/>
    </row>
    <row r="499" spans="2:71" ht="15" x14ac:dyDescent="0.25">
      <c r="B499" s="9"/>
      <c r="C499" s="91"/>
      <c r="D499" s="161"/>
      <c r="E499" s="91"/>
      <c r="F499" s="9"/>
      <c r="G499" s="9"/>
      <c r="H499" s="91"/>
      <c r="I499" s="195"/>
      <c r="J499" s="49"/>
      <c r="K499" s="161"/>
      <c r="L499" s="47"/>
      <c r="M499" s="9"/>
      <c r="N499" s="9"/>
      <c r="O499" s="91"/>
      <c r="P499" s="91"/>
      <c r="Q499" s="91"/>
      <c r="R499" s="9"/>
      <c r="S499" s="9"/>
      <c r="T499" s="91"/>
      <c r="U499" s="7"/>
      <c r="V499" s="91"/>
      <c r="W499" s="9"/>
      <c r="X499" s="9"/>
      <c r="Y499" s="91"/>
      <c r="Z499" s="7"/>
      <c r="AA499" s="91"/>
      <c r="AB499" s="9"/>
      <c r="AC499" s="9"/>
      <c r="AD499" s="48"/>
      <c r="AE499" s="49"/>
      <c r="AF499" s="91"/>
      <c r="AG499" s="9"/>
      <c r="AH499" s="9"/>
      <c r="AI499" s="91"/>
      <c r="AJ499" s="237"/>
      <c r="AK499" s="9"/>
      <c r="AL499" s="238"/>
      <c r="AM499" s="239"/>
      <c r="AN499" s="239"/>
      <c r="AO499" s="9"/>
      <c r="AP499" s="9"/>
      <c r="AQ499" s="240"/>
      <c r="AR499" s="241"/>
      <c r="AS499" s="241"/>
      <c r="AT499" s="66"/>
      <c r="AU499" s="9"/>
      <c r="AV499" s="238"/>
      <c r="AW499" s="239"/>
      <c r="AX499" s="239"/>
      <c r="AY499" s="9"/>
      <c r="AZ499" s="9"/>
      <c r="BA499" s="238"/>
      <c r="BB499" s="239"/>
      <c r="BC499" s="239"/>
      <c r="BD499" s="9"/>
      <c r="BE499" s="9"/>
      <c r="BF499" s="238"/>
      <c r="BG499" s="239"/>
      <c r="BH499" s="239"/>
      <c r="BI499" s="9"/>
      <c r="BJ499" s="9"/>
      <c r="BK499" s="240"/>
      <c r="BL499" s="241"/>
      <c r="BM499" s="241"/>
      <c r="BN499" s="66"/>
      <c r="BO499" s="9"/>
      <c r="BP499" s="238"/>
      <c r="BQ499" s="239"/>
      <c r="BR499" s="239"/>
      <c r="BS499" s="9"/>
    </row>
    <row r="500" spans="2:71" ht="15" x14ac:dyDescent="0.25">
      <c r="B500" s="9"/>
      <c r="C500" s="91"/>
      <c r="D500" s="161"/>
      <c r="E500" s="91"/>
      <c r="F500" s="9"/>
      <c r="G500" s="9"/>
      <c r="H500" s="91"/>
      <c r="I500" s="195"/>
      <c r="J500" s="49"/>
      <c r="K500" s="161"/>
      <c r="L500" s="47"/>
      <c r="M500" s="9"/>
      <c r="N500" s="9"/>
      <c r="O500" s="91"/>
      <c r="P500" s="91"/>
      <c r="Q500" s="91"/>
      <c r="R500" s="9"/>
      <c r="S500" s="9"/>
      <c r="T500" s="91"/>
      <c r="U500" s="7"/>
      <c r="V500" s="91"/>
      <c r="W500" s="9"/>
      <c r="X500" s="9"/>
      <c r="Y500" s="91"/>
      <c r="Z500" s="7"/>
      <c r="AA500" s="91"/>
      <c r="AB500" s="9"/>
      <c r="AC500" s="9"/>
      <c r="AD500" s="48"/>
      <c r="AE500" s="49"/>
      <c r="AF500" s="91"/>
      <c r="AG500" s="9"/>
      <c r="AH500" s="9"/>
      <c r="AI500" s="91"/>
      <c r="AJ500" s="237"/>
      <c r="AK500" s="9"/>
      <c r="AL500" s="238"/>
      <c r="AM500" s="239"/>
      <c r="AN500" s="239"/>
      <c r="AO500" s="9"/>
      <c r="AP500" s="9"/>
      <c r="AQ500" s="240"/>
      <c r="AR500" s="241"/>
      <c r="AS500" s="241"/>
      <c r="AT500" s="66"/>
      <c r="AU500" s="9"/>
      <c r="AV500" s="238"/>
      <c r="AW500" s="239"/>
      <c r="AX500" s="239"/>
      <c r="AY500" s="9"/>
      <c r="AZ500" s="9"/>
      <c r="BA500" s="238"/>
      <c r="BB500" s="239"/>
      <c r="BC500" s="239"/>
      <c r="BD500" s="9"/>
      <c r="BE500" s="9"/>
      <c r="BF500" s="238"/>
      <c r="BG500" s="239"/>
      <c r="BH500" s="239"/>
      <c r="BI500" s="9"/>
      <c r="BJ500" s="9"/>
      <c r="BK500" s="240"/>
      <c r="BL500" s="241"/>
      <c r="BM500" s="241"/>
      <c r="BN500" s="66"/>
      <c r="BO500" s="9"/>
      <c r="BP500" s="238"/>
      <c r="BQ500" s="239"/>
      <c r="BR500" s="239"/>
      <c r="BS500" s="9"/>
    </row>
    <row r="501" spans="2:71" ht="15" x14ac:dyDescent="0.25">
      <c r="B501" s="9"/>
      <c r="C501" s="91"/>
      <c r="D501" s="161"/>
      <c r="E501" s="91"/>
      <c r="F501" s="9"/>
      <c r="G501" s="9"/>
      <c r="H501" s="91"/>
      <c r="I501" s="195"/>
      <c r="J501" s="49"/>
      <c r="K501" s="161"/>
      <c r="L501" s="47"/>
      <c r="M501" s="9"/>
      <c r="N501" s="9"/>
      <c r="O501" s="91"/>
      <c r="P501" s="91"/>
      <c r="Q501" s="91"/>
      <c r="R501" s="9"/>
      <c r="S501" s="9"/>
      <c r="T501" s="91"/>
      <c r="U501" s="7"/>
      <c r="V501" s="91"/>
      <c r="W501" s="9"/>
      <c r="X501" s="9"/>
      <c r="Y501" s="91"/>
      <c r="Z501" s="7"/>
      <c r="AA501" s="91"/>
      <c r="AB501" s="9"/>
      <c r="AC501" s="9"/>
      <c r="AD501" s="48"/>
      <c r="AE501" s="49"/>
      <c r="AF501" s="91"/>
      <c r="AG501" s="9"/>
      <c r="AH501" s="9"/>
      <c r="AI501" s="91"/>
      <c r="AJ501" s="237"/>
      <c r="AK501" s="9"/>
      <c r="AL501" s="238"/>
      <c r="AM501" s="239"/>
      <c r="AN501" s="239"/>
      <c r="AO501" s="9"/>
      <c r="AP501" s="9"/>
      <c r="AQ501" s="240"/>
      <c r="AR501" s="241"/>
      <c r="AS501" s="241"/>
      <c r="AT501" s="66"/>
      <c r="AU501" s="9"/>
      <c r="AV501" s="238"/>
      <c r="AW501" s="239"/>
      <c r="AX501" s="239"/>
      <c r="AY501" s="9"/>
      <c r="AZ501" s="9"/>
      <c r="BA501" s="238"/>
      <c r="BB501" s="239"/>
      <c r="BC501" s="239"/>
      <c r="BD501" s="9"/>
      <c r="BE501" s="9"/>
      <c r="BF501" s="238"/>
      <c r="BG501" s="239"/>
      <c r="BH501" s="239"/>
      <c r="BI501" s="9"/>
      <c r="BJ501" s="9"/>
      <c r="BK501" s="240"/>
      <c r="BL501" s="241"/>
      <c r="BM501" s="241"/>
      <c r="BN501" s="66"/>
      <c r="BO501" s="9"/>
      <c r="BP501" s="238"/>
      <c r="BQ501" s="239"/>
      <c r="BR501" s="239"/>
      <c r="BS501" s="9"/>
    </row>
    <row r="502" spans="2:71" ht="15" x14ac:dyDescent="0.25">
      <c r="B502" s="9"/>
      <c r="C502" s="91"/>
      <c r="D502" s="161"/>
      <c r="E502" s="91"/>
      <c r="F502" s="9"/>
      <c r="G502" s="9"/>
      <c r="H502" s="91"/>
      <c r="I502" s="195"/>
      <c r="J502" s="49"/>
      <c r="K502" s="161"/>
      <c r="L502" s="47"/>
      <c r="M502" s="9"/>
      <c r="N502" s="9"/>
      <c r="O502" s="91"/>
      <c r="P502" s="91"/>
      <c r="Q502" s="91"/>
      <c r="R502" s="9"/>
      <c r="S502" s="9"/>
      <c r="T502" s="91"/>
      <c r="U502" s="7"/>
      <c r="V502" s="91"/>
      <c r="W502" s="9"/>
      <c r="X502" s="9"/>
      <c r="Y502" s="91"/>
      <c r="Z502" s="7"/>
      <c r="AA502" s="91"/>
      <c r="AB502" s="9"/>
      <c r="AC502" s="9"/>
      <c r="AD502" s="48"/>
      <c r="AE502" s="49"/>
      <c r="AF502" s="91"/>
      <c r="AG502" s="9"/>
      <c r="AH502" s="9"/>
      <c r="AI502" s="91"/>
      <c r="AJ502" s="237"/>
      <c r="AK502" s="9"/>
      <c r="AL502" s="238"/>
      <c r="AM502" s="239"/>
      <c r="AN502" s="239"/>
      <c r="AO502" s="9"/>
      <c r="AP502" s="9"/>
      <c r="AQ502" s="240"/>
      <c r="AR502" s="241"/>
      <c r="AS502" s="241"/>
      <c r="AT502" s="66"/>
      <c r="AU502" s="9"/>
      <c r="AV502" s="238"/>
      <c r="AW502" s="239"/>
      <c r="AX502" s="239"/>
      <c r="AY502" s="9"/>
      <c r="AZ502" s="9"/>
      <c r="BA502" s="238"/>
      <c r="BB502" s="239"/>
      <c r="BC502" s="239"/>
      <c r="BD502" s="9"/>
      <c r="BE502" s="9"/>
      <c r="BF502" s="238"/>
      <c r="BG502" s="239"/>
      <c r="BH502" s="239"/>
      <c r="BI502" s="9"/>
      <c r="BJ502" s="9"/>
      <c r="BK502" s="240"/>
      <c r="BL502" s="241"/>
      <c r="BM502" s="241"/>
      <c r="BN502" s="66"/>
      <c r="BO502" s="9"/>
      <c r="BP502" s="238"/>
      <c r="BQ502" s="239"/>
      <c r="BR502" s="239"/>
      <c r="BS502" s="9"/>
    </row>
    <row r="503" spans="2:71" ht="15" x14ac:dyDescent="0.25">
      <c r="B503" s="9"/>
      <c r="C503" s="91"/>
      <c r="D503" s="161"/>
      <c r="E503" s="91"/>
      <c r="F503" s="9"/>
      <c r="G503" s="9"/>
      <c r="H503" s="91"/>
      <c r="I503" s="195"/>
      <c r="J503" s="49"/>
      <c r="K503" s="161"/>
      <c r="L503" s="47"/>
      <c r="M503" s="9"/>
      <c r="N503" s="9"/>
      <c r="O503" s="91"/>
      <c r="P503" s="91"/>
      <c r="Q503" s="91"/>
      <c r="R503" s="9"/>
      <c r="S503" s="9"/>
      <c r="T503" s="91"/>
      <c r="U503" s="7"/>
      <c r="V503" s="91"/>
      <c r="W503" s="9"/>
      <c r="X503" s="9"/>
      <c r="Y503" s="91"/>
      <c r="Z503" s="7"/>
      <c r="AA503" s="91"/>
      <c r="AB503" s="9"/>
      <c r="AC503" s="9"/>
      <c r="AD503" s="48"/>
      <c r="AE503" s="49"/>
      <c r="AF503" s="91"/>
      <c r="AG503" s="9"/>
      <c r="AH503" s="9"/>
      <c r="AI503" s="91"/>
      <c r="AJ503" s="237"/>
      <c r="AK503" s="9"/>
      <c r="AL503" s="238"/>
      <c r="AM503" s="239"/>
      <c r="AN503" s="239"/>
      <c r="AO503" s="9"/>
      <c r="AP503" s="9"/>
      <c r="AQ503" s="240"/>
      <c r="AR503" s="241"/>
      <c r="AS503" s="241"/>
      <c r="AT503" s="66"/>
      <c r="AU503" s="9"/>
      <c r="AV503" s="238"/>
      <c r="AW503" s="239"/>
      <c r="AX503" s="239"/>
      <c r="AY503" s="9"/>
      <c r="AZ503" s="9"/>
      <c r="BA503" s="238"/>
      <c r="BB503" s="239"/>
      <c r="BC503" s="239"/>
      <c r="BD503" s="9"/>
      <c r="BE503" s="9"/>
      <c r="BF503" s="238"/>
      <c r="BG503" s="239"/>
      <c r="BH503" s="239"/>
      <c r="BI503" s="9"/>
      <c r="BJ503" s="9"/>
      <c r="BK503" s="240"/>
      <c r="BL503" s="241"/>
      <c r="BM503" s="241"/>
      <c r="BN503" s="66"/>
      <c r="BO503" s="9"/>
      <c r="BP503" s="238"/>
      <c r="BQ503" s="239"/>
      <c r="BR503" s="239"/>
      <c r="BS503" s="9"/>
    </row>
    <row r="504" spans="2:71" ht="15" x14ac:dyDescent="0.25">
      <c r="B504" s="9"/>
      <c r="C504" s="91"/>
      <c r="D504" s="161"/>
      <c r="E504" s="91"/>
      <c r="F504" s="9"/>
      <c r="G504" s="9"/>
      <c r="H504" s="91"/>
      <c r="I504" s="195"/>
      <c r="J504" s="49"/>
      <c r="K504" s="161"/>
      <c r="L504" s="47"/>
      <c r="M504" s="9"/>
      <c r="N504" s="9"/>
      <c r="O504" s="91"/>
      <c r="P504" s="91"/>
      <c r="Q504" s="91"/>
      <c r="R504" s="9"/>
      <c r="S504" s="9"/>
      <c r="T504" s="91"/>
      <c r="U504" s="7"/>
      <c r="V504" s="91"/>
      <c r="W504" s="9"/>
      <c r="X504" s="9"/>
      <c r="Y504" s="91"/>
      <c r="Z504" s="7"/>
      <c r="AA504" s="91"/>
      <c r="AB504" s="9"/>
      <c r="AC504" s="9"/>
      <c r="AD504" s="48"/>
      <c r="AE504" s="49"/>
      <c r="AF504" s="91"/>
      <c r="AG504" s="9"/>
      <c r="AH504" s="9"/>
      <c r="AI504" s="91"/>
      <c r="AJ504" s="237"/>
      <c r="AK504" s="9"/>
      <c r="AL504" s="238"/>
      <c r="AM504" s="239"/>
      <c r="AN504" s="239"/>
      <c r="AO504" s="9"/>
      <c r="AP504" s="9"/>
      <c r="AQ504" s="240"/>
      <c r="AR504" s="241"/>
      <c r="AS504" s="241"/>
      <c r="AT504" s="66"/>
      <c r="AU504" s="9"/>
      <c r="AV504" s="238"/>
      <c r="AW504" s="239"/>
      <c r="AX504" s="239"/>
      <c r="AY504" s="9"/>
      <c r="AZ504" s="9"/>
      <c r="BA504" s="238"/>
      <c r="BB504" s="239"/>
      <c r="BC504" s="239"/>
      <c r="BD504" s="9"/>
      <c r="BE504" s="9"/>
      <c r="BF504" s="238"/>
      <c r="BG504" s="239"/>
      <c r="BH504" s="239"/>
      <c r="BI504" s="9"/>
      <c r="BJ504" s="9"/>
      <c r="BK504" s="240"/>
      <c r="BL504" s="241"/>
      <c r="BM504" s="241"/>
      <c r="BN504" s="66"/>
      <c r="BO504" s="9"/>
      <c r="BP504" s="238"/>
      <c r="BQ504" s="239"/>
      <c r="BR504" s="239"/>
      <c r="BS504" s="9"/>
    </row>
    <row r="505" spans="2:71" ht="15" x14ac:dyDescent="0.25">
      <c r="B505" s="9"/>
      <c r="C505" s="91"/>
      <c r="D505" s="161"/>
      <c r="E505" s="91"/>
      <c r="F505" s="9"/>
      <c r="G505" s="9"/>
      <c r="H505" s="91"/>
      <c r="I505" s="195"/>
      <c r="J505" s="49"/>
      <c r="K505" s="161"/>
      <c r="L505" s="47"/>
      <c r="M505" s="9"/>
      <c r="N505" s="9"/>
      <c r="O505" s="91"/>
      <c r="P505" s="91"/>
      <c r="Q505" s="91"/>
      <c r="R505" s="9"/>
      <c r="S505" s="9"/>
      <c r="T505" s="91"/>
      <c r="U505" s="7"/>
      <c r="V505" s="91"/>
      <c r="W505" s="9"/>
      <c r="X505" s="9"/>
      <c r="Y505" s="91"/>
      <c r="Z505" s="7"/>
      <c r="AA505" s="91"/>
      <c r="AB505" s="9"/>
      <c r="AC505" s="9"/>
      <c r="AD505" s="48"/>
      <c r="AE505" s="49"/>
      <c r="AF505" s="91"/>
      <c r="AG505" s="9"/>
      <c r="AH505" s="9"/>
      <c r="AI505" s="91"/>
      <c r="AJ505" s="237"/>
      <c r="AK505" s="9"/>
      <c r="AL505" s="238"/>
      <c r="AM505" s="239"/>
      <c r="AN505" s="239"/>
      <c r="AO505" s="9"/>
      <c r="AP505" s="9"/>
      <c r="AQ505" s="240"/>
      <c r="AR505" s="241"/>
      <c r="AS505" s="241"/>
      <c r="AT505" s="66"/>
      <c r="AU505" s="9"/>
      <c r="AV505" s="238"/>
      <c r="AW505" s="239"/>
      <c r="AX505" s="239"/>
      <c r="AY505" s="9"/>
      <c r="AZ505" s="9"/>
      <c r="BA505" s="238"/>
      <c r="BB505" s="239"/>
      <c r="BC505" s="239"/>
      <c r="BD505" s="9"/>
      <c r="BE505" s="9"/>
      <c r="BF505" s="238"/>
      <c r="BG505" s="239"/>
      <c r="BH505" s="239"/>
      <c r="BI505" s="9"/>
      <c r="BJ505" s="9"/>
      <c r="BK505" s="240"/>
      <c r="BL505" s="241"/>
      <c r="BM505" s="241"/>
      <c r="BN505" s="66"/>
      <c r="BO505" s="9"/>
      <c r="BP505" s="238"/>
      <c r="BQ505" s="239"/>
      <c r="BR505" s="239"/>
      <c r="BS505" s="9"/>
    </row>
    <row r="506" spans="2:71" ht="15" x14ac:dyDescent="0.25">
      <c r="B506" s="9"/>
      <c r="C506" s="91"/>
      <c r="D506" s="161"/>
      <c r="E506" s="91"/>
      <c r="F506" s="9"/>
      <c r="G506" s="9"/>
      <c r="H506" s="91"/>
      <c r="I506" s="195"/>
      <c r="J506" s="49"/>
      <c r="K506" s="161"/>
      <c r="L506" s="47"/>
      <c r="M506" s="9"/>
      <c r="N506" s="9"/>
      <c r="O506" s="91"/>
      <c r="P506" s="91"/>
      <c r="Q506" s="91"/>
      <c r="R506" s="9"/>
      <c r="S506" s="9"/>
      <c r="T506" s="91"/>
      <c r="U506" s="7"/>
      <c r="V506" s="91"/>
      <c r="W506" s="9"/>
      <c r="X506" s="9"/>
      <c r="Y506" s="91"/>
      <c r="Z506" s="7"/>
      <c r="AA506" s="91"/>
      <c r="AB506" s="9"/>
      <c r="AC506" s="9"/>
      <c r="AD506" s="48"/>
      <c r="AE506" s="49"/>
      <c r="AF506" s="91"/>
      <c r="AG506" s="9"/>
      <c r="AH506" s="9"/>
      <c r="AI506" s="91"/>
      <c r="AJ506" s="237"/>
      <c r="AK506" s="9"/>
      <c r="AL506" s="238"/>
      <c r="AM506" s="239"/>
      <c r="AN506" s="239"/>
      <c r="AO506" s="9"/>
      <c r="AP506" s="9"/>
      <c r="AQ506" s="240"/>
      <c r="AR506" s="241"/>
      <c r="AS506" s="241"/>
      <c r="AT506" s="66"/>
      <c r="AU506" s="9"/>
      <c r="AV506" s="238"/>
      <c r="AW506" s="239"/>
      <c r="AX506" s="239"/>
      <c r="AY506" s="9"/>
      <c r="AZ506" s="9"/>
      <c r="BA506" s="238"/>
      <c r="BB506" s="239"/>
      <c r="BC506" s="239"/>
      <c r="BD506" s="9"/>
      <c r="BE506" s="9"/>
      <c r="BF506" s="238"/>
      <c r="BG506" s="239"/>
      <c r="BH506" s="239"/>
      <c r="BI506" s="9"/>
      <c r="BJ506" s="9"/>
      <c r="BK506" s="240"/>
      <c r="BL506" s="241"/>
      <c r="BM506" s="241"/>
      <c r="BN506" s="66"/>
      <c r="BO506" s="9"/>
      <c r="BP506" s="238"/>
      <c r="BQ506" s="239"/>
      <c r="BR506" s="239"/>
      <c r="BS506" s="9"/>
    </row>
  </sheetData>
  <sheetProtection algorithmName="SHA-512" hashValue="4Z3hmASVZZ/8ite7QguBD3YgbEHylTN6zkAkBzoPerDNxp3hB0Y9xlD+bJzAlWnbugG0NPB79nq/tq/PgBjvvg==" saltValue="9Wuxq09MOor6oiOmxeWvNQ==" spinCount="100000" sheet="1" selectLockedCells="1" selectUnlockedCells="1"/>
  <mergeCells count="15">
    <mergeCell ref="AI4:AJ4"/>
    <mergeCell ref="AL4:AO4"/>
    <mergeCell ref="A1:BS2"/>
    <mergeCell ref="BP4:BS4"/>
    <mergeCell ref="AQ4:AT4"/>
    <mergeCell ref="AV4:AY4"/>
    <mergeCell ref="BA4:BD4"/>
    <mergeCell ref="BF4:BI4"/>
    <mergeCell ref="BK4:BN4"/>
    <mergeCell ref="C4:F4"/>
    <mergeCell ref="H4:M4"/>
    <mergeCell ref="O4:R4"/>
    <mergeCell ref="T4:W4"/>
    <mergeCell ref="AD4:AG4"/>
    <mergeCell ref="Y4:AB4"/>
  </mergeCells>
  <conditionalFormatting sqref="M7:M506">
    <cfRule type="cellIs" dxfId="15" priority="9" operator="equal">
      <formula>"excessive"</formula>
    </cfRule>
    <cfRule type="cellIs" dxfId="14" priority="39" operator="equal">
      <formula>"too high, not acceptable"</formula>
    </cfRule>
  </conditionalFormatting>
  <conditionalFormatting sqref="F7:F506">
    <cfRule type="cellIs" dxfId="13" priority="4" operator="equal">
      <formula>"excessive"</formula>
    </cfRule>
    <cfRule type="cellIs" dxfId="12" priority="37" operator="equal">
      <formula>"exceeds limit"</formula>
    </cfRule>
  </conditionalFormatting>
  <conditionalFormatting sqref="AG7:AG506">
    <cfRule type="cellIs" dxfId="11" priority="7" operator="equal">
      <formula>"liming highly recommended"</formula>
    </cfRule>
    <cfRule type="cellIs" dxfId="10" priority="8" operator="equal">
      <formula>"no waste application - pH too low"</formula>
    </cfRule>
    <cfRule type="cellIs" dxfId="9" priority="16" operator="equal">
      <formula>"no waste application - liming not required"</formula>
    </cfRule>
    <cfRule type="cellIs" dxfId="8" priority="35" operator="equal">
      <formula>"application rate too high - exceeds liming requirement"</formula>
    </cfRule>
  </conditionalFormatting>
  <conditionalFormatting sqref="R7:R506">
    <cfRule type="cellIs" dxfId="7" priority="18" operator="equal">
      <formula>"excessive"</formula>
    </cfRule>
  </conditionalFormatting>
  <conditionalFormatting sqref="AO7:AP506 AT7:AT506 BD7:BD506 BN7:BN506 BI7:BI506 BS7:BS506 AY7:AY506">
    <cfRule type="cellIs" dxfId="6" priority="2" operator="equal">
      <formula>"soil limit likely to be exceeded in 10yrs"</formula>
    </cfRule>
    <cfRule type="cellIs" dxfId="5" priority="3" operator="equal">
      <formula>"application rate too high - permissible rate exceeds limit"</formula>
    </cfRule>
    <cfRule type="cellIs" dxfId="4" priority="11" operator="equal">
      <formula>"application rate too high - soil conc. will exceed limit"</formula>
    </cfRule>
    <cfRule type="cellIs" dxfId="3" priority="12" operator="equal">
      <formula>"no application - soil conc. already above limit"</formula>
    </cfRule>
    <cfRule type="cellIs" dxfId="2" priority="13" operator="equal">
      <formula>"soil conc. is at or above 90% of the limit"</formula>
    </cfRule>
  </conditionalFormatting>
  <conditionalFormatting sqref="AB7:AB506">
    <cfRule type="cellIs" dxfId="1" priority="10" operator="equal">
      <formula>"excessive"</formula>
    </cfRule>
  </conditionalFormatting>
  <conditionalFormatting sqref="F7:F506 R7:R506 W7:W506 AB7:AB506 AO7:AO506 AT7:AT506 BD7:BD506 BN7:BN506 AJ7:AJ506 M7:M506 BI7:BI506 BS7:BS506 AY7:AY506 AG7:AG506">
    <cfRule type="cellIs" dxfId="0" priority="1" operator="equal">
      <formula>"data missing"</formula>
    </cfRule>
  </conditionalFormatting>
  <pageMargins left="0.7" right="0.7" top="0.75" bottom="0.75" header="0.3" footer="0.3"/>
  <pageSetup paperSize="0" orientation="portrait" horizontalDpi="0" verticalDpi="0" copies="0"/>
  <headerFooter>
    <oddHeader>&amp;C&amp;"Calibri"&amp;10&amp;K0000FF OFFICIAL – BUSINESS&amp;1#_x000D_</oddHeader>
    <oddFooter>&amp;C_x000D_&amp;1#&amp;"Calibri"&amp;10&amp;K0000FF OFFICIAL – BUSINESS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384FB-1281-4039-9E80-C3A7C28CC6D6}">
  <dimension ref="A1:AN74"/>
  <sheetViews>
    <sheetView zoomScale="85" zoomScaleNormal="85" workbookViewId="0">
      <pane xSplit="1" ySplit="3" topLeftCell="B4" activePane="bottomRight" state="frozen"/>
      <selection pane="topRight" activeCell="J32" sqref="J32"/>
      <selection pane="bottomLeft" activeCell="J32" sqref="J32"/>
      <selection pane="bottomRight" activeCell="A3" sqref="A3"/>
    </sheetView>
  </sheetViews>
  <sheetFormatPr defaultColWidth="8.7265625" defaultRowHeight="27.65" customHeight="1" x14ac:dyDescent="0.35"/>
  <cols>
    <col min="1" max="1" width="28.453125" style="12" customWidth="1"/>
    <col min="2" max="2" width="4.453125" style="1" customWidth="1"/>
    <col min="3" max="3" width="12.81640625" style="1" customWidth="1"/>
    <col min="4" max="4" width="7.1796875" style="1" customWidth="1"/>
    <col min="5" max="5" width="7.54296875" style="1" customWidth="1"/>
    <col min="6" max="6" width="7.1796875" style="1" customWidth="1"/>
    <col min="7" max="7" width="23.453125" style="12" customWidth="1"/>
    <col min="8" max="8" width="2" customWidth="1"/>
    <col min="9" max="9" width="9.26953125" style="7" customWidth="1"/>
    <col min="10" max="13" width="5.453125" style="7" customWidth="1"/>
    <col min="14" max="18" width="5.26953125" style="7" customWidth="1"/>
    <col min="19" max="23" width="5" style="7" customWidth="1"/>
    <col min="24" max="24" width="30.453125" style="18" customWidth="1"/>
    <col min="25" max="25" width="1.54296875" customWidth="1"/>
    <col min="26" max="26" width="7.453125" style="7" customWidth="1"/>
    <col min="27" max="30" width="5.7265625" style="7" customWidth="1"/>
    <col min="31" max="31" width="27.1796875" style="93" customWidth="1"/>
    <col min="32" max="32" width="2" customWidth="1"/>
    <col min="33" max="33" width="9" customWidth="1"/>
    <col min="34" max="34" width="5.26953125" customWidth="1"/>
    <col min="35" max="35" width="5.26953125" style="7" customWidth="1"/>
    <col min="36" max="36" width="5.26953125" customWidth="1"/>
    <col min="37" max="37" width="36.54296875" style="2" customWidth="1"/>
    <col min="38" max="38" width="1.54296875" customWidth="1"/>
    <col min="39" max="39" width="8.7265625" style="7"/>
    <col min="40" max="40" width="17.1796875" style="9" customWidth="1"/>
  </cols>
  <sheetData>
    <row r="1" spans="1:40" ht="27.65" customHeight="1" x14ac:dyDescent="0.35">
      <c r="C1" s="445" t="s">
        <v>177</v>
      </c>
      <c r="D1" s="446"/>
      <c r="E1" s="446"/>
      <c r="F1" s="446"/>
      <c r="G1" s="447"/>
      <c r="I1" s="442" t="s">
        <v>178</v>
      </c>
      <c r="J1" s="448"/>
      <c r="K1" s="448"/>
      <c r="L1" s="448"/>
      <c r="M1" s="448"/>
      <c r="N1" s="448"/>
      <c r="O1" s="448"/>
      <c r="P1" s="448"/>
      <c r="Q1" s="448"/>
      <c r="R1" s="448"/>
      <c r="S1" s="448"/>
      <c r="T1" s="448"/>
      <c r="U1" s="448"/>
      <c r="V1" s="448"/>
      <c r="W1" s="448"/>
      <c r="X1" s="443"/>
      <c r="Z1" s="442" t="s">
        <v>179</v>
      </c>
      <c r="AA1" s="448"/>
      <c r="AB1" s="448"/>
      <c r="AC1" s="448"/>
      <c r="AD1" s="448"/>
      <c r="AE1" s="443"/>
      <c r="AG1" s="442" t="s">
        <v>180</v>
      </c>
      <c r="AH1" s="448"/>
      <c r="AI1" s="448"/>
      <c r="AJ1" s="448"/>
      <c r="AK1" s="443"/>
      <c r="AM1" s="442" t="s">
        <v>181</v>
      </c>
      <c r="AN1" s="443"/>
    </row>
    <row r="2" spans="1:40" ht="27.65" customHeight="1" x14ac:dyDescent="0.35">
      <c r="C2" s="96"/>
      <c r="D2" s="455" t="s">
        <v>182</v>
      </c>
      <c r="E2" s="456"/>
      <c r="F2" s="457"/>
      <c r="G2" s="452" t="s">
        <v>183</v>
      </c>
      <c r="I2" s="117"/>
      <c r="J2" s="449" t="s">
        <v>184</v>
      </c>
      <c r="K2" s="450"/>
      <c r="L2" s="450"/>
      <c r="M2" s="451"/>
      <c r="N2" s="455" t="s">
        <v>185</v>
      </c>
      <c r="O2" s="450"/>
      <c r="P2" s="450"/>
      <c r="Q2" s="450"/>
      <c r="R2" s="451"/>
      <c r="S2" s="455" t="s">
        <v>186</v>
      </c>
      <c r="T2" s="450"/>
      <c r="U2" s="450"/>
      <c r="V2" s="450"/>
      <c r="W2" s="451"/>
      <c r="X2" s="453" t="s">
        <v>183</v>
      </c>
      <c r="Z2" s="117"/>
      <c r="AA2" s="449" t="s">
        <v>187</v>
      </c>
      <c r="AB2" s="450"/>
      <c r="AC2" s="450"/>
      <c r="AD2" s="451"/>
      <c r="AE2" s="454" t="s">
        <v>183</v>
      </c>
      <c r="AF2" s="7"/>
      <c r="AG2" s="132"/>
      <c r="AH2" s="449" t="s">
        <v>187</v>
      </c>
      <c r="AI2" s="450"/>
      <c r="AJ2" s="451"/>
      <c r="AK2" s="444" t="s">
        <v>183</v>
      </c>
      <c r="AM2" s="117"/>
      <c r="AN2" s="444" t="s">
        <v>183</v>
      </c>
    </row>
    <row r="3" spans="1:40" ht="27.65" customHeight="1" x14ac:dyDescent="0.35">
      <c r="C3" s="107" t="s">
        <v>188</v>
      </c>
      <c r="D3" s="105" t="s">
        <v>189</v>
      </c>
      <c r="E3" s="1" t="s">
        <v>190</v>
      </c>
      <c r="F3" s="103" t="s">
        <v>191</v>
      </c>
      <c r="G3" s="452"/>
      <c r="I3" s="117" t="s">
        <v>192</v>
      </c>
      <c r="J3" s="111" t="s">
        <v>193</v>
      </c>
      <c r="K3" s="7" t="s">
        <v>194</v>
      </c>
      <c r="L3" s="7" t="s">
        <v>195</v>
      </c>
      <c r="M3" s="110" t="s">
        <v>196</v>
      </c>
      <c r="N3" s="111" t="s">
        <v>193</v>
      </c>
      <c r="O3" s="7" t="s">
        <v>194</v>
      </c>
      <c r="P3" s="7" t="s">
        <v>197</v>
      </c>
      <c r="Q3" s="7" t="s">
        <v>195</v>
      </c>
      <c r="R3" s="110" t="s">
        <v>196</v>
      </c>
      <c r="S3" s="111" t="s">
        <v>193</v>
      </c>
      <c r="T3" s="7" t="s">
        <v>194</v>
      </c>
      <c r="U3" s="7" t="s">
        <v>197</v>
      </c>
      <c r="V3" s="7" t="s">
        <v>195</v>
      </c>
      <c r="W3" s="110" t="s">
        <v>196</v>
      </c>
      <c r="X3" s="453"/>
      <c r="Z3" s="119" t="s">
        <v>198</v>
      </c>
      <c r="AA3" s="111" t="s">
        <v>193</v>
      </c>
      <c r="AB3" s="7" t="s">
        <v>194</v>
      </c>
      <c r="AC3" s="7" t="s">
        <v>195</v>
      </c>
      <c r="AD3" s="110" t="s">
        <v>196</v>
      </c>
      <c r="AE3" s="454"/>
      <c r="AG3" s="119" t="s">
        <v>198</v>
      </c>
      <c r="AH3" s="111" t="s">
        <v>193</v>
      </c>
      <c r="AI3" s="7" t="s">
        <v>194</v>
      </c>
      <c r="AJ3" s="110" t="s">
        <v>196</v>
      </c>
      <c r="AK3" s="444"/>
      <c r="AM3" s="117"/>
      <c r="AN3" s="444"/>
    </row>
    <row r="4" spans="1:40" ht="27.65" customHeight="1" x14ac:dyDescent="0.35">
      <c r="C4" s="107"/>
      <c r="D4" s="105"/>
      <c r="F4" s="103"/>
      <c r="G4" s="98"/>
      <c r="I4" s="133" t="s">
        <v>199</v>
      </c>
      <c r="J4" s="134"/>
      <c r="K4" s="135"/>
      <c r="L4" s="135"/>
      <c r="M4" s="136"/>
      <c r="N4" s="134"/>
      <c r="O4" s="135"/>
      <c r="P4" s="135"/>
      <c r="Q4" s="135"/>
      <c r="R4" s="136"/>
      <c r="S4" s="134"/>
      <c r="T4" s="135"/>
      <c r="U4" s="135"/>
      <c r="V4" s="135"/>
      <c r="W4" s="136"/>
      <c r="X4" s="137" t="s">
        <v>200</v>
      </c>
      <c r="Z4" s="133" t="s">
        <v>199</v>
      </c>
      <c r="AA4" s="134"/>
      <c r="AB4" s="135"/>
      <c r="AC4" s="135"/>
      <c r="AD4" s="136"/>
      <c r="AE4" s="137" t="s">
        <v>201</v>
      </c>
      <c r="AG4" s="128"/>
      <c r="AH4" s="108"/>
      <c r="AJ4" s="109"/>
      <c r="AK4" s="137" t="s">
        <v>202</v>
      </c>
      <c r="AM4" s="117"/>
      <c r="AN4" s="129"/>
    </row>
    <row r="5" spans="1:40" ht="43.5" x14ac:dyDescent="0.35">
      <c r="A5" s="94" t="s">
        <v>203</v>
      </c>
      <c r="B5" s="1" t="s">
        <v>204</v>
      </c>
      <c r="C5" s="201">
        <v>40</v>
      </c>
      <c r="D5" s="197">
        <v>0</v>
      </c>
      <c r="E5" s="198">
        <v>0</v>
      </c>
      <c r="F5" s="199">
        <v>0</v>
      </c>
      <c r="G5" s="200" t="s">
        <v>205</v>
      </c>
      <c r="I5" s="133">
        <v>50</v>
      </c>
      <c r="J5" s="134">
        <v>60</v>
      </c>
      <c r="K5" s="135">
        <v>30</v>
      </c>
      <c r="L5" s="135">
        <v>-10</v>
      </c>
      <c r="M5" s="136">
        <v>-30</v>
      </c>
      <c r="N5" s="134">
        <v>40</v>
      </c>
      <c r="O5" s="135">
        <v>20</v>
      </c>
      <c r="P5" s="135">
        <v>0</v>
      </c>
      <c r="Q5" s="135">
        <v>-10</v>
      </c>
      <c r="R5" s="136">
        <v>-20</v>
      </c>
      <c r="S5" s="134">
        <v>80</v>
      </c>
      <c r="T5" s="135">
        <v>40</v>
      </c>
      <c r="U5" s="135">
        <v>20</v>
      </c>
      <c r="V5" s="135">
        <v>0</v>
      </c>
      <c r="W5" s="136">
        <v>-40</v>
      </c>
      <c r="X5" s="137" t="s">
        <v>597</v>
      </c>
      <c r="Z5" s="133">
        <v>50</v>
      </c>
      <c r="AA5" s="134">
        <v>60</v>
      </c>
      <c r="AB5" s="135">
        <v>30</v>
      </c>
      <c r="AC5" s="135">
        <v>0</v>
      </c>
      <c r="AD5" s="136">
        <f>-0.5*Z5</f>
        <v>-25</v>
      </c>
      <c r="AE5" s="137" t="s">
        <v>598</v>
      </c>
      <c r="AG5" s="156">
        <v>0</v>
      </c>
      <c r="AH5" s="134">
        <v>125</v>
      </c>
      <c r="AI5" s="135">
        <v>125</v>
      </c>
      <c r="AJ5" s="136">
        <v>0</v>
      </c>
      <c r="AK5" s="137" t="s">
        <v>206</v>
      </c>
      <c r="AM5" s="117">
        <v>0</v>
      </c>
      <c r="AN5" s="155" t="s">
        <v>207</v>
      </c>
    </row>
    <row r="6" spans="1:40" ht="43.5" x14ac:dyDescent="0.35">
      <c r="A6" s="94" t="s">
        <v>208</v>
      </c>
      <c r="B6" s="1" t="s">
        <v>204</v>
      </c>
      <c r="C6" s="201">
        <v>60</v>
      </c>
      <c r="D6" s="197">
        <v>0</v>
      </c>
      <c r="E6" s="198">
        <v>0</v>
      </c>
      <c r="F6" s="199">
        <v>0</v>
      </c>
      <c r="G6" s="200" t="s">
        <v>205</v>
      </c>
      <c r="I6" s="133">
        <v>50</v>
      </c>
      <c r="J6" s="134">
        <v>60</v>
      </c>
      <c r="K6" s="135">
        <v>30</v>
      </c>
      <c r="L6" s="135">
        <v>-10</v>
      </c>
      <c r="M6" s="136">
        <v>-30</v>
      </c>
      <c r="N6" s="134">
        <v>40</v>
      </c>
      <c r="O6" s="135">
        <v>20</v>
      </c>
      <c r="P6" s="135">
        <v>0</v>
      </c>
      <c r="Q6" s="135">
        <v>-10</v>
      </c>
      <c r="R6" s="136">
        <v>-20</v>
      </c>
      <c r="S6" s="134">
        <v>80</v>
      </c>
      <c r="T6" s="135">
        <v>40</v>
      </c>
      <c r="U6" s="135">
        <v>20</v>
      </c>
      <c r="V6" s="135">
        <v>0</v>
      </c>
      <c r="W6" s="136">
        <v>-40</v>
      </c>
      <c r="X6" s="137" t="s">
        <v>597</v>
      </c>
      <c r="Z6" s="133">
        <v>50</v>
      </c>
      <c r="AA6" s="134">
        <v>60</v>
      </c>
      <c r="AB6" s="135">
        <v>30</v>
      </c>
      <c r="AC6" s="135">
        <v>0</v>
      </c>
      <c r="AD6" s="136">
        <f>-0.5*Z6</f>
        <v>-25</v>
      </c>
      <c r="AE6" s="137" t="s">
        <v>598</v>
      </c>
      <c r="AG6" s="156">
        <v>0</v>
      </c>
      <c r="AH6" s="134">
        <v>125</v>
      </c>
      <c r="AI6" s="135">
        <v>125</v>
      </c>
      <c r="AJ6" s="136">
        <v>0</v>
      </c>
      <c r="AK6" s="137" t="s">
        <v>206</v>
      </c>
      <c r="AM6" s="117">
        <v>0</v>
      </c>
      <c r="AN6" s="155" t="s">
        <v>207</v>
      </c>
    </row>
    <row r="7" spans="1:40" ht="58" x14ac:dyDescent="0.35">
      <c r="A7" s="95" t="s">
        <v>209</v>
      </c>
      <c r="B7" s="1" t="s">
        <v>204</v>
      </c>
      <c r="C7" s="201">
        <v>80</v>
      </c>
      <c r="D7" s="197">
        <v>0</v>
      </c>
      <c r="E7" s="198">
        <v>0</v>
      </c>
      <c r="F7" s="199">
        <v>0</v>
      </c>
      <c r="G7" s="202" t="s">
        <v>210</v>
      </c>
      <c r="I7" s="133">
        <v>41</v>
      </c>
      <c r="J7" s="134">
        <v>60</v>
      </c>
      <c r="K7" s="135">
        <v>30</v>
      </c>
      <c r="L7" s="135">
        <v>-10</v>
      </c>
      <c r="M7" s="136">
        <v>-30</v>
      </c>
      <c r="N7" s="134">
        <v>40</v>
      </c>
      <c r="O7" s="135">
        <v>20</v>
      </c>
      <c r="P7" s="135">
        <v>0</v>
      </c>
      <c r="Q7" s="135">
        <v>-10</v>
      </c>
      <c r="R7" s="136">
        <v>-20</v>
      </c>
      <c r="S7" s="134">
        <v>80</v>
      </c>
      <c r="T7" s="135">
        <v>40</v>
      </c>
      <c r="U7" s="135">
        <v>20</v>
      </c>
      <c r="V7" s="135">
        <v>0</v>
      </c>
      <c r="W7" s="136">
        <v>-40</v>
      </c>
      <c r="X7" s="137" t="s">
        <v>591</v>
      </c>
      <c r="Z7" s="133">
        <v>126</v>
      </c>
      <c r="AA7" s="134">
        <v>60</v>
      </c>
      <c r="AB7" s="135">
        <v>30</v>
      </c>
      <c r="AC7" s="135">
        <v>0</v>
      </c>
      <c r="AD7" s="136">
        <f t="shared" ref="AD7:AD16" si="0">-0.5*Z7</f>
        <v>-63</v>
      </c>
      <c r="AE7" s="137" t="s">
        <v>596</v>
      </c>
      <c r="AG7" s="156">
        <v>0</v>
      </c>
      <c r="AH7" s="134">
        <v>125</v>
      </c>
      <c r="AI7" s="135">
        <v>125</v>
      </c>
      <c r="AJ7" s="136">
        <v>0</v>
      </c>
      <c r="AK7" s="137" t="s">
        <v>206</v>
      </c>
      <c r="AM7" s="156">
        <v>40</v>
      </c>
      <c r="AN7" s="194" t="s">
        <v>211</v>
      </c>
    </row>
    <row r="8" spans="1:40" ht="43.5" x14ac:dyDescent="0.35">
      <c r="A8" s="95" t="s">
        <v>212</v>
      </c>
      <c r="B8" s="1" t="s">
        <v>204</v>
      </c>
      <c r="C8" s="196">
        <v>160</v>
      </c>
      <c r="D8" s="197">
        <v>0</v>
      </c>
      <c r="E8" s="198">
        <v>0</v>
      </c>
      <c r="F8" s="199">
        <v>0</v>
      </c>
      <c r="G8" s="200" t="s">
        <v>213</v>
      </c>
      <c r="I8" s="133">
        <v>44</v>
      </c>
      <c r="J8" s="134">
        <v>60</v>
      </c>
      <c r="K8" s="135">
        <v>30</v>
      </c>
      <c r="L8" s="135">
        <v>-10</v>
      </c>
      <c r="M8" s="136">
        <v>-30</v>
      </c>
      <c r="N8" s="134">
        <v>40</v>
      </c>
      <c r="O8" s="135">
        <v>20</v>
      </c>
      <c r="P8" s="135">
        <v>0</v>
      </c>
      <c r="Q8" s="135">
        <v>-10</v>
      </c>
      <c r="R8" s="136">
        <v>-20</v>
      </c>
      <c r="S8" s="134">
        <v>80</v>
      </c>
      <c r="T8" s="135">
        <v>40</v>
      </c>
      <c r="U8" s="135">
        <v>20</v>
      </c>
      <c r="V8" s="135">
        <v>0</v>
      </c>
      <c r="W8" s="136">
        <v>-40</v>
      </c>
      <c r="X8" s="137" t="s">
        <v>591</v>
      </c>
      <c r="Z8" s="133">
        <v>128</v>
      </c>
      <c r="AA8" s="134">
        <v>60</v>
      </c>
      <c r="AB8" s="135">
        <v>30</v>
      </c>
      <c r="AC8" s="135">
        <v>0</v>
      </c>
      <c r="AD8" s="136">
        <f t="shared" si="0"/>
        <v>-64</v>
      </c>
      <c r="AE8" s="137" t="s">
        <v>596</v>
      </c>
      <c r="AG8" s="156">
        <v>0</v>
      </c>
      <c r="AH8" s="134">
        <v>125</v>
      </c>
      <c r="AI8" s="135">
        <v>125</v>
      </c>
      <c r="AJ8" s="136">
        <v>0</v>
      </c>
      <c r="AK8" s="137" t="s">
        <v>206</v>
      </c>
      <c r="AM8" s="156">
        <v>40</v>
      </c>
      <c r="AN8" s="157" t="s">
        <v>214</v>
      </c>
    </row>
    <row r="9" spans="1:40" ht="58" x14ac:dyDescent="0.35">
      <c r="A9" s="95" t="s">
        <v>215</v>
      </c>
      <c r="B9" s="1" t="s">
        <v>204</v>
      </c>
      <c r="C9" s="201">
        <v>120</v>
      </c>
      <c r="D9" s="197">
        <v>0</v>
      </c>
      <c r="E9" s="198">
        <v>0</v>
      </c>
      <c r="F9" s="199">
        <v>0</v>
      </c>
      <c r="G9" s="202" t="s">
        <v>210</v>
      </c>
      <c r="I9" s="133">
        <v>39</v>
      </c>
      <c r="J9" s="134">
        <v>60</v>
      </c>
      <c r="K9" s="135">
        <v>30</v>
      </c>
      <c r="L9" s="135">
        <v>-10</v>
      </c>
      <c r="M9" s="136">
        <v>-30</v>
      </c>
      <c r="N9" s="134">
        <v>40</v>
      </c>
      <c r="O9" s="135">
        <v>20</v>
      </c>
      <c r="P9" s="135">
        <v>0</v>
      </c>
      <c r="Q9" s="135">
        <v>-10</v>
      </c>
      <c r="R9" s="136">
        <v>-20</v>
      </c>
      <c r="S9" s="134">
        <v>80</v>
      </c>
      <c r="T9" s="135">
        <v>40</v>
      </c>
      <c r="U9" s="135">
        <v>20</v>
      </c>
      <c r="V9" s="135">
        <v>0</v>
      </c>
      <c r="W9" s="136">
        <v>-40</v>
      </c>
      <c r="X9" s="137" t="s">
        <v>591</v>
      </c>
      <c r="Z9" s="133">
        <v>138</v>
      </c>
      <c r="AA9" s="134">
        <v>60</v>
      </c>
      <c r="AB9" s="135">
        <v>30</v>
      </c>
      <c r="AC9" s="135">
        <v>0</v>
      </c>
      <c r="AD9" s="136">
        <f t="shared" si="0"/>
        <v>-69</v>
      </c>
      <c r="AE9" s="137" t="s">
        <v>596</v>
      </c>
      <c r="AG9" s="156">
        <v>0</v>
      </c>
      <c r="AH9" s="134">
        <v>125</v>
      </c>
      <c r="AI9" s="135">
        <v>125</v>
      </c>
      <c r="AJ9" s="136">
        <v>0</v>
      </c>
      <c r="AK9" s="137" t="s">
        <v>206</v>
      </c>
      <c r="AM9" s="156">
        <v>40</v>
      </c>
      <c r="AN9" s="194" t="s">
        <v>211</v>
      </c>
    </row>
    <row r="10" spans="1:40" ht="43.5" x14ac:dyDescent="0.35">
      <c r="A10" s="95" t="s">
        <v>216</v>
      </c>
      <c r="B10" s="1" t="s">
        <v>204</v>
      </c>
      <c r="C10" s="196">
        <v>194</v>
      </c>
      <c r="D10" s="197">
        <v>0</v>
      </c>
      <c r="E10" s="198">
        <v>0</v>
      </c>
      <c r="F10" s="199">
        <v>0</v>
      </c>
      <c r="G10" s="202" t="s">
        <v>213</v>
      </c>
      <c r="I10" s="133">
        <v>42</v>
      </c>
      <c r="J10" s="134">
        <v>60</v>
      </c>
      <c r="K10" s="135">
        <v>30</v>
      </c>
      <c r="L10" s="135">
        <v>-10</v>
      </c>
      <c r="M10" s="136">
        <v>-30</v>
      </c>
      <c r="N10" s="134">
        <v>40</v>
      </c>
      <c r="O10" s="135">
        <v>20</v>
      </c>
      <c r="P10" s="135">
        <v>0</v>
      </c>
      <c r="Q10" s="135">
        <v>-10</v>
      </c>
      <c r="R10" s="136">
        <v>-20</v>
      </c>
      <c r="S10" s="134">
        <v>80</v>
      </c>
      <c r="T10" s="135">
        <v>40</v>
      </c>
      <c r="U10" s="135">
        <v>20</v>
      </c>
      <c r="V10" s="135">
        <v>0</v>
      </c>
      <c r="W10" s="136">
        <v>-40</v>
      </c>
      <c r="X10" s="137" t="s">
        <v>591</v>
      </c>
      <c r="Z10" s="133">
        <v>140</v>
      </c>
      <c r="AA10" s="134">
        <v>60</v>
      </c>
      <c r="AB10" s="135">
        <v>30</v>
      </c>
      <c r="AC10" s="135">
        <v>0</v>
      </c>
      <c r="AD10" s="136">
        <f t="shared" si="0"/>
        <v>-70</v>
      </c>
      <c r="AE10" s="137" t="s">
        <v>596</v>
      </c>
      <c r="AG10" s="156">
        <v>0</v>
      </c>
      <c r="AH10" s="134">
        <v>125</v>
      </c>
      <c r="AI10" s="135">
        <v>125</v>
      </c>
      <c r="AJ10" s="136">
        <v>0</v>
      </c>
      <c r="AK10" s="137" t="s">
        <v>206</v>
      </c>
      <c r="AM10" s="156">
        <v>40</v>
      </c>
      <c r="AN10" s="157" t="s">
        <v>214</v>
      </c>
    </row>
    <row r="11" spans="1:40" ht="43.5" x14ac:dyDescent="0.35">
      <c r="A11" s="95" t="s">
        <v>217</v>
      </c>
      <c r="B11" s="1" t="s">
        <v>204</v>
      </c>
      <c r="C11" s="201">
        <v>210</v>
      </c>
      <c r="D11" s="197">
        <v>0</v>
      </c>
      <c r="E11" s="198">
        <v>0</v>
      </c>
      <c r="F11" s="199">
        <v>0</v>
      </c>
      <c r="G11" s="202" t="s">
        <v>218</v>
      </c>
      <c r="I11" s="133">
        <v>59</v>
      </c>
      <c r="J11" s="134">
        <v>60</v>
      </c>
      <c r="K11" s="135">
        <v>30</v>
      </c>
      <c r="L11" s="135">
        <v>-10</v>
      </c>
      <c r="M11" s="136">
        <v>-30</v>
      </c>
      <c r="N11" s="134">
        <v>40</v>
      </c>
      <c r="O11" s="135">
        <v>20</v>
      </c>
      <c r="P11" s="135">
        <v>0</v>
      </c>
      <c r="Q11" s="135">
        <v>-10</v>
      </c>
      <c r="R11" s="136">
        <v>-20</v>
      </c>
      <c r="S11" s="134">
        <v>80</v>
      </c>
      <c r="T11" s="135">
        <v>40</v>
      </c>
      <c r="U11" s="135">
        <v>20</v>
      </c>
      <c r="V11" s="135">
        <v>0</v>
      </c>
      <c r="W11" s="136">
        <v>-40</v>
      </c>
      <c r="X11" s="137" t="s">
        <v>591</v>
      </c>
      <c r="Z11" s="133">
        <v>210</v>
      </c>
      <c r="AA11" s="134">
        <v>60</v>
      </c>
      <c r="AB11" s="135">
        <v>30</v>
      </c>
      <c r="AC11" s="135">
        <v>0</v>
      </c>
      <c r="AD11" s="136">
        <f t="shared" si="0"/>
        <v>-105</v>
      </c>
      <c r="AE11" s="137" t="s">
        <v>596</v>
      </c>
      <c r="AG11" s="156">
        <v>0</v>
      </c>
      <c r="AH11" s="134">
        <v>125</v>
      </c>
      <c r="AI11" s="135">
        <v>125</v>
      </c>
      <c r="AJ11" s="136">
        <v>0</v>
      </c>
      <c r="AK11" s="137" t="s">
        <v>206</v>
      </c>
      <c r="AM11" s="156">
        <v>80</v>
      </c>
      <c r="AN11" s="194" t="s">
        <v>219</v>
      </c>
    </row>
    <row r="12" spans="1:40" ht="43.5" x14ac:dyDescent="0.35">
      <c r="A12" s="95" t="s">
        <v>220</v>
      </c>
      <c r="B12" s="1" t="s">
        <v>204</v>
      </c>
      <c r="C12" s="196">
        <v>265</v>
      </c>
      <c r="D12" s="197">
        <v>0</v>
      </c>
      <c r="E12" s="198">
        <v>0</v>
      </c>
      <c r="F12" s="199">
        <v>0</v>
      </c>
      <c r="G12" s="202" t="s">
        <v>218</v>
      </c>
      <c r="I12" s="133">
        <v>62</v>
      </c>
      <c r="J12" s="134">
        <v>60</v>
      </c>
      <c r="K12" s="135">
        <v>30</v>
      </c>
      <c r="L12" s="135">
        <v>-10</v>
      </c>
      <c r="M12" s="136">
        <v>-30</v>
      </c>
      <c r="N12" s="134">
        <v>40</v>
      </c>
      <c r="O12" s="135">
        <v>20</v>
      </c>
      <c r="P12" s="135">
        <v>0</v>
      </c>
      <c r="Q12" s="135">
        <v>-10</v>
      </c>
      <c r="R12" s="136">
        <v>-20</v>
      </c>
      <c r="S12" s="134">
        <v>80</v>
      </c>
      <c r="T12" s="135">
        <v>40</v>
      </c>
      <c r="U12" s="135">
        <v>20</v>
      </c>
      <c r="V12" s="135">
        <v>0</v>
      </c>
      <c r="W12" s="136">
        <v>-40</v>
      </c>
      <c r="X12" s="137" t="s">
        <v>591</v>
      </c>
      <c r="Z12" s="133">
        <v>212</v>
      </c>
      <c r="AA12" s="134">
        <v>60</v>
      </c>
      <c r="AB12" s="135">
        <v>30</v>
      </c>
      <c r="AC12" s="135">
        <v>0</v>
      </c>
      <c r="AD12" s="136">
        <f t="shared" si="0"/>
        <v>-106</v>
      </c>
      <c r="AE12" s="137" t="s">
        <v>596</v>
      </c>
      <c r="AG12" s="156">
        <v>0</v>
      </c>
      <c r="AH12" s="134">
        <v>125</v>
      </c>
      <c r="AI12" s="135">
        <v>125</v>
      </c>
      <c r="AJ12" s="136">
        <v>0</v>
      </c>
      <c r="AK12" s="137" t="s">
        <v>206</v>
      </c>
      <c r="AM12" s="156">
        <v>80</v>
      </c>
      <c r="AN12" s="194" t="s">
        <v>219</v>
      </c>
    </row>
    <row r="13" spans="1:40" ht="43.5" x14ac:dyDescent="0.35">
      <c r="A13" s="95" t="s">
        <v>221</v>
      </c>
      <c r="B13" s="1" t="s">
        <v>204</v>
      </c>
      <c r="C13" s="201">
        <v>280</v>
      </c>
      <c r="D13" s="197">
        <v>0</v>
      </c>
      <c r="E13" s="198">
        <v>0</v>
      </c>
      <c r="F13" s="199">
        <v>0</v>
      </c>
      <c r="G13" s="202" t="s">
        <v>218</v>
      </c>
      <c r="I13" s="133">
        <v>74</v>
      </c>
      <c r="J13" s="134">
        <v>60</v>
      </c>
      <c r="K13" s="135">
        <v>30</v>
      </c>
      <c r="L13" s="135">
        <v>-10</v>
      </c>
      <c r="M13" s="136">
        <v>-30</v>
      </c>
      <c r="N13" s="134">
        <v>40</v>
      </c>
      <c r="O13" s="135">
        <v>20</v>
      </c>
      <c r="P13" s="135">
        <v>0</v>
      </c>
      <c r="Q13" s="135">
        <v>-10</v>
      </c>
      <c r="R13" s="136">
        <v>-20</v>
      </c>
      <c r="S13" s="134">
        <v>80</v>
      </c>
      <c r="T13" s="135">
        <v>40</v>
      </c>
      <c r="U13" s="135">
        <v>20</v>
      </c>
      <c r="V13" s="135">
        <v>0</v>
      </c>
      <c r="W13" s="136">
        <v>-40</v>
      </c>
      <c r="X13" s="137" t="s">
        <v>591</v>
      </c>
      <c r="Z13" s="133">
        <v>264</v>
      </c>
      <c r="AA13" s="134">
        <v>60</v>
      </c>
      <c r="AB13" s="135">
        <v>30</v>
      </c>
      <c r="AC13" s="135">
        <v>0</v>
      </c>
      <c r="AD13" s="136">
        <f t="shared" si="0"/>
        <v>-132</v>
      </c>
      <c r="AE13" s="137" t="s">
        <v>596</v>
      </c>
      <c r="AG13" s="156">
        <v>0</v>
      </c>
      <c r="AH13" s="134">
        <v>125</v>
      </c>
      <c r="AI13" s="135">
        <v>125</v>
      </c>
      <c r="AJ13" s="136">
        <v>0</v>
      </c>
      <c r="AK13" s="137" t="s">
        <v>206</v>
      </c>
      <c r="AM13" s="156">
        <v>120</v>
      </c>
      <c r="AN13" s="194" t="s">
        <v>222</v>
      </c>
    </row>
    <row r="14" spans="1:40" ht="87" x14ac:dyDescent="0.35">
      <c r="A14" s="95" t="s">
        <v>590</v>
      </c>
      <c r="B14" s="1" t="s">
        <v>204</v>
      </c>
      <c r="C14" s="201">
        <v>320</v>
      </c>
      <c r="D14" s="197">
        <v>0</v>
      </c>
      <c r="E14" s="198">
        <v>0</v>
      </c>
      <c r="F14" s="199">
        <v>0</v>
      </c>
      <c r="G14" s="202" t="s">
        <v>606</v>
      </c>
      <c r="I14" s="133">
        <v>84</v>
      </c>
      <c r="J14" s="134">
        <v>60</v>
      </c>
      <c r="K14" s="135">
        <v>30</v>
      </c>
      <c r="L14" s="135">
        <v>-20</v>
      </c>
      <c r="M14" s="136">
        <v>-40</v>
      </c>
      <c r="N14" s="134">
        <v>40</v>
      </c>
      <c r="O14" s="135">
        <v>20</v>
      </c>
      <c r="P14" s="135">
        <v>0</v>
      </c>
      <c r="Q14" s="135">
        <v>-20</v>
      </c>
      <c r="R14" s="136">
        <v>-30</v>
      </c>
      <c r="S14" s="134">
        <v>80</v>
      </c>
      <c r="T14" s="135">
        <v>40</v>
      </c>
      <c r="U14" s="135">
        <v>20</v>
      </c>
      <c r="V14" s="135">
        <v>-10</v>
      </c>
      <c r="W14" s="136">
        <v>-50</v>
      </c>
      <c r="X14" s="137" t="s">
        <v>605</v>
      </c>
      <c r="Z14" s="133">
        <v>330</v>
      </c>
      <c r="AA14" s="134">
        <v>60</v>
      </c>
      <c r="AB14" s="135">
        <v>30</v>
      </c>
      <c r="AC14" s="135">
        <v>0</v>
      </c>
      <c r="AD14" s="136">
        <f t="shared" si="0"/>
        <v>-165</v>
      </c>
      <c r="AE14" s="137" t="s">
        <v>604</v>
      </c>
      <c r="AG14" s="156">
        <v>0</v>
      </c>
      <c r="AH14" s="134">
        <v>125</v>
      </c>
      <c r="AI14" s="135">
        <v>125</v>
      </c>
      <c r="AJ14" s="136">
        <v>0</v>
      </c>
      <c r="AK14" s="137" t="s">
        <v>206</v>
      </c>
      <c r="AM14" s="156">
        <v>120</v>
      </c>
      <c r="AN14" s="194" t="s">
        <v>607</v>
      </c>
    </row>
    <row r="15" spans="1:40" ht="43.5" x14ac:dyDescent="0.35">
      <c r="A15" s="95" t="s">
        <v>223</v>
      </c>
      <c r="B15" s="1" t="s">
        <v>204</v>
      </c>
      <c r="C15" s="196">
        <v>140</v>
      </c>
      <c r="D15" s="197">
        <v>0</v>
      </c>
      <c r="E15" s="198">
        <v>0</v>
      </c>
      <c r="F15" s="199">
        <v>0</v>
      </c>
      <c r="G15" s="200" t="s">
        <v>224</v>
      </c>
      <c r="I15" s="133">
        <v>15</v>
      </c>
      <c r="J15" s="134">
        <v>60</v>
      </c>
      <c r="K15" s="135">
        <v>30</v>
      </c>
      <c r="L15" s="135">
        <v>-10</v>
      </c>
      <c r="M15" s="136">
        <v>-30</v>
      </c>
      <c r="N15" s="134">
        <v>40</v>
      </c>
      <c r="O15" s="135">
        <v>20</v>
      </c>
      <c r="P15" s="135">
        <v>0</v>
      </c>
      <c r="Q15" s="135">
        <v>-10</v>
      </c>
      <c r="R15" s="136">
        <v>-20</v>
      </c>
      <c r="S15" s="134">
        <v>80</v>
      </c>
      <c r="T15" s="135">
        <v>40</v>
      </c>
      <c r="U15" s="135">
        <v>20</v>
      </c>
      <c r="V15" s="135">
        <v>0</v>
      </c>
      <c r="W15" s="136">
        <v>-40</v>
      </c>
      <c r="X15" s="137" t="s">
        <v>591</v>
      </c>
      <c r="Z15" s="133">
        <v>20</v>
      </c>
      <c r="AA15" s="134">
        <v>60</v>
      </c>
      <c r="AB15" s="135">
        <v>30</v>
      </c>
      <c r="AC15" s="135">
        <v>0</v>
      </c>
      <c r="AD15" s="136">
        <f t="shared" si="0"/>
        <v>-10</v>
      </c>
      <c r="AE15" s="137" t="s">
        <v>596</v>
      </c>
      <c r="AG15" s="156">
        <v>0</v>
      </c>
      <c r="AH15" s="134">
        <v>125</v>
      </c>
      <c r="AI15" s="135">
        <v>125</v>
      </c>
      <c r="AJ15" s="136">
        <v>0</v>
      </c>
      <c r="AK15" s="137" t="s">
        <v>206</v>
      </c>
      <c r="AM15" s="156">
        <v>40</v>
      </c>
      <c r="AN15" s="157" t="s">
        <v>214</v>
      </c>
    </row>
    <row r="16" spans="1:40" ht="60" x14ac:dyDescent="0.25">
      <c r="A16" s="95" t="s">
        <v>225</v>
      </c>
      <c r="B16" s="1" t="s">
        <v>204</v>
      </c>
      <c r="C16" s="201">
        <v>80</v>
      </c>
      <c r="D16" s="197">
        <v>-5</v>
      </c>
      <c r="E16" s="198">
        <v>0</v>
      </c>
      <c r="F16" s="199">
        <v>0</v>
      </c>
      <c r="G16" s="202" t="s">
        <v>226</v>
      </c>
      <c r="I16" s="133">
        <v>20</v>
      </c>
      <c r="J16" s="134">
        <v>60</v>
      </c>
      <c r="K16" s="135">
        <v>30</v>
      </c>
      <c r="L16" s="135">
        <v>-10</v>
      </c>
      <c r="M16" s="136">
        <v>-30</v>
      </c>
      <c r="N16" s="134">
        <v>40</v>
      </c>
      <c r="O16" s="135">
        <v>20</v>
      </c>
      <c r="P16" s="135">
        <v>0</v>
      </c>
      <c r="Q16" s="135">
        <v>-10</v>
      </c>
      <c r="R16" s="136">
        <v>-20</v>
      </c>
      <c r="S16" s="134">
        <v>80</v>
      </c>
      <c r="T16" s="135">
        <v>40</v>
      </c>
      <c r="U16" s="135">
        <v>20</v>
      </c>
      <c r="V16" s="135">
        <v>0</v>
      </c>
      <c r="W16" s="136">
        <v>-40</v>
      </c>
      <c r="X16" s="137" t="s">
        <v>227</v>
      </c>
      <c r="Z16" s="133">
        <v>20</v>
      </c>
      <c r="AA16" s="134">
        <v>60</v>
      </c>
      <c r="AB16" s="135">
        <v>30</v>
      </c>
      <c r="AC16" s="135">
        <v>0</v>
      </c>
      <c r="AD16" s="136">
        <f t="shared" si="0"/>
        <v>-10</v>
      </c>
      <c r="AE16" s="137" t="s">
        <v>227</v>
      </c>
      <c r="AG16" s="156">
        <v>0</v>
      </c>
      <c r="AH16" s="134">
        <v>125</v>
      </c>
      <c r="AI16" s="135">
        <v>125</v>
      </c>
      <c r="AJ16" s="136">
        <v>0</v>
      </c>
      <c r="AK16" s="137" t="s">
        <v>206</v>
      </c>
      <c r="AM16" s="156">
        <v>40</v>
      </c>
      <c r="AN16" s="157" t="s">
        <v>214</v>
      </c>
    </row>
    <row r="17" spans="1:40" ht="4" customHeight="1" x14ac:dyDescent="0.25">
      <c r="C17" s="107"/>
      <c r="D17" s="105"/>
      <c r="F17" s="103"/>
      <c r="G17" s="97"/>
      <c r="I17" s="118"/>
      <c r="J17" s="111"/>
      <c r="M17" s="110"/>
      <c r="N17" s="111"/>
      <c r="R17" s="110"/>
      <c r="S17" s="111"/>
      <c r="W17" s="110"/>
      <c r="X17" s="99"/>
      <c r="Z17" s="119"/>
      <c r="AA17" s="111"/>
      <c r="AD17" s="110"/>
      <c r="AE17" s="126"/>
      <c r="AG17" s="128"/>
      <c r="AH17" s="108"/>
      <c r="AJ17" s="109"/>
      <c r="AK17" s="131"/>
      <c r="AM17" s="117"/>
      <c r="AN17" s="129"/>
    </row>
    <row r="18" spans="1:40" ht="27.65" customHeight="1" x14ac:dyDescent="0.25">
      <c r="C18" s="107"/>
      <c r="D18" s="105"/>
      <c r="F18" s="103"/>
      <c r="G18" s="97"/>
      <c r="I18" s="133" t="s">
        <v>199</v>
      </c>
      <c r="J18" s="134"/>
      <c r="K18" s="135"/>
      <c r="L18" s="135"/>
      <c r="M18" s="136"/>
      <c r="N18" s="134"/>
      <c r="O18" s="135"/>
      <c r="P18" s="135"/>
      <c r="Q18" s="135"/>
      <c r="R18" s="136"/>
      <c r="S18" s="134"/>
      <c r="T18" s="135"/>
      <c r="U18" s="135"/>
      <c r="V18" s="135"/>
      <c r="W18" s="136"/>
      <c r="X18" s="137" t="s">
        <v>200</v>
      </c>
      <c r="Z18" s="133" t="s">
        <v>199</v>
      </c>
      <c r="AA18" s="134"/>
      <c r="AB18" s="135"/>
      <c r="AC18" s="135"/>
      <c r="AD18" s="136"/>
      <c r="AE18" s="137" t="s">
        <v>201</v>
      </c>
      <c r="AG18" s="128"/>
      <c r="AH18" s="108"/>
      <c r="AJ18" s="109"/>
      <c r="AK18" s="137" t="s">
        <v>228</v>
      </c>
      <c r="AM18" s="117"/>
      <c r="AN18" s="129"/>
    </row>
    <row r="19" spans="1:40" ht="75" x14ac:dyDescent="0.25">
      <c r="A19" s="95" t="s">
        <v>229</v>
      </c>
      <c r="B19" s="1" t="s">
        <v>230</v>
      </c>
      <c r="C19" s="190">
        <v>200</v>
      </c>
      <c r="D19" s="191">
        <v>20</v>
      </c>
      <c r="E19" s="192">
        <v>-60</v>
      </c>
      <c r="F19" s="193">
        <v>-120</v>
      </c>
      <c r="G19" s="137" t="s">
        <v>231</v>
      </c>
      <c r="I19" s="133">
        <v>65</v>
      </c>
      <c r="J19" s="134">
        <v>60</v>
      </c>
      <c r="K19" s="135">
        <v>30</v>
      </c>
      <c r="L19" s="135">
        <v>-10</v>
      </c>
      <c r="M19" s="136">
        <v>-30</v>
      </c>
      <c r="N19" s="134">
        <v>40</v>
      </c>
      <c r="O19" s="135">
        <v>20</v>
      </c>
      <c r="P19" s="135">
        <v>0</v>
      </c>
      <c r="Q19" s="135">
        <v>-10</v>
      </c>
      <c r="R19" s="136">
        <v>-20</v>
      </c>
      <c r="S19" s="134">
        <v>80</v>
      </c>
      <c r="T19" s="135">
        <v>40</v>
      </c>
      <c r="U19" s="135">
        <v>20</v>
      </c>
      <c r="V19" s="135">
        <v>0</v>
      </c>
      <c r="W19" s="136">
        <v>-40</v>
      </c>
      <c r="X19" s="137" t="s">
        <v>593</v>
      </c>
      <c r="Z19" s="133">
        <v>65</v>
      </c>
      <c r="AA19" s="134">
        <v>60</v>
      </c>
      <c r="AB19" s="135">
        <v>30</v>
      </c>
      <c r="AC19" s="135">
        <v>0</v>
      </c>
      <c r="AD19" s="136">
        <v>-10</v>
      </c>
      <c r="AE19" s="140" t="s">
        <v>599</v>
      </c>
      <c r="AG19" s="156">
        <v>0</v>
      </c>
      <c r="AH19" s="134">
        <v>30</v>
      </c>
      <c r="AI19" s="135">
        <v>0</v>
      </c>
      <c r="AJ19" s="136">
        <v>0</v>
      </c>
      <c r="AK19" s="137" t="s">
        <v>232</v>
      </c>
      <c r="AM19" s="156">
        <v>40</v>
      </c>
      <c r="AN19" s="157" t="s">
        <v>214</v>
      </c>
    </row>
    <row r="20" spans="1:40" ht="75" x14ac:dyDescent="0.25">
      <c r="A20" s="95" t="s">
        <v>233</v>
      </c>
      <c r="B20" s="1" t="s">
        <v>230</v>
      </c>
      <c r="C20" s="190">
        <v>180</v>
      </c>
      <c r="D20" s="191">
        <v>20</v>
      </c>
      <c r="E20" s="192">
        <v>-60</v>
      </c>
      <c r="F20" s="193">
        <v>-100</v>
      </c>
      <c r="G20" s="137" t="s">
        <v>231</v>
      </c>
      <c r="I20" s="133">
        <v>65</v>
      </c>
      <c r="J20" s="134">
        <v>60</v>
      </c>
      <c r="K20" s="135">
        <v>30</v>
      </c>
      <c r="L20" s="135">
        <v>-10</v>
      </c>
      <c r="M20" s="136">
        <v>-30</v>
      </c>
      <c r="N20" s="134">
        <v>40</v>
      </c>
      <c r="O20" s="135">
        <v>20</v>
      </c>
      <c r="P20" s="135">
        <v>0</v>
      </c>
      <c r="Q20" s="135">
        <v>-10</v>
      </c>
      <c r="R20" s="136">
        <v>-20</v>
      </c>
      <c r="S20" s="134">
        <v>80</v>
      </c>
      <c r="T20" s="135">
        <v>40</v>
      </c>
      <c r="U20" s="135">
        <v>20</v>
      </c>
      <c r="V20" s="135">
        <v>0</v>
      </c>
      <c r="W20" s="136">
        <v>-40</v>
      </c>
      <c r="X20" s="137" t="s">
        <v>593</v>
      </c>
      <c r="Z20" s="133">
        <v>65</v>
      </c>
      <c r="AA20" s="134">
        <v>60</v>
      </c>
      <c r="AB20" s="135">
        <v>30</v>
      </c>
      <c r="AC20" s="135">
        <v>0</v>
      </c>
      <c r="AD20" s="136">
        <v>-10</v>
      </c>
      <c r="AE20" s="140" t="s">
        <v>599</v>
      </c>
      <c r="AG20" s="156">
        <v>0</v>
      </c>
      <c r="AH20" s="134">
        <v>30</v>
      </c>
      <c r="AI20" s="135">
        <v>0</v>
      </c>
      <c r="AJ20" s="136">
        <v>0</v>
      </c>
      <c r="AK20" s="137" t="s">
        <v>232</v>
      </c>
      <c r="AM20" s="156">
        <v>40</v>
      </c>
      <c r="AN20" s="157" t="s">
        <v>214</v>
      </c>
    </row>
    <row r="21" spans="1:40" ht="75" x14ac:dyDescent="0.25">
      <c r="A21" s="95" t="s">
        <v>234</v>
      </c>
      <c r="B21" s="1" t="s">
        <v>230</v>
      </c>
      <c r="C21" s="201">
        <v>140</v>
      </c>
      <c r="D21" s="197">
        <v>20</v>
      </c>
      <c r="E21" s="198">
        <v>-50</v>
      </c>
      <c r="F21" s="199">
        <v>-90</v>
      </c>
      <c r="G21" s="137" t="s">
        <v>235</v>
      </c>
      <c r="I21" s="133">
        <v>50</v>
      </c>
      <c r="J21" s="134">
        <v>60</v>
      </c>
      <c r="K21" s="135">
        <v>30</v>
      </c>
      <c r="L21" s="135">
        <v>-10</v>
      </c>
      <c r="M21" s="136">
        <v>-30</v>
      </c>
      <c r="N21" s="134">
        <v>40</v>
      </c>
      <c r="O21" s="135">
        <v>20</v>
      </c>
      <c r="P21" s="135">
        <v>0</v>
      </c>
      <c r="Q21" s="135">
        <v>-10</v>
      </c>
      <c r="R21" s="136">
        <v>-20</v>
      </c>
      <c r="S21" s="134">
        <v>80</v>
      </c>
      <c r="T21" s="135">
        <v>40</v>
      </c>
      <c r="U21" s="135">
        <v>20</v>
      </c>
      <c r="V21" s="135">
        <v>0</v>
      </c>
      <c r="W21" s="136">
        <v>-40</v>
      </c>
      <c r="X21" s="137" t="s">
        <v>593</v>
      </c>
      <c r="Z21" s="133">
        <v>67</v>
      </c>
      <c r="AA21" s="134">
        <v>60</v>
      </c>
      <c r="AB21" s="135">
        <v>30</v>
      </c>
      <c r="AC21" s="135">
        <v>0</v>
      </c>
      <c r="AD21" s="136">
        <v>-10</v>
      </c>
      <c r="AE21" s="140" t="s">
        <v>599</v>
      </c>
      <c r="AG21" s="156">
        <v>0</v>
      </c>
      <c r="AH21" s="134">
        <v>30</v>
      </c>
      <c r="AI21" s="135">
        <v>0</v>
      </c>
      <c r="AJ21" s="136">
        <v>0</v>
      </c>
      <c r="AK21" s="137" t="s">
        <v>232</v>
      </c>
      <c r="AM21" s="156">
        <v>40</v>
      </c>
      <c r="AN21" s="157" t="s">
        <v>214</v>
      </c>
    </row>
    <row r="22" spans="1:40" ht="75" x14ac:dyDescent="0.25">
      <c r="A22" s="95" t="s">
        <v>236</v>
      </c>
      <c r="B22" s="1" t="s">
        <v>230</v>
      </c>
      <c r="C22" s="190">
        <v>180</v>
      </c>
      <c r="D22" s="191">
        <v>20</v>
      </c>
      <c r="E22" s="192">
        <v>-60</v>
      </c>
      <c r="F22" s="193">
        <v>-100</v>
      </c>
      <c r="G22" s="137" t="s">
        <v>231</v>
      </c>
      <c r="I22" s="133">
        <v>63</v>
      </c>
      <c r="J22" s="134">
        <v>60</v>
      </c>
      <c r="K22" s="135">
        <v>30</v>
      </c>
      <c r="L22" s="135">
        <v>-10</v>
      </c>
      <c r="M22" s="136">
        <v>-30</v>
      </c>
      <c r="N22" s="134">
        <v>40</v>
      </c>
      <c r="O22" s="135">
        <v>20</v>
      </c>
      <c r="P22" s="135">
        <v>0</v>
      </c>
      <c r="Q22" s="135">
        <v>-10</v>
      </c>
      <c r="R22" s="136">
        <v>-20</v>
      </c>
      <c r="S22" s="134">
        <v>80</v>
      </c>
      <c r="T22" s="135">
        <v>40</v>
      </c>
      <c r="U22" s="135">
        <v>20</v>
      </c>
      <c r="V22" s="135">
        <v>0</v>
      </c>
      <c r="W22" s="136">
        <v>-40</v>
      </c>
      <c r="X22" s="137" t="s">
        <v>593</v>
      </c>
      <c r="Z22" s="133">
        <v>189</v>
      </c>
      <c r="AA22" s="134">
        <v>60</v>
      </c>
      <c r="AB22" s="135">
        <v>30</v>
      </c>
      <c r="AC22" s="135">
        <v>0</v>
      </c>
      <c r="AD22" s="136">
        <v>-10</v>
      </c>
      <c r="AE22" s="140" t="s">
        <v>599</v>
      </c>
      <c r="AG22" s="156">
        <v>0</v>
      </c>
      <c r="AH22" s="134">
        <v>30</v>
      </c>
      <c r="AI22" s="135">
        <v>0</v>
      </c>
      <c r="AJ22" s="136">
        <v>0</v>
      </c>
      <c r="AK22" s="137" t="s">
        <v>232</v>
      </c>
      <c r="AM22" s="156">
        <v>40</v>
      </c>
      <c r="AN22" s="157" t="s">
        <v>214</v>
      </c>
    </row>
    <row r="23" spans="1:40" ht="4" customHeight="1" x14ac:dyDescent="0.25">
      <c r="C23" s="107"/>
      <c r="D23" s="105"/>
      <c r="F23" s="103"/>
      <c r="G23" s="99"/>
      <c r="I23" s="119"/>
      <c r="J23" s="111"/>
      <c r="M23" s="110"/>
      <c r="N23" s="111"/>
      <c r="R23" s="110"/>
      <c r="S23" s="111"/>
      <c r="W23" s="110"/>
      <c r="X23" s="99"/>
      <c r="Z23" s="119"/>
      <c r="AA23" s="111"/>
      <c r="AD23" s="110"/>
      <c r="AE23" s="126"/>
      <c r="AG23" s="117"/>
      <c r="AH23" s="111"/>
      <c r="AJ23" s="110"/>
      <c r="AK23" s="99"/>
      <c r="AM23" s="117"/>
      <c r="AN23" s="129"/>
    </row>
    <row r="24" spans="1:40" ht="75" x14ac:dyDescent="0.25">
      <c r="A24" s="95" t="s">
        <v>237</v>
      </c>
      <c r="B24" s="1" t="s">
        <v>230</v>
      </c>
      <c r="C24" s="297">
        <v>150</v>
      </c>
      <c r="D24" s="298">
        <v>20</v>
      </c>
      <c r="E24" s="299">
        <v>-50</v>
      </c>
      <c r="F24" s="301">
        <v>-90</v>
      </c>
      <c r="G24" s="300" t="s">
        <v>235</v>
      </c>
      <c r="I24" s="133">
        <v>50</v>
      </c>
      <c r="J24" s="134">
        <v>60</v>
      </c>
      <c r="K24" s="135">
        <v>30</v>
      </c>
      <c r="L24" s="135">
        <v>-10</v>
      </c>
      <c r="M24" s="136">
        <v>-30</v>
      </c>
      <c r="N24" s="134">
        <v>40</v>
      </c>
      <c r="O24" s="135">
        <v>20</v>
      </c>
      <c r="P24" s="135">
        <v>0</v>
      </c>
      <c r="Q24" s="135">
        <v>-10</v>
      </c>
      <c r="R24" s="136">
        <v>-20</v>
      </c>
      <c r="S24" s="134">
        <v>80</v>
      </c>
      <c r="T24" s="135">
        <v>40</v>
      </c>
      <c r="U24" s="135">
        <v>20</v>
      </c>
      <c r="V24" s="135">
        <v>0</v>
      </c>
      <c r="W24" s="136">
        <v>-40</v>
      </c>
      <c r="X24" s="137" t="s">
        <v>593</v>
      </c>
      <c r="Z24" s="133">
        <v>52</v>
      </c>
      <c r="AA24" s="134">
        <v>60</v>
      </c>
      <c r="AB24" s="135">
        <v>30</v>
      </c>
      <c r="AC24" s="135">
        <v>0</v>
      </c>
      <c r="AD24" s="136">
        <v>-10</v>
      </c>
      <c r="AE24" s="140" t="s">
        <v>599</v>
      </c>
      <c r="AG24" s="156">
        <v>0</v>
      </c>
      <c r="AH24" s="134">
        <v>30</v>
      </c>
      <c r="AI24" s="135">
        <v>0</v>
      </c>
      <c r="AJ24" s="136">
        <v>0</v>
      </c>
      <c r="AK24" s="137" t="s">
        <v>238</v>
      </c>
      <c r="AM24" s="156">
        <v>40</v>
      </c>
      <c r="AN24" s="157" t="s">
        <v>214</v>
      </c>
    </row>
    <row r="25" spans="1:40" ht="75" x14ac:dyDescent="0.25">
      <c r="A25" s="95" t="s">
        <v>239</v>
      </c>
      <c r="B25" s="1" t="s">
        <v>230</v>
      </c>
      <c r="C25" s="190">
        <v>130</v>
      </c>
      <c r="D25" s="191">
        <v>20</v>
      </c>
      <c r="E25" s="192">
        <v>-50</v>
      </c>
      <c r="F25" s="193">
        <v>-80</v>
      </c>
      <c r="G25" s="137" t="s">
        <v>231</v>
      </c>
      <c r="I25" s="133">
        <v>50</v>
      </c>
      <c r="J25" s="134">
        <v>60</v>
      </c>
      <c r="K25" s="135">
        <v>30</v>
      </c>
      <c r="L25" s="135">
        <v>-10</v>
      </c>
      <c r="M25" s="136">
        <v>-30</v>
      </c>
      <c r="N25" s="134">
        <v>40</v>
      </c>
      <c r="O25" s="135">
        <v>20</v>
      </c>
      <c r="P25" s="135">
        <v>0</v>
      </c>
      <c r="Q25" s="135">
        <v>-10</v>
      </c>
      <c r="R25" s="136">
        <v>-20</v>
      </c>
      <c r="S25" s="134">
        <v>80</v>
      </c>
      <c r="T25" s="135">
        <v>40</v>
      </c>
      <c r="U25" s="135">
        <v>20</v>
      </c>
      <c r="V25" s="135">
        <v>0</v>
      </c>
      <c r="W25" s="136">
        <v>-40</v>
      </c>
      <c r="X25" s="137" t="s">
        <v>593</v>
      </c>
      <c r="Z25" s="133">
        <v>52</v>
      </c>
      <c r="AA25" s="134">
        <v>60</v>
      </c>
      <c r="AB25" s="135">
        <v>30</v>
      </c>
      <c r="AC25" s="135">
        <v>0</v>
      </c>
      <c r="AD25" s="136">
        <v>-10</v>
      </c>
      <c r="AE25" s="140" t="s">
        <v>599</v>
      </c>
      <c r="AG25" s="156">
        <v>0</v>
      </c>
      <c r="AH25" s="134">
        <v>30</v>
      </c>
      <c r="AI25" s="135">
        <v>0</v>
      </c>
      <c r="AJ25" s="136">
        <v>0</v>
      </c>
      <c r="AK25" s="137" t="s">
        <v>238</v>
      </c>
      <c r="AM25" s="156">
        <v>40</v>
      </c>
      <c r="AN25" s="157" t="s">
        <v>214</v>
      </c>
    </row>
    <row r="26" spans="1:40" ht="75" x14ac:dyDescent="0.25">
      <c r="A26" s="95" t="s">
        <v>240</v>
      </c>
      <c r="B26" s="1" t="s">
        <v>230</v>
      </c>
      <c r="C26" s="190">
        <v>100</v>
      </c>
      <c r="D26" s="191">
        <v>20</v>
      </c>
      <c r="E26" s="192">
        <v>-50</v>
      </c>
      <c r="F26" s="193">
        <v>-80</v>
      </c>
      <c r="G26" s="137" t="s">
        <v>231</v>
      </c>
      <c r="I26" s="133">
        <v>50</v>
      </c>
      <c r="J26" s="134">
        <v>60</v>
      </c>
      <c r="K26" s="135">
        <v>30</v>
      </c>
      <c r="L26" s="135">
        <v>-10</v>
      </c>
      <c r="M26" s="136">
        <v>-30</v>
      </c>
      <c r="N26" s="134">
        <v>40</v>
      </c>
      <c r="O26" s="135">
        <v>20</v>
      </c>
      <c r="P26" s="135">
        <v>0</v>
      </c>
      <c r="Q26" s="135">
        <v>-10</v>
      </c>
      <c r="R26" s="136">
        <v>-20</v>
      </c>
      <c r="S26" s="134">
        <v>80</v>
      </c>
      <c r="T26" s="135">
        <v>40</v>
      </c>
      <c r="U26" s="135">
        <v>20</v>
      </c>
      <c r="V26" s="135">
        <v>0</v>
      </c>
      <c r="W26" s="136">
        <v>-40</v>
      </c>
      <c r="X26" s="137" t="s">
        <v>593</v>
      </c>
      <c r="Z26" s="133">
        <v>67</v>
      </c>
      <c r="AA26" s="134">
        <v>60</v>
      </c>
      <c r="AB26" s="135">
        <v>30</v>
      </c>
      <c r="AC26" s="135">
        <v>0</v>
      </c>
      <c r="AD26" s="136">
        <v>-10</v>
      </c>
      <c r="AE26" s="140" t="s">
        <v>599</v>
      </c>
      <c r="AG26" s="156">
        <v>0</v>
      </c>
      <c r="AH26" s="134">
        <v>30</v>
      </c>
      <c r="AI26" s="135">
        <v>0</v>
      </c>
      <c r="AJ26" s="136">
        <v>0</v>
      </c>
      <c r="AK26" s="137" t="s">
        <v>238</v>
      </c>
      <c r="AM26" s="156">
        <v>40</v>
      </c>
      <c r="AN26" s="157" t="s">
        <v>214</v>
      </c>
    </row>
    <row r="27" spans="1:40" ht="75" x14ac:dyDescent="0.25">
      <c r="A27" s="95" t="s">
        <v>241</v>
      </c>
      <c r="B27" s="1" t="s">
        <v>230</v>
      </c>
      <c r="C27" s="190">
        <v>100</v>
      </c>
      <c r="D27" s="191">
        <v>20</v>
      </c>
      <c r="E27" s="192">
        <v>-50</v>
      </c>
      <c r="F27" s="193">
        <v>-80</v>
      </c>
      <c r="G27" s="137" t="s">
        <v>231</v>
      </c>
      <c r="I27" s="133">
        <v>50</v>
      </c>
      <c r="J27" s="134">
        <v>60</v>
      </c>
      <c r="K27" s="135">
        <v>30</v>
      </c>
      <c r="L27" s="135">
        <v>-10</v>
      </c>
      <c r="M27" s="136">
        <v>-30</v>
      </c>
      <c r="N27" s="134">
        <v>40</v>
      </c>
      <c r="O27" s="135">
        <v>20</v>
      </c>
      <c r="P27" s="135">
        <v>0</v>
      </c>
      <c r="Q27" s="135">
        <v>-10</v>
      </c>
      <c r="R27" s="136">
        <v>-20</v>
      </c>
      <c r="S27" s="134">
        <v>80</v>
      </c>
      <c r="T27" s="135">
        <v>40</v>
      </c>
      <c r="U27" s="135">
        <v>20</v>
      </c>
      <c r="V27" s="135">
        <v>0</v>
      </c>
      <c r="W27" s="136">
        <v>-40</v>
      </c>
      <c r="X27" s="137" t="s">
        <v>593</v>
      </c>
      <c r="Z27" s="133">
        <v>52</v>
      </c>
      <c r="AA27" s="134">
        <v>60</v>
      </c>
      <c r="AB27" s="135">
        <v>30</v>
      </c>
      <c r="AC27" s="135">
        <v>0</v>
      </c>
      <c r="AD27" s="136">
        <v>-10</v>
      </c>
      <c r="AE27" s="140" t="s">
        <v>599</v>
      </c>
      <c r="AG27" s="156">
        <v>0</v>
      </c>
      <c r="AH27" s="134">
        <v>30</v>
      </c>
      <c r="AI27" s="135">
        <v>0</v>
      </c>
      <c r="AJ27" s="136">
        <v>0</v>
      </c>
      <c r="AK27" s="137" t="s">
        <v>238</v>
      </c>
      <c r="AM27" s="156">
        <v>40</v>
      </c>
      <c r="AN27" s="157" t="s">
        <v>214</v>
      </c>
    </row>
    <row r="28" spans="1:40" ht="75" x14ac:dyDescent="0.25">
      <c r="A28" s="95" t="s">
        <v>242</v>
      </c>
      <c r="B28" s="1" t="s">
        <v>230</v>
      </c>
      <c r="C28" s="190">
        <v>200</v>
      </c>
      <c r="D28" s="191">
        <v>20</v>
      </c>
      <c r="E28" s="192">
        <v>-60</v>
      </c>
      <c r="F28" s="193">
        <v>-120</v>
      </c>
      <c r="G28" s="137" t="s">
        <v>231</v>
      </c>
      <c r="I28" s="133">
        <v>50</v>
      </c>
      <c r="J28" s="134">
        <v>60</v>
      </c>
      <c r="K28" s="135">
        <v>30</v>
      </c>
      <c r="L28" s="135">
        <v>-10</v>
      </c>
      <c r="M28" s="136">
        <v>-30</v>
      </c>
      <c r="N28" s="134">
        <v>40</v>
      </c>
      <c r="O28" s="135">
        <v>20</v>
      </c>
      <c r="P28" s="135">
        <v>0</v>
      </c>
      <c r="Q28" s="135">
        <v>-10</v>
      </c>
      <c r="R28" s="136">
        <v>-20</v>
      </c>
      <c r="S28" s="134">
        <v>80</v>
      </c>
      <c r="T28" s="135">
        <v>40</v>
      </c>
      <c r="U28" s="135">
        <v>20</v>
      </c>
      <c r="V28" s="135">
        <v>0</v>
      </c>
      <c r="W28" s="136">
        <v>-40</v>
      </c>
      <c r="X28" s="137" t="s">
        <v>593</v>
      </c>
      <c r="Z28" s="133">
        <v>52</v>
      </c>
      <c r="AA28" s="134">
        <v>60</v>
      </c>
      <c r="AB28" s="135">
        <v>30</v>
      </c>
      <c r="AC28" s="135">
        <v>0</v>
      </c>
      <c r="AD28" s="136">
        <v>-10</v>
      </c>
      <c r="AE28" s="140" t="s">
        <v>599</v>
      </c>
      <c r="AG28" s="156">
        <v>0</v>
      </c>
      <c r="AH28" s="134">
        <v>30</v>
      </c>
      <c r="AI28" s="135">
        <v>0</v>
      </c>
      <c r="AJ28" s="136">
        <v>0</v>
      </c>
      <c r="AK28" s="137" t="s">
        <v>238</v>
      </c>
      <c r="AM28" s="156">
        <v>40</v>
      </c>
      <c r="AN28" s="157" t="s">
        <v>214</v>
      </c>
    </row>
    <row r="29" spans="1:40" ht="4" customHeight="1" x14ac:dyDescent="0.25">
      <c r="C29" s="107"/>
      <c r="D29" s="105"/>
      <c r="F29" s="103"/>
      <c r="G29" s="97"/>
      <c r="I29" s="119"/>
      <c r="J29" s="111"/>
      <c r="M29" s="110"/>
      <c r="N29" s="111"/>
      <c r="R29" s="110"/>
      <c r="S29" s="111"/>
      <c r="W29" s="110"/>
      <c r="X29" s="99"/>
      <c r="Z29" s="119"/>
      <c r="AA29" s="111"/>
      <c r="AD29" s="110"/>
      <c r="AE29" s="126"/>
      <c r="AG29" s="117"/>
      <c r="AH29" s="111"/>
      <c r="AJ29" s="110"/>
      <c r="AK29" s="99"/>
      <c r="AM29" s="117"/>
      <c r="AN29" s="129"/>
    </row>
    <row r="30" spans="1:40" ht="75" x14ac:dyDescent="0.25">
      <c r="A30" s="95" t="s">
        <v>243</v>
      </c>
      <c r="B30" s="1" t="s">
        <v>230</v>
      </c>
      <c r="C30" s="190">
        <v>230</v>
      </c>
      <c r="D30" s="191">
        <v>0</v>
      </c>
      <c r="E30" s="192">
        <v>-80</v>
      </c>
      <c r="F30" s="193">
        <v>-120</v>
      </c>
      <c r="G30" s="137" t="s">
        <v>231</v>
      </c>
      <c r="I30" s="133">
        <v>50</v>
      </c>
      <c r="J30" s="134">
        <v>60</v>
      </c>
      <c r="K30" s="135">
        <v>30</v>
      </c>
      <c r="L30" s="135">
        <v>-10</v>
      </c>
      <c r="M30" s="136">
        <v>-30</v>
      </c>
      <c r="N30" s="134">
        <v>40</v>
      </c>
      <c r="O30" s="135">
        <v>20</v>
      </c>
      <c r="P30" s="135">
        <v>0</v>
      </c>
      <c r="Q30" s="135">
        <v>-10</v>
      </c>
      <c r="R30" s="136">
        <v>-20</v>
      </c>
      <c r="S30" s="134">
        <v>80</v>
      </c>
      <c r="T30" s="135">
        <v>40</v>
      </c>
      <c r="U30" s="135">
        <v>20</v>
      </c>
      <c r="V30" s="135">
        <v>0</v>
      </c>
      <c r="W30" s="136">
        <v>-40</v>
      </c>
      <c r="X30" s="137" t="s">
        <v>593</v>
      </c>
      <c r="Z30" s="133">
        <v>50</v>
      </c>
      <c r="AA30" s="134">
        <v>60</v>
      </c>
      <c r="AB30" s="135">
        <v>30</v>
      </c>
      <c r="AC30" s="135">
        <v>0</v>
      </c>
      <c r="AD30" s="136">
        <v>-10</v>
      </c>
      <c r="AE30" s="140" t="s">
        <v>599</v>
      </c>
      <c r="AG30" s="156">
        <v>0</v>
      </c>
      <c r="AH30" s="134">
        <v>30</v>
      </c>
      <c r="AI30" s="135">
        <v>0</v>
      </c>
      <c r="AJ30" s="136">
        <v>0</v>
      </c>
      <c r="AK30" s="137" t="s">
        <v>238</v>
      </c>
      <c r="AM30" s="156">
        <v>75</v>
      </c>
      <c r="AN30" s="157" t="s">
        <v>214</v>
      </c>
    </row>
    <row r="31" spans="1:40" ht="75" x14ac:dyDescent="0.25">
      <c r="A31" s="95" t="s">
        <v>244</v>
      </c>
      <c r="B31" s="1" t="s">
        <v>230</v>
      </c>
      <c r="C31" s="190">
        <v>100</v>
      </c>
      <c r="D31" s="191">
        <v>0</v>
      </c>
      <c r="E31" s="192">
        <v>-50</v>
      </c>
      <c r="F31" s="193">
        <v>-80</v>
      </c>
      <c r="G31" s="137" t="s">
        <v>231</v>
      </c>
      <c r="I31" s="133">
        <v>30</v>
      </c>
      <c r="J31" s="134">
        <v>60</v>
      </c>
      <c r="K31" s="135">
        <v>30</v>
      </c>
      <c r="L31" s="135">
        <v>-10</v>
      </c>
      <c r="M31" s="136">
        <v>-30</v>
      </c>
      <c r="N31" s="134">
        <v>40</v>
      </c>
      <c r="O31" s="135">
        <v>20</v>
      </c>
      <c r="P31" s="135">
        <v>0</v>
      </c>
      <c r="Q31" s="135">
        <v>-10</v>
      </c>
      <c r="R31" s="136">
        <v>-20</v>
      </c>
      <c r="S31" s="134">
        <v>80</v>
      </c>
      <c r="T31" s="135">
        <v>40</v>
      </c>
      <c r="U31" s="135">
        <v>20</v>
      </c>
      <c r="V31" s="135">
        <v>0</v>
      </c>
      <c r="W31" s="136">
        <v>-40</v>
      </c>
      <c r="X31" s="137" t="s">
        <v>593</v>
      </c>
      <c r="Z31" s="133">
        <v>29</v>
      </c>
      <c r="AA31" s="134">
        <v>60</v>
      </c>
      <c r="AB31" s="135">
        <v>30</v>
      </c>
      <c r="AC31" s="135">
        <v>0</v>
      </c>
      <c r="AD31" s="136">
        <v>-10</v>
      </c>
      <c r="AE31" s="140" t="s">
        <v>599</v>
      </c>
      <c r="AG31" s="156">
        <v>0</v>
      </c>
      <c r="AH31" s="134">
        <v>30</v>
      </c>
      <c r="AI31" s="135">
        <v>0</v>
      </c>
      <c r="AJ31" s="136">
        <v>0</v>
      </c>
      <c r="AK31" s="137" t="s">
        <v>238</v>
      </c>
      <c r="AM31" s="156">
        <v>40</v>
      </c>
      <c r="AN31" s="157" t="s">
        <v>214</v>
      </c>
    </row>
    <row r="32" spans="1:40" ht="5.15" customHeight="1" x14ac:dyDescent="0.25">
      <c r="C32" s="107"/>
      <c r="D32" s="105"/>
      <c r="F32" s="103"/>
      <c r="G32" s="99"/>
      <c r="I32" s="117"/>
      <c r="J32" s="111"/>
      <c r="M32" s="110"/>
      <c r="N32" s="111"/>
      <c r="R32" s="110"/>
      <c r="S32" s="111"/>
      <c r="W32" s="110"/>
      <c r="X32" s="99"/>
      <c r="Z32" s="119"/>
      <c r="AA32" s="111"/>
      <c r="AD32" s="110"/>
      <c r="AE32" s="126"/>
      <c r="AG32" s="117"/>
      <c r="AH32" s="111"/>
      <c r="AJ32" s="110"/>
      <c r="AK32" s="99"/>
      <c r="AM32" s="117"/>
      <c r="AN32" s="129"/>
    </row>
    <row r="33" spans="1:40" ht="26.15" customHeight="1" x14ac:dyDescent="0.25">
      <c r="A33" s="95" t="s">
        <v>245</v>
      </c>
      <c r="B33" s="1" t="s">
        <v>230</v>
      </c>
      <c r="C33" s="190">
        <v>120</v>
      </c>
      <c r="D33" s="191">
        <v>20</v>
      </c>
      <c r="E33" s="192">
        <v>-50</v>
      </c>
      <c r="F33" s="193">
        <v>-80</v>
      </c>
      <c r="G33" s="300" t="s">
        <v>235</v>
      </c>
      <c r="I33" s="156">
        <v>25</v>
      </c>
      <c r="J33" s="134">
        <v>60</v>
      </c>
      <c r="K33" s="135">
        <v>30</v>
      </c>
      <c r="L33" s="135">
        <v>-25</v>
      </c>
      <c r="M33" s="136">
        <v>-25</v>
      </c>
      <c r="N33" s="111"/>
      <c r="R33" s="110"/>
      <c r="S33" s="111"/>
      <c r="W33" s="110"/>
      <c r="X33" s="137" t="s">
        <v>246</v>
      </c>
      <c r="Z33" s="133">
        <v>50</v>
      </c>
      <c r="AA33" s="134">
        <v>60</v>
      </c>
      <c r="AB33" s="135">
        <v>30</v>
      </c>
      <c r="AC33" s="135">
        <v>-30</v>
      </c>
      <c r="AD33" s="136">
        <v>-50</v>
      </c>
      <c r="AE33" s="137" t="s">
        <v>246</v>
      </c>
      <c r="AG33" s="156">
        <v>0</v>
      </c>
      <c r="AH33" s="134">
        <v>30</v>
      </c>
      <c r="AI33" s="135">
        <v>0</v>
      </c>
      <c r="AJ33" s="136">
        <v>0</v>
      </c>
      <c r="AK33" s="137" t="s">
        <v>238</v>
      </c>
      <c r="AM33" s="156">
        <v>25</v>
      </c>
      <c r="AN33" s="157" t="s">
        <v>247</v>
      </c>
    </row>
    <row r="34" spans="1:40" ht="45" x14ac:dyDescent="0.25">
      <c r="A34" s="95" t="s">
        <v>248</v>
      </c>
      <c r="B34" s="1" t="s">
        <v>230</v>
      </c>
      <c r="C34" s="190">
        <v>120</v>
      </c>
      <c r="D34" s="191">
        <v>0</v>
      </c>
      <c r="E34" s="192">
        <v>0</v>
      </c>
      <c r="F34" s="193">
        <v>0</v>
      </c>
      <c r="G34" s="137" t="s">
        <v>246</v>
      </c>
      <c r="I34" s="133">
        <v>60</v>
      </c>
      <c r="J34" s="134">
        <v>60</v>
      </c>
      <c r="K34" s="135">
        <v>30</v>
      </c>
      <c r="L34" s="135">
        <v>-10</v>
      </c>
      <c r="M34" s="136">
        <v>-30</v>
      </c>
      <c r="N34" s="134">
        <v>40</v>
      </c>
      <c r="O34" s="135">
        <v>20</v>
      </c>
      <c r="P34" s="135">
        <v>0</v>
      </c>
      <c r="Q34" s="135">
        <v>-10</v>
      </c>
      <c r="R34" s="136">
        <v>-20</v>
      </c>
      <c r="S34" s="134">
        <v>80</v>
      </c>
      <c r="T34" s="135">
        <v>40</v>
      </c>
      <c r="U34" s="135">
        <v>20</v>
      </c>
      <c r="V34" s="135">
        <v>0</v>
      </c>
      <c r="W34" s="136">
        <v>-40</v>
      </c>
      <c r="X34" s="137" t="s">
        <v>594</v>
      </c>
      <c r="Z34" s="133">
        <v>340</v>
      </c>
      <c r="AA34" s="134">
        <v>60</v>
      </c>
      <c r="AB34" s="135">
        <v>30</v>
      </c>
      <c r="AC34" s="135">
        <v>0</v>
      </c>
      <c r="AD34" s="136">
        <v>-10</v>
      </c>
      <c r="AE34" s="140" t="s">
        <v>600</v>
      </c>
      <c r="AG34" s="156">
        <v>0</v>
      </c>
      <c r="AH34" s="134">
        <v>150</v>
      </c>
      <c r="AI34" s="135">
        <v>100</v>
      </c>
      <c r="AJ34" s="136">
        <v>0</v>
      </c>
      <c r="AK34" s="137" t="s">
        <v>238</v>
      </c>
      <c r="AM34" s="156">
        <v>25</v>
      </c>
      <c r="AN34" s="157" t="s">
        <v>247</v>
      </c>
    </row>
    <row r="35" spans="1:40" ht="45" x14ac:dyDescent="0.25">
      <c r="A35" s="95" t="s">
        <v>249</v>
      </c>
      <c r="B35" s="1" t="s">
        <v>230</v>
      </c>
      <c r="C35" s="190">
        <v>90</v>
      </c>
      <c r="D35" s="191">
        <v>20</v>
      </c>
      <c r="E35" s="192">
        <v>-40</v>
      </c>
      <c r="F35" s="193">
        <v>-70</v>
      </c>
      <c r="G35" s="137" t="s">
        <v>235</v>
      </c>
      <c r="I35" s="133">
        <v>46</v>
      </c>
      <c r="J35" s="134">
        <v>60</v>
      </c>
      <c r="K35" s="135">
        <v>30</v>
      </c>
      <c r="L35" s="135">
        <v>-10</v>
      </c>
      <c r="M35" s="136">
        <v>-30</v>
      </c>
      <c r="N35" s="134">
        <v>40</v>
      </c>
      <c r="O35" s="135">
        <v>20</v>
      </c>
      <c r="P35" s="135">
        <v>0</v>
      </c>
      <c r="Q35" s="135">
        <v>-10</v>
      </c>
      <c r="R35" s="136">
        <v>-20</v>
      </c>
      <c r="S35" s="134">
        <v>80</v>
      </c>
      <c r="T35" s="135">
        <v>40</v>
      </c>
      <c r="U35" s="135">
        <v>20</v>
      </c>
      <c r="V35" s="135">
        <v>0</v>
      </c>
      <c r="W35" s="136">
        <v>-40</v>
      </c>
      <c r="X35" s="137" t="s">
        <v>594</v>
      </c>
      <c r="Z35" s="133">
        <v>156</v>
      </c>
      <c r="AA35" s="134">
        <v>60</v>
      </c>
      <c r="AB35" s="135">
        <v>30</v>
      </c>
      <c r="AC35" s="135">
        <v>0</v>
      </c>
      <c r="AD35" s="136">
        <v>-10</v>
      </c>
      <c r="AE35" s="140" t="s">
        <v>600</v>
      </c>
      <c r="AG35" s="156">
        <v>0</v>
      </c>
      <c r="AH35" s="134">
        <v>30</v>
      </c>
      <c r="AI35" s="135">
        <v>0</v>
      </c>
      <c r="AJ35" s="136">
        <v>0</v>
      </c>
      <c r="AK35" s="137" t="s">
        <v>238</v>
      </c>
      <c r="AM35" s="156">
        <v>75</v>
      </c>
      <c r="AN35" s="157" t="s">
        <v>214</v>
      </c>
    </row>
    <row r="36" spans="1:40" ht="45" x14ac:dyDescent="0.25">
      <c r="A36" s="95" t="s">
        <v>250</v>
      </c>
      <c r="B36" s="1" t="s">
        <v>230</v>
      </c>
      <c r="C36" s="190">
        <v>120</v>
      </c>
      <c r="D36" s="191">
        <v>0</v>
      </c>
      <c r="E36" s="192">
        <v>0</v>
      </c>
      <c r="F36" s="193">
        <v>0</v>
      </c>
      <c r="G36" s="137" t="s">
        <v>246</v>
      </c>
      <c r="I36" s="133">
        <v>50</v>
      </c>
      <c r="J36" s="134">
        <v>60</v>
      </c>
      <c r="K36" s="135">
        <v>30</v>
      </c>
      <c r="L36" s="135">
        <v>-10</v>
      </c>
      <c r="M36" s="136">
        <v>-30</v>
      </c>
      <c r="N36" s="134">
        <v>40</v>
      </c>
      <c r="O36" s="135">
        <v>20</v>
      </c>
      <c r="P36" s="135">
        <v>0</v>
      </c>
      <c r="Q36" s="135">
        <v>-10</v>
      </c>
      <c r="R36" s="136">
        <v>-20</v>
      </c>
      <c r="S36" s="134">
        <v>80</v>
      </c>
      <c r="T36" s="135">
        <v>40</v>
      </c>
      <c r="U36" s="135">
        <v>20</v>
      </c>
      <c r="V36" s="135">
        <v>0</v>
      </c>
      <c r="W36" s="136">
        <v>-40</v>
      </c>
      <c r="X36" s="137" t="s">
        <v>594</v>
      </c>
      <c r="Z36" s="133">
        <v>160</v>
      </c>
      <c r="AA36" s="134">
        <v>60</v>
      </c>
      <c r="AB36" s="135">
        <v>30</v>
      </c>
      <c r="AC36" s="135">
        <v>0</v>
      </c>
      <c r="AD36" s="136">
        <v>-10</v>
      </c>
      <c r="AE36" s="140" t="s">
        <v>600</v>
      </c>
      <c r="AG36" s="156">
        <v>0</v>
      </c>
      <c r="AH36" s="134">
        <v>30</v>
      </c>
      <c r="AI36" s="135">
        <v>0</v>
      </c>
      <c r="AJ36" s="136">
        <v>0</v>
      </c>
      <c r="AK36" s="137" t="s">
        <v>238</v>
      </c>
      <c r="AM36" s="156">
        <v>75</v>
      </c>
      <c r="AN36" s="157" t="s">
        <v>214</v>
      </c>
    </row>
    <row r="37" spans="1:40" ht="6.65" customHeight="1" x14ac:dyDescent="0.25">
      <c r="C37" s="107"/>
      <c r="D37" s="105"/>
      <c r="F37" s="103"/>
      <c r="G37" s="99"/>
      <c r="I37" s="117"/>
      <c r="J37" s="111"/>
      <c r="M37" s="110"/>
      <c r="N37" s="111"/>
      <c r="R37" s="110"/>
      <c r="S37" s="111"/>
      <c r="W37" s="110"/>
      <c r="X37" s="99"/>
      <c r="Z37" s="141"/>
      <c r="AA37" s="111"/>
      <c r="AD37" s="110"/>
      <c r="AE37" s="126"/>
      <c r="AG37" s="117"/>
      <c r="AH37" s="111"/>
      <c r="AJ37" s="110"/>
      <c r="AK37" s="131"/>
      <c r="AM37" s="117"/>
      <c r="AN37" s="129"/>
    </row>
    <row r="38" spans="1:40" ht="21.65" customHeight="1" x14ac:dyDescent="0.25">
      <c r="C38" s="107"/>
      <c r="D38" s="105"/>
      <c r="F38" s="103"/>
      <c r="G38" s="99"/>
      <c r="I38" s="117" t="s">
        <v>251</v>
      </c>
      <c r="J38" s="111"/>
      <c r="M38" s="110"/>
      <c r="N38" s="111"/>
      <c r="R38" s="110"/>
      <c r="S38" s="111"/>
      <c r="W38" s="110"/>
      <c r="X38" s="137" t="s">
        <v>252</v>
      </c>
      <c r="Z38" s="141"/>
      <c r="AA38" s="111"/>
      <c r="AD38" s="110"/>
      <c r="AE38" s="137" t="s">
        <v>253</v>
      </c>
      <c r="AG38" s="117"/>
      <c r="AH38" s="111"/>
      <c r="AJ38" s="110"/>
      <c r="AK38" s="159" t="s">
        <v>254</v>
      </c>
      <c r="AM38" s="117"/>
      <c r="AN38" s="129"/>
    </row>
    <row r="39" spans="1:40" ht="27.65" customHeight="1" x14ac:dyDescent="0.25">
      <c r="A39" s="95" t="s">
        <v>255</v>
      </c>
      <c r="B39" s="1" t="s">
        <v>230</v>
      </c>
      <c r="C39" s="190">
        <v>75</v>
      </c>
      <c r="D39" s="191">
        <v>0</v>
      </c>
      <c r="E39" s="192">
        <v>0</v>
      </c>
      <c r="F39" s="193">
        <v>0</v>
      </c>
      <c r="G39" s="137" t="s">
        <v>256</v>
      </c>
      <c r="I39" s="117">
        <f>100+60</f>
        <v>160</v>
      </c>
      <c r="J39" s="111">
        <v>60</v>
      </c>
      <c r="K39" s="7">
        <v>30</v>
      </c>
      <c r="L39" s="7">
        <v>-60</v>
      </c>
      <c r="M39" s="110">
        <v>-105</v>
      </c>
      <c r="N39" s="111">
        <v>20</v>
      </c>
      <c r="O39" s="7">
        <v>0</v>
      </c>
      <c r="P39" s="7">
        <v>-20</v>
      </c>
      <c r="Q39" s="7">
        <v>-60</v>
      </c>
      <c r="R39" s="110">
        <v>-90</v>
      </c>
      <c r="S39" s="111">
        <v>100</v>
      </c>
      <c r="T39" s="7">
        <v>60</v>
      </c>
      <c r="U39" s="7">
        <v>20</v>
      </c>
      <c r="V39" s="7">
        <v>-60</v>
      </c>
      <c r="W39" s="110">
        <v>-120</v>
      </c>
      <c r="X39" s="99" t="s">
        <v>592</v>
      </c>
      <c r="Z39" s="119">
        <v>110</v>
      </c>
      <c r="AA39" s="111"/>
      <c r="AD39" s="110"/>
      <c r="AE39" s="126" t="s">
        <v>601</v>
      </c>
      <c r="AG39" s="156">
        <v>0</v>
      </c>
      <c r="AH39" s="134">
        <v>150</v>
      </c>
      <c r="AI39" s="135">
        <v>100</v>
      </c>
      <c r="AJ39" s="136">
        <v>0</v>
      </c>
      <c r="AK39" s="137" t="s">
        <v>257</v>
      </c>
      <c r="AM39" s="156">
        <v>25</v>
      </c>
      <c r="AN39" s="157" t="s">
        <v>214</v>
      </c>
    </row>
    <row r="40" spans="1:40" ht="27.65" customHeight="1" x14ac:dyDescent="0.25">
      <c r="A40" s="95" t="s">
        <v>258</v>
      </c>
      <c r="B40" s="1" t="s">
        <v>230</v>
      </c>
      <c r="C40" s="190">
        <v>150</v>
      </c>
      <c r="D40" s="191">
        <v>0</v>
      </c>
      <c r="E40" s="192">
        <v>0</v>
      </c>
      <c r="F40" s="193">
        <v>0</v>
      </c>
      <c r="G40" s="137" t="s">
        <v>259</v>
      </c>
      <c r="I40" s="117">
        <f>75+60</f>
        <v>135</v>
      </c>
      <c r="J40" s="111">
        <v>60</v>
      </c>
      <c r="K40" s="7">
        <v>30</v>
      </c>
      <c r="L40" s="7">
        <v>-60</v>
      </c>
      <c r="M40" s="110">
        <v>-105</v>
      </c>
      <c r="N40" s="111">
        <v>20</v>
      </c>
      <c r="O40" s="7">
        <v>0</v>
      </c>
      <c r="P40" s="7">
        <v>-20</v>
      </c>
      <c r="Q40" s="7">
        <v>-60</v>
      </c>
      <c r="R40" s="110">
        <v>-90</v>
      </c>
      <c r="S40" s="111">
        <v>100</v>
      </c>
      <c r="T40" s="7">
        <v>60</v>
      </c>
      <c r="U40" s="7">
        <v>20</v>
      </c>
      <c r="V40" s="7">
        <v>-60</v>
      </c>
      <c r="W40" s="110">
        <v>-120</v>
      </c>
      <c r="X40" s="99" t="s">
        <v>592</v>
      </c>
      <c r="Z40" s="119">
        <v>150</v>
      </c>
      <c r="AA40" s="111"/>
      <c r="AD40" s="110"/>
      <c r="AE40" s="126" t="s">
        <v>601</v>
      </c>
      <c r="AG40" s="156">
        <v>0</v>
      </c>
      <c r="AH40" s="134">
        <v>150</v>
      </c>
      <c r="AI40" s="135">
        <v>100</v>
      </c>
      <c r="AJ40" s="136">
        <v>0</v>
      </c>
      <c r="AK40" s="137" t="s">
        <v>257</v>
      </c>
      <c r="AM40" s="156">
        <v>25</v>
      </c>
      <c r="AN40" s="157" t="s">
        <v>214</v>
      </c>
    </row>
    <row r="41" spans="1:40" ht="5.15" customHeight="1" x14ac:dyDescent="0.25">
      <c r="C41" s="107"/>
      <c r="D41" s="105"/>
      <c r="F41" s="103"/>
      <c r="G41" s="99"/>
      <c r="I41" s="117"/>
      <c r="J41" s="111"/>
      <c r="M41" s="110"/>
      <c r="N41" s="111"/>
      <c r="R41" s="110"/>
      <c r="S41" s="111"/>
      <c r="W41" s="110"/>
      <c r="X41" s="99"/>
      <c r="Z41" s="119"/>
      <c r="AA41" s="111"/>
      <c r="AD41" s="110"/>
      <c r="AE41" s="126"/>
      <c r="AG41" s="128"/>
      <c r="AH41" s="108"/>
      <c r="AJ41" s="109"/>
      <c r="AK41" s="131"/>
      <c r="AM41" s="117"/>
      <c r="AN41" s="129"/>
    </row>
    <row r="42" spans="1:40" ht="30.65" customHeight="1" x14ac:dyDescent="0.25">
      <c r="C42" s="107"/>
      <c r="D42" s="105"/>
      <c r="F42" s="103"/>
      <c r="G42" s="99"/>
      <c r="I42" s="117"/>
      <c r="J42" s="111"/>
      <c r="M42" s="110"/>
      <c r="N42" s="111"/>
      <c r="R42" s="110"/>
      <c r="S42" s="111"/>
      <c r="W42" s="110"/>
      <c r="X42" s="99"/>
      <c r="Z42" s="119"/>
      <c r="AA42" s="111"/>
      <c r="AD42" s="110"/>
      <c r="AE42" s="126"/>
      <c r="AG42" s="128"/>
      <c r="AH42" s="108"/>
      <c r="AJ42" s="109"/>
      <c r="AK42" s="131"/>
      <c r="AM42" s="117"/>
      <c r="AN42" s="129"/>
    </row>
    <row r="43" spans="1:40" ht="27.65" customHeight="1" x14ac:dyDescent="0.25">
      <c r="A43" s="28" t="s">
        <v>260</v>
      </c>
      <c r="C43" s="107"/>
      <c r="D43" s="105"/>
      <c r="F43" s="103"/>
      <c r="G43" s="99"/>
      <c r="I43" s="118"/>
      <c r="J43" s="111"/>
      <c r="M43" s="110"/>
      <c r="N43" s="111"/>
      <c r="R43" s="110"/>
      <c r="S43" s="111"/>
      <c r="W43" s="110"/>
      <c r="X43" s="137" t="s">
        <v>252</v>
      </c>
      <c r="Z43" s="119"/>
      <c r="AA43" s="111"/>
      <c r="AD43" s="110"/>
      <c r="AE43" s="137" t="s">
        <v>253</v>
      </c>
      <c r="AG43" s="128"/>
      <c r="AH43" s="108"/>
      <c r="AJ43" s="109"/>
      <c r="AK43" s="131"/>
      <c r="AM43" s="117"/>
      <c r="AN43" s="129"/>
    </row>
    <row r="44" spans="1:40" ht="27.65" customHeight="1" x14ac:dyDescent="0.25">
      <c r="A44" s="12" t="s">
        <v>261</v>
      </c>
      <c r="B44" s="1" t="s">
        <v>230</v>
      </c>
      <c r="C44" s="107">
        <v>300</v>
      </c>
      <c r="D44" s="105">
        <v>0</v>
      </c>
      <c r="E44" s="1">
        <v>0</v>
      </c>
      <c r="F44" s="103">
        <v>0</v>
      </c>
      <c r="G44" s="99" t="s">
        <v>262</v>
      </c>
      <c r="I44" s="120">
        <v>100</v>
      </c>
      <c r="J44" s="112"/>
      <c r="K44" s="113">
        <v>50</v>
      </c>
      <c r="L44" s="114"/>
      <c r="M44" s="115">
        <v>-50</v>
      </c>
      <c r="N44" s="112"/>
      <c r="O44" s="114"/>
      <c r="P44" s="114"/>
      <c r="Q44" s="114"/>
      <c r="R44" s="116"/>
      <c r="S44" s="112"/>
      <c r="T44" s="114"/>
      <c r="U44" s="114"/>
      <c r="V44" s="114"/>
      <c r="W44" s="116"/>
      <c r="X44" s="99" t="s">
        <v>595</v>
      </c>
      <c r="Z44" s="119">
        <v>200</v>
      </c>
      <c r="AA44" s="111"/>
      <c r="AB44" s="7">
        <v>250</v>
      </c>
      <c r="AD44" s="110">
        <v>100</v>
      </c>
      <c r="AE44" s="126" t="s">
        <v>602</v>
      </c>
      <c r="AG44" s="156">
        <v>0</v>
      </c>
      <c r="AH44" s="158">
        <v>150</v>
      </c>
      <c r="AI44" s="135">
        <v>100</v>
      </c>
      <c r="AJ44" s="136">
        <v>0</v>
      </c>
      <c r="AK44" s="159" t="s">
        <v>263</v>
      </c>
      <c r="AM44" s="156">
        <v>75</v>
      </c>
      <c r="AN44" s="157" t="s">
        <v>214</v>
      </c>
    </row>
    <row r="45" spans="1:40" ht="27.65" customHeight="1" x14ac:dyDescent="0.25">
      <c r="A45" s="12" t="s">
        <v>264</v>
      </c>
      <c r="B45" s="1" t="s">
        <v>230</v>
      </c>
      <c r="C45" s="107">
        <v>340</v>
      </c>
      <c r="D45" s="105">
        <v>0</v>
      </c>
      <c r="E45" s="1">
        <v>0</v>
      </c>
      <c r="F45" s="103">
        <v>0</v>
      </c>
      <c r="G45" s="99" t="s">
        <v>262</v>
      </c>
      <c r="I45" s="120">
        <v>100</v>
      </c>
      <c r="J45" s="112"/>
      <c r="K45" s="113">
        <v>50</v>
      </c>
      <c r="L45" s="114"/>
      <c r="M45" s="115">
        <v>-50</v>
      </c>
      <c r="N45" s="112"/>
      <c r="O45" s="114"/>
      <c r="P45" s="114"/>
      <c r="Q45" s="114"/>
      <c r="R45" s="116"/>
      <c r="S45" s="112"/>
      <c r="T45" s="114"/>
      <c r="U45" s="114"/>
      <c r="V45" s="114"/>
      <c r="W45" s="116"/>
      <c r="X45" s="99" t="s">
        <v>595</v>
      </c>
      <c r="Z45" s="119">
        <v>200</v>
      </c>
      <c r="AA45" s="111"/>
      <c r="AB45" s="7">
        <v>250</v>
      </c>
      <c r="AD45" s="110">
        <v>100</v>
      </c>
      <c r="AE45" s="126" t="s">
        <v>602</v>
      </c>
      <c r="AG45" s="156">
        <v>0</v>
      </c>
      <c r="AH45" s="158">
        <v>150</v>
      </c>
      <c r="AI45" s="135">
        <v>100</v>
      </c>
      <c r="AJ45" s="136">
        <v>0</v>
      </c>
      <c r="AK45" s="159" t="s">
        <v>263</v>
      </c>
      <c r="AM45" s="156">
        <v>75</v>
      </c>
      <c r="AN45" s="157" t="s">
        <v>214</v>
      </c>
    </row>
    <row r="46" spans="1:40" ht="27.65" customHeight="1" x14ac:dyDescent="0.25">
      <c r="A46" s="12" t="s">
        <v>265</v>
      </c>
      <c r="B46" s="1" t="s">
        <v>230</v>
      </c>
      <c r="C46" s="107">
        <v>270</v>
      </c>
      <c r="D46" s="105">
        <v>0</v>
      </c>
      <c r="E46" s="1">
        <v>0</v>
      </c>
      <c r="F46" s="103">
        <v>0</v>
      </c>
      <c r="G46" s="99" t="s">
        <v>262</v>
      </c>
      <c r="I46" s="120">
        <v>100</v>
      </c>
      <c r="J46" s="112"/>
      <c r="K46" s="113">
        <v>25</v>
      </c>
      <c r="L46" s="114"/>
      <c r="M46" s="115">
        <v>-25</v>
      </c>
      <c r="N46" s="112"/>
      <c r="O46" s="114"/>
      <c r="P46" s="114"/>
      <c r="Q46" s="114"/>
      <c r="R46" s="116"/>
      <c r="S46" s="112"/>
      <c r="T46" s="114"/>
      <c r="U46" s="114"/>
      <c r="V46" s="114"/>
      <c r="W46" s="116"/>
      <c r="X46" s="99" t="s">
        <v>595</v>
      </c>
      <c r="Z46" s="119">
        <v>75</v>
      </c>
      <c r="AA46" s="111"/>
      <c r="AB46" s="7">
        <v>100</v>
      </c>
      <c r="AD46" s="110">
        <v>50</v>
      </c>
      <c r="AE46" s="126" t="s">
        <v>602</v>
      </c>
      <c r="AG46" s="156">
        <v>0</v>
      </c>
      <c r="AH46" s="158">
        <v>150</v>
      </c>
      <c r="AI46" s="135">
        <v>100</v>
      </c>
      <c r="AJ46" s="136">
        <v>0</v>
      </c>
      <c r="AK46" s="159" t="s">
        <v>263</v>
      </c>
      <c r="AM46" s="156">
        <v>75</v>
      </c>
      <c r="AN46" s="157" t="s">
        <v>214</v>
      </c>
    </row>
    <row r="47" spans="1:40" ht="27.65" customHeight="1" x14ac:dyDescent="0.25">
      <c r="A47" s="12" t="s">
        <v>266</v>
      </c>
      <c r="B47" s="1" t="s">
        <v>230</v>
      </c>
      <c r="C47" s="107">
        <v>290</v>
      </c>
      <c r="D47" s="105">
        <v>0</v>
      </c>
      <c r="E47" s="1">
        <v>0</v>
      </c>
      <c r="F47" s="103">
        <v>0</v>
      </c>
      <c r="G47" s="99" t="s">
        <v>262</v>
      </c>
      <c r="I47" s="120">
        <v>100</v>
      </c>
      <c r="J47" s="112"/>
      <c r="K47" s="113">
        <v>25</v>
      </c>
      <c r="L47" s="114"/>
      <c r="M47" s="115">
        <v>-25</v>
      </c>
      <c r="N47" s="112"/>
      <c r="O47" s="114"/>
      <c r="P47" s="114"/>
      <c r="Q47" s="114"/>
      <c r="R47" s="116"/>
      <c r="S47" s="112"/>
      <c r="T47" s="114"/>
      <c r="U47" s="114"/>
      <c r="V47" s="114"/>
      <c r="W47" s="116"/>
      <c r="X47" s="99" t="s">
        <v>595</v>
      </c>
      <c r="Z47" s="119">
        <v>175</v>
      </c>
      <c r="AA47" s="111"/>
      <c r="AB47" s="7">
        <v>240</v>
      </c>
      <c r="AD47" s="110">
        <v>100</v>
      </c>
      <c r="AE47" s="126" t="s">
        <v>602</v>
      </c>
      <c r="AG47" s="156">
        <v>0</v>
      </c>
      <c r="AH47" s="158">
        <v>150</v>
      </c>
      <c r="AI47" s="135">
        <v>100</v>
      </c>
      <c r="AJ47" s="136">
        <v>0</v>
      </c>
      <c r="AK47" s="159" t="s">
        <v>263</v>
      </c>
      <c r="AM47" s="156">
        <v>75</v>
      </c>
      <c r="AN47" s="157" t="s">
        <v>214</v>
      </c>
    </row>
    <row r="48" spans="1:40" ht="27.65" customHeight="1" x14ac:dyDescent="0.25">
      <c r="A48" s="12" t="s">
        <v>267</v>
      </c>
      <c r="B48" s="1" t="s">
        <v>230</v>
      </c>
      <c r="C48" s="107">
        <v>100</v>
      </c>
      <c r="D48" s="105">
        <v>0</v>
      </c>
      <c r="E48" s="1">
        <v>0</v>
      </c>
      <c r="F48" s="103">
        <v>0</v>
      </c>
      <c r="G48" s="99" t="s">
        <v>262</v>
      </c>
      <c r="I48" s="120">
        <v>75</v>
      </c>
      <c r="J48" s="112"/>
      <c r="K48" s="113">
        <v>50</v>
      </c>
      <c r="L48" s="114"/>
      <c r="M48" s="115">
        <v>-50</v>
      </c>
      <c r="N48" s="112"/>
      <c r="O48" s="114"/>
      <c r="P48" s="114"/>
      <c r="Q48" s="114"/>
      <c r="R48" s="116"/>
      <c r="S48" s="112"/>
      <c r="T48" s="114"/>
      <c r="U48" s="114"/>
      <c r="V48" s="114"/>
      <c r="W48" s="116"/>
      <c r="X48" s="99" t="s">
        <v>595</v>
      </c>
      <c r="Z48" s="119">
        <v>125</v>
      </c>
      <c r="AA48" s="111"/>
      <c r="AB48" s="7">
        <v>200</v>
      </c>
      <c r="AD48" s="110">
        <v>75</v>
      </c>
      <c r="AE48" s="126" t="s">
        <v>602</v>
      </c>
      <c r="AG48" s="156">
        <v>0</v>
      </c>
      <c r="AH48" s="158">
        <v>150</v>
      </c>
      <c r="AI48" s="135">
        <v>100</v>
      </c>
      <c r="AJ48" s="136">
        <v>0</v>
      </c>
      <c r="AK48" s="159" t="s">
        <v>263</v>
      </c>
      <c r="AM48" s="156">
        <v>25</v>
      </c>
      <c r="AN48" s="157" t="s">
        <v>603</v>
      </c>
    </row>
    <row r="49" spans="1:40" ht="27.65" customHeight="1" x14ac:dyDescent="0.25">
      <c r="A49" s="12" t="s">
        <v>268</v>
      </c>
      <c r="B49" s="1" t="s">
        <v>230</v>
      </c>
      <c r="C49" s="107">
        <v>200</v>
      </c>
      <c r="D49" s="105">
        <v>0</v>
      </c>
      <c r="E49" s="1">
        <v>0</v>
      </c>
      <c r="F49" s="103">
        <v>0</v>
      </c>
      <c r="G49" s="99" t="s">
        <v>262</v>
      </c>
      <c r="I49" s="120">
        <v>200</v>
      </c>
      <c r="J49" s="112"/>
      <c r="K49" s="113">
        <v>50</v>
      </c>
      <c r="L49" s="114"/>
      <c r="M49" s="115">
        <v>-100</v>
      </c>
      <c r="N49" s="112"/>
      <c r="O49" s="114"/>
      <c r="P49" s="114"/>
      <c r="Q49" s="114"/>
      <c r="R49" s="116"/>
      <c r="S49" s="112"/>
      <c r="T49" s="114"/>
      <c r="U49" s="114"/>
      <c r="V49" s="114"/>
      <c r="W49" s="116"/>
      <c r="X49" s="99" t="s">
        <v>595</v>
      </c>
      <c r="Z49" s="119">
        <v>175</v>
      </c>
      <c r="AA49" s="111"/>
      <c r="AB49" s="7">
        <v>250</v>
      </c>
      <c r="AD49" s="110">
        <v>100</v>
      </c>
      <c r="AE49" s="126" t="s">
        <v>602</v>
      </c>
      <c r="AG49" s="156">
        <v>0</v>
      </c>
      <c r="AH49" s="158">
        <v>150</v>
      </c>
      <c r="AI49" s="135">
        <v>100</v>
      </c>
      <c r="AJ49" s="136">
        <v>0</v>
      </c>
      <c r="AK49" s="159" t="s">
        <v>263</v>
      </c>
      <c r="AM49" s="156">
        <v>25</v>
      </c>
      <c r="AN49" s="157" t="s">
        <v>603</v>
      </c>
    </row>
    <row r="50" spans="1:40" ht="27.65" customHeight="1" x14ac:dyDescent="0.25">
      <c r="A50" s="12" t="s">
        <v>269</v>
      </c>
      <c r="B50" s="1" t="s">
        <v>230</v>
      </c>
      <c r="C50" s="107">
        <v>200</v>
      </c>
      <c r="D50" s="105">
        <v>0</v>
      </c>
      <c r="E50" s="1">
        <v>0</v>
      </c>
      <c r="F50" s="103">
        <v>0</v>
      </c>
      <c r="G50" s="99" t="s">
        <v>262</v>
      </c>
      <c r="I50" s="120">
        <v>150</v>
      </c>
      <c r="J50" s="112"/>
      <c r="K50" s="113">
        <v>50</v>
      </c>
      <c r="L50" s="114"/>
      <c r="M50" s="115">
        <v>-50</v>
      </c>
      <c r="N50" s="112"/>
      <c r="O50" s="114"/>
      <c r="P50" s="114"/>
      <c r="Q50" s="114"/>
      <c r="R50" s="116"/>
      <c r="S50" s="112"/>
      <c r="T50" s="114"/>
      <c r="U50" s="114"/>
      <c r="V50" s="114"/>
      <c r="W50" s="116"/>
      <c r="X50" s="99" t="s">
        <v>595</v>
      </c>
      <c r="Z50" s="119">
        <v>175</v>
      </c>
      <c r="AA50" s="111"/>
      <c r="AB50" s="7">
        <v>250</v>
      </c>
      <c r="AD50" s="110">
        <v>100</v>
      </c>
      <c r="AE50" s="126" t="s">
        <v>602</v>
      </c>
      <c r="AG50" s="156">
        <v>0</v>
      </c>
      <c r="AH50" s="158">
        <v>150</v>
      </c>
      <c r="AI50" s="135">
        <v>100</v>
      </c>
      <c r="AJ50" s="136">
        <v>0</v>
      </c>
      <c r="AK50" s="159" t="s">
        <v>263</v>
      </c>
      <c r="AM50" s="156">
        <v>25</v>
      </c>
      <c r="AN50" s="157" t="s">
        <v>603</v>
      </c>
    </row>
    <row r="51" spans="1:40" ht="27.65" customHeight="1" x14ac:dyDescent="0.25">
      <c r="A51" s="12" t="s">
        <v>270</v>
      </c>
      <c r="B51" s="1" t="s">
        <v>230</v>
      </c>
      <c r="C51" s="107">
        <v>145</v>
      </c>
      <c r="D51" s="105">
        <v>0</v>
      </c>
      <c r="E51" s="1">
        <v>0</v>
      </c>
      <c r="F51" s="103">
        <v>0</v>
      </c>
      <c r="G51" s="99" t="s">
        <v>271</v>
      </c>
      <c r="I51" s="120">
        <v>150</v>
      </c>
      <c r="J51" s="112"/>
      <c r="K51" s="113">
        <v>50</v>
      </c>
      <c r="L51" s="114"/>
      <c r="M51" s="115">
        <v>-50</v>
      </c>
      <c r="N51" s="112"/>
      <c r="O51" s="114"/>
      <c r="P51" s="114"/>
      <c r="Q51" s="114"/>
      <c r="R51" s="116"/>
      <c r="S51" s="112"/>
      <c r="T51" s="114"/>
      <c r="U51" s="114"/>
      <c r="V51" s="114"/>
      <c r="W51" s="116"/>
      <c r="X51" s="99" t="s">
        <v>595</v>
      </c>
      <c r="Z51" s="119">
        <v>125</v>
      </c>
      <c r="AA51" s="111"/>
      <c r="AB51" s="7">
        <v>160</v>
      </c>
      <c r="AD51" s="110">
        <v>90</v>
      </c>
      <c r="AE51" s="126" t="s">
        <v>602</v>
      </c>
      <c r="AG51" s="156">
        <v>0</v>
      </c>
      <c r="AH51" s="158">
        <v>150</v>
      </c>
      <c r="AI51" s="135">
        <v>100</v>
      </c>
      <c r="AJ51" s="136">
        <v>0</v>
      </c>
      <c r="AK51" s="159" t="s">
        <v>263</v>
      </c>
      <c r="AM51" s="156">
        <v>25</v>
      </c>
      <c r="AN51" s="157" t="s">
        <v>603</v>
      </c>
    </row>
    <row r="52" spans="1:40" ht="27.65" customHeight="1" x14ac:dyDescent="0.25">
      <c r="A52" s="12" t="s">
        <v>272</v>
      </c>
      <c r="B52" s="1" t="s">
        <v>230</v>
      </c>
      <c r="C52" s="107">
        <v>135</v>
      </c>
      <c r="D52" s="105">
        <v>0</v>
      </c>
      <c r="E52" s="1">
        <v>0</v>
      </c>
      <c r="F52" s="103">
        <v>0</v>
      </c>
      <c r="G52" s="99" t="s">
        <v>271</v>
      </c>
      <c r="I52" s="120">
        <v>125</v>
      </c>
      <c r="J52" s="112"/>
      <c r="K52" s="113">
        <v>0</v>
      </c>
      <c r="L52" s="114"/>
      <c r="M52" s="115">
        <v>0</v>
      </c>
      <c r="N52" s="112"/>
      <c r="O52" s="114"/>
      <c r="P52" s="114"/>
      <c r="Q52" s="114"/>
      <c r="R52" s="116"/>
      <c r="S52" s="112"/>
      <c r="T52" s="114"/>
      <c r="U52" s="114"/>
      <c r="V52" s="114"/>
      <c r="W52" s="116"/>
      <c r="X52" s="99" t="s">
        <v>595</v>
      </c>
      <c r="Z52" s="119">
        <v>200</v>
      </c>
      <c r="AA52" s="111"/>
      <c r="AB52" s="7" t="s">
        <v>273</v>
      </c>
      <c r="AD52" s="110" t="s">
        <v>274</v>
      </c>
      <c r="AE52" s="126" t="s">
        <v>602</v>
      </c>
      <c r="AG52" s="156">
        <v>0</v>
      </c>
      <c r="AH52" s="158">
        <v>150</v>
      </c>
      <c r="AI52" s="135">
        <v>100</v>
      </c>
      <c r="AJ52" s="136">
        <v>0</v>
      </c>
      <c r="AK52" s="159" t="s">
        <v>263</v>
      </c>
      <c r="AM52" s="156">
        <v>25</v>
      </c>
      <c r="AN52" s="157" t="s">
        <v>603</v>
      </c>
    </row>
    <row r="53" spans="1:40" ht="27.65" customHeight="1" x14ac:dyDescent="0.25">
      <c r="A53" s="12" t="s">
        <v>275</v>
      </c>
      <c r="B53" s="1" t="s">
        <v>230</v>
      </c>
      <c r="C53" s="107">
        <v>0</v>
      </c>
      <c r="D53" s="105">
        <v>0</v>
      </c>
      <c r="E53" s="1">
        <v>0</v>
      </c>
      <c r="F53" s="103">
        <v>0</v>
      </c>
      <c r="G53" s="99" t="s">
        <v>262</v>
      </c>
      <c r="I53" s="120">
        <v>150</v>
      </c>
      <c r="J53" s="112"/>
      <c r="K53" s="113">
        <v>50</v>
      </c>
      <c r="L53" s="114"/>
      <c r="M53" s="115">
        <v>-50</v>
      </c>
      <c r="N53" s="112"/>
      <c r="O53" s="114"/>
      <c r="P53" s="114"/>
      <c r="Q53" s="114"/>
      <c r="R53" s="116"/>
      <c r="S53" s="112"/>
      <c r="T53" s="114"/>
      <c r="U53" s="114"/>
      <c r="V53" s="114"/>
      <c r="W53" s="116"/>
      <c r="X53" s="99" t="s">
        <v>595</v>
      </c>
      <c r="Z53" s="119">
        <v>100</v>
      </c>
      <c r="AA53" s="111"/>
      <c r="AB53" s="7">
        <v>125</v>
      </c>
      <c r="AD53" s="110">
        <v>75</v>
      </c>
      <c r="AE53" s="126" t="s">
        <v>602</v>
      </c>
      <c r="AG53" s="156">
        <v>0</v>
      </c>
      <c r="AH53" s="158">
        <v>150</v>
      </c>
      <c r="AI53" s="135">
        <v>100</v>
      </c>
      <c r="AJ53" s="136">
        <v>0</v>
      </c>
      <c r="AK53" s="159" t="s">
        <v>263</v>
      </c>
      <c r="AM53" s="156">
        <v>25</v>
      </c>
      <c r="AN53" s="157" t="s">
        <v>603</v>
      </c>
    </row>
    <row r="54" spans="1:40" ht="27.65" customHeight="1" x14ac:dyDescent="0.25">
      <c r="A54" s="12" t="s">
        <v>573</v>
      </c>
      <c r="B54" s="1" t="s">
        <v>230</v>
      </c>
      <c r="C54" s="107">
        <v>0</v>
      </c>
      <c r="D54" s="105">
        <v>0</v>
      </c>
      <c r="E54" s="1">
        <v>0</v>
      </c>
      <c r="F54" s="103">
        <v>0</v>
      </c>
      <c r="G54" s="99"/>
      <c r="I54" s="120">
        <v>150</v>
      </c>
      <c r="J54" s="112"/>
      <c r="K54" s="113">
        <v>50</v>
      </c>
      <c r="L54" s="114"/>
      <c r="M54" s="115">
        <v>-50</v>
      </c>
      <c r="N54" s="112"/>
      <c r="O54" s="114"/>
      <c r="P54" s="114"/>
      <c r="Q54" s="114"/>
      <c r="R54" s="116"/>
      <c r="S54" s="112"/>
      <c r="T54" s="114"/>
      <c r="U54" s="114"/>
      <c r="V54" s="114"/>
      <c r="W54" s="116"/>
      <c r="X54" s="99"/>
      <c r="Z54" s="119">
        <v>100</v>
      </c>
      <c r="AA54" s="111"/>
      <c r="AB54" s="7">
        <v>125</v>
      </c>
      <c r="AD54" s="110">
        <v>75</v>
      </c>
      <c r="AE54" s="126"/>
      <c r="AG54" s="156">
        <v>0</v>
      </c>
      <c r="AH54" s="158">
        <v>150</v>
      </c>
      <c r="AI54" s="135">
        <v>100</v>
      </c>
      <c r="AJ54" s="136">
        <v>0</v>
      </c>
      <c r="AK54" s="159"/>
      <c r="AM54" s="156">
        <v>25</v>
      </c>
      <c r="AN54" s="157"/>
    </row>
    <row r="55" spans="1:40" ht="27.65" customHeight="1" x14ac:dyDescent="0.25">
      <c r="A55" s="12" t="s">
        <v>276</v>
      </c>
      <c r="B55" s="1" t="s">
        <v>230</v>
      </c>
      <c r="C55" s="107">
        <v>180</v>
      </c>
      <c r="D55" s="105">
        <v>0</v>
      </c>
      <c r="E55" s="1">
        <v>0</v>
      </c>
      <c r="F55" s="103">
        <v>0</v>
      </c>
      <c r="G55" s="99" t="s">
        <v>262</v>
      </c>
      <c r="I55" s="120">
        <v>100</v>
      </c>
      <c r="J55" s="112"/>
      <c r="K55" s="113">
        <v>50</v>
      </c>
      <c r="L55" s="114"/>
      <c r="M55" s="115">
        <v>-50</v>
      </c>
      <c r="N55" s="112"/>
      <c r="O55" s="114"/>
      <c r="P55" s="114"/>
      <c r="Q55" s="114"/>
      <c r="R55" s="116"/>
      <c r="S55" s="112"/>
      <c r="T55" s="114"/>
      <c r="U55" s="114"/>
      <c r="V55" s="114"/>
      <c r="W55" s="116"/>
      <c r="X55" s="99" t="s">
        <v>595</v>
      </c>
      <c r="Z55" s="119">
        <v>75</v>
      </c>
      <c r="AA55" s="111"/>
      <c r="AB55" s="7">
        <v>150</v>
      </c>
      <c r="AD55" s="110">
        <v>0</v>
      </c>
      <c r="AE55" s="126" t="s">
        <v>602</v>
      </c>
      <c r="AG55" s="156">
        <v>0</v>
      </c>
      <c r="AH55" s="158">
        <v>100</v>
      </c>
      <c r="AI55" s="135">
        <v>50</v>
      </c>
      <c r="AJ55" s="136">
        <v>0</v>
      </c>
      <c r="AK55" s="159" t="s">
        <v>263</v>
      </c>
      <c r="AM55" s="156">
        <v>25</v>
      </c>
      <c r="AN55" s="157" t="s">
        <v>603</v>
      </c>
    </row>
    <row r="56" spans="1:40" ht="27.65" customHeight="1" x14ac:dyDescent="0.25">
      <c r="A56" s="12" t="s">
        <v>277</v>
      </c>
      <c r="B56" s="1" t="s">
        <v>230</v>
      </c>
      <c r="C56" s="107">
        <v>100</v>
      </c>
      <c r="D56" s="105">
        <v>0</v>
      </c>
      <c r="E56" s="1">
        <v>0</v>
      </c>
      <c r="F56" s="103">
        <v>0</v>
      </c>
      <c r="G56" s="99" t="s">
        <v>262</v>
      </c>
      <c r="I56" s="120">
        <v>125</v>
      </c>
      <c r="J56" s="112"/>
      <c r="K56" s="113">
        <v>35</v>
      </c>
      <c r="L56" s="114"/>
      <c r="M56" s="115">
        <v>-35</v>
      </c>
      <c r="N56" s="112"/>
      <c r="O56" s="114"/>
      <c r="P56" s="114"/>
      <c r="Q56" s="114"/>
      <c r="R56" s="116"/>
      <c r="S56" s="112"/>
      <c r="T56" s="114"/>
      <c r="U56" s="114"/>
      <c r="V56" s="114"/>
      <c r="W56" s="116"/>
      <c r="X56" s="99" t="s">
        <v>595</v>
      </c>
      <c r="Z56" s="119">
        <v>125</v>
      </c>
      <c r="AA56" s="111"/>
      <c r="AB56" s="7">
        <v>160</v>
      </c>
      <c r="AD56" s="110">
        <v>90</v>
      </c>
      <c r="AE56" s="126" t="s">
        <v>602</v>
      </c>
      <c r="AG56" s="156">
        <v>0</v>
      </c>
      <c r="AH56" s="158">
        <v>150</v>
      </c>
      <c r="AI56" s="135">
        <v>100</v>
      </c>
      <c r="AJ56" s="136">
        <v>0</v>
      </c>
      <c r="AK56" s="159" t="s">
        <v>263</v>
      </c>
      <c r="AM56" s="156">
        <v>25</v>
      </c>
      <c r="AN56" s="157" t="s">
        <v>603</v>
      </c>
    </row>
    <row r="57" spans="1:40" ht="27.65" customHeight="1" x14ac:dyDescent="0.25">
      <c r="A57" s="12" t="s">
        <v>278</v>
      </c>
      <c r="B57" s="1" t="s">
        <v>230</v>
      </c>
      <c r="C57" s="107">
        <v>170</v>
      </c>
      <c r="D57" s="105">
        <v>0</v>
      </c>
      <c r="E57" s="1">
        <v>0</v>
      </c>
      <c r="F57" s="103">
        <v>0</v>
      </c>
      <c r="G57" s="99" t="s">
        <v>262</v>
      </c>
      <c r="I57" s="120">
        <v>100</v>
      </c>
      <c r="J57" s="112"/>
      <c r="K57" s="113">
        <v>50</v>
      </c>
      <c r="L57" s="114"/>
      <c r="M57" s="115">
        <v>-50</v>
      </c>
      <c r="N57" s="112"/>
      <c r="O57" s="114"/>
      <c r="P57" s="114"/>
      <c r="Q57" s="114"/>
      <c r="R57" s="116"/>
      <c r="S57" s="112"/>
      <c r="T57" s="114"/>
      <c r="U57" s="114"/>
      <c r="V57" s="114"/>
      <c r="W57" s="116"/>
      <c r="X57" s="99" t="s">
        <v>595</v>
      </c>
      <c r="Z57" s="119">
        <v>150</v>
      </c>
      <c r="AA57" s="111"/>
      <c r="AB57" s="7">
        <v>200</v>
      </c>
      <c r="AD57" s="110">
        <v>100</v>
      </c>
      <c r="AE57" s="126" t="s">
        <v>602</v>
      </c>
      <c r="AG57" s="156">
        <v>0</v>
      </c>
      <c r="AH57" s="158">
        <v>150</v>
      </c>
      <c r="AI57" s="135">
        <v>100</v>
      </c>
      <c r="AJ57" s="136">
        <v>0</v>
      </c>
      <c r="AK57" s="159" t="s">
        <v>263</v>
      </c>
      <c r="AM57" s="156">
        <v>25</v>
      </c>
      <c r="AN57" s="157" t="s">
        <v>603</v>
      </c>
    </row>
    <row r="58" spans="1:40" ht="27.65" customHeight="1" x14ac:dyDescent="0.25">
      <c r="A58" s="12" t="s">
        <v>279</v>
      </c>
      <c r="B58" s="1" t="s">
        <v>230</v>
      </c>
      <c r="C58" s="107">
        <v>120</v>
      </c>
      <c r="D58" s="105">
        <v>0</v>
      </c>
      <c r="E58" s="1">
        <v>-70</v>
      </c>
      <c r="F58" s="103">
        <v>-100</v>
      </c>
      <c r="G58" s="99" t="s">
        <v>262</v>
      </c>
      <c r="I58" s="120">
        <v>200</v>
      </c>
      <c r="J58" s="111"/>
      <c r="K58" s="113">
        <v>50</v>
      </c>
      <c r="M58" s="115">
        <v>-50</v>
      </c>
      <c r="N58" s="111"/>
      <c r="R58" s="110"/>
      <c r="S58" s="111"/>
      <c r="W58" s="110"/>
      <c r="X58" s="99" t="s">
        <v>595</v>
      </c>
      <c r="Z58" s="119">
        <v>150</v>
      </c>
      <c r="AA58" s="111"/>
      <c r="AB58" s="7">
        <v>200</v>
      </c>
      <c r="AD58" s="110">
        <v>100</v>
      </c>
      <c r="AE58" s="126" t="s">
        <v>602</v>
      </c>
      <c r="AG58" s="156">
        <v>0</v>
      </c>
      <c r="AH58" s="158">
        <v>150</v>
      </c>
      <c r="AI58" s="135">
        <v>100</v>
      </c>
      <c r="AJ58" s="136">
        <v>0</v>
      </c>
      <c r="AK58" s="159" t="s">
        <v>263</v>
      </c>
      <c r="AM58" s="156">
        <v>75</v>
      </c>
      <c r="AN58" s="157" t="s">
        <v>214</v>
      </c>
    </row>
    <row r="59" spans="1:40" ht="27.65" customHeight="1" x14ac:dyDescent="0.25">
      <c r="A59" s="12" t="s">
        <v>280</v>
      </c>
      <c r="B59" s="1" t="s">
        <v>230</v>
      </c>
      <c r="C59" s="107">
        <v>120</v>
      </c>
      <c r="D59" s="105">
        <v>0</v>
      </c>
      <c r="E59" s="1">
        <v>-70</v>
      </c>
      <c r="F59" s="103">
        <v>-100</v>
      </c>
      <c r="G59" s="99" t="s">
        <v>262</v>
      </c>
      <c r="I59" s="120">
        <v>200</v>
      </c>
      <c r="J59" s="111"/>
      <c r="K59" s="113">
        <v>50</v>
      </c>
      <c r="M59" s="115">
        <v>-50</v>
      </c>
      <c r="N59" s="111"/>
      <c r="R59" s="110"/>
      <c r="S59" s="111"/>
      <c r="W59" s="110"/>
      <c r="X59" s="99" t="s">
        <v>595</v>
      </c>
      <c r="Z59" s="119">
        <v>125</v>
      </c>
      <c r="AA59" s="111"/>
      <c r="AB59" s="7">
        <v>160</v>
      </c>
      <c r="AD59" s="110">
        <v>90</v>
      </c>
      <c r="AE59" s="126" t="s">
        <v>602</v>
      </c>
      <c r="AG59" s="156">
        <v>0</v>
      </c>
      <c r="AH59" s="158">
        <v>150</v>
      </c>
      <c r="AI59" s="135">
        <v>100</v>
      </c>
      <c r="AJ59" s="136">
        <v>0</v>
      </c>
      <c r="AK59" s="159" t="s">
        <v>263</v>
      </c>
      <c r="AM59" s="156">
        <v>75</v>
      </c>
      <c r="AN59" s="157" t="s">
        <v>214</v>
      </c>
    </row>
    <row r="60" spans="1:40" ht="27.65" customHeight="1" x14ac:dyDescent="0.25">
      <c r="A60" s="12" t="s">
        <v>281</v>
      </c>
      <c r="B60" s="1" t="s">
        <v>230</v>
      </c>
      <c r="C60" s="107">
        <v>290</v>
      </c>
      <c r="D60" s="105">
        <v>0</v>
      </c>
      <c r="E60" s="1">
        <v>0</v>
      </c>
      <c r="F60" s="103">
        <v>0</v>
      </c>
      <c r="G60" s="99" t="s">
        <v>262</v>
      </c>
      <c r="I60" s="120">
        <v>100</v>
      </c>
      <c r="J60" s="112"/>
      <c r="K60" s="113">
        <v>25</v>
      </c>
      <c r="L60" s="114"/>
      <c r="M60" s="115">
        <v>-25</v>
      </c>
      <c r="N60" s="112"/>
      <c r="O60" s="114"/>
      <c r="P60" s="114"/>
      <c r="Q60" s="114"/>
      <c r="R60" s="116"/>
      <c r="S60" s="112"/>
      <c r="T60" s="114"/>
      <c r="U60" s="114"/>
      <c r="V60" s="114"/>
      <c r="W60" s="116"/>
      <c r="X60" s="99" t="s">
        <v>595</v>
      </c>
      <c r="Z60" s="119">
        <v>200</v>
      </c>
      <c r="AA60" s="111"/>
      <c r="AB60" s="7">
        <v>250</v>
      </c>
      <c r="AD60" s="110">
        <v>150</v>
      </c>
      <c r="AE60" s="126" t="s">
        <v>602</v>
      </c>
      <c r="AG60" s="156">
        <v>0</v>
      </c>
      <c r="AH60" s="158">
        <v>150</v>
      </c>
      <c r="AI60" s="135">
        <v>100</v>
      </c>
      <c r="AJ60" s="136">
        <v>0</v>
      </c>
      <c r="AK60" s="159" t="s">
        <v>263</v>
      </c>
      <c r="AM60" s="156">
        <v>25</v>
      </c>
      <c r="AN60" s="157" t="s">
        <v>603</v>
      </c>
    </row>
    <row r="61" spans="1:40" ht="27.65" customHeight="1" x14ac:dyDescent="0.25">
      <c r="A61" s="12" t="s">
        <v>282</v>
      </c>
      <c r="B61" s="1" t="s">
        <v>230</v>
      </c>
      <c r="C61" s="107">
        <v>80</v>
      </c>
      <c r="D61" s="105">
        <v>0</v>
      </c>
      <c r="E61" s="1">
        <v>0</v>
      </c>
      <c r="F61" s="103">
        <v>0</v>
      </c>
      <c r="G61" s="99" t="s">
        <v>262</v>
      </c>
      <c r="I61" s="120">
        <v>75</v>
      </c>
      <c r="J61" s="112"/>
      <c r="K61" s="113">
        <v>50</v>
      </c>
      <c r="L61" s="114"/>
      <c r="M61" s="115">
        <v>-50</v>
      </c>
      <c r="N61" s="112"/>
      <c r="O61" s="114"/>
      <c r="P61" s="114"/>
      <c r="Q61" s="114"/>
      <c r="R61" s="116"/>
      <c r="S61" s="112"/>
      <c r="T61" s="114"/>
      <c r="U61" s="114"/>
      <c r="V61" s="114"/>
      <c r="W61" s="116"/>
      <c r="X61" s="99" t="s">
        <v>595</v>
      </c>
      <c r="Z61" s="119">
        <v>100</v>
      </c>
      <c r="AA61" s="111"/>
      <c r="AB61" s="7">
        <v>150</v>
      </c>
      <c r="AD61" s="110">
        <v>50</v>
      </c>
      <c r="AE61" s="126" t="s">
        <v>602</v>
      </c>
      <c r="AG61" s="156">
        <v>0</v>
      </c>
      <c r="AH61" s="158">
        <v>150</v>
      </c>
      <c r="AI61" s="135">
        <v>100</v>
      </c>
      <c r="AJ61" s="136">
        <v>0</v>
      </c>
      <c r="AK61" s="159" t="s">
        <v>263</v>
      </c>
      <c r="AM61" s="156">
        <v>75</v>
      </c>
      <c r="AN61" s="157" t="s">
        <v>214</v>
      </c>
    </row>
    <row r="62" spans="1:40" ht="27.65" customHeight="1" x14ac:dyDescent="0.25">
      <c r="A62" s="12" t="s">
        <v>283</v>
      </c>
      <c r="B62" s="1" t="s">
        <v>230</v>
      </c>
      <c r="C62" s="107">
        <v>0</v>
      </c>
      <c r="D62" s="105">
        <v>0</v>
      </c>
      <c r="E62" s="1">
        <v>0</v>
      </c>
      <c r="F62" s="103">
        <v>0</v>
      </c>
      <c r="G62" s="99" t="s">
        <v>262</v>
      </c>
      <c r="I62" s="118"/>
      <c r="J62" s="112"/>
      <c r="K62" s="114"/>
      <c r="L62" s="114"/>
      <c r="M62" s="116"/>
      <c r="N62" s="112"/>
      <c r="O62" s="114"/>
      <c r="P62" s="114"/>
      <c r="Q62" s="114"/>
      <c r="R62" s="116"/>
      <c r="S62" s="112"/>
      <c r="T62" s="114"/>
      <c r="U62" s="114"/>
      <c r="V62" s="114"/>
      <c r="W62" s="116"/>
      <c r="X62" s="121"/>
      <c r="Z62" s="119"/>
      <c r="AA62" s="111"/>
      <c r="AB62" s="7">
        <v>40</v>
      </c>
      <c r="AD62" s="110">
        <v>0</v>
      </c>
      <c r="AE62" s="126" t="s">
        <v>602</v>
      </c>
      <c r="AG62" s="156">
        <v>0</v>
      </c>
      <c r="AH62" s="158">
        <v>100</v>
      </c>
      <c r="AI62" s="135">
        <v>50</v>
      </c>
      <c r="AJ62" s="136">
        <v>0</v>
      </c>
      <c r="AK62" s="159" t="s">
        <v>263</v>
      </c>
      <c r="AM62" s="156">
        <v>25</v>
      </c>
      <c r="AN62" s="157" t="s">
        <v>214</v>
      </c>
    </row>
    <row r="63" spans="1:40" ht="27.65" customHeight="1" thickBot="1" x14ac:dyDescent="0.3">
      <c r="C63" s="100"/>
      <c r="D63" s="106"/>
      <c r="E63" s="101"/>
      <c r="F63" s="104"/>
      <c r="G63" s="102"/>
      <c r="I63" s="122"/>
      <c r="J63" s="123"/>
      <c r="K63" s="124"/>
      <c r="L63" s="124"/>
      <c r="M63" s="125"/>
      <c r="N63" s="123"/>
      <c r="O63" s="124"/>
      <c r="P63" s="124"/>
      <c r="Q63" s="124"/>
      <c r="R63" s="125"/>
      <c r="S63" s="123"/>
      <c r="T63" s="124"/>
      <c r="U63" s="124"/>
      <c r="V63" s="124"/>
      <c r="W63" s="125"/>
      <c r="X63" s="102"/>
      <c r="Z63" s="122"/>
      <c r="AA63" s="123"/>
      <c r="AB63" s="124"/>
      <c r="AC63" s="124"/>
      <c r="AD63" s="125"/>
      <c r="AE63" s="127"/>
      <c r="AG63" s="92"/>
      <c r="AH63" s="139"/>
      <c r="AI63" s="124"/>
      <c r="AJ63" s="138"/>
      <c r="AK63" s="211"/>
      <c r="AM63" s="122"/>
      <c r="AN63" s="130"/>
    </row>
    <row r="64" spans="1:40" ht="27.65" customHeight="1" x14ac:dyDescent="0.25">
      <c r="G64" s="18"/>
    </row>
    <row r="74" spans="27:30" ht="27.65" customHeight="1" x14ac:dyDescent="0.25">
      <c r="AA74" s="47"/>
      <c r="AB74" s="47"/>
      <c r="AC74" s="47"/>
      <c r="AD74" s="47"/>
    </row>
  </sheetData>
  <sheetProtection algorithmName="SHA-512" hashValue="3OEbuV0z9PJUT79eAQtM78GaYu3u6HOVeiUXmTDdWBzsWZ0tIKCXyHOMoONBTZZrOmqNzjIVRwElQUMIubsrVA==" saltValue="YGQx2qYy3A6McE5Nhsj91w==" spinCount="100000" sheet="1" selectLockedCells="1" selectUnlockedCells="1"/>
  <mergeCells count="16">
    <mergeCell ref="AM1:AN1"/>
    <mergeCell ref="AN2:AN3"/>
    <mergeCell ref="C1:G1"/>
    <mergeCell ref="Z1:AE1"/>
    <mergeCell ref="AA2:AD2"/>
    <mergeCell ref="AG1:AK1"/>
    <mergeCell ref="I1:X1"/>
    <mergeCell ref="G2:G3"/>
    <mergeCell ref="X2:X3"/>
    <mergeCell ref="AE2:AE3"/>
    <mergeCell ref="AH2:AJ2"/>
    <mergeCell ref="AK2:AK3"/>
    <mergeCell ref="N2:R2"/>
    <mergeCell ref="S2:W2"/>
    <mergeCell ref="D2:F2"/>
    <mergeCell ref="J2:M2"/>
  </mergeCells>
  <phoneticPr fontId="14" type="noConversion"/>
  <pageMargins left="0.7" right="0.7" top="0.75" bottom="0.75" header="0.3" footer="0.3"/>
  <pageSetup paperSize="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BF6B-18E4-4204-9C85-C5236DD7CD2B}">
  <dimension ref="A1:C136"/>
  <sheetViews>
    <sheetView topLeftCell="A98" workbookViewId="0">
      <selection activeCell="C128" sqref="C128"/>
    </sheetView>
  </sheetViews>
  <sheetFormatPr defaultRowHeight="14.5" x14ac:dyDescent="0.35"/>
  <cols>
    <col min="1" max="1" width="8.7265625" style="285"/>
    <col min="2" max="2" width="11.7265625" style="285" customWidth="1"/>
    <col min="3" max="3" width="151.81640625" style="281" customWidth="1"/>
  </cols>
  <sheetData>
    <row r="1" spans="1:3" x14ac:dyDescent="0.35">
      <c r="A1" s="282" t="s">
        <v>438</v>
      </c>
      <c r="B1" s="282" t="s">
        <v>6</v>
      </c>
      <c r="C1" s="278" t="s">
        <v>439</v>
      </c>
    </row>
    <row r="2" spans="1:3" s="2" customFormat="1" x14ac:dyDescent="0.35">
      <c r="A2" s="283" t="s">
        <v>440</v>
      </c>
      <c r="B2" s="284">
        <v>44473</v>
      </c>
      <c r="C2" s="279"/>
    </row>
    <row r="3" spans="1:3" s="2" customFormat="1" ht="29" x14ac:dyDescent="0.35">
      <c r="A3" s="283" t="s">
        <v>441</v>
      </c>
      <c r="B3" s="284">
        <v>44476</v>
      </c>
      <c r="C3" s="279" t="s">
        <v>442</v>
      </c>
    </row>
    <row r="4" spans="1:3" s="2" customFormat="1" x14ac:dyDescent="0.35">
      <c r="A4" s="283" t="s">
        <v>443</v>
      </c>
      <c r="B4" s="284">
        <v>44522</v>
      </c>
      <c r="C4" s="279" t="s">
        <v>444</v>
      </c>
    </row>
    <row r="5" spans="1:3" s="2" customFormat="1" x14ac:dyDescent="0.35">
      <c r="A5" s="283"/>
      <c r="B5" s="283"/>
      <c r="C5" s="279" t="s">
        <v>445</v>
      </c>
    </row>
    <row r="6" spans="1:3" s="2" customFormat="1" x14ac:dyDescent="0.35">
      <c r="A6" s="283"/>
      <c r="B6" s="283"/>
      <c r="C6" s="279" t="s">
        <v>446</v>
      </c>
    </row>
    <row r="7" spans="1:3" s="2" customFormat="1" x14ac:dyDescent="0.35">
      <c r="A7" s="283"/>
      <c r="B7" s="283"/>
      <c r="C7" s="279" t="s">
        <v>447</v>
      </c>
    </row>
    <row r="8" spans="1:3" s="2" customFormat="1" x14ac:dyDescent="0.35">
      <c r="A8" s="283"/>
      <c r="B8" s="283"/>
      <c r="C8" s="279" t="s">
        <v>448</v>
      </c>
    </row>
    <row r="9" spans="1:3" s="2" customFormat="1" x14ac:dyDescent="0.35">
      <c r="A9" s="283"/>
      <c r="B9" s="283"/>
      <c r="C9" s="279" t="s">
        <v>449</v>
      </c>
    </row>
    <row r="10" spans="1:3" s="2" customFormat="1" ht="29" x14ac:dyDescent="0.35">
      <c r="A10" s="283"/>
      <c r="B10" s="283"/>
      <c r="C10" s="279" t="s">
        <v>450</v>
      </c>
    </row>
    <row r="11" spans="1:3" s="2" customFormat="1" x14ac:dyDescent="0.35">
      <c r="A11" s="283"/>
      <c r="B11" s="283"/>
      <c r="C11" s="279" t="s">
        <v>451</v>
      </c>
    </row>
    <row r="12" spans="1:3" s="2" customFormat="1" x14ac:dyDescent="0.35">
      <c r="A12" s="283"/>
      <c r="B12" s="283"/>
      <c r="C12" s="279" t="s">
        <v>452</v>
      </c>
    </row>
    <row r="13" spans="1:3" s="2" customFormat="1" x14ac:dyDescent="0.35">
      <c r="A13" s="283"/>
      <c r="B13" s="283"/>
      <c r="C13" s="279" t="s">
        <v>453</v>
      </c>
    </row>
    <row r="14" spans="1:3" s="2" customFormat="1" x14ac:dyDescent="0.35">
      <c r="A14" s="283"/>
      <c r="B14" s="283"/>
      <c r="C14" s="279" t="s">
        <v>454</v>
      </c>
    </row>
    <row r="15" spans="1:3" s="2" customFormat="1" x14ac:dyDescent="0.35">
      <c r="A15" s="283" t="s">
        <v>455</v>
      </c>
      <c r="B15" s="284">
        <v>44531</v>
      </c>
      <c r="C15" s="279" t="s">
        <v>456</v>
      </c>
    </row>
    <row r="16" spans="1:3" s="2" customFormat="1" x14ac:dyDescent="0.35">
      <c r="A16" s="283"/>
      <c r="B16" s="283"/>
      <c r="C16" s="279" t="s">
        <v>457</v>
      </c>
    </row>
    <row r="17" spans="1:3" s="2" customFormat="1" x14ac:dyDescent="0.35">
      <c r="A17" s="283"/>
      <c r="B17" s="283"/>
      <c r="C17" s="279" t="s">
        <v>458</v>
      </c>
    </row>
    <row r="18" spans="1:3" s="2" customFormat="1" ht="43.5" x14ac:dyDescent="0.35">
      <c r="A18" s="283" t="s">
        <v>459</v>
      </c>
      <c r="B18" s="284">
        <v>44543</v>
      </c>
      <c r="C18" s="280" t="s">
        <v>460</v>
      </c>
    </row>
    <row r="19" spans="1:3" s="2" customFormat="1" x14ac:dyDescent="0.35">
      <c r="A19" s="283"/>
      <c r="B19" s="283"/>
      <c r="C19" s="279" t="s">
        <v>461</v>
      </c>
    </row>
    <row r="20" spans="1:3" s="2" customFormat="1" x14ac:dyDescent="0.35">
      <c r="A20" s="283"/>
      <c r="B20" s="283"/>
      <c r="C20" s="279" t="s">
        <v>462</v>
      </c>
    </row>
    <row r="21" spans="1:3" s="2" customFormat="1" ht="29" x14ac:dyDescent="0.35">
      <c r="A21" s="283" t="s">
        <v>463</v>
      </c>
      <c r="B21" s="284">
        <v>44609</v>
      </c>
      <c r="C21" s="279" t="s">
        <v>464</v>
      </c>
    </row>
    <row r="22" spans="1:3" s="2" customFormat="1" x14ac:dyDescent="0.35">
      <c r="A22" s="283"/>
      <c r="B22" s="283"/>
      <c r="C22" s="279" t="s">
        <v>465</v>
      </c>
    </row>
    <row r="23" spans="1:3" s="2" customFormat="1" ht="29" x14ac:dyDescent="0.35">
      <c r="A23" s="283"/>
      <c r="B23" s="283"/>
      <c r="C23" s="279" t="s">
        <v>466</v>
      </c>
    </row>
    <row r="24" spans="1:3" s="2" customFormat="1" x14ac:dyDescent="0.35">
      <c r="A24" s="283" t="s">
        <v>467</v>
      </c>
      <c r="B24" s="284">
        <v>44610</v>
      </c>
      <c r="C24" s="279" t="s">
        <v>468</v>
      </c>
    </row>
    <row r="25" spans="1:3" s="2" customFormat="1" x14ac:dyDescent="0.35">
      <c r="A25" s="283"/>
      <c r="B25" s="283"/>
      <c r="C25" s="279" t="s">
        <v>469</v>
      </c>
    </row>
    <row r="26" spans="1:3" s="2" customFormat="1" ht="29" x14ac:dyDescent="0.35">
      <c r="A26" s="283" t="s">
        <v>470</v>
      </c>
      <c r="B26" s="284">
        <v>44624</v>
      </c>
      <c r="C26" s="279" t="s">
        <v>471</v>
      </c>
    </row>
    <row r="27" spans="1:3" s="2" customFormat="1" x14ac:dyDescent="0.35">
      <c r="A27" s="283"/>
      <c r="B27" s="283"/>
      <c r="C27" s="279" t="s">
        <v>472</v>
      </c>
    </row>
    <row r="28" spans="1:3" s="2" customFormat="1" x14ac:dyDescent="0.35">
      <c r="A28" s="283"/>
      <c r="B28" s="283"/>
      <c r="C28" s="279" t="s">
        <v>473</v>
      </c>
    </row>
    <row r="29" spans="1:3" s="2" customFormat="1" x14ac:dyDescent="0.35">
      <c r="A29" s="283"/>
      <c r="B29" s="283"/>
      <c r="C29" s="279" t="s">
        <v>474</v>
      </c>
    </row>
    <row r="30" spans="1:3" s="2" customFormat="1" x14ac:dyDescent="0.35">
      <c r="A30" s="283"/>
      <c r="B30" s="283"/>
      <c r="C30" s="279" t="s">
        <v>475</v>
      </c>
    </row>
    <row r="31" spans="1:3" s="2" customFormat="1" x14ac:dyDescent="0.35">
      <c r="A31" s="283"/>
      <c r="B31" s="283"/>
      <c r="C31" s="279" t="s">
        <v>476</v>
      </c>
    </row>
    <row r="32" spans="1:3" s="2" customFormat="1" x14ac:dyDescent="0.35">
      <c r="A32" s="283"/>
      <c r="B32" s="283"/>
      <c r="C32" s="279" t="s">
        <v>477</v>
      </c>
    </row>
    <row r="33" spans="1:3" s="2" customFormat="1" x14ac:dyDescent="0.35">
      <c r="A33" s="283"/>
      <c r="B33" s="283"/>
      <c r="C33" s="279" t="s">
        <v>478</v>
      </c>
    </row>
    <row r="34" spans="1:3" s="2" customFormat="1" x14ac:dyDescent="0.35">
      <c r="A34" s="283" t="s">
        <v>479</v>
      </c>
      <c r="B34" s="284">
        <v>44708</v>
      </c>
      <c r="C34" s="279" t="s">
        <v>480</v>
      </c>
    </row>
    <row r="35" spans="1:3" s="2" customFormat="1" x14ac:dyDescent="0.35">
      <c r="A35" s="283" t="s">
        <v>481</v>
      </c>
      <c r="B35" s="284">
        <v>44708</v>
      </c>
      <c r="C35" s="279" t="s">
        <v>482</v>
      </c>
    </row>
    <row r="36" spans="1:3" s="2" customFormat="1" x14ac:dyDescent="0.35">
      <c r="A36" s="283"/>
      <c r="B36" s="283"/>
      <c r="C36" s="279" t="s">
        <v>483</v>
      </c>
    </row>
    <row r="37" spans="1:3" s="2" customFormat="1" ht="29" x14ac:dyDescent="0.35">
      <c r="A37" s="283"/>
      <c r="B37" s="283"/>
      <c r="C37" s="279" t="s">
        <v>484</v>
      </c>
    </row>
    <row r="38" spans="1:3" s="2" customFormat="1" x14ac:dyDescent="0.35">
      <c r="A38" s="283"/>
      <c r="B38" s="283"/>
      <c r="C38" s="279" t="s">
        <v>485</v>
      </c>
    </row>
    <row r="39" spans="1:3" x14ac:dyDescent="0.35">
      <c r="C39" s="279" t="s">
        <v>486</v>
      </c>
    </row>
    <row r="40" spans="1:3" x14ac:dyDescent="0.35">
      <c r="C40" s="279" t="s">
        <v>487</v>
      </c>
    </row>
    <row r="41" spans="1:3" x14ac:dyDescent="0.35">
      <c r="C41" s="279" t="s">
        <v>488</v>
      </c>
    </row>
    <row r="42" spans="1:3" x14ac:dyDescent="0.35">
      <c r="C42" s="279" t="s">
        <v>489</v>
      </c>
    </row>
    <row r="43" spans="1:3" x14ac:dyDescent="0.35">
      <c r="C43" s="279" t="s">
        <v>490</v>
      </c>
    </row>
    <row r="44" spans="1:3" x14ac:dyDescent="0.35">
      <c r="C44" s="279" t="s">
        <v>491</v>
      </c>
    </row>
    <row r="45" spans="1:3" ht="29" x14ac:dyDescent="0.35">
      <c r="C45" s="279" t="s">
        <v>492</v>
      </c>
    </row>
    <row r="46" spans="1:3" x14ac:dyDescent="0.35">
      <c r="C46" s="286" t="s">
        <v>493</v>
      </c>
    </row>
    <row r="47" spans="1:3" x14ac:dyDescent="0.35">
      <c r="C47" s="281" t="s">
        <v>494</v>
      </c>
    </row>
    <row r="48" spans="1:3" x14ac:dyDescent="0.35">
      <c r="C48" s="281" t="s">
        <v>495</v>
      </c>
    </row>
    <row r="49" spans="1:3" x14ac:dyDescent="0.35">
      <c r="C49" s="287" t="s">
        <v>496</v>
      </c>
    </row>
    <row r="50" spans="1:3" x14ac:dyDescent="0.35">
      <c r="C50" s="281" t="s">
        <v>497</v>
      </c>
    </row>
    <row r="51" spans="1:3" x14ac:dyDescent="0.35">
      <c r="C51" s="281" t="s">
        <v>498</v>
      </c>
    </row>
    <row r="52" spans="1:3" ht="29" x14ac:dyDescent="0.35">
      <c r="C52" s="303" t="s">
        <v>499</v>
      </c>
    </row>
    <row r="53" spans="1:3" ht="43.5" x14ac:dyDescent="0.35">
      <c r="A53" s="285" t="s">
        <v>500</v>
      </c>
      <c r="B53" s="293">
        <v>44825</v>
      </c>
      <c r="C53" s="281" t="s">
        <v>501</v>
      </c>
    </row>
    <row r="54" spans="1:3" x14ac:dyDescent="0.35">
      <c r="C54" s="281" t="s">
        <v>502</v>
      </c>
    </row>
    <row r="55" spans="1:3" x14ac:dyDescent="0.35">
      <c r="C55" s="294" t="s">
        <v>503</v>
      </c>
    </row>
    <row r="56" spans="1:3" ht="29" x14ac:dyDescent="0.35">
      <c r="C56" s="281" t="s">
        <v>504</v>
      </c>
    </row>
    <row r="57" spans="1:3" x14ac:dyDescent="0.35">
      <c r="C57" s="281" t="s">
        <v>505</v>
      </c>
    </row>
    <row r="58" spans="1:3" x14ac:dyDescent="0.35">
      <c r="C58" s="281" t="s">
        <v>506</v>
      </c>
    </row>
    <row r="59" spans="1:3" x14ac:dyDescent="0.35">
      <c r="C59" s="281" t="s">
        <v>507</v>
      </c>
    </row>
    <row r="60" spans="1:3" x14ac:dyDescent="0.35">
      <c r="A60" s="285" t="s">
        <v>508</v>
      </c>
      <c r="B60" s="293">
        <v>44859</v>
      </c>
      <c r="C60" s="281" t="s">
        <v>509</v>
      </c>
    </row>
    <row r="61" spans="1:3" x14ac:dyDescent="0.35">
      <c r="C61" s="281" t="s">
        <v>510</v>
      </c>
    </row>
    <row r="62" spans="1:3" x14ac:dyDescent="0.35">
      <c r="C62" s="281" t="s">
        <v>511</v>
      </c>
    </row>
    <row r="63" spans="1:3" x14ac:dyDescent="0.35">
      <c r="C63" s="281" t="s">
        <v>512</v>
      </c>
    </row>
    <row r="64" spans="1:3" x14ac:dyDescent="0.35">
      <c r="C64" s="281" t="s">
        <v>513</v>
      </c>
    </row>
    <row r="65" spans="1:3" x14ac:dyDescent="0.35">
      <c r="A65" s="285" t="s">
        <v>514</v>
      </c>
      <c r="B65" s="293">
        <v>44862</v>
      </c>
      <c r="C65" s="281" t="s">
        <v>515</v>
      </c>
    </row>
    <row r="66" spans="1:3" x14ac:dyDescent="0.35">
      <c r="B66" s="293"/>
      <c r="C66" s="281" t="s">
        <v>516</v>
      </c>
    </row>
    <row r="67" spans="1:3" x14ac:dyDescent="0.35">
      <c r="C67" s="294" t="s">
        <v>517</v>
      </c>
    </row>
    <row r="68" spans="1:3" x14ac:dyDescent="0.35">
      <c r="C68" s="281" t="s">
        <v>518</v>
      </c>
    </row>
    <row r="69" spans="1:3" x14ac:dyDescent="0.35">
      <c r="C69" s="281" t="s">
        <v>519</v>
      </c>
    </row>
    <row r="70" spans="1:3" x14ac:dyDescent="0.35">
      <c r="B70" s="293"/>
      <c r="C70" s="281" t="s">
        <v>520</v>
      </c>
    </row>
    <row r="71" spans="1:3" x14ac:dyDescent="0.35">
      <c r="C71" s="281" t="s">
        <v>521</v>
      </c>
    </row>
    <row r="72" spans="1:3" x14ac:dyDescent="0.35">
      <c r="C72" s="281" t="s">
        <v>522</v>
      </c>
    </row>
    <row r="73" spans="1:3" x14ac:dyDescent="0.35">
      <c r="B73" s="293"/>
      <c r="C73" s="281" t="s">
        <v>523</v>
      </c>
    </row>
    <row r="74" spans="1:3" x14ac:dyDescent="0.35">
      <c r="A74" s="285" t="s">
        <v>524</v>
      </c>
      <c r="B74" s="293">
        <v>44873</v>
      </c>
      <c r="C74" s="281" t="s">
        <v>525</v>
      </c>
    </row>
    <row r="75" spans="1:3" x14ac:dyDescent="0.35">
      <c r="C75" s="281" t="s">
        <v>526</v>
      </c>
    </row>
    <row r="76" spans="1:3" x14ac:dyDescent="0.35">
      <c r="C76" s="281" t="s">
        <v>527</v>
      </c>
    </row>
    <row r="77" spans="1:3" x14ac:dyDescent="0.35">
      <c r="C77" s="281" t="s">
        <v>528</v>
      </c>
    </row>
    <row r="78" spans="1:3" x14ac:dyDescent="0.35">
      <c r="C78" s="281" t="s">
        <v>529</v>
      </c>
    </row>
    <row r="79" spans="1:3" x14ac:dyDescent="0.35">
      <c r="C79" s="281" t="s">
        <v>530</v>
      </c>
    </row>
    <row r="80" spans="1:3" x14ac:dyDescent="0.35">
      <c r="C80" s="281" t="s">
        <v>531</v>
      </c>
    </row>
    <row r="81" spans="1:3" x14ac:dyDescent="0.35">
      <c r="C81" s="281" t="s">
        <v>532</v>
      </c>
    </row>
    <row r="82" spans="1:3" x14ac:dyDescent="0.35">
      <c r="C82" s="281" t="s">
        <v>533</v>
      </c>
    </row>
    <row r="83" spans="1:3" x14ac:dyDescent="0.35">
      <c r="C83" s="281" t="s">
        <v>534</v>
      </c>
    </row>
    <row r="84" spans="1:3" x14ac:dyDescent="0.35">
      <c r="C84" s="281" t="s">
        <v>535</v>
      </c>
    </row>
    <row r="85" spans="1:3" x14ac:dyDescent="0.35">
      <c r="C85" s="294" t="s">
        <v>536</v>
      </c>
    </row>
    <row r="86" spans="1:3" x14ac:dyDescent="0.35">
      <c r="C86" s="281" t="s">
        <v>537</v>
      </c>
    </row>
    <row r="87" spans="1:3" ht="29" x14ac:dyDescent="0.35">
      <c r="A87" s="285" t="s">
        <v>538</v>
      </c>
      <c r="B87" s="293">
        <v>44943</v>
      </c>
      <c r="C87" s="281" t="s">
        <v>539</v>
      </c>
    </row>
    <row r="88" spans="1:3" ht="29" x14ac:dyDescent="0.35">
      <c r="C88" s="287" t="s">
        <v>540</v>
      </c>
    </row>
    <row r="89" spans="1:3" x14ac:dyDescent="0.35">
      <c r="B89" s="293">
        <v>44952</v>
      </c>
      <c r="C89" s="281" t="s">
        <v>541</v>
      </c>
    </row>
    <row r="90" spans="1:3" x14ac:dyDescent="0.35">
      <c r="B90" s="293">
        <v>44957</v>
      </c>
      <c r="C90" s="281" t="s">
        <v>567</v>
      </c>
    </row>
    <row r="91" spans="1:3" x14ac:dyDescent="0.35">
      <c r="B91" s="341">
        <v>45079</v>
      </c>
      <c r="C91" s="342" t="s">
        <v>542</v>
      </c>
    </row>
    <row r="92" spans="1:3" x14ac:dyDescent="0.35">
      <c r="B92" s="293"/>
      <c r="C92" s="342" t="s">
        <v>543</v>
      </c>
    </row>
    <row r="93" spans="1:3" x14ac:dyDescent="0.35">
      <c r="A93" s="285" t="s">
        <v>544</v>
      </c>
      <c r="B93" s="293">
        <v>44957</v>
      </c>
      <c r="C93" s="281" t="s">
        <v>545</v>
      </c>
    </row>
    <row r="94" spans="1:3" x14ac:dyDescent="0.35">
      <c r="B94" s="293">
        <v>44978</v>
      </c>
      <c r="C94" s="281" t="s">
        <v>552</v>
      </c>
    </row>
    <row r="95" spans="1:3" x14ac:dyDescent="0.35">
      <c r="B95" s="293">
        <v>44978</v>
      </c>
      <c r="C95" s="281" t="s">
        <v>554</v>
      </c>
    </row>
    <row r="96" spans="1:3" x14ac:dyDescent="0.35">
      <c r="A96" s="285" t="s">
        <v>556</v>
      </c>
      <c r="B96" s="293">
        <v>45016</v>
      </c>
      <c r="C96" s="281" t="s">
        <v>557</v>
      </c>
    </row>
    <row r="97" spans="2:3" x14ac:dyDescent="0.35">
      <c r="B97" s="293"/>
      <c r="C97" s="281" t="s">
        <v>563</v>
      </c>
    </row>
    <row r="98" spans="2:3" x14ac:dyDescent="0.35">
      <c r="B98" s="293"/>
      <c r="C98" s="281" t="s">
        <v>564</v>
      </c>
    </row>
    <row r="99" spans="2:3" x14ac:dyDescent="0.35">
      <c r="B99" s="293"/>
      <c r="C99" s="281" t="s">
        <v>566</v>
      </c>
    </row>
    <row r="100" spans="2:3" x14ac:dyDescent="0.35">
      <c r="B100" s="293"/>
      <c r="C100" s="281" t="s">
        <v>568</v>
      </c>
    </row>
    <row r="101" spans="2:3" x14ac:dyDescent="0.35">
      <c r="B101" s="281"/>
      <c r="C101" s="281" t="s">
        <v>570</v>
      </c>
    </row>
    <row r="102" spans="2:3" x14ac:dyDescent="0.35">
      <c r="B102" s="293"/>
      <c r="C102" s="281" t="s">
        <v>568</v>
      </c>
    </row>
    <row r="103" spans="2:3" x14ac:dyDescent="0.35">
      <c r="B103" s="293"/>
      <c r="C103" s="281" t="s">
        <v>569</v>
      </c>
    </row>
    <row r="104" spans="2:3" x14ac:dyDescent="0.35">
      <c r="B104" s="293"/>
      <c r="C104" s="281" t="s">
        <v>571</v>
      </c>
    </row>
    <row r="105" spans="2:3" x14ac:dyDescent="0.35">
      <c r="B105" s="293"/>
      <c r="C105" s="281" t="s">
        <v>572</v>
      </c>
    </row>
    <row r="106" spans="2:3" x14ac:dyDescent="0.35">
      <c r="B106" s="293"/>
      <c r="C106" s="281" t="s">
        <v>574</v>
      </c>
    </row>
    <row r="107" spans="2:3" x14ac:dyDescent="0.35">
      <c r="B107" s="293"/>
      <c r="C107" s="281" t="s">
        <v>575</v>
      </c>
    </row>
    <row r="108" spans="2:3" x14ac:dyDescent="0.35">
      <c r="B108" s="293"/>
      <c r="C108" s="281" t="s">
        <v>577</v>
      </c>
    </row>
    <row r="109" spans="2:3" x14ac:dyDescent="0.35">
      <c r="B109" s="293"/>
      <c r="C109" s="281" t="s">
        <v>578</v>
      </c>
    </row>
    <row r="110" spans="2:3" x14ac:dyDescent="0.35">
      <c r="B110" s="293"/>
      <c r="C110" s="281" t="s">
        <v>579</v>
      </c>
    </row>
    <row r="111" spans="2:3" x14ac:dyDescent="0.35">
      <c r="B111" s="293"/>
      <c r="C111" s="281" t="s">
        <v>580</v>
      </c>
    </row>
    <row r="112" spans="2:3" x14ac:dyDescent="0.35">
      <c r="B112" s="293"/>
      <c r="C112" s="281" t="s">
        <v>583</v>
      </c>
    </row>
    <row r="113" spans="2:3" x14ac:dyDescent="0.35">
      <c r="B113" s="293"/>
      <c r="C113" s="281" t="s">
        <v>585</v>
      </c>
    </row>
    <row r="114" spans="2:3" x14ac:dyDescent="0.35">
      <c r="B114" s="293"/>
      <c r="C114" s="281" t="s">
        <v>584</v>
      </c>
    </row>
    <row r="115" spans="2:3" x14ac:dyDescent="0.35">
      <c r="B115" s="293"/>
      <c r="C115" s="281" t="s">
        <v>586</v>
      </c>
    </row>
    <row r="116" spans="2:3" x14ac:dyDescent="0.35">
      <c r="C116" s="281" t="s">
        <v>589</v>
      </c>
    </row>
    <row r="117" spans="2:3" x14ac:dyDescent="0.35">
      <c r="C117" s="281" t="s">
        <v>587</v>
      </c>
    </row>
    <row r="118" spans="2:3" x14ac:dyDescent="0.35">
      <c r="C118" s="281" t="s">
        <v>609</v>
      </c>
    </row>
    <row r="119" spans="2:3" x14ac:dyDescent="0.35">
      <c r="C119" s="281" t="s">
        <v>610</v>
      </c>
    </row>
    <row r="120" spans="2:3" x14ac:dyDescent="0.35">
      <c r="C120" s="281" t="s">
        <v>611</v>
      </c>
    </row>
    <row r="121" spans="2:3" x14ac:dyDescent="0.35">
      <c r="C121" s="281" t="s">
        <v>612</v>
      </c>
    </row>
    <row r="122" spans="2:3" x14ac:dyDescent="0.35">
      <c r="C122" s="281" t="s">
        <v>613</v>
      </c>
    </row>
    <row r="123" spans="2:3" x14ac:dyDescent="0.35">
      <c r="C123" s="281" t="s">
        <v>614</v>
      </c>
    </row>
    <row r="124" spans="2:3" x14ac:dyDescent="0.35">
      <c r="C124" s="281" t="s">
        <v>618</v>
      </c>
    </row>
    <row r="125" spans="2:3" x14ac:dyDescent="0.35">
      <c r="C125" s="281" t="s">
        <v>619</v>
      </c>
    </row>
    <row r="126" spans="2:3" x14ac:dyDescent="0.35">
      <c r="C126" s="281" t="s">
        <v>620</v>
      </c>
    </row>
    <row r="127" spans="2:3" x14ac:dyDescent="0.35">
      <c r="C127" s="281" t="s">
        <v>622</v>
      </c>
    </row>
    <row r="130" spans="3:3" x14ac:dyDescent="0.35">
      <c r="C130" s="287" t="s">
        <v>553</v>
      </c>
    </row>
    <row r="131" spans="3:3" x14ac:dyDescent="0.35">
      <c r="C131" s="278" t="s">
        <v>546</v>
      </c>
    </row>
    <row r="132" spans="3:3" x14ac:dyDescent="0.35">
      <c r="C132" s="281" t="s">
        <v>547</v>
      </c>
    </row>
    <row r="133" spans="3:3" x14ac:dyDescent="0.35">
      <c r="C133" s="281" t="s">
        <v>548</v>
      </c>
    </row>
    <row r="134" spans="3:3" x14ac:dyDescent="0.35">
      <c r="C134" s="281" t="s">
        <v>549</v>
      </c>
    </row>
    <row r="135" spans="3:3" x14ac:dyDescent="0.35">
      <c r="C135" s="281" t="s">
        <v>550</v>
      </c>
    </row>
    <row r="136" spans="3:3" ht="29" x14ac:dyDescent="0.35">
      <c r="C136" s="287" t="s">
        <v>576</v>
      </c>
    </row>
  </sheetData>
  <sheetProtection algorithmName="SHA-512" hashValue="HYC6d7RSWarZR3KQFLz1YmLxir5kzo6TH75RMYy9xsTrRPcc/K1iK1H7EquFsVkGhRHGKIpY1HYBUDNCm0qefg==" saltValue="9ZqwoeIUdPp1aFCeJp5MFg==" spinCount="100000" sheet="1" selectLockedCells="1" selectUnlockedCells="1"/>
  <phoneticPr fontId="14" type="noConversion"/>
  <pageMargins left="0.7" right="0.7" top="0.75" bottom="0.75" header="0.3" footer="0.3"/>
  <pageSetup paperSize="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Sensitivity xmlns="0f24c28e-11f6-4f36-97b7-afa1e3aec3f9">Official / Official</Document_x0020_Sensitivity>
    <Document_x0020_Date xmlns="0f24c28e-11f6-4f36-97b7-afa1e3aec3f9">2023-05-24T23:00:00+00:00</Document_x0020_Date>
    <_Version xmlns="http://schemas.microsoft.com/sharepoint/v3/fields">1</_Version>
    <Document_x0020_Status xmlns="0f24c28e-11f6-4f36-97b7-afa1e3aec3f9">Final</Document_x0020_Status>
    <Project xmlns="0f24c28e-11f6-4f36-97b7-afa1e3aec3f9">Streamlining Processes</Project>
    <Document_x0020_Type xmlns="0f24c28e-11f6-4f36-97b7-afa1e3aec3f9">Template</Document_x0020_Type>
    <SharedWithUsers xmlns="0f24c28e-11f6-4f36-97b7-afa1e3aec3f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F8C4CF58B4F14C99F363C07DC24434" ma:contentTypeVersion="10" ma:contentTypeDescription="Create a new document." ma:contentTypeScope="" ma:versionID="83ff5adc081809dede644ffa6b15a8a6">
  <xsd:schema xmlns:xsd="http://www.w3.org/2001/XMLSchema" xmlns:xs="http://www.w3.org/2001/XMLSchema" xmlns:p="http://schemas.microsoft.com/office/2006/metadata/properties" xmlns:ns2="0f24c28e-11f6-4f36-97b7-afa1e3aec3f9" xmlns:ns3="http://schemas.microsoft.com/sharepoint/v3/fields" xmlns:ns4="9d9e89d8-d40f-468b-8988-60978b6d2f85" targetNamespace="http://schemas.microsoft.com/office/2006/metadata/properties" ma:root="true" ma:fieldsID="47a9db4e2ed483dc40fda0eaabc56f01" ns2:_="" ns3:_="" ns4:_="">
    <xsd:import namespace="0f24c28e-11f6-4f36-97b7-afa1e3aec3f9"/>
    <xsd:import namespace="http://schemas.microsoft.com/sharepoint/v3/fields"/>
    <xsd:import namespace="9d9e89d8-d40f-468b-8988-60978b6d2f85"/>
    <xsd:element name="properties">
      <xsd:complexType>
        <xsd:sequence>
          <xsd:element name="documentManagement">
            <xsd:complexType>
              <xsd:all>
                <xsd:element ref="ns2:Document_x0020_Type" minOccurs="0"/>
                <xsd:element ref="ns2:Document_x0020_Status" minOccurs="0"/>
                <xsd:element ref="ns3:_Version" minOccurs="0"/>
                <xsd:element ref="ns2:Project" minOccurs="0"/>
                <xsd:element ref="ns4:MediaServiceMetadata" minOccurs="0"/>
                <xsd:element ref="ns4:MediaServiceFastMetadata" minOccurs="0"/>
                <xsd:element ref="ns2:Document_x0020_Sensitivity" minOccurs="0"/>
                <xsd:element ref="ns2:SharedWithUsers" minOccurs="0"/>
                <xsd:element ref="ns2:SharedWithDetails" minOccurs="0"/>
                <xsd:element ref="ns2:Document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24c28e-11f6-4f36-97b7-afa1e3aec3f9" elementFormDefault="qualified">
    <xsd:import namespace="http://schemas.microsoft.com/office/2006/documentManagement/types"/>
    <xsd:import namespace="http://schemas.microsoft.com/office/infopath/2007/PartnerControls"/>
    <xsd:element name="Document_x0020_Type" ma:index="8" nillable="true" ma:displayName="Document Type" ma:default="*** Please select ***" ma:format="Dropdown" ma:internalName="Document_x0020_Type">
      <xsd:simpleType>
        <xsd:restriction base="dms:Choice">
          <xsd:enumeration value="*** Please select ***"/>
          <xsd:enumeration value="Checklist"/>
          <xsd:enumeration value="Correspondence"/>
          <xsd:enumeration value="Flow Chart"/>
          <xsd:enumeration value="Gantt Chart"/>
          <xsd:enumeration value="Guidance"/>
          <xsd:enumeration value="Information"/>
          <xsd:enumeration value="Library Folder"/>
          <xsd:enumeration value="Log"/>
          <xsd:enumeration value="Meeting Agenda"/>
          <xsd:enumeration value="Meeting Notes"/>
          <xsd:enumeration value="Paper"/>
          <xsd:enumeration value="Planning"/>
          <xsd:enumeration value="Presentation"/>
          <xsd:enumeration value="Process"/>
          <xsd:enumeration value="Report"/>
          <xsd:enumeration value="Scoping"/>
          <xsd:enumeration value="Template"/>
        </xsd:restriction>
      </xsd:simpleType>
    </xsd:element>
    <xsd:element name="Document_x0020_Status" ma:index="9" nillable="true" ma:displayName="Document Status" ma:default="*** Please select ***" ma:format="Dropdown" ma:internalName="Document_x0020_Status">
      <xsd:simpleType>
        <xsd:restriction base="dms:Choice">
          <xsd:enumeration value="*** Please select ***"/>
          <xsd:enumeration value="Not Applicable"/>
          <xsd:enumeration value="Draft"/>
          <xsd:enumeration value="Under Review"/>
          <xsd:enumeration value="Document to be signed off"/>
          <xsd:enumeration value="Final"/>
        </xsd:restriction>
      </xsd:simpleType>
    </xsd:element>
    <xsd:element name="Project" ma:index="11" nillable="true" ma:displayName="Project" ma:default="***Please select*" ma:format="Dropdown" ma:internalName="Project">
      <xsd:simpleType>
        <xsd:restriction base="dms:Choice">
          <xsd:enumeration value="***Please select*"/>
          <xsd:enumeration value="Day-to-Day Determination"/>
          <xsd:enumeration value="IAF"/>
          <xsd:enumeration value="Managing Permitting Enquiries"/>
          <xsd:enumeration value="SharePoint Development"/>
          <xsd:enumeration value="SharePoint Migration"/>
          <xsd:enumeration value="Streamlining Processes"/>
          <xsd:enumeration value="The Build"/>
        </xsd:restriction>
      </xsd:simpleType>
    </xsd:element>
    <xsd:element name="Document_x0020_Sensitivity" ma:index="14" nillable="true" ma:displayName="Document Sensitivity" ma:default="*** Please select ***" ma:format="Dropdown" ma:internalName="Document_x0020_Sensitivity">
      <xsd:simpleType>
        <xsd:restriction base="dms:Choice">
          <xsd:enumeration value="*** Please select ***"/>
          <xsd:enumeration value="Not Relevant (Folder)"/>
          <xsd:enumeration value="Personal"/>
          <xsd:enumeration value="Public"/>
          <xsd:enumeration value="Official / Official"/>
          <xsd:enumeration value="Official / Sensitive"/>
          <xsd:enumeration value="Official / Confidential"/>
          <xsd:enumeration value="Official / Investigation"/>
          <xsd:enumeration value="Official / Sensitive / Investigation"/>
        </xsd:restrictio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Document_x0020_Date" ma:index="17" nillable="true" ma:displayName="Document Date" ma:format="DateOnly" ma:internalName="Document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0" nillable="true" ma:displayName="Version" ma:decimals="1" ma:format="Dropdown" ma:internalName="_Version"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d9e89d8-d40f-468b-8988-60978b6d2f85"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59BF39-611C-4764-8CD9-5DBFFD96D176}">
  <ds:schemaRefs>
    <ds:schemaRef ds:uri="http://schemas.microsoft.com/sharepoint/v3/fields"/>
    <ds:schemaRef ds:uri="http://purl.org/dc/elements/1.1/"/>
    <ds:schemaRef ds:uri="http://www.w3.org/XML/1998/namespace"/>
    <ds:schemaRef ds:uri="0f24c28e-11f6-4f36-97b7-afa1e3aec3f9"/>
    <ds:schemaRef ds:uri="9d9e89d8-d40f-468b-8988-60978b6d2f85"/>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0DCD98EB-C4F3-49EB-9D0F-F721709AB8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24c28e-11f6-4f36-97b7-afa1e3aec3f9"/>
    <ds:schemaRef ds:uri="http://schemas.microsoft.com/sharepoint/v3/fields"/>
    <ds:schemaRef ds:uri="9d9e89d8-d40f-468b-8988-60978b6d2f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90616B-4A26-48CA-91A2-259D5838BE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Field information 1</vt:lpstr>
      <vt:lpstr>Field information 2</vt:lpstr>
      <vt:lpstr>Soil results</vt:lpstr>
      <vt:lpstr>Waste results</vt:lpstr>
      <vt:lpstr>additional info</vt:lpstr>
      <vt:lpstr>Assessment</vt:lpstr>
      <vt:lpstr>Fertiliser recommendations</vt:lpstr>
      <vt:lpstr>Version control</vt:lpstr>
      <vt:lpstr>Calc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Erber, Claudia</dc:creator>
  <cp:keywords/>
  <dc:description/>
  <cp:lastModifiedBy>McCallum Rodger, Ann</cp:lastModifiedBy>
  <cp:revision/>
  <dcterms:created xsi:type="dcterms:W3CDTF">2021-07-13T06:37:06Z</dcterms:created>
  <dcterms:modified xsi:type="dcterms:W3CDTF">2023-06-21T11:11:52Z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0x0101007AF8C4CF58B4F14C99F363C07DC24434</vt:lpwstr>
  </property>
  <property fmtid="{D5CDD505-2E9C-101B-9397-08002B2CF9AE}" pid="3" name="MSIP_Label_ea4fd52f-9814-4cae-aa53-0ea7b16cd381_Enabled">
    <vt:lpwstr>true</vt:lpwstr>
  </property>
  <property fmtid="{D5CDD505-2E9C-101B-9397-08002B2CF9AE}" pid="4" name="MSIP_Label_ea4fd52f-9814-4cae-aa53-0ea7b16cd381_SetDate">
    <vt:lpwstr>2023-05-15T10:45:44Z</vt:lpwstr>
  </property>
  <property fmtid="{D5CDD505-2E9C-101B-9397-08002B2CF9AE}" pid="5" name="MSIP_Label_ea4fd52f-9814-4cae-aa53-0ea7b16cd381_Method">
    <vt:lpwstr>Privileged</vt:lpwstr>
  </property>
  <property fmtid="{D5CDD505-2E9C-101B-9397-08002B2CF9AE}" pid="6" name="MSIP_Label_ea4fd52f-9814-4cae-aa53-0ea7b16cd381_Name">
    <vt:lpwstr>Official General</vt:lpwstr>
  </property>
  <property fmtid="{D5CDD505-2E9C-101B-9397-08002B2CF9AE}" pid="7" name="MSIP_Label_ea4fd52f-9814-4cae-aa53-0ea7b16cd381_SiteId">
    <vt:lpwstr>5cf26d65-cf46-4c72-ba82-7577d9c2d7ab</vt:lpwstr>
  </property>
  <property fmtid="{D5CDD505-2E9C-101B-9397-08002B2CF9AE}" pid="8" name="MSIP_Label_ea4fd52f-9814-4cae-aa53-0ea7b16cd381_ActionId">
    <vt:lpwstr>8a7c7273-9be9-40c3-9033-d2566fbb6a3d</vt:lpwstr>
  </property>
  <property fmtid="{D5CDD505-2E9C-101B-9397-08002B2CF9AE}" pid="9" name="MSIP_Label_ea4fd52f-9814-4cae-aa53-0ea7b16cd381_ContentBits">
    <vt:lpwstr>3</vt:lpwstr>
  </property>
  <property fmtid="{D5CDD505-2E9C-101B-9397-08002B2CF9AE}" pid="10" name="ComplianceAssetId">
    <vt:lpwstr/>
  </property>
  <property fmtid="{D5CDD505-2E9C-101B-9397-08002B2CF9AE}" pid="11" name="_ExtendedDescription">
    <vt:lpwstr/>
  </property>
  <property fmtid="{D5CDD505-2E9C-101B-9397-08002B2CF9AE}" pid="12" name="TriggerFlowInfo">
    <vt:lpwstr/>
  </property>
  <property fmtid="{D5CDD505-2E9C-101B-9397-08002B2CF9AE}" pid="13" name="Order">
    <vt:r8>782800</vt:r8>
  </property>
</Properties>
</file>